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/>
  <xr:revisionPtr revIDLastSave="0" documentId="13_ncr:1_{1520B2FD-FAA3-414E-8BAF-64D1A11B813A}" xr6:coauthVersionLast="36" xr6:coauthVersionMax="36" xr10:uidLastSave="{00000000-0000-0000-0000-000000000000}"/>
  <bookViews>
    <workbookView xWindow="0" yWindow="0" windowWidth="28800" windowHeight="13425" activeTab="1" xr2:uid="{00000000-000D-0000-FFFF-FFFF00000000}"/>
  </bookViews>
  <sheets>
    <sheet name="D_Inicial" sheetId="2" r:id="rId1"/>
    <sheet name="D_Energetico_A" sheetId="4" r:id="rId2"/>
    <sheet name="D_Energetico_B" sheetId="1" r:id="rId3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11" i="2" l="1"/>
  <c r="F45" i="1" l="1"/>
  <c r="G45" i="1"/>
  <c r="H45" i="1"/>
  <c r="I45" i="1"/>
  <c r="J45" i="1"/>
  <c r="K45" i="1"/>
  <c r="L45" i="1"/>
  <c r="E45" i="1"/>
  <c r="W89" i="4" l="1"/>
  <c r="V84" i="4"/>
  <c r="J149" i="4" l="1"/>
  <c r="K149" i="4"/>
  <c r="I149" i="4"/>
  <c r="F86" i="4" l="1"/>
  <c r="G86" i="4"/>
  <c r="H86" i="4"/>
  <c r="I86" i="4"/>
  <c r="J86" i="4"/>
  <c r="K86" i="4"/>
  <c r="E86" i="4"/>
  <c r="E74" i="4" l="1"/>
  <c r="Q89" i="4" l="1"/>
  <c r="J113" i="4"/>
  <c r="AA72" i="1"/>
  <c r="AA71" i="1"/>
  <c r="AA64" i="1"/>
  <c r="Z65" i="1" s="1"/>
  <c r="I69" i="1"/>
  <c r="AA58" i="1"/>
  <c r="AA57" i="1"/>
  <c r="AA56" i="1"/>
  <c r="Y56" i="1"/>
  <c r="X56" i="1"/>
  <c r="E172" i="4"/>
  <c r="E171" i="4"/>
  <c r="D198" i="1"/>
  <c r="I188" i="1"/>
  <c r="I161" i="1"/>
  <c r="I170" i="1"/>
  <c r="I171" i="1"/>
  <c r="I179" i="1"/>
  <c r="F126" i="1"/>
  <c r="G126" i="1"/>
  <c r="H126" i="1"/>
  <c r="I126" i="1"/>
  <c r="J126" i="1"/>
  <c r="K126" i="1"/>
  <c r="L126" i="1"/>
  <c r="E126" i="1"/>
  <c r="L86" i="1"/>
  <c r="G86" i="1"/>
  <c r="H86" i="1"/>
  <c r="I86" i="1"/>
  <c r="J86" i="1"/>
  <c r="K86" i="1"/>
  <c r="I74" i="1"/>
  <c r="I181" i="1" s="1"/>
  <c r="F86" i="1"/>
  <c r="E86" i="1"/>
  <c r="I128" i="1"/>
  <c r="I133" i="1"/>
  <c r="I134" i="1"/>
  <c r="I149" i="1"/>
  <c r="I73" i="1"/>
  <c r="E29" i="1"/>
  <c r="I29" i="1"/>
  <c r="I37" i="1" s="1"/>
  <c r="I39" i="1" s="1"/>
  <c r="I38" i="1"/>
  <c r="I47" i="1"/>
  <c r="I46" i="1"/>
  <c r="I59" i="1"/>
  <c r="I140" i="1" l="1"/>
  <c r="I148" i="1" s="1"/>
  <c r="I31" i="1"/>
  <c r="I34" i="1"/>
  <c r="I33" i="1"/>
  <c r="F214" i="4"/>
  <c r="E214" i="4"/>
  <c r="D214" i="4"/>
  <c r="C214" i="4"/>
  <c r="K213" i="4"/>
  <c r="E213" i="4"/>
  <c r="C213" i="4"/>
  <c r="C212" i="4"/>
  <c r="C211" i="4"/>
  <c r="C210" i="4"/>
  <c r="D200" i="4"/>
  <c r="K195" i="4"/>
  <c r="J195" i="4"/>
  <c r="I195" i="4"/>
  <c r="J214" i="4" s="1"/>
  <c r="M214" i="4" s="1"/>
  <c r="H188" i="4"/>
  <c r="J179" i="4"/>
  <c r="I179" i="4"/>
  <c r="H179" i="4"/>
  <c r="G179" i="4"/>
  <c r="F179" i="4"/>
  <c r="E179" i="4"/>
  <c r="K172" i="4"/>
  <c r="J172" i="4"/>
  <c r="I172" i="4"/>
  <c r="H172" i="4"/>
  <c r="G172" i="4"/>
  <c r="F172" i="4"/>
  <c r="K171" i="4"/>
  <c r="G171" i="4"/>
  <c r="F171" i="4"/>
  <c r="K170" i="4"/>
  <c r="J170" i="4"/>
  <c r="E170" i="4"/>
  <c r="H149" i="4"/>
  <c r="G149" i="4"/>
  <c r="G188" i="4" s="1"/>
  <c r="F149" i="4"/>
  <c r="E149" i="4"/>
  <c r="K140" i="4"/>
  <c r="K148" i="4" s="1"/>
  <c r="F140" i="4"/>
  <c r="F148" i="4" s="1"/>
  <c r="K134" i="4"/>
  <c r="J134" i="4"/>
  <c r="I134" i="4"/>
  <c r="H134" i="4"/>
  <c r="G134" i="4"/>
  <c r="F134" i="4"/>
  <c r="E134" i="4"/>
  <c r="K133" i="4"/>
  <c r="J133" i="4"/>
  <c r="J140" i="4" s="1"/>
  <c r="J148" i="4" s="1"/>
  <c r="I133" i="4"/>
  <c r="I140" i="4" s="1"/>
  <c r="I148" i="4" s="1"/>
  <c r="H133" i="4"/>
  <c r="H140" i="4" s="1"/>
  <c r="H148" i="4" s="1"/>
  <c r="G133" i="4"/>
  <c r="G140" i="4" s="1"/>
  <c r="G148" i="4" s="1"/>
  <c r="F133" i="4"/>
  <c r="E133" i="4"/>
  <c r="E140" i="4" s="1"/>
  <c r="E148" i="4" s="1"/>
  <c r="K126" i="4"/>
  <c r="J126" i="4"/>
  <c r="I126" i="4"/>
  <c r="H126" i="4"/>
  <c r="G126" i="4"/>
  <c r="F126" i="4"/>
  <c r="E126" i="4"/>
  <c r="G110" i="4"/>
  <c r="P109" i="4"/>
  <c r="C106" i="4"/>
  <c r="S104" i="4"/>
  <c r="AD99" i="4"/>
  <c r="L98" i="4"/>
  <c r="C98" i="4"/>
  <c r="Q95" i="4"/>
  <c r="S95" i="4" s="1"/>
  <c r="S99" i="4" s="1"/>
  <c r="C95" i="4"/>
  <c r="AC85" i="4"/>
  <c r="AC84" i="4"/>
  <c r="AC83" i="4"/>
  <c r="AC82" i="4"/>
  <c r="AC81" i="4"/>
  <c r="AC80" i="4"/>
  <c r="AC79" i="4"/>
  <c r="J75" i="4"/>
  <c r="V76" i="4" s="1"/>
  <c r="K73" i="4"/>
  <c r="F73" i="4"/>
  <c r="E73" i="4"/>
  <c r="J65" i="4"/>
  <c r="J171" i="4" s="1"/>
  <c r="I65" i="4"/>
  <c r="I171" i="4" s="1"/>
  <c r="H65" i="4"/>
  <c r="H171" i="4" s="1"/>
  <c r="E65" i="4"/>
  <c r="I64" i="4"/>
  <c r="I170" i="4" s="1"/>
  <c r="H64" i="4"/>
  <c r="H170" i="4" s="1"/>
  <c r="G64" i="4"/>
  <c r="G170" i="4" s="1"/>
  <c r="F64" i="4"/>
  <c r="F170" i="4" s="1"/>
  <c r="E64" i="4"/>
  <c r="AD60" i="4"/>
  <c r="AB60" i="4"/>
  <c r="AD59" i="4"/>
  <c r="AB59" i="4"/>
  <c r="K59" i="4"/>
  <c r="J59" i="4"/>
  <c r="I59" i="4"/>
  <c r="H59" i="4"/>
  <c r="G59" i="4"/>
  <c r="F59" i="4"/>
  <c r="E59" i="4"/>
  <c r="AD58" i="4"/>
  <c r="AB58" i="4"/>
  <c r="AB57" i="4"/>
  <c r="AB56" i="4"/>
  <c r="AB55" i="4"/>
  <c r="AD54" i="4"/>
  <c r="AB54" i="4"/>
  <c r="K47" i="4"/>
  <c r="J47" i="4"/>
  <c r="I47" i="4"/>
  <c r="H47" i="4"/>
  <c r="G47" i="4"/>
  <c r="F47" i="4"/>
  <c r="E47" i="4"/>
  <c r="K46" i="4"/>
  <c r="J46" i="4"/>
  <c r="J73" i="4" s="1"/>
  <c r="I46" i="4"/>
  <c r="I73" i="4" s="1"/>
  <c r="H46" i="4"/>
  <c r="H73" i="4" s="1"/>
  <c r="G46" i="4"/>
  <c r="G73" i="4" s="1"/>
  <c r="F46" i="4"/>
  <c r="E46" i="4"/>
  <c r="K45" i="4"/>
  <c r="K161" i="4" s="1"/>
  <c r="J45" i="4"/>
  <c r="J161" i="4" s="1"/>
  <c r="I45" i="4"/>
  <c r="I161" i="4" s="1"/>
  <c r="H45" i="4"/>
  <c r="H161" i="4" s="1"/>
  <c r="G45" i="4"/>
  <c r="G161" i="4" s="1"/>
  <c r="F45" i="4"/>
  <c r="F161" i="4" s="1"/>
  <c r="E45" i="4"/>
  <c r="E161" i="4" s="1"/>
  <c r="J37" i="4"/>
  <c r="J39" i="4" s="1"/>
  <c r="E34" i="4"/>
  <c r="F33" i="4"/>
  <c r="E33" i="4"/>
  <c r="F31" i="4"/>
  <c r="F34" i="4" s="1"/>
  <c r="E31" i="4"/>
  <c r="K30" i="4"/>
  <c r="J30" i="4"/>
  <c r="G30" i="4"/>
  <c r="G31" i="4" s="1"/>
  <c r="J29" i="4"/>
  <c r="J31" i="4" s="1"/>
  <c r="I29" i="4"/>
  <c r="I31" i="4" s="1"/>
  <c r="H29" i="4"/>
  <c r="G29" i="4"/>
  <c r="F29" i="4"/>
  <c r="E29" i="4"/>
  <c r="D21" i="4"/>
  <c r="Q20" i="4"/>
  <c r="Q18" i="4"/>
  <c r="Q17" i="4"/>
  <c r="Q16" i="4"/>
  <c r="D13" i="4"/>
  <c r="Q6" i="4"/>
  <c r="Q5" i="4"/>
  <c r="Q4" i="4"/>
  <c r="J113" i="1"/>
  <c r="K65" i="1"/>
  <c r="J65" i="1"/>
  <c r="J64" i="1"/>
  <c r="J170" i="1" s="1"/>
  <c r="H65" i="1"/>
  <c r="H171" i="1" s="1"/>
  <c r="H64" i="1"/>
  <c r="H170" i="1" s="1"/>
  <c r="G64" i="1"/>
  <c r="G170" i="1" s="1"/>
  <c r="F64" i="1"/>
  <c r="F170" i="1" s="1"/>
  <c r="E65" i="1"/>
  <c r="E64" i="1"/>
  <c r="E170" i="1" s="1"/>
  <c r="H59" i="1"/>
  <c r="G59" i="1"/>
  <c r="F59" i="1"/>
  <c r="J59" i="1"/>
  <c r="K59" i="1"/>
  <c r="L59" i="1"/>
  <c r="E59" i="1"/>
  <c r="K170" i="1"/>
  <c r="L170" i="1"/>
  <c r="F171" i="1"/>
  <c r="G171" i="1"/>
  <c r="J171" i="1"/>
  <c r="K171" i="1"/>
  <c r="L171" i="1"/>
  <c r="F172" i="1"/>
  <c r="G172" i="1"/>
  <c r="H172" i="1"/>
  <c r="J172" i="1"/>
  <c r="K172" i="1"/>
  <c r="L172" i="1"/>
  <c r="E171" i="1"/>
  <c r="E172" i="1"/>
  <c r="K75" i="1"/>
  <c r="L75" i="1" s="1"/>
  <c r="F149" i="1"/>
  <c r="G149" i="1"/>
  <c r="H149" i="1"/>
  <c r="J149" i="1"/>
  <c r="K149" i="1"/>
  <c r="L149" i="1"/>
  <c r="E149" i="1"/>
  <c r="F134" i="1"/>
  <c r="G134" i="1"/>
  <c r="H134" i="1"/>
  <c r="J134" i="1"/>
  <c r="K134" i="1"/>
  <c r="L134" i="1"/>
  <c r="E134" i="1"/>
  <c r="F133" i="1"/>
  <c r="G133" i="1"/>
  <c r="H133" i="1"/>
  <c r="J133" i="1"/>
  <c r="K133" i="1"/>
  <c r="L133" i="1"/>
  <c r="E133" i="1"/>
  <c r="K109" i="4"/>
  <c r="K75" i="4" l="1"/>
  <c r="W76" i="4" s="1"/>
  <c r="W84" i="4" s="1"/>
  <c r="W86" i="4" s="1"/>
  <c r="R110" i="4"/>
  <c r="R111" i="4" s="1"/>
  <c r="S100" i="4"/>
  <c r="S103" i="4"/>
  <c r="I34" i="4"/>
  <c r="I33" i="4"/>
  <c r="J34" i="4"/>
  <c r="J33" i="4"/>
  <c r="G34" i="4"/>
  <c r="G33" i="4"/>
  <c r="I188" i="4"/>
  <c r="J188" i="4"/>
  <c r="K188" i="4"/>
  <c r="K29" i="4"/>
  <c r="K31" i="4" s="1"/>
  <c r="H30" i="4"/>
  <c r="H31" i="4" s="1"/>
  <c r="E128" i="4"/>
  <c r="F212" i="4"/>
  <c r="D22" i="4"/>
  <c r="E188" i="4"/>
  <c r="C208" i="4" s="1"/>
  <c r="F188" i="4"/>
  <c r="C209" i="4" s="1"/>
  <c r="H34" i="4" l="1"/>
  <c r="H33" i="4"/>
  <c r="F128" i="4"/>
  <c r="K34" i="4"/>
  <c r="K33" i="4"/>
  <c r="F38" i="4"/>
  <c r="I37" i="4"/>
  <c r="I39" i="4" s="1"/>
  <c r="E38" i="4"/>
  <c r="K37" i="4"/>
  <c r="K39" i="4" s="1"/>
  <c r="G38" i="4"/>
  <c r="E37" i="4"/>
  <c r="E39" i="4" s="1"/>
  <c r="H37" i="4"/>
  <c r="H39" i="4" s="1"/>
  <c r="F37" i="4"/>
  <c r="F39" i="4" s="1"/>
  <c r="G37" i="4"/>
  <c r="G39" i="4" s="1"/>
  <c r="Q10" i="4"/>
  <c r="Q9" i="4"/>
  <c r="Q8" i="4"/>
  <c r="Q13" i="4" s="1"/>
  <c r="J38" i="4"/>
  <c r="H38" i="4"/>
  <c r="K38" i="4"/>
  <c r="I38" i="4"/>
  <c r="F73" i="1"/>
  <c r="C213" i="1"/>
  <c r="E213" i="1"/>
  <c r="C214" i="1"/>
  <c r="D214" i="1"/>
  <c r="E214" i="1"/>
  <c r="F214" i="1"/>
  <c r="F47" i="1"/>
  <c r="G47" i="1"/>
  <c r="H47" i="1"/>
  <c r="J47" i="1"/>
  <c r="K47" i="1"/>
  <c r="L47" i="1"/>
  <c r="E47" i="1"/>
  <c r="F46" i="1"/>
  <c r="G46" i="1"/>
  <c r="G73" i="1" s="1"/>
  <c r="H46" i="1"/>
  <c r="H73" i="1" s="1"/>
  <c r="J46" i="1"/>
  <c r="J73" i="1" s="1"/>
  <c r="K46" i="1"/>
  <c r="K73" i="1" s="1"/>
  <c r="L46" i="1"/>
  <c r="L73" i="1" s="1"/>
  <c r="E46" i="1"/>
  <c r="E73" i="1" s="1"/>
  <c r="F161" i="1"/>
  <c r="G161" i="1"/>
  <c r="H161" i="1"/>
  <c r="J161" i="1"/>
  <c r="K161" i="1"/>
  <c r="L161" i="1"/>
  <c r="E161" i="1"/>
  <c r="G30" i="1"/>
  <c r="H30" i="1" s="1"/>
  <c r="K37" i="1"/>
  <c r="K39" i="1" s="1"/>
  <c r="I46" i="2"/>
  <c r="K29" i="1"/>
  <c r="L29" i="1" s="1"/>
  <c r="G29" i="1"/>
  <c r="H29" i="1" s="1"/>
  <c r="F29" i="1"/>
  <c r="F31" i="1" s="1"/>
  <c r="F33" i="1" s="1"/>
  <c r="E31" i="1"/>
  <c r="E33" i="1" s="1"/>
  <c r="K195" i="1"/>
  <c r="L195" i="1"/>
  <c r="H31" i="1" l="1"/>
  <c r="H33" i="1" s="1"/>
  <c r="Q14" i="4"/>
  <c r="K31" i="1"/>
  <c r="L30" i="1"/>
  <c r="J29" i="1"/>
  <c r="J31" i="1" s="1"/>
  <c r="J34" i="1" s="1"/>
  <c r="Q12" i="4"/>
  <c r="G128" i="4"/>
  <c r="H34" i="1"/>
  <c r="J33" i="1"/>
  <c r="K34" i="1"/>
  <c r="K33" i="1"/>
  <c r="E34" i="1"/>
  <c r="F34" i="1"/>
  <c r="G31" i="1"/>
  <c r="H128" i="4" l="1"/>
  <c r="G33" i="1"/>
  <c r="G34" i="1"/>
  <c r="K87" i="4" l="1"/>
  <c r="I128" i="4"/>
  <c r="S104" i="1"/>
  <c r="J128" i="4" l="1"/>
  <c r="J47" i="2"/>
  <c r="Q20" i="1"/>
  <c r="Q21" i="1" s="1"/>
  <c r="Q22" i="1" s="1"/>
  <c r="Q18" i="1"/>
  <c r="Q17" i="1"/>
  <c r="Q16" i="1"/>
  <c r="Q6" i="1"/>
  <c r="Q5" i="1"/>
  <c r="Q4" i="1"/>
  <c r="K13" i="1"/>
  <c r="AA6" i="2"/>
  <c r="AC6" i="2"/>
  <c r="AC7" i="2"/>
  <c r="AC10" i="2" s="1"/>
  <c r="D10" i="2"/>
  <c r="K8" i="2" s="1"/>
  <c r="R19" i="2"/>
  <c r="R20" i="2"/>
  <c r="R21" i="2"/>
  <c r="D23" i="2"/>
  <c r="R31" i="2" s="1"/>
  <c r="D27" i="2"/>
  <c r="S47" i="2" s="1"/>
  <c r="R32" i="2"/>
  <c r="R33" i="2"/>
  <c r="R35" i="2"/>
  <c r="D36" i="2"/>
  <c r="D37" i="2" s="1"/>
  <c r="E46" i="2"/>
  <c r="E48" i="2" s="1"/>
  <c r="F46" i="2"/>
  <c r="F48" i="2" s="1"/>
  <c r="F51" i="2" s="1"/>
  <c r="G46" i="2"/>
  <c r="G48" i="2" s="1"/>
  <c r="G51" i="2" s="1"/>
  <c r="H46" i="2"/>
  <c r="J46" i="2"/>
  <c r="K46" i="2" s="1"/>
  <c r="K48" i="2" s="1"/>
  <c r="Q46" i="2"/>
  <c r="Q48" i="2" s="1"/>
  <c r="R46" i="2"/>
  <c r="R48" i="2" s="1"/>
  <c r="S46" i="2"/>
  <c r="T46" i="2"/>
  <c r="G47" i="2"/>
  <c r="G59" i="2" s="1"/>
  <c r="H47" i="2"/>
  <c r="V47" i="2"/>
  <c r="I48" i="2"/>
  <c r="I51" i="2" s="1"/>
  <c r="U48" i="2"/>
  <c r="U50" i="2"/>
  <c r="U51" i="2"/>
  <c r="J54" i="2"/>
  <c r="J56" i="2" s="1"/>
  <c r="V54" i="2"/>
  <c r="V56" i="2" s="1"/>
  <c r="W54" i="2"/>
  <c r="W56" i="2" s="1"/>
  <c r="F63" i="2"/>
  <c r="F64" i="2" s="1"/>
  <c r="L65" i="2"/>
  <c r="L76" i="2" s="1"/>
  <c r="U65" i="2"/>
  <c r="U76" i="2" s="1"/>
  <c r="P66" i="2"/>
  <c r="Y66" i="2"/>
  <c r="I67" i="2"/>
  <c r="C68" i="2"/>
  <c r="I64" i="2" s="1"/>
  <c r="I68" i="2"/>
  <c r="P67" i="2"/>
  <c r="P68" i="2" s="1"/>
  <c r="U68" i="2"/>
  <c r="Y67" i="2" s="1"/>
  <c r="Y68" i="2" s="1"/>
  <c r="L70" i="2"/>
  <c r="C81" i="2"/>
  <c r="L81" i="2"/>
  <c r="C86" i="2"/>
  <c r="C92" i="2" s="1"/>
  <c r="L86" i="2"/>
  <c r="L92" i="2" s="1"/>
  <c r="C87" i="2"/>
  <c r="L87" i="2"/>
  <c r="C88" i="2"/>
  <c r="L88" i="2"/>
  <c r="F99" i="2"/>
  <c r="F100" i="2" s="1"/>
  <c r="I100" i="2"/>
  <c r="F101" i="2"/>
  <c r="F103" i="2" s="1"/>
  <c r="F104" i="2" s="1"/>
  <c r="I101" i="2"/>
  <c r="I102" i="2" s="1"/>
  <c r="L101" i="2"/>
  <c r="L106" i="2" s="1"/>
  <c r="U101" i="2"/>
  <c r="U106" i="2" s="1"/>
  <c r="P102" i="2"/>
  <c r="Y102" i="2"/>
  <c r="I103" i="2"/>
  <c r="I104" i="2" s="1"/>
  <c r="P103" i="2"/>
  <c r="P104" i="2" s="1"/>
  <c r="C104" i="2"/>
  <c r="L104" i="2"/>
  <c r="U104" i="2"/>
  <c r="Y103" i="2" s="1"/>
  <c r="Y104" i="2" s="1"/>
  <c r="C117" i="2"/>
  <c r="L117" i="2"/>
  <c r="L124" i="2" s="1"/>
  <c r="U117" i="2"/>
  <c r="U124" i="2" s="1"/>
  <c r="C122" i="2"/>
  <c r="C123" i="2" s="1"/>
  <c r="C124" i="2" s="1"/>
  <c r="C128" i="2" s="1"/>
  <c r="L122" i="2"/>
  <c r="L128" i="2" s="1"/>
  <c r="U122" i="2"/>
  <c r="U128" i="2" s="1"/>
  <c r="L123" i="2"/>
  <c r="U123" i="2"/>
  <c r="K128" i="4" l="1"/>
  <c r="L126" i="2"/>
  <c r="Q51" i="2"/>
  <c r="Q50" i="2"/>
  <c r="E55" i="2"/>
  <c r="V55" i="2"/>
  <c r="J55" i="2"/>
  <c r="E54" i="2"/>
  <c r="E56" i="2" s="1"/>
  <c r="I54" i="2"/>
  <c r="I56" i="2" s="1"/>
  <c r="R55" i="2"/>
  <c r="U55" i="2"/>
  <c r="Q54" i="2"/>
  <c r="Q56" i="2" s="1"/>
  <c r="R54" i="2"/>
  <c r="R56" i="2" s="1"/>
  <c r="S54" i="2"/>
  <c r="S56" i="2" s="1"/>
  <c r="T54" i="2"/>
  <c r="T56" i="2" s="1"/>
  <c r="U54" i="2"/>
  <c r="U56" i="2" s="1"/>
  <c r="E51" i="2"/>
  <c r="E50" i="2"/>
  <c r="L112" i="2"/>
  <c r="U112" i="2"/>
  <c r="U126" i="2"/>
  <c r="I69" i="2"/>
  <c r="I70" i="2" s="1"/>
  <c r="H54" i="2"/>
  <c r="H56" i="2" s="1"/>
  <c r="C90" i="2"/>
  <c r="L90" i="2"/>
  <c r="U70" i="2"/>
  <c r="P69" i="2"/>
  <c r="L72" i="2" s="1"/>
  <c r="L74" i="2" s="1"/>
  <c r="K51" i="2"/>
  <c r="K50" i="2"/>
  <c r="Y105" i="2"/>
  <c r="U108" i="2" s="1"/>
  <c r="U110" i="2" s="1"/>
  <c r="K9" i="2"/>
  <c r="K10" i="2"/>
  <c r="S48" i="2"/>
  <c r="S55" i="2"/>
  <c r="T47" i="2"/>
  <c r="T48" i="2" s="1"/>
  <c r="P105" i="2"/>
  <c r="L108" i="2" s="1"/>
  <c r="L110" i="2" s="1"/>
  <c r="R51" i="2"/>
  <c r="R50" i="2"/>
  <c r="Y69" i="2"/>
  <c r="U72" i="2" s="1"/>
  <c r="U74" i="2" s="1"/>
  <c r="F102" i="2"/>
  <c r="F105" i="2" s="1"/>
  <c r="H48" i="2"/>
  <c r="F106" i="2"/>
  <c r="K54" i="2"/>
  <c r="K56" i="2" s="1"/>
  <c r="R25" i="2"/>
  <c r="F67" i="2"/>
  <c r="F68" i="2" s="1"/>
  <c r="I50" i="2"/>
  <c r="R24" i="2"/>
  <c r="R29" i="2" s="1"/>
  <c r="Q55" i="2"/>
  <c r="G54" i="2"/>
  <c r="G56" i="2" s="1"/>
  <c r="G50" i="2"/>
  <c r="R23" i="2"/>
  <c r="F66" i="2"/>
  <c r="F69" i="2" s="1"/>
  <c r="F54" i="2"/>
  <c r="F56" i="2" s="1"/>
  <c r="F50" i="2"/>
  <c r="W46" i="2"/>
  <c r="I105" i="2"/>
  <c r="I106" i="2" s="1"/>
  <c r="I107" i="2" s="1"/>
  <c r="C109" i="2" s="1"/>
  <c r="I55" i="2"/>
  <c r="F70" i="2"/>
  <c r="I65" i="2"/>
  <c r="I66" i="2" s="1"/>
  <c r="H55" i="2"/>
  <c r="F65" i="2"/>
  <c r="G55" i="2"/>
  <c r="F55" i="2"/>
  <c r="C125" i="2"/>
  <c r="J48" i="2"/>
  <c r="P109" i="1"/>
  <c r="E87" i="4" l="1"/>
  <c r="E181" i="4"/>
  <c r="I71" i="2"/>
  <c r="C73" i="2" s="1"/>
  <c r="F109" i="2"/>
  <c r="F110" i="2" s="1"/>
  <c r="F107" i="2"/>
  <c r="F108" i="2" s="1"/>
  <c r="C108" i="2" s="1"/>
  <c r="C110" i="2" s="1"/>
  <c r="C107" i="2"/>
  <c r="C112" i="2" s="1"/>
  <c r="W47" i="2"/>
  <c r="V46" i="2" s="1"/>
  <c r="T51" i="2"/>
  <c r="T50" i="2"/>
  <c r="H51" i="2"/>
  <c r="H50" i="2"/>
  <c r="F73" i="2"/>
  <c r="F74" i="2" s="1"/>
  <c r="C71" i="2" s="1"/>
  <c r="C76" i="2" s="1"/>
  <c r="F71" i="2"/>
  <c r="F72" i="2" s="1"/>
  <c r="C72" i="2" s="1"/>
  <c r="C74" i="2" s="1"/>
  <c r="R28" i="2"/>
  <c r="R27" i="2"/>
  <c r="S51" i="2"/>
  <c r="S50" i="2"/>
  <c r="C126" i="2"/>
  <c r="C127" i="2" s="1"/>
  <c r="R8" i="2"/>
  <c r="K12" i="2"/>
  <c r="K13" i="2" s="1"/>
  <c r="K14" i="2" s="1"/>
  <c r="D18" i="2" s="1"/>
  <c r="H59" i="2" s="1"/>
  <c r="I59" i="2" s="1"/>
  <c r="J59" i="2" s="1"/>
  <c r="J51" i="2"/>
  <c r="J50" i="2"/>
  <c r="T55" i="2"/>
  <c r="K140" i="1"/>
  <c r="K148" i="1" s="1"/>
  <c r="L140" i="1"/>
  <c r="L148" i="1" s="1"/>
  <c r="K188" i="1"/>
  <c r="L188" i="1"/>
  <c r="Q95" i="1"/>
  <c r="S95" i="1" s="1"/>
  <c r="S99" i="1" s="1"/>
  <c r="H74" i="4" l="1"/>
  <c r="T89" i="4" s="1"/>
  <c r="S100" i="1"/>
  <c r="S103" i="1"/>
  <c r="K23" i="2"/>
  <c r="X46" i="2"/>
  <c r="X48" i="2" s="1"/>
  <c r="V48" i="2"/>
  <c r="W48" i="2"/>
  <c r="H87" i="4" l="1"/>
  <c r="H181" i="4"/>
  <c r="X50" i="2"/>
  <c r="X51" i="2"/>
  <c r="X54" i="2"/>
  <c r="X56" i="2" s="1"/>
  <c r="W50" i="2"/>
  <c r="W51" i="2"/>
  <c r="V50" i="2"/>
  <c r="V51" i="2"/>
  <c r="K21" i="2"/>
  <c r="K26" i="2"/>
  <c r="J179" i="1"/>
  <c r="E179" i="1"/>
  <c r="G179" i="1"/>
  <c r="F179" i="1"/>
  <c r="H179" i="1"/>
  <c r="K22" i="2" l="1"/>
  <c r="K24" i="2"/>
  <c r="K25" i="2"/>
  <c r="J49" i="2"/>
  <c r="K19" i="2"/>
  <c r="K27" i="2"/>
  <c r="K35" i="2" s="1"/>
  <c r="K179" i="1"/>
  <c r="K34" i="2" l="1"/>
  <c r="K20" i="2"/>
  <c r="D35" i="2"/>
  <c r="K37" i="2"/>
  <c r="K18" i="2"/>
  <c r="K29" i="2" s="1"/>
  <c r="K30" i="2" s="1"/>
  <c r="F19" i="2" s="1"/>
  <c r="D19" i="2" s="1"/>
  <c r="J52" i="2"/>
  <c r="J53" i="2" s="1"/>
  <c r="J57" i="2"/>
  <c r="J58" i="2" s="1"/>
  <c r="K33" i="2"/>
  <c r="K36" i="2" s="1"/>
  <c r="W49" i="2"/>
  <c r="X49" i="2"/>
  <c r="K49" i="2"/>
  <c r="C210" i="1"/>
  <c r="K52" i="2" l="1"/>
  <c r="K53" i="2" s="1"/>
  <c r="K57" i="2"/>
  <c r="K55" i="2"/>
  <c r="K58" i="2" s="1"/>
  <c r="X57" i="2"/>
  <c r="X52" i="2"/>
  <c r="X53" i="2" s="1"/>
  <c r="X55" i="2"/>
  <c r="X58" i="2" s="1"/>
  <c r="I49" i="2"/>
  <c r="V49" i="2"/>
  <c r="W57" i="2"/>
  <c r="W52" i="2"/>
  <c r="W53" i="2" s="1"/>
  <c r="W58" i="2"/>
  <c r="R36" i="2"/>
  <c r="R37" i="2" s="1"/>
  <c r="K28" i="2"/>
  <c r="C212" i="1"/>
  <c r="C211" i="1"/>
  <c r="U49" i="2" l="1"/>
  <c r="V57" i="2"/>
  <c r="V58" i="2" s="1"/>
  <c r="V52" i="2"/>
  <c r="V53" i="2" s="1"/>
  <c r="I52" i="2"/>
  <c r="I53" i="2" s="1"/>
  <c r="E49" i="2"/>
  <c r="I57" i="2"/>
  <c r="I58" i="2" s="1"/>
  <c r="D20" i="2"/>
  <c r="U57" i="2" l="1"/>
  <c r="U58" i="2" s="1"/>
  <c r="Q49" i="2"/>
  <c r="U52" i="2"/>
  <c r="U53" i="2" s="1"/>
  <c r="E57" i="2"/>
  <c r="E58" i="2" s="1"/>
  <c r="F49" i="2"/>
  <c r="E52" i="2"/>
  <c r="E53" i="2" s="1"/>
  <c r="Q52" i="2" l="1"/>
  <c r="Q53" i="2" s="1"/>
  <c r="R49" i="2"/>
  <c r="Q57" i="2"/>
  <c r="Q58" i="2" s="1"/>
  <c r="F57" i="2"/>
  <c r="F58" i="2" s="1"/>
  <c r="G49" i="2"/>
  <c r="F52" i="2"/>
  <c r="F53" i="2" s="1"/>
  <c r="G140" i="1"/>
  <c r="G148" i="1" s="1"/>
  <c r="F140" i="1"/>
  <c r="F148" i="1" s="1"/>
  <c r="E140" i="1"/>
  <c r="E148" i="1" s="1"/>
  <c r="G52" i="2" l="1"/>
  <c r="G53" i="2" s="1"/>
  <c r="G57" i="2"/>
  <c r="G58" i="2" s="1"/>
  <c r="H49" i="2"/>
  <c r="R52" i="2"/>
  <c r="R53" i="2" s="1"/>
  <c r="S49" i="2"/>
  <c r="R57" i="2"/>
  <c r="R58" i="2" s="1"/>
  <c r="D199" i="1"/>
  <c r="F188" i="1"/>
  <c r="C209" i="1" s="1"/>
  <c r="G188" i="1"/>
  <c r="H188" i="1"/>
  <c r="J188" i="1"/>
  <c r="E188" i="1"/>
  <c r="C208" i="1" s="1"/>
  <c r="H57" i="2" l="1"/>
  <c r="H58" i="2" s="1"/>
  <c r="H52" i="2"/>
  <c r="H53" i="2" s="1"/>
  <c r="T49" i="2"/>
  <c r="S52" i="2"/>
  <c r="S53" i="2" s="1"/>
  <c r="S57" i="2"/>
  <c r="S58" i="2" s="1"/>
  <c r="T52" i="2" l="1"/>
  <c r="T53" i="2" s="1"/>
  <c r="T57" i="2"/>
  <c r="T58" i="2"/>
  <c r="L98" i="1"/>
  <c r="J140" i="1" l="1"/>
  <c r="J148" i="1" s="1"/>
  <c r="H140" i="1"/>
  <c r="H148" i="1" s="1"/>
  <c r="G110" i="1" l="1"/>
  <c r="C106" i="1" l="1"/>
  <c r="D21" i="1"/>
  <c r="D200" i="1"/>
  <c r="D13" i="1"/>
  <c r="K8" i="1" s="1"/>
  <c r="K109" i="1"/>
  <c r="K11" i="1" l="1"/>
  <c r="K6" i="1"/>
  <c r="R110" i="1"/>
  <c r="R111" i="1" s="1"/>
  <c r="C98" i="1"/>
  <c r="D22" i="1"/>
  <c r="C95" i="1"/>
  <c r="E128" i="1"/>
  <c r="K78" i="1" l="1"/>
  <c r="K32" i="1"/>
  <c r="K38" i="1"/>
  <c r="G38" i="1"/>
  <c r="G37" i="1"/>
  <c r="G39" i="1" s="1"/>
  <c r="E38" i="1"/>
  <c r="F38" i="1"/>
  <c r="E37" i="1"/>
  <c r="E39" i="1" s="1"/>
  <c r="J38" i="1"/>
  <c r="H37" i="1"/>
  <c r="H39" i="1" s="1"/>
  <c r="J37" i="1"/>
  <c r="J39" i="1" s="1"/>
  <c r="F37" i="1"/>
  <c r="F39" i="1" s="1"/>
  <c r="H38" i="1"/>
  <c r="L37" i="1"/>
  <c r="L38" i="1"/>
  <c r="K35" i="1"/>
  <c r="K36" i="1" s="1"/>
  <c r="Q10" i="1"/>
  <c r="Q9" i="1"/>
  <c r="Q14" i="1" s="1"/>
  <c r="Q8" i="1"/>
  <c r="K4" i="1"/>
  <c r="K7" i="1"/>
  <c r="K9" i="1"/>
  <c r="K10" i="1"/>
  <c r="K12" i="1"/>
  <c r="F128" i="1"/>
  <c r="L78" i="1" l="1"/>
  <c r="L32" i="1"/>
  <c r="J32" i="1"/>
  <c r="I32" i="1" s="1"/>
  <c r="K40" i="1"/>
  <c r="K41" i="1" s="1"/>
  <c r="K74" i="1" s="1"/>
  <c r="L40" i="1"/>
  <c r="L31" i="1"/>
  <c r="J35" i="1"/>
  <c r="J36" i="1" s="1"/>
  <c r="J40" i="1"/>
  <c r="J41" i="1" s="1"/>
  <c r="J74" i="1" s="1"/>
  <c r="E32" i="1"/>
  <c r="F32" i="1" s="1"/>
  <c r="K20" i="1"/>
  <c r="K5" i="1"/>
  <c r="K3" i="1"/>
  <c r="K14" i="1" s="1"/>
  <c r="Q12" i="1"/>
  <c r="K22" i="1" s="1"/>
  <c r="Q13" i="1"/>
  <c r="K19" i="1" s="1"/>
  <c r="K18" i="1"/>
  <c r="J195" i="1"/>
  <c r="D20" i="1"/>
  <c r="G128" i="1"/>
  <c r="K76" i="1"/>
  <c r="K79" i="1"/>
  <c r="K87" i="1" l="1"/>
  <c r="I40" i="1"/>
  <c r="I41" i="1" s="1"/>
  <c r="I35" i="1"/>
  <c r="I36" i="1" s="1"/>
  <c r="K84" i="1"/>
  <c r="K189" i="1"/>
  <c r="J75" i="1"/>
  <c r="K77" i="1"/>
  <c r="K80" i="1" s="1"/>
  <c r="J78" i="1"/>
  <c r="H32" i="1"/>
  <c r="H35" i="1" s="1"/>
  <c r="H36" i="1" s="1"/>
  <c r="G32" i="1"/>
  <c r="F212" i="1"/>
  <c r="K213" i="1"/>
  <c r="J214" i="1"/>
  <c r="M214" i="1" s="1"/>
  <c r="E35" i="1"/>
  <c r="E36" i="1" s="1"/>
  <c r="E40" i="1"/>
  <c r="E41" i="1" s="1"/>
  <c r="E74" i="1" s="1"/>
  <c r="L34" i="1"/>
  <c r="L35" i="1" s="1"/>
  <c r="L36" i="1" s="1"/>
  <c r="L33" i="1"/>
  <c r="L39" i="1"/>
  <c r="K21" i="1"/>
  <c r="K15" i="1"/>
  <c r="F4" i="1" s="1"/>
  <c r="H128" i="1"/>
  <c r="J76" i="1"/>
  <c r="I75" i="1" l="1"/>
  <c r="I78" i="1"/>
  <c r="E78" i="1"/>
  <c r="K82" i="1"/>
  <c r="K85" i="1"/>
  <c r="K83" i="1"/>
  <c r="F35" i="1"/>
  <c r="F36" i="1" s="1"/>
  <c r="F40" i="1"/>
  <c r="F41" i="1" s="1"/>
  <c r="F74" i="1" s="1"/>
  <c r="L41" i="1"/>
  <c r="L74" i="1" s="1"/>
  <c r="C93" i="1"/>
  <c r="J128" i="1"/>
  <c r="K128" i="1" s="1"/>
  <c r="L128" i="1" s="1"/>
  <c r="L79" i="1"/>
  <c r="K88" i="1"/>
  <c r="L76" i="1"/>
  <c r="K196" i="1" l="1"/>
  <c r="L77" i="1"/>
  <c r="L80" i="1" s="1"/>
  <c r="L189" i="1"/>
  <c r="L84" i="1"/>
  <c r="L181" i="1"/>
  <c r="L87" i="1"/>
  <c r="G40" i="1"/>
  <c r="G41" i="1"/>
  <c r="G35" i="1"/>
  <c r="G36" i="1" s="1"/>
  <c r="G97" i="1"/>
  <c r="C104" i="1"/>
  <c r="AI4" i="1"/>
  <c r="G112" i="1"/>
  <c r="Q102" i="1"/>
  <c r="D6" i="1"/>
  <c r="K89" i="1"/>
  <c r="K136" i="1" l="1"/>
  <c r="K137" i="1" s="1"/>
  <c r="K163" i="1"/>
  <c r="L83" i="1"/>
  <c r="L82" i="1"/>
  <c r="L85" i="1"/>
  <c r="H40" i="1"/>
  <c r="G95" i="1"/>
  <c r="G105" i="1" s="1"/>
  <c r="G94" i="1"/>
  <c r="G96" i="1"/>
  <c r="AJ16" i="1"/>
  <c r="S102" i="1"/>
  <c r="S105" i="1" s="1"/>
  <c r="AL6" i="1"/>
  <c r="AG6" i="1"/>
  <c r="AH6" i="1"/>
  <c r="Q94" i="1"/>
  <c r="S94" i="1" s="1"/>
  <c r="AI6" i="1"/>
  <c r="AJ6" i="1"/>
  <c r="E87" i="1"/>
  <c r="F181" i="1"/>
  <c r="G74" i="1"/>
  <c r="L88" i="1"/>
  <c r="L196" i="1" l="1"/>
  <c r="H41" i="1"/>
  <c r="AJ7" i="1"/>
  <c r="AJ8" i="1" s="1"/>
  <c r="AI7" i="1"/>
  <c r="AI8" i="1" s="1"/>
  <c r="AL7" i="1"/>
  <c r="AL8" i="1" s="1"/>
  <c r="AH7" i="1"/>
  <c r="AH8" i="1" s="1"/>
  <c r="AG7" i="1"/>
  <c r="AG8" i="1" s="1"/>
  <c r="G103" i="1"/>
  <c r="K93" i="1" s="1"/>
  <c r="G98" i="1"/>
  <c r="G99" i="1" s="1"/>
  <c r="G181" i="1"/>
  <c r="E181" i="1"/>
  <c r="J87" i="1"/>
  <c r="J181" i="1"/>
  <c r="J77" i="1"/>
  <c r="G87" i="1"/>
  <c r="F87" i="1"/>
  <c r="L89" i="1"/>
  <c r="J79" i="1"/>
  <c r="L136" i="1" l="1"/>
  <c r="L137" i="1" s="1"/>
  <c r="Q36" i="1"/>
  <c r="G104" i="1"/>
  <c r="K94" i="1" s="1"/>
  <c r="G100" i="1"/>
  <c r="AG9" i="1"/>
  <c r="AG10" i="1"/>
  <c r="AG11" i="1" s="1"/>
  <c r="AL10" i="1"/>
  <c r="AL9" i="1"/>
  <c r="AJ10" i="1"/>
  <c r="AJ11" i="1" s="1"/>
  <c r="AJ9" i="1"/>
  <c r="AH10" i="1"/>
  <c r="AH11" i="1" s="1"/>
  <c r="AH9" i="1"/>
  <c r="AI10" i="1"/>
  <c r="AI11" i="1" s="1"/>
  <c r="AI9" i="1"/>
  <c r="AL11" i="1"/>
  <c r="D212" i="1"/>
  <c r="K181" i="1"/>
  <c r="J83" i="1"/>
  <c r="J84" i="1"/>
  <c r="J80" i="1"/>
  <c r="D213" i="1" s="1"/>
  <c r="J189" i="1"/>
  <c r="J85" i="1"/>
  <c r="J82" i="1"/>
  <c r="I76" i="1"/>
  <c r="J88" i="1"/>
  <c r="L163" i="1" l="1"/>
  <c r="H74" i="1"/>
  <c r="H181" i="1" s="1"/>
  <c r="G107" i="1"/>
  <c r="K96" i="1" s="1"/>
  <c r="AK11" i="1"/>
  <c r="G108" i="1"/>
  <c r="G101" i="1"/>
  <c r="G106" i="1" s="1"/>
  <c r="J196" i="1"/>
  <c r="K110" i="1"/>
  <c r="H87" i="1" l="1"/>
  <c r="M181" i="1"/>
  <c r="E75" i="1"/>
  <c r="I77" i="1"/>
  <c r="I87" i="1"/>
  <c r="AK9" i="1"/>
  <c r="AK8" i="1"/>
  <c r="Q98" i="1" s="1"/>
  <c r="AK7" i="1"/>
  <c r="AK6" i="1"/>
  <c r="Q97" i="1" s="1"/>
  <c r="AK5" i="1"/>
  <c r="Q96" i="1" s="1"/>
  <c r="D113" i="1"/>
  <c r="E212" i="1"/>
  <c r="F213" i="1"/>
  <c r="K214" i="1"/>
  <c r="D201" i="1"/>
  <c r="AK10" i="1"/>
  <c r="Q99" i="1" s="1"/>
  <c r="Q103" i="1" s="1"/>
  <c r="Q100" i="1"/>
  <c r="K95" i="1"/>
  <c r="G111" i="1"/>
  <c r="G109" i="1"/>
  <c r="K97" i="1"/>
  <c r="I79" i="1"/>
  <c r="J89" i="1"/>
  <c r="I189" i="1" l="1"/>
  <c r="I122" i="1"/>
  <c r="E122" i="1"/>
  <c r="I80" i="1"/>
  <c r="I84" i="1"/>
  <c r="I82" i="1"/>
  <c r="I85" i="1"/>
  <c r="I83" i="1"/>
  <c r="J122" i="1"/>
  <c r="F122" i="1"/>
  <c r="G122" i="1"/>
  <c r="H122" i="1"/>
  <c r="K122" i="1"/>
  <c r="L122" i="1"/>
  <c r="Q104" i="1"/>
  <c r="E76" i="1"/>
  <c r="I88" i="1"/>
  <c r="I196" i="1" l="1"/>
  <c r="K98" i="1"/>
  <c r="K99" i="1" s="1"/>
  <c r="Q105" i="1"/>
  <c r="P107" i="1" s="1"/>
  <c r="K103" i="1"/>
  <c r="K105" i="1"/>
  <c r="K101" i="1"/>
  <c r="K102" i="1"/>
  <c r="K104" i="1"/>
  <c r="J136" i="1"/>
  <c r="J137" i="1" s="1"/>
  <c r="K100" i="1"/>
  <c r="I89" i="1"/>
  <c r="I136" i="1" l="1"/>
  <c r="I137" i="1" s="1"/>
  <c r="K106" i="1"/>
  <c r="I163" i="1" l="1"/>
  <c r="J163" i="1"/>
  <c r="P111" i="1" l="1"/>
  <c r="E116" i="1" s="1"/>
  <c r="E118" i="1"/>
  <c r="E117" i="1" l="1"/>
  <c r="E119" i="1"/>
  <c r="E191" i="1" l="1"/>
  <c r="H208" i="1" s="1"/>
  <c r="E120" i="1"/>
  <c r="E121" i="1" s="1"/>
  <c r="E194" i="1"/>
  <c r="K208" i="1" s="1"/>
  <c r="F116" i="1"/>
  <c r="F117" i="1"/>
  <c r="F118" i="1"/>
  <c r="F119" i="1"/>
  <c r="F191" i="1" l="1"/>
  <c r="H209" i="1" s="1"/>
  <c r="F120" i="1"/>
  <c r="F121" i="1" s="1"/>
  <c r="F194" i="1"/>
  <c r="K209" i="1" s="1"/>
  <c r="G116" i="1"/>
  <c r="G117" i="1"/>
  <c r="E127" i="1"/>
  <c r="G119" i="1"/>
  <c r="E130" i="1"/>
  <c r="E129" i="1"/>
  <c r="E135" i="1" l="1"/>
  <c r="G191" i="1"/>
  <c r="H210" i="1" s="1"/>
  <c r="F127" i="1"/>
  <c r="E132" i="1"/>
  <c r="E131" i="1"/>
  <c r="E162" i="1"/>
  <c r="E156" i="1"/>
  <c r="G194" i="1"/>
  <c r="K210" i="1" s="1"/>
  <c r="H116" i="1"/>
  <c r="H117" i="1"/>
  <c r="F130" i="1"/>
  <c r="H119" i="1"/>
  <c r="F129" i="1"/>
  <c r="G118" i="1"/>
  <c r="I117" i="1" l="1"/>
  <c r="I116" i="1"/>
  <c r="G120" i="1"/>
  <c r="G121" i="1" s="1"/>
  <c r="H118" i="1"/>
  <c r="I119" i="1"/>
  <c r="I118" i="1"/>
  <c r="I120" i="1" l="1"/>
  <c r="I121" i="1" s="1"/>
  <c r="I191" i="1"/>
  <c r="I194" i="1"/>
  <c r="J116" i="1"/>
  <c r="J117" i="1"/>
  <c r="K117" i="1" s="1"/>
  <c r="L117" i="1" s="1"/>
  <c r="E141" i="1"/>
  <c r="H120" i="1"/>
  <c r="H121" i="1" s="1"/>
  <c r="H191" i="1"/>
  <c r="H211" i="1" s="1"/>
  <c r="F135" i="1"/>
  <c r="G127" i="1"/>
  <c r="E158" i="1"/>
  <c r="E165" i="1" s="1"/>
  <c r="E157" i="1"/>
  <c r="E164" i="1" s="1"/>
  <c r="H194" i="1"/>
  <c r="K211" i="1" s="1"/>
  <c r="F132" i="1"/>
  <c r="F162" i="1"/>
  <c r="F131" i="1"/>
  <c r="F156" i="1"/>
  <c r="E138" i="1"/>
  <c r="E139" i="1"/>
  <c r="G130" i="1"/>
  <c r="J119" i="1"/>
  <c r="G129" i="1"/>
  <c r="J118" i="1"/>
  <c r="I127" i="1" l="1"/>
  <c r="I156" i="1" s="1"/>
  <c r="F141" i="1"/>
  <c r="E142" i="1"/>
  <c r="E143" i="1"/>
  <c r="J191" i="1"/>
  <c r="J120" i="1"/>
  <c r="J121" i="1" s="1"/>
  <c r="G135" i="1"/>
  <c r="F138" i="1"/>
  <c r="F139" i="1"/>
  <c r="H127" i="1"/>
  <c r="F158" i="1"/>
  <c r="F165" i="1" s="1"/>
  <c r="F157" i="1"/>
  <c r="F164" i="1" s="1"/>
  <c r="J194" i="1"/>
  <c r="K116" i="1"/>
  <c r="K194" i="1"/>
  <c r="G132" i="1"/>
  <c r="G162" i="1"/>
  <c r="G131" i="1"/>
  <c r="G156" i="1"/>
  <c r="I130" i="1"/>
  <c r="I129" i="1"/>
  <c r="H130" i="1"/>
  <c r="H129" i="1"/>
  <c r="K119" i="1"/>
  <c r="K118" i="1"/>
  <c r="I135" i="1" l="1"/>
  <c r="I157" i="1"/>
  <c r="I164" i="1" s="1"/>
  <c r="I175" i="1" s="1"/>
  <c r="I158" i="1"/>
  <c r="I165" i="1" s="1"/>
  <c r="I176" i="1" s="1"/>
  <c r="I132" i="1"/>
  <c r="I131" i="1"/>
  <c r="I138" i="1" s="1"/>
  <c r="I162" i="1"/>
  <c r="I177" i="1" s="1"/>
  <c r="K212" i="1"/>
  <c r="I214" i="1"/>
  <c r="L214" i="1" s="1"/>
  <c r="J213" i="1"/>
  <c r="M213" i="1" s="1"/>
  <c r="H212" i="1"/>
  <c r="G213" i="1"/>
  <c r="K191" i="1"/>
  <c r="F142" i="1"/>
  <c r="G141" i="1"/>
  <c r="F143" i="1"/>
  <c r="E144" i="1"/>
  <c r="H135" i="1"/>
  <c r="K120" i="1"/>
  <c r="K121" i="1" s="1"/>
  <c r="J127" i="1"/>
  <c r="G158" i="1"/>
  <c r="G165" i="1" s="1"/>
  <c r="G157" i="1"/>
  <c r="G164" i="1" s="1"/>
  <c r="H132" i="1"/>
  <c r="H162" i="1"/>
  <c r="H131" i="1"/>
  <c r="H156" i="1"/>
  <c r="L116" i="1"/>
  <c r="L194" i="1"/>
  <c r="G139" i="1"/>
  <c r="G138" i="1"/>
  <c r="J130" i="1"/>
  <c r="L119" i="1"/>
  <c r="P115" i="1" l="1"/>
  <c r="I139" i="1"/>
  <c r="I141" i="1"/>
  <c r="I178" i="1"/>
  <c r="L191" i="1"/>
  <c r="G142" i="1"/>
  <c r="G143" i="1"/>
  <c r="G147" i="1" s="1"/>
  <c r="G150" i="1" s="1"/>
  <c r="F144" i="1"/>
  <c r="H141" i="1"/>
  <c r="J135" i="1"/>
  <c r="J132" i="1"/>
  <c r="J162" i="1"/>
  <c r="J177" i="1" s="1"/>
  <c r="J131" i="1"/>
  <c r="J156" i="1"/>
  <c r="K127" i="1"/>
  <c r="H158" i="1"/>
  <c r="H165" i="1" s="1"/>
  <c r="H157" i="1"/>
  <c r="H164" i="1" s="1"/>
  <c r="H139" i="1"/>
  <c r="H138" i="1"/>
  <c r="L118" i="1"/>
  <c r="P117" i="1"/>
  <c r="J129" i="1"/>
  <c r="I193" i="1" l="1"/>
  <c r="I142" i="1"/>
  <c r="I143" i="1"/>
  <c r="I147" i="1" s="1"/>
  <c r="I150" i="1" s="1"/>
  <c r="I151" i="1" s="1"/>
  <c r="I146" i="1"/>
  <c r="I145" i="1"/>
  <c r="P118" i="1"/>
  <c r="G151" i="1"/>
  <c r="L120" i="1"/>
  <c r="L121" i="1" s="1"/>
  <c r="K130" i="1"/>
  <c r="K129" i="1"/>
  <c r="I144" i="1" l="1"/>
  <c r="I152" i="1"/>
  <c r="P121" i="1"/>
  <c r="Q114" i="1"/>
  <c r="H143" i="1"/>
  <c r="H147" i="1" s="1"/>
  <c r="H150" i="1" s="1"/>
  <c r="H151" i="1" s="1"/>
  <c r="H142" i="1"/>
  <c r="G144" i="1"/>
  <c r="J141" i="1"/>
  <c r="K135" i="1"/>
  <c r="L127" i="1"/>
  <c r="P119" i="1"/>
  <c r="K132" i="1"/>
  <c r="K162" i="1"/>
  <c r="K177" i="1" s="1"/>
  <c r="K131" i="1"/>
  <c r="K156" i="1"/>
  <c r="J158" i="1"/>
  <c r="J165" i="1" s="1"/>
  <c r="J176" i="1" s="1"/>
  <c r="J157" i="1"/>
  <c r="J164" i="1" s="1"/>
  <c r="J175" i="1" s="1"/>
  <c r="J138" i="1"/>
  <c r="J139" i="1"/>
  <c r="L129" i="1"/>
  <c r="I192" i="1" l="1"/>
  <c r="I180" i="1"/>
  <c r="I182" i="1" s="1"/>
  <c r="H144" i="1"/>
  <c r="J145" i="1"/>
  <c r="J143" i="1"/>
  <c r="J147" i="1" s="1"/>
  <c r="J150" i="1" s="1"/>
  <c r="J178" i="1"/>
  <c r="K141" i="1"/>
  <c r="J146" i="1"/>
  <c r="J142" i="1"/>
  <c r="K157" i="1"/>
  <c r="K164" i="1" s="1"/>
  <c r="K175" i="1" s="1"/>
  <c r="K158" i="1"/>
  <c r="K165" i="1" s="1"/>
  <c r="K176" i="1" s="1"/>
  <c r="K138" i="1"/>
  <c r="K139" i="1"/>
  <c r="L132" i="1"/>
  <c r="L162" i="1"/>
  <c r="L177" i="1" s="1"/>
  <c r="L131" i="1"/>
  <c r="L156" i="1"/>
  <c r="J151" i="1"/>
  <c r="I190" i="1" l="1"/>
  <c r="J193" i="1"/>
  <c r="J152" i="1"/>
  <c r="J192" i="1" s="1"/>
  <c r="J144" i="1"/>
  <c r="K178" i="1"/>
  <c r="J212" i="1"/>
  <c r="M212" i="1" s="1"/>
  <c r="H214" i="1"/>
  <c r="I213" i="1"/>
  <c r="L213" i="1" s="1"/>
  <c r="I212" i="1"/>
  <c r="L212" i="1" s="1"/>
  <c r="H213" i="1"/>
  <c r="G214" i="1"/>
  <c r="L130" i="1"/>
  <c r="K193" i="1" l="1"/>
  <c r="J180" i="1"/>
  <c r="J182" i="1" s="1"/>
  <c r="L135" i="1"/>
  <c r="L141" i="1" s="1"/>
  <c r="K145" i="1"/>
  <c r="K143" i="1"/>
  <c r="K147" i="1" s="1"/>
  <c r="K150" i="1" s="1"/>
  <c r="K142" i="1"/>
  <c r="K146" i="1"/>
  <c r="L158" i="1"/>
  <c r="L165" i="1" s="1"/>
  <c r="L176" i="1" s="1"/>
  <c r="L157" i="1"/>
  <c r="L164" i="1" s="1"/>
  <c r="L175" i="1" s="1"/>
  <c r="L139" i="1"/>
  <c r="L138" i="1"/>
  <c r="K151" i="1"/>
  <c r="K152" i="1" l="1"/>
  <c r="L143" i="1"/>
  <c r="L147" i="1" s="1"/>
  <c r="L150" i="1" s="1"/>
  <c r="L152" i="1" s="1"/>
  <c r="L192" i="1" s="1"/>
  <c r="L178" i="1"/>
  <c r="K144" i="1"/>
  <c r="L146" i="1"/>
  <c r="L142" i="1"/>
  <c r="L145" i="1"/>
  <c r="J190" i="1"/>
  <c r="G212" i="1" s="1"/>
  <c r="L151" i="1"/>
  <c r="L144" i="1" l="1"/>
  <c r="L193" i="1"/>
  <c r="L180" i="1"/>
  <c r="L182" i="1" s="1"/>
  <c r="K192" i="1"/>
  <c r="K180" i="1"/>
  <c r="K182" i="1" s="1"/>
  <c r="G74" i="4"/>
  <c r="S89" i="4" s="1"/>
  <c r="F74" i="4"/>
  <c r="R89" i="4" s="1"/>
  <c r="I74" i="4"/>
  <c r="K74" i="4"/>
  <c r="K181" i="4"/>
  <c r="J74" i="4"/>
  <c r="C93" i="4"/>
  <c r="V89" i="4" l="1"/>
  <c r="J181" i="4"/>
  <c r="J87" i="4"/>
  <c r="U89" i="4"/>
  <c r="I87" i="4"/>
  <c r="I181" i="4"/>
  <c r="G87" i="4"/>
  <c r="G181" i="4"/>
  <c r="F87" i="4"/>
  <c r="F181" i="4"/>
  <c r="G97" i="4"/>
  <c r="C104" i="4"/>
  <c r="D199" i="4"/>
  <c r="K13" i="4"/>
  <c r="Q21" i="4"/>
  <c r="K8" i="4"/>
  <c r="M181" i="4" l="1"/>
  <c r="Q102" i="4"/>
  <c r="G112" i="4"/>
  <c r="Q22" i="4"/>
  <c r="AI4" i="4" s="1"/>
  <c r="K11" i="4"/>
  <c r="K6" i="4"/>
  <c r="G96" i="4"/>
  <c r="G94" i="4"/>
  <c r="G95" i="4"/>
  <c r="G105" i="4" s="1"/>
  <c r="G98" i="4" l="1"/>
  <c r="G99" i="4" s="1"/>
  <c r="G103" i="4"/>
  <c r="G104" i="4" s="1"/>
  <c r="K4" i="4"/>
  <c r="K9" i="4"/>
  <c r="K22" i="4" s="1"/>
  <c r="J32" i="4"/>
  <c r="K7" i="4"/>
  <c r="K10" i="4"/>
  <c r="J78" i="4"/>
  <c r="K12" i="4"/>
  <c r="K20" i="4" s="1"/>
  <c r="AG6" i="4"/>
  <c r="AL6" i="4"/>
  <c r="AH6" i="4"/>
  <c r="Q94" i="4"/>
  <c r="S94" i="4" s="1"/>
  <c r="AI6" i="4"/>
  <c r="AJ6" i="4"/>
  <c r="AJ16" i="4"/>
  <c r="S102" i="4"/>
  <c r="S105" i="4" s="1"/>
  <c r="J79" i="4"/>
  <c r="J76" i="4"/>
  <c r="K19" i="4" l="1"/>
  <c r="V77" i="4"/>
  <c r="J77" i="4"/>
  <c r="J80" i="4" s="1"/>
  <c r="I75" i="4"/>
  <c r="J84" i="4"/>
  <c r="J189" i="4"/>
  <c r="AJ7" i="4"/>
  <c r="AJ8" i="4" s="1"/>
  <c r="AG7" i="4"/>
  <c r="AG8" i="4" s="1"/>
  <c r="AL7" i="4"/>
  <c r="AH7" i="4"/>
  <c r="AH8" i="4" s="1"/>
  <c r="K18" i="4"/>
  <c r="V79" i="4"/>
  <c r="J35" i="4"/>
  <c r="J36" i="4" s="1"/>
  <c r="G107" i="4"/>
  <c r="G100" i="4"/>
  <c r="AI7" i="4"/>
  <c r="K32" i="4"/>
  <c r="I32" i="4" s="1"/>
  <c r="W79" i="4"/>
  <c r="K78" i="4"/>
  <c r="D20" i="4"/>
  <c r="K5" i="4"/>
  <c r="K3" i="4"/>
  <c r="K14" i="4" s="1"/>
  <c r="K94" i="4"/>
  <c r="K93" i="4"/>
  <c r="K76" i="4"/>
  <c r="K79" i="4"/>
  <c r="V72" i="4"/>
  <c r="K21" i="4" l="1"/>
  <c r="D6" i="4" s="1"/>
  <c r="D202" i="4" s="1"/>
  <c r="K15" i="4"/>
  <c r="F4" i="4" s="1"/>
  <c r="J40" i="4"/>
  <c r="J41" i="4" s="1"/>
  <c r="K77" i="4"/>
  <c r="K80" i="4" s="1"/>
  <c r="W77" i="4"/>
  <c r="W87" i="4" s="1"/>
  <c r="K189" i="4"/>
  <c r="K84" i="4"/>
  <c r="AI10" i="4"/>
  <c r="V87" i="4"/>
  <c r="U79" i="4"/>
  <c r="AL10" i="4"/>
  <c r="G101" i="4"/>
  <c r="G106" i="4" s="1"/>
  <c r="G108" i="4"/>
  <c r="U76" i="4"/>
  <c r="AH10" i="4"/>
  <c r="AH11" i="4" s="1"/>
  <c r="AH9" i="4"/>
  <c r="AG9" i="4"/>
  <c r="AG10" i="4"/>
  <c r="AG11" i="4" s="1"/>
  <c r="K40" i="4"/>
  <c r="K41" i="4" s="1"/>
  <c r="K35" i="4"/>
  <c r="K36" i="4" s="1"/>
  <c r="I40" i="4"/>
  <c r="I41" i="4" s="1"/>
  <c r="I35" i="4"/>
  <c r="I36" i="4" s="1"/>
  <c r="E32" i="4"/>
  <c r="K90" i="4"/>
  <c r="I78" i="4"/>
  <c r="AI8" i="4"/>
  <c r="AL8" i="4"/>
  <c r="AL11" i="4" s="1"/>
  <c r="AJ9" i="4"/>
  <c r="AJ10" i="4"/>
  <c r="AJ11" i="4" s="1"/>
  <c r="J90" i="4"/>
  <c r="J83" i="4"/>
  <c r="J85" i="4"/>
  <c r="J82" i="4"/>
  <c r="K96" i="4"/>
  <c r="V85" i="4"/>
  <c r="V86" i="4" s="1"/>
  <c r="V78" i="4"/>
  <c r="K110" i="4"/>
  <c r="J88" i="4"/>
  <c r="I76" i="4"/>
  <c r="AI11" i="4" l="1"/>
  <c r="AK11" i="4"/>
  <c r="AK5" i="4" s="1"/>
  <c r="Q96" i="4" s="1"/>
  <c r="D113" i="4"/>
  <c r="U77" i="4"/>
  <c r="E75" i="4"/>
  <c r="I77" i="4"/>
  <c r="J196" i="4"/>
  <c r="W85" i="4"/>
  <c r="W78" i="4"/>
  <c r="K97" i="4"/>
  <c r="K95" i="4"/>
  <c r="K98" i="4" s="1"/>
  <c r="K99" i="4" s="1"/>
  <c r="F198" i="4" s="1"/>
  <c r="G109" i="4"/>
  <c r="G111" i="4"/>
  <c r="AL9" i="4"/>
  <c r="U84" i="4"/>
  <c r="U86" i="4" s="1"/>
  <c r="I90" i="4"/>
  <c r="E78" i="4"/>
  <c r="K82" i="4"/>
  <c r="K83" i="4"/>
  <c r="K85" i="4"/>
  <c r="E35" i="4"/>
  <c r="E36" i="4" s="1"/>
  <c r="E40" i="4"/>
  <c r="E41" i="4" s="1"/>
  <c r="F32" i="4"/>
  <c r="V80" i="4"/>
  <c r="V88" i="4" s="1"/>
  <c r="V90" i="4" s="1"/>
  <c r="V81" i="4"/>
  <c r="V82" i="4" s="1"/>
  <c r="V83" i="4" s="1"/>
  <c r="AI9" i="4"/>
  <c r="K88" i="4"/>
  <c r="J89" i="4"/>
  <c r="U72" i="4"/>
  <c r="I79" i="4"/>
  <c r="J136" i="4" l="1"/>
  <c r="J163" i="4" s="1"/>
  <c r="AK8" i="4"/>
  <c r="Q98" i="4" s="1"/>
  <c r="Q104" i="4" s="1"/>
  <c r="Q100" i="4"/>
  <c r="AK9" i="4"/>
  <c r="AK7" i="4"/>
  <c r="AK10" i="4"/>
  <c r="Q99" i="4" s="1"/>
  <c r="Q103" i="4" s="1"/>
  <c r="AK6" i="4"/>
  <c r="Q97" i="4" s="1"/>
  <c r="K196" i="4"/>
  <c r="I80" i="4"/>
  <c r="D213" i="4" s="1"/>
  <c r="I189" i="4"/>
  <c r="D212" i="4"/>
  <c r="I84" i="4"/>
  <c r="U85" i="4"/>
  <c r="K102" i="4"/>
  <c r="K101" i="4"/>
  <c r="K104" i="4"/>
  <c r="K103" i="4"/>
  <c r="F40" i="4"/>
  <c r="F41" i="4" s="1"/>
  <c r="F35" i="4"/>
  <c r="F36" i="4" s="1"/>
  <c r="G32" i="4"/>
  <c r="H32" i="4"/>
  <c r="Q79" i="4"/>
  <c r="U87" i="4"/>
  <c r="I82" i="4"/>
  <c r="I85" i="4"/>
  <c r="I83" i="4"/>
  <c r="K105" i="4"/>
  <c r="W80" i="4"/>
  <c r="W88" i="4" s="1"/>
  <c r="W90" i="4" s="1"/>
  <c r="W81" i="4"/>
  <c r="W82" i="4" s="1"/>
  <c r="W83" i="4" s="1"/>
  <c r="U78" i="4"/>
  <c r="Q76" i="4"/>
  <c r="G122" i="4"/>
  <c r="H122" i="4"/>
  <c r="J122" i="4"/>
  <c r="I122" i="4"/>
  <c r="E122" i="4"/>
  <c r="K122" i="4"/>
  <c r="F122" i="4"/>
  <c r="K89" i="4"/>
  <c r="K100" i="4"/>
  <c r="I88" i="4"/>
  <c r="E76" i="4"/>
  <c r="Q77" i="4" l="1"/>
  <c r="Q85" i="4" s="1"/>
  <c r="E90" i="4"/>
  <c r="E77" i="4"/>
  <c r="F78" i="4"/>
  <c r="E195" i="4" s="1"/>
  <c r="F208" i="4" s="1"/>
  <c r="F75" i="4"/>
  <c r="R76" i="4" s="1"/>
  <c r="K136" i="4"/>
  <c r="K163" i="4" s="1"/>
  <c r="J137" i="4"/>
  <c r="Q105" i="4"/>
  <c r="P107" i="4" s="1"/>
  <c r="P111" i="4" s="1"/>
  <c r="E116" i="4" s="1"/>
  <c r="I196" i="4"/>
  <c r="H35" i="4"/>
  <c r="H36" i="4" s="1"/>
  <c r="H40" i="4"/>
  <c r="H41" i="4" s="1"/>
  <c r="Q84" i="4"/>
  <c r="Q86" i="4" s="1"/>
  <c r="U81" i="4"/>
  <c r="U82" i="4" s="1"/>
  <c r="U83" i="4" s="1"/>
  <c r="U80" i="4"/>
  <c r="U88" i="4" s="1"/>
  <c r="U90" i="4" s="1"/>
  <c r="K106" i="4"/>
  <c r="G35" i="4"/>
  <c r="G36" i="4" s="1"/>
  <c r="G40" i="4"/>
  <c r="G41" i="4" s="1"/>
  <c r="K137" i="4"/>
  <c r="E118" i="4"/>
  <c r="I89" i="4"/>
  <c r="E79" i="4"/>
  <c r="F76" i="4" s="1"/>
  <c r="Q78" i="4" l="1"/>
  <c r="E80" i="4"/>
  <c r="E84" i="4"/>
  <c r="D208" i="4"/>
  <c r="E189" i="4"/>
  <c r="I136" i="4"/>
  <c r="I163" i="4" s="1"/>
  <c r="E83" i="4"/>
  <c r="E85" i="4"/>
  <c r="Q87" i="4"/>
  <c r="F195" i="4"/>
  <c r="F209" i="4" s="1"/>
  <c r="E82" i="4"/>
  <c r="R79" i="4"/>
  <c r="G78" i="4"/>
  <c r="G195" i="4" s="1"/>
  <c r="F210" i="4" s="1"/>
  <c r="F77" i="4"/>
  <c r="F83" i="4" s="1"/>
  <c r="F90" i="4"/>
  <c r="R77" i="4"/>
  <c r="R85" i="4" s="1"/>
  <c r="G75" i="4"/>
  <c r="S76" i="4" s="1"/>
  <c r="E117" i="4"/>
  <c r="Q36" i="4"/>
  <c r="I137" i="4"/>
  <c r="E212" i="4"/>
  <c r="F213" i="4"/>
  <c r="K214" i="4"/>
  <c r="R84" i="4"/>
  <c r="R86" i="4" s="1"/>
  <c r="Q80" i="4"/>
  <c r="Q81" i="4"/>
  <c r="Q82" i="4" s="1"/>
  <c r="Q83" i="4" s="1"/>
  <c r="E88" i="4"/>
  <c r="E89" i="4"/>
  <c r="F79" i="4"/>
  <c r="E119" i="4"/>
  <c r="E196" i="4" l="1"/>
  <c r="E208" i="4" s="1"/>
  <c r="Q88" i="4"/>
  <c r="Q90" i="4" s="1"/>
  <c r="S79" i="4"/>
  <c r="H75" i="4"/>
  <c r="T76" i="4" s="1"/>
  <c r="T79" i="4"/>
  <c r="R87" i="4"/>
  <c r="R78" i="4"/>
  <c r="R80" i="4" s="1"/>
  <c r="F82" i="4"/>
  <c r="F85" i="4"/>
  <c r="F84" i="4"/>
  <c r="F189" i="4"/>
  <c r="F80" i="4"/>
  <c r="D209" i="4"/>
  <c r="E136" i="4"/>
  <c r="E137" i="4" s="1"/>
  <c r="H78" i="4"/>
  <c r="H195" i="4" s="1"/>
  <c r="F211" i="4" s="1"/>
  <c r="E191" i="4"/>
  <c r="H208" i="4" s="1"/>
  <c r="E120" i="4"/>
  <c r="E194" i="4"/>
  <c r="K208" i="4" s="1"/>
  <c r="F117" i="4"/>
  <c r="F116" i="4"/>
  <c r="S84" i="4"/>
  <c r="S86" i="4" s="1"/>
  <c r="G76" i="4"/>
  <c r="F88" i="4"/>
  <c r="F118" i="4"/>
  <c r="F119" i="4"/>
  <c r="G77" i="4" l="1"/>
  <c r="G83" i="4" s="1"/>
  <c r="S77" i="4"/>
  <c r="S85" i="4" s="1"/>
  <c r="G90" i="4"/>
  <c r="R88" i="4"/>
  <c r="R90" i="4" s="1"/>
  <c r="R81" i="4"/>
  <c r="R82" i="4" s="1"/>
  <c r="R83" i="4" s="1"/>
  <c r="E163" i="4"/>
  <c r="F196" i="4"/>
  <c r="E209" i="4" s="1"/>
  <c r="F120" i="4"/>
  <c r="F191" i="4"/>
  <c r="H209" i="4" s="1"/>
  <c r="E127" i="4"/>
  <c r="E121" i="4"/>
  <c r="G116" i="4"/>
  <c r="G117" i="4"/>
  <c r="F194" i="4"/>
  <c r="K209" i="4" s="1"/>
  <c r="T84" i="4"/>
  <c r="T86" i="4" s="1"/>
  <c r="E130" i="4"/>
  <c r="E129" i="4"/>
  <c r="G119" i="4"/>
  <c r="F89" i="4"/>
  <c r="G118" i="4"/>
  <c r="G79" i="4"/>
  <c r="H76" i="4" s="1"/>
  <c r="S87" i="4" l="1"/>
  <c r="S78" i="4"/>
  <c r="S81" i="4" s="1"/>
  <c r="S82" i="4" s="1"/>
  <c r="S83" i="4" s="1"/>
  <c r="H77" i="4"/>
  <c r="H90" i="4"/>
  <c r="T77" i="4"/>
  <c r="T85" i="4" s="1"/>
  <c r="G189" i="4"/>
  <c r="G84" i="4"/>
  <c r="G85" i="4"/>
  <c r="D210" i="4"/>
  <c r="G80" i="4"/>
  <c r="G82" i="4"/>
  <c r="F136" i="4"/>
  <c r="G191" i="4"/>
  <c r="H210" i="4" s="1"/>
  <c r="G120" i="4"/>
  <c r="E135" i="4"/>
  <c r="F127" i="4"/>
  <c r="F121" i="4"/>
  <c r="H117" i="4"/>
  <c r="G194" i="4"/>
  <c r="K210" i="4" s="1"/>
  <c r="H116" i="4"/>
  <c r="E132" i="4"/>
  <c r="E162" i="4"/>
  <c r="E177" i="4" s="1"/>
  <c r="E156" i="4"/>
  <c r="E131" i="4"/>
  <c r="G88" i="4"/>
  <c r="H119" i="4"/>
  <c r="H118" i="4"/>
  <c r="F129" i="4"/>
  <c r="G89" i="4"/>
  <c r="H79" i="4"/>
  <c r="F130" i="4"/>
  <c r="S80" i="4" l="1"/>
  <c r="S88" i="4" s="1"/>
  <c r="S90" i="4" s="1"/>
  <c r="T78" i="4"/>
  <c r="T80" i="4" s="1"/>
  <c r="T87" i="4"/>
  <c r="G136" i="4"/>
  <c r="G137" i="4" s="1"/>
  <c r="G196" i="4"/>
  <c r="E210" i="4" s="1"/>
  <c r="H82" i="4"/>
  <c r="H85" i="4"/>
  <c r="D211" i="4"/>
  <c r="H84" i="4"/>
  <c r="H80" i="4"/>
  <c r="H189" i="4"/>
  <c r="H83" i="4"/>
  <c r="F137" i="4"/>
  <c r="F163" i="4"/>
  <c r="E141" i="4"/>
  <c r="H120" i="4"/>
  <c r="H191" i="4"/>
  <c r="H211" i="4" s="1"/>
  <c r="F135" i="4"/>
  <c r="E139" i="4"/>
  <c r="E138" i="4"/>
  <c r="G121" i="4"/>
  <c r="G127" i="4"/>
  <c r="E158" i="4"/>
  <c r="E165" i="4" s="1"/>
  <c r="E157" i="4"/>
  <c r="E164" i="4" s="1"/>
  <c r="H194" i="4"/>
  <c r="K211" i="4" s="1"/>
  <c r="I116" i="4"/>
  <c r="I117" i="4"/>
  <c r="F132" i="4"/>
  <c r="F162" i="4"/>
  <c r="F131" i="4"/>
  <c r="F156" i="4"/>
  <c r="G130" i="4"/>
  <c r="G129" i="4"/>
  <c r="H88" i="4"/>
  <c r="I118" i="4"/>
  <c r="I119" i="4"/>
  <c r="H89" i="4"/>
  <c r="T88" i="4" l="1"/>
  <c r="T90" i="4" s="1"/>
  <c r="X90" i="4" s="1"/>
  <c r="T81" i="4"/>
  <c r="T82" i="4" s="1"/>
  <c r="T83" i="4" s="1"/>
  <c r="G163" i="4"/>
  <c r="H196" i="4"/>
  <c r="E211" i="4" s="1"/>
  <c r="F177" i="4"/>
  <c r="H136" i="4"/>
  <c r="E146" i="4"/>
  <c r="I191" i="4"/>
  <c r="G135" i="4"/>
  <c r="I120" i="4"/>
  <c r="H127" i="4"/>
  <c r="H121" i="4"/>
  <c r="J116" i="4"/>
  <c r="J117" i="4"/>
  <c r="I194" i="4"/>
  <c r="G132" i="4"/>
  <c r="G156" i="4"/>
  <c r="G131" i="4"/>
  <c r="G162" i="4"/>
  <c r="F139" i="4"/>
  <c r="F138" i="4"/>
  <c r="E176" i="4"/>
  <c r="F157" i="4"/>
  <c r="F164" i="4" s="1"/>
  <c r="F158" i="4"/>
  <c r="F165" i="4" s="1"/>
  <c r="E175" i="4"/>
  <c r="E143" i="4"/>
  <c r="E142" i="4"/>
  <c r="E145" i="4"/>
  <c r="E147" i="4" s="1"/>
  <c r="E150" i="4" s="1"/>
  <c r="F141" i="4"/>
  <c r="H129" i="4"/>
  <c r="H130" i="4"/>
  <c r="J119" i="4"/>
  <c r="J118" i="4"/>
  <c r="G177" i="4" l="1"/>
  <c r="H137" i="4"/>
  <c r="H163" i="4"/>
  <c r="E144" i="4"/>
  <c r="J120" i="4"/>
  <c r="H135" i="4"/>
  <c r="J191" i="4"/>
  <c r="F176" i="4"/>
  <c r="F175" i="4"/>
  <c r="G158" i="4"/>
  <c r="G165" i="4" s="1"/>
  <c r="G157" i="4"/>
  <c r="G164" i="4" s="1"/>
  <c r="F146" i="4"/>
  <c r="F143" i="4"/>
  <c r="F145" i="4"/>
  <c r="F147" i="4" s="1"/>
  <c r="F150" i="4" s="1"/>
  <c r="F142" i="4"/>
  <c r="H132" i="4"/>
  <c r="H131" i="4"/>
  <c r="H162" i="4"/>
  <c r="H156" i="4"/>
  <c r="G139" i="4"/>
  <c r="G138" i="4"/>
  <c r="E152" i="4"/>
  <c r="E192" i="4" s="1"/>
  <c r="I208" i="4" s="1"/>
  <c r="L208" i="4" s="1"/>
  <c r="E151" i="4"/>
  <c r="I121" i="4"/>
  <c r="I127" i="4"/>
  <c r="J194" i="4"/>
  <c r="K116" i="4"/>
  <c r="K117" i="4"/>
  <c r="J213" i="4"/>
  <c r="M213" i="4" s="1"/>
  <c r="K212" i="4"/>
  <c r="I214" i="4"/>
  <c r="L214" i="4" s="1"/>
  <c r="G141" i="4"/>
  <c r="E178" i="4"/>
  <c r="G213" i="4"/>
  <c r="H212" i="4"/>
  <c r="I130" i="4"/>
  <c r="I129" i="4"/>
  <c r="K119" i="4"/>
  <c r="K118" i="4"/>
  <c r="H177" i="4" l="1"/>
  <c r="F178" i="4"/>
  <c r="F193" i="4" s="1"/>
  <c r="J209" i="4" s="1"/>
  <c r="M209" i="4" s="1"/>
  <c r="F144" i="4"/>
  <c r="P115" i="4"/>
  <c r="K191" i="4"/>
  <c r="K120" i="4"/>
  <c r="I135" i="4"/>
  <c r="H157" i="4"/>
  <c r="H164" i="4" s="1"/>
  <c r="H158" i="4"/>
  <c r="H165" i="4" s="1"/>
  <c r="G142" i="4"/>
  <c r="G143" i="4"/>
  <c r="G147" i="4" s="1"/>
  <c r="G150" i="4" s="1"/>
  <c r="G146" i="4"/>
  <c r="G145" i="4"/>
  <c r="G175" i="4"/>
  <c r="F151" i="4"/>
  <c r="F152" i="4"/>
  <c r="F192" i="4" s="1"/>
  <c r="I209" i="4" s="1"/>
  <c r="L209" i="4" s="1"/>
  <c r="E193" i="4"/>
  <c r="J208" i="4" s="1"/>
  <c r="M208" i="4" s="1"/>
  <c r="E180" i="4"/>
  <c r="G176" i="4"/>
  <c r="K194" i="4"/>
  <c r="H138" i="4"/>
  <c r="H139" i="4"/>
  <c r="I131" i="4"/>
  <c r="I162" i="4"/>
  <c r="I177" i="4" s="1"/>
  <c r="I156" i="4"/>
  <c r="I132" i="4"/>
  <c r="H141" i="4"/>
  <c r="J121" i="4"/>
  <c r="J127" i="4"/>
  <c r="P117" i="4"/>
  <c r="J130" i="4"/>
  <c r="J129" i="4"/>
  <c r="I141" i="4" l="1"/>
  <c r="F180" i="4"/>
  <c r="F182" i="4" s="1"/>
  <c r="J135" i="4"/>
  <c r="K121" i="4"/>
  <c r="K127" i="4"/>
  <c r="H146" i="4"/>
  <c r="H142" i="4"/>
  <c r="H145" i="4"/>
  <c r="H143" i="4"/>
  <c r="H147" i="4" s="1"/>
  <c r="H150" i="4" s="1"/>
  <c r="E182" i="4"/>
  <c r="E190" i="4"/>
  <c r="G208" i="4" s="1"/>
  <c r="G151" i="4"/>
  <c r="G152" i="4"/>
  <c r="G192" i="4" s="1"/>
  <c r="I210" i="4" s="1"/>
  <c r="L210" i="4" s="1"/>
  <c r="G144" i="4"/>
  <c r="H176" i="4"/>
  <c r="I158" i="4"/>
  <c r="I165" i="4" s="1"/>
  <c r="I157" i="4"/>
  <c r="I164" i="4" s="1"/>
  <c r="H175" i="4"/>
  <c r="G178" i="4"/>
  <c r="J132" i="4"/>
  <c r="J156" i="4"/>
  <c r="J131" i="4"/>
  <c r="J162" i="4"/>
  <c r="J177" i="4" s="1"/>
  <c r="I138" i="4"/>
  <c r="I139" i="4"/>
  <c r="P118" i="4"/>
  <c r="K130" i="4"/>
  <c r="K129" i="4"/>
  <c r="I143" i="4" l="1"/>
  <c r="I147" i="4" s="1"/>
  <c r="I150" i="4" s="1"/>
  <c r="I152" i="4" s="1"/>
  <c r="I192" i="4" s="1"/>
  <c r="F190" i="4"/>
  <c r="G209" i="4" s="1"/>
  <c r="J141" i="4"/>
  <c r="K135" i="4"/>
  <c r="I175" i="4"/>
  <c r="H152" i="4"/>
  <c r="H192" i="4" s="1"/>
  <c r="I211" i="4" s="1"/>
  <c r="L211" i="4" s="1"/>
  <c r="H151" i="4"/>
  <c r="I176" i="4"/>
  <c r="Q114" i="4"/>
  <c r="P121" i="4"/>
  <c r="P119" i="4" s="1"/>
  <c r="J139" i="4"/>
  <c r="J138" i="4"/>
  <c r="J158" i="4"/>
  <c r="J165" i="4" s="1"/>
  <c r="J157" i="4"/>
  <c r="J164" i="4" s="1"/>
  <c r="I146" i="4"/>
  <c r="H144" i="4"/>
  <c r="K156" i="4"/>
  <c r="K132" i="4"/>
  <c r="K162" i="4"/>
  <c r="K177" i="4" s="1"/>
  <c r="K131" i="4"/>
  <c r="H178" i="4"/>
  <c r="I142" i="4"/>
  <c r="G193" i="4"/>
  <c r="J210" i="4" s="1"/>
  <c r="M210" i="4" s="1"/>
  <c r="G180" i="4"/>
  <c r="I145" i="4"/>
  <c r="I151" i="4"/>
  <c r="I144" i="4" l="1"/>
  <c r="K141" i="4"/>
  <c r="J143" i="4"/>
  <c r="J147" i="4" s="1"/>
  <c r="J150" i="4" s="1"/>
  <c r="G190" i="4"/>
  <c r="G210" i="4" s="1"/>
  <c r="G182" i="4"/>
  <c r="H180" i="4"/>
  <c r="H193" i="4"/>
  <c r="J211" i="4" s="1"/>
  <c r="M211" i="4" s="1"/>
  <c r="J142" i="4"/>
  <c r="J176" i="4"/>
  <c r="I178" i="4"/>
  <c r="H213" i="4"/>
  <c r="I212" i="4"/>
  <c r="L212" i="4" s="1"/>
  <c r="G214" i="4"/>
  <c r="J145" i="4"/>
  <c r="J146" i="4"/>
  <c r="J175" i="4"/>
  <c r="K138" i="4"/>
  <c r="K139" i="4"/>
  <c r="K158" i="4"/>
  <c r="K165" i="4" s="1"/>
  <c r="K157" i="4"/>
  <c r="K164" i="4" s="1"/>
  <c r="J151" i="4"/>
  <c r="K145" i="4" l="1"/>
  <c r="J178" i="4"/>
  <c r="J193" i="4" s="1"/>
  <c r="J144" i="4"/>
  <c r="J152" i="4"/>
  <c r="J192" i="4" s="1"/>
  <c r="K142" i="4"/>
  <c r="K143" i="4"/>
  <c r="K147" i="4" s="1"/>
  <c r="K150" i="4" s="1"/>
  <c r="I193" i="4"/>
  <c r="I180" i="4"/>
  <c r="H190" i="4"/>
  <c r="G211" i="4" s="1"/>
  <c r="H182" i="4"/>
  <c r="K175" i="4"/>
  <c r="K176" i="4"/>
  <c r="K146" i="4"/>
  <c r="K151" i="4"/>
  <c r="J180" i="4" l="1"/>
  <c r="K152" i="4"/>
  <c r="K192" i="4" s="1"/>
  <c r="K144" i="4"/>
  <c r="K178" i="4"/>
  <c r="I182" i="4"/>
  <c r="I190" i="4"/>
  <c r="G212" i="4" s="1"/>
  <c r="J212" i="4"/>
  <c r="M212" i="4" s="1"/>
  <c r="I213" i="4"/>
  <c r="L213" i="4" s="1"/>
  <c r="H214" i="4"/>
  <c r="J182" i="4" l="1"/>
  <c r="M182" i="4" s="1"/>
  <c r="J190" i="4"/>
  <c r="M180" i="4"/>
  <c r="K193" i="4"/>
  <c r="K180" i="4"/>
  <c r="D201" i="4" l="1"/>
  <c r="P122" i="4"/>
  <c r="E202" i="4"/>
  <c r="K182" i="4"/>
  <c r="K190" i="4"/>
  <c r="F78" i="1"/>
  <c r="F195" i="1" s="1"/>
  <c r="F209" i="1" s="1"/>
  <c r="E195" i="1" l="1"/>
  <c r="F208" i="1" s="1"/>
  <c r="E77" i="1"/>
  <c r="E79" i="1"/>
  <c r="E84" i="1" l="1"/>
  <c r="D208" i="1"/>
  <c r="E80" i="1"/>
  <c r="E189" i="1"/>
  <c r="E85" i="1"/>
  <c r="E83" i="1"/>
  <c r="E82" i="1"/>
  <c r="F75" i="1"/>
  <c r="E88" i="1"/>
  <c r="F76" i="1"/>
  <c r="E89" i="1"/>
  <c r="E136" i="1" l="1"/>
  <c r="E196" i="1"/>
  <c r="E208" i="1" s="1"/>
  <c r="E137" i="1" l="1"/>
  <c r="E163" i="1"/>
  <c r="E177" i="1" l="1"/>
  <c r="E176" i="1"/>
  <c r="E175" i="1"/>
  <c r="E145" i="1"/>
  <c r="E147" i="1" s="1"/>
  <c r="E150" i="1" s="1"/>
  <c r="E146" i="1"/>
  <c r="E178" i="1" l="1"/>
  <c r="E193" i="1" s="1"/>
  <c r="J208" i="1" s="1"/>
  <c r="M208" i="1" s="1"/>
  <c r="E151" i="1"/>
  <c r="E152" i="1"/>
  <c r="E192" i="1" s="1"/>
  <c r="I208" i="1" s="1"/>
  <c r="L208" i="1" s="1"/>
  <c r="E180" i="1" l="1"/>
  <c r="E190" i="1" s="1"/>
  <c r="G208" i="1" s="1"/>
  <c r="G78" i="1"/>
  <c r="G195" i="1" s="1"/>
  <c r="F210" i="1" s="1"/>
  <c r="G75" i="1"/>
  <c r="H75" i="1" s="1"/>
  <c r="E182" i="1" l="1"/>
  <c r="H78" i="1"/>
  <c r="F77" i="1"/>
  <c r="F79" i="1"/>
  <c r="H76" i="1"/>
  <c r="H77" i="1" l="1"/>
  <c r="I195" i="1"/>
  <c r="H195" i="1"/>
  <c r="F211" i="1" s="1"/>
  <c r="F80" i="1"/>
  <c r="F189" i="1"/>
  <c r="D209" i="1"/>
  <c r="F84" i="1"/>
  <c r="F82" i="1"/>
  <c r="F83" i="1"/>
  <c r="F85" i="1"/>
  <c r="H79" i="1"/>
  <c r="F88" i="1"/>
  <c r="F89" i="1"/>
  <c r="G76" i="1"/>
  <c r="G77" i="1" l="1"/>
  <c r="G83" i="1" s="1"/>
  <c r="H84" i="1"/>
  <c r="D211" i="1"/>
  <c r="H189" i="1"/>
  <c r="H80" i="1"/>
  <c r="H82" i="1"/>
  <c r="H83" i="1"/>
  <c r="H85" i="1"/>
  <c r="F136" i="1"/>
  <c r="F196" i="1"/>
  <c r="E209" i="1" s="1"/>
  <c r="G79" i="1"/>
  <c r="H88" i="1"/>
  <c r="G80" i="1" l="1"/>
  <c r="G189" i="1"/>
  <c r="D210" i="1"/>
  <c r="G84" i="1"/>
  <c r="G82" i="1"/>
  <c r="G85" i="1"/>
  <c r="H196" i="1"/>
  <c r="E211" i="1" s="1"/>
  <c r="F137" i="1"/>
  <c r="F163" i="1"/>
  <c r="H89" i="1"/>
  <c r="G88" i="1"/>
  <c r="G196" i="1" l="1"/>
  <c r="E210" i="1" s="1"/>
  <c r="H136" i="1"/>
  <c r="H137" i="1" s="1"/>
  <c r="H146" i="1" s="1"/>
  <c r="F176" i="1"/>
  <c r="F177" i="1"/>
  <c r="F175" i="1"/>
  <c r="F146" i="1"/>
  <c r="F145" i="1"/>
  <c r="F147" i="1" s="1"/>
  <c r="F150" i="1" s="1"/>
  <c r="G89" i="1"/>
  <c r="G136" i="1" l="1"/>
  <c r="H163" i="1"/>
  <c r="H177" i="1" s="1"/>
  <c r="H145" i="1"/>
  <c r="H152" i="1"/>
  <c r="H192" i="1" s="1"/>
  <c r="I211" i="1" s="1"/>
  <c r="L211" i="1" s="1"/>
  <c r="H175" i="1"/>
  <c r="H176" i="1"/>
  <c r="F178" i="1"/>
  <c r="F193" i="1" s="1"/>
  <c r="J209" i="1" s="1"/>
  <c r="M209" i="1" s="1"/>
  <c r="F152" i="1"/>
  <c r="F192" i="1" s="1"/>
  <c r="I209" i="1" s="1"/>
  <c r="L209" i="1" s="1"/>
  <c r="F151" i="1"/>
  <c r="G137" i="1" l="1"/>
  <c r="G163" i="1"/>
  <c r="G152" i="1"/>
  <c r="G192" i="1" s="1"/>
  <c r="I210" i="1" s="1"/>
  <c r="L210" i="1" s="1"/>
  <c r="H178" i="1"/>
  <c r="H180" i="1" s="1"/>
  <c r="F180" i="1"/>
  <c r="F182" i="1" s="1"/>
  <c r="G176" i="1" l="1"/>
  <c r="G177" i="1"/>
  <c r="G175" i="1"/>
  <c r="G178" i="1" s="1"/>
  <c r="G180" i="1" s="1"/>
  <c r="G182" i="1" s="1"/>
  <c r="G146" i="1"/>
  <c r="G145" i="1"/>
  <c r="H193" i="1"/>
  <c r="J211" i="1" s="1"/>
  <c r="M211" i="1" s="1"/>
  <c r="H182" i="1"/>
  <c r="H190" i="1"/>
  <c r="G211" i="1" s="1"/>
  <c r="F190" i="1"/>
  <c r="G209" i="1" s="1"/>
  <c r="M180" i="1"/>
  <c r="L190" i="1"/>
  <c r="G193" i="1" l="1"/>
  <c r="J210" i="1" s="1"/>
  <c r="M210" i="1" s="1"/>
  <c r="G190" i="1"/>
  <c r="G210" i="1" s="1"/>
  <c r="M182" i="1"/>
  <c r="K190" i="1"/>
  <c r="P122" i="1"/>
</calcChain>
</file>

<file path=xl/sharedStrings.xml><?xml version="1.0" encoding="utf-8"?>
<sst xmlns="http://schemas.openxmlformats.org/spreadsheetml/2006/main" count="2361" uniqueCount="618">
  <si>
    <t>Datos de Entrada</t>
  </si>
  <si>
    <t>Masas</t>
  </si>
  <si>
    <t>Capacidad de la hornilla</t>
  </si>
  <si>
    <r>
      <t>m</t>
    </r>
    <r>
      <rPr>
        <sz val="8"/>
        <color theme="1"/>
        <rFont val="Calibri"/>
        <family val="2"/>
        <scheme val="minor"/>
      </rPr>
      <t>p</t>
    </r>
  </si>
  <si>
    <t>Kg/h</t>
  </si>
  <si>
    <r>
      <t>E</t>
    </r>
    <r>
      <rPr>
        <sz val="8"/>
        <color theme="1"/>
        <rFont val="Calibri"/>
        <family val="2"/>
        <scheme val="minor"/>
      </rPr>
      <t>ff</t>
    </r>
  </si>
  <si>
    <t>%</t>
  </si>
  <si>
    <t>Poder Calorifico Vagazo</t>
  </si>
  <si>
    <t>VCN</t>
  </si>
  <si>
    <t>MJ/kg</t>
  </si>
  <si>
    <t>Bagazillo en Prelimpiador</t>
  </si>
  <si>
    <t>Bgz</t>
  </si>
  <si>
    <r>
      <t>T</t>
    </r>
    <r>
      <rPr>
        <sz val="8"/>
        <color theme="1"/>
        <rFont val="Calibri"/>
        <family val="2"/>
        <scheme val="minor"/>
      </rPr>
      <t>Sclf</t>
    </r>
  </si>
  <si>
    <t>°C</t>
  </si>
  <si>
    <t>Cachaza</t>
  </si>
  <si>
    <t>Chz</t>
  </si>
  <si>
    <r>
      <t>T</t>
    </r>
    <r>
      <rPr>
        <sz val="8"/>
        <color theme="1"/>
        <rFont val="Calibri"/>
        <family val="2"/>
        <scheme val="minor"/>
      </rPr>
      <t>SEva</t>
    </r>
  </si>
  <si>
    <t>Calor Suministrado</t>
  </si>
  <si>
    <r>
      <t>Q</t>
    </r>
    <r>
      <rPr>
        <sz val="8"/>
        <color theme="1"/>
        <rFont val="Calibri"/>
        <family val="2"/>
        <scheme val="minor"/>
      </rPr>
      <t>sum</t>
    </r>
  </si>
  <si>
    <t>KW</t>
  </si>
  <si>
    <t>CSS del Jugo De Caña</t>
  </si>
  <si>
    <r>
      <t>Css</t>
    </r>
    <r>
      <rPr>
        <sz val="8"/>
        <color theme="1"/>
        <rFont val="Calibri"/>
        <family val="2"/>
        <scheme val="minor"/>
      </rPr>
      <t>i</t>
    </r>
  </si>
  <si>
    <t>°Bx</t>
  </si>
  <si>
    <r>
      <t>T</t>
    </r>
    <r>
      <rPr>
        <sz val="8"/>
        <color theme="1"/>
        <rFont val="Calibri"/>
        <family val="2"/>
        <scheme val="minor"/>
      </rPr>
      <t>SCon</t>
    </r>
  </si>
  <si>
    <t>CSS  del Jugo Calrificado</t>
  </si>
  <si>
    <r>
      <t>Css</t>
    </r>
    <r>
      <rPr>
        <sz val="8"/>
        <color theme="1"/>
        <rFont val="Calibri"/>
        <family val="2"/>
        <scheme val="minor"/>
      </rPr>
      <t>Cl</t>
    </r>
  </si>
  <si>
    <t>Area de Parrilla</t>
  </si>
  <si>
    <t>Apar</t>
  </si>
  <si>
    <t>m^2</t>
  </si>
  <si>
    <t>CSS  del Jugo Posevaporacion</t>
  </si>
  <si>
    <r>
      <t>Css</t>
    </r>
    <r>
      <rPr>
        <sz val="8"/>
        <color theme="1"/>
        <rFont val="Calibri"/>
        <family val="2"/>
        <scheme val="minor"/>
      </rPr>
      <t>TE</t>
    </r>
  </si>
  <si>
    <t>kg</t>
  </si>
  <si>
    <r>
      <rPr>
        <sz val="11"/>
        <color theme="1"/>
        <rFont val="Calibri"/>
        <family val="2"/>
      </rPr>
      <t>ΔH</t>
    </r>
    <r>
      <rPr>
        <sz val="8"/>
        <color theme="1"/>
        <rFont val="Calibri"/>
        <family val="2"/>
      </rPr>
      <t>v</t>
    </r>
  </si>
  <si>
    <t>KJ/kg</t>
  </si>
  <si>
    <t>CSS Jugo Concentrado</t>
  </si>
  <si>
    <r>
      <t>B</t>
    </r>
    <r>
      <rPr>
        <sz val="8"/>
        <color theme="1"/>
        <rFont val="Calibri"/>
        <family val="2"/>
        <scheme val="minor"/>
      </rPr>
      <t>p</t>
    </r>
  </si>
  <si>
    <r>
      <t>m</t>
    </r>
    <r>
      <rPr>
        <sz val="8"/>
        <color theme="1"/>
        <rFont val="Calibri"/>
        <family val="2"/>
        <scheme val="minor"/>
      </rPr>
      <t>EV</t>
    </r>
  </si>
  <si>
    <r>
      <t>m</t>
    </r>
    <r>
      <rPr>
        <sz val="8"/>
        <color theme="1"/>
        <rFont val="Calibri"/>
        <family val="2"/>
        <scheme val="minor"/>
      </rPr>
      <t>ev</t>
    </r>
  </si>
  <si>
    <t>Kg</t>
  </si>
  <si>
    <t>CSS Panela</t>
  </si>
  <si>
    <r>
      <t>m</t>
    </r>
    <r>
      <rPr>
        <sz val="8"/>
        <color theme="1"/>
        <rFont val="Calibri"/>
        <family val="2"/>
        <scheme val="minor"/>
      </rPr>
      <t>Cn</t>
    </r>
  </si>
  <si>
    <t>Tipo de camara</t>
  </si>
  <si>
    <t>Tpcam</t>
  </si>
  <si>
    <t>Plana</t>
  </si>
  <si>
    <t>Ad</t>
  </si>
  <si>
    <t>Humedad del bagazo</t>
  </si>
  <si>
    <r>
      <t>H</t>
    </r>
    <r>
      <rPr>
        <sz val="8"/>
        <color theme="1"/>
        <rFont val="Calibri"/>
        <family val="2"/>
        <scheme val="minor"/>
      </rPr>
      <t>b</t>
    </r>
  </si>
  <si>
    <r>
      <t>C</t>
    </r>
    <r>
      <rPr>
        <sz val="8"/>
        <color theme="1"/>
        <rFont val="Calibri"/>
        <family val="2"/>
        <scheme val="minor"/>
      </rPr>
      <t>p</t>
    </r>
  </si>
  <si>
    <t>KJ/Kg °C</t>
  </si>
  <si>
    <t>Exceso de Aire</t>
  </si>
  <si>
    <t>λ</t>
  </si>
  <si>
    <r>
      <rPr>
        <sz val="11"/>
        <color theme="1"/>
        <rFont val="Calibri"/>
        <family val="2"/>
      </rPr>
      <t>ρ</t>
    </r>
    <r>
      <rPr>
        <sz val="8"/>
        <color theme="1"/>
        <rFont val="Calibri"/>
        <family val="2"/>
      </rPr>
      <t>Clf</t>
    </r>
  </si>
  <si>
    <t>kg/m3</t>
  </si>
  <si>
    <t>Extraccion</t>
  </si>
  <si>
    <t>Extr</t>
  </si>
  <si>
    <r>
      <t>ρ</t>
    </r>
    <r>
      <rPr>
        <sz val="8"/>
        <color theme="1"/>
        <rFont val="Calibri"/>
        <family val="2"/>
      </rPr>
      <t>Eva1</t>
    </r>
  </si>
  <si>
    <t>Porcentaje de Fibra</t>
  </si>
  <si>
    <t>f</t>
  </si>
  <si>
    <r>
      <t>ρ</t>
    </r>
    <r>
      <rPr>
        <sz val="8"/>
        <color theme="1"/>
        <rFont val="Calibri"/>
        <family val="2"/>
      </rPr>
      <t>Con</t>
    </r>
  </si>
  <si>
    <t>Altura del Sitio</t>
  </si>
  <si>
    <t>h</t>
  </si>
  <si>
    <t>m</t>
  </si>
  <si>
    <t>Qcl</t>
  </si>
  <si>
    <t>Temperatura Ambiente</t>
  </si>
  <si>
    <r>
      <t>T</t>
    </r>
    <r>
      <rPr>
        <sz val="8"/>
        <color theme="1"/>
        <rFont val="Calibri"/>
        <family val="2"/>
        <scheme val="minor"/>
      </rPr>
      <t>a</t>
    </r>
  </si>
  <si>
    <t>Qev1</t>
  </si>
  <si>
    <t>Humedad inicial bagazo</t>
  </si>
  <si>
    <t>Hibv</t>
  </si>
  <si>
    <t>Qcn</t>
  </si>
  <si>
    <t>Qt</t>
  </si>
  <si>
    <t>Presion Atmosferica</t>
  </si>
  <si>
    <r>
      <t>P</t>
    </r>
    <r>
      <rPr>
        <sz val="8"/>
        <color theme="1"/>
        <rFont val="Calibri"/>
        <family val="2"/>
        <scheme val="minor"/>
      </rPr>
      <t>a</t>
    </r>
  </si>
  <si>
    <t>mmHG</t>
  </si>
  <si>
    <t>Temperatura Ebullición Agua</t>
  </si>
  <si>
    <r>
      <t>T</t>
    </r>
    <r>
      <rPr>
        <sz val="8"/>
        <color theme="1"/>
        <rFont val="Calibri"/>
        <family val="2"/>
        <scheme val="minor"/>
      </rPr>
      <t>e</t>
    </r>
  </si>
  <si>
    <t>Factor Consumo Bagazo</t>
  </si>
  <si>
    <t>Fcb</t>
  </si>
  <si>
    <t>Kg/Kg</t>
  </si>
  <si>
    <t>Numero de Pailas</t>
  </si>
  <si>
    <t>Paila N°</t>
  </si>
  <si>
    <t>Npa</t>
  </si>
  <si>
    <t>Orden del flujo</t>
  </si>
  <si>
    <t>Orf</t>
  </si>
  <si>
    <t>Tipo de Paila</t>
  </si>
  <si>
    <t>TpPA</t>
  </si>
  <si>
    <t>Altura Fondo</t>
  </si>
  <si>
    <t>H fn (m)</t>
  </si>
  <si>
    <t>Ancho del Fondo</t>
  </si>
  <si>
    <t>A  (m)</t>
  </si>
  <si>
    <t>Altura de Falca</t>
  </si>
  <si>
    <t>H fl (m)</t>
  </si>
  <si>
    <t>Angulo de Falca</t>
  </si>
  <si>
    <t>Ang  α °</t>
  </si>
  <si>
    <t>Longitud</t>
  </si>
  <si>
    <t>L  (m)</t>
  </si>
  <si>
    <t>Aleteada</t>
  </si>
  <si>
    <t>si/no</t>
  </si>
  <si>
    <t>NO</t>
  </si>
  <si>
    <t>SI</t>
  </si>
  <si>
    <t>Numero de Aletas</t>
  </si>
  <si>
    <t>N Aletas</t>
  </si>
  <si>
    <t>Altura de Aletas</t>
  </si>
  <si>
    <t>Hal (m)</t>
  </si>
  <si>
    <t>Altura del Casco</t>
  </si>
  <si>
    <t>hc (m)</t>
  </si>
  <si>
    <t>Longitud del Lado Canal</t>
  </si>
  <si>
    <t>Lc  (m)</t>
  </si>
  <si>
    <t>Longitud lado tubo</t>
  </si>
  <si>
    <t>Lt  (m)</t>
  </si>
  <si>
    <t>Area de Flujo</t>
  </si>
  <si>
    <t>A</t>
  </si>
  <si>
    <t>Perimetro</t>
  </si>
  <si>
    <t>P</t>
  </si>
  <si>
    <t>Diametro Hidraulico</t>
  </si>
  <si>
    <r>
      <t>D</t>
    </r>
    <r>
      <rPr>
        <sz val="8"/>
        <color theme="1"/>
        <rFont val="Calibri"/>
        <family val="2"/>
      </rPr>
      <t>h</t>
    </r>
  </si>
  <si>
    <t>Altura del Ducto</t>
  </si>
  <si>
    <t>Hd</t>
  </si>
  <si>
    <r>
      <t>A</t>
    </r>
    <r>
      <rPr>
        <sz val="8"/>
        <rFont val="Calibri"/>
        <family val="2"/>
        <scheme val="minor"/>
      </rPr>
      <t>pd</t>
    </r>
  </si>
  <si>
    <r>
      <t>A</t>
    </r>
    <r>
      <rPr>
        <sz val="8"/>
        <rFont val="Calibri"/>
        <family val="2"/>
        <scheme val="minor"/>
      </rPr>
      <t>pi</t>
    </r>
  </si>
  <si>
    <t>Area Paila</t>
  </si>
  <si>
    <r>
      <t>A</t>
    </r>
    <r>
      <rPr>
        <sz val="8"/>
        <rFont val="Calibri"/>
        <family val="2"/>
      </rPr>
      <t>gas</t>
    </r>
  </si>
  <si>
    <t>º</t>
  </si>
  <si>
    <t>ad</t>
  </si>
  <si>
    <t>Orsde según Concentracion</t>
  </si>
  <si>
    <t>Orccs</t>
  </si>
  <si>
    <t>Concentracion de Solidos Inicial</t>
  </si>
  <si>
    <t>ºBrix</t>
  </si>
  <si>
    <t>Concentracion de Solidos Final</t>
  </si>
  <si>
    <t>Concentracion de Solidos Promedio</t>
  </si>
  <si>
    <t>mj</t>
  </si>
  <si>
    <t>Calor Especifico P Cte jugo</t>
  </si>
  <si>
    <t>CPj</t>
  </si>
  <si>
    <t>T E ss CSS</t>
  </si>
  <si>
    <t>ºC</t>
  </si>
  <si>
    <t>Entalpia de Vaporización</t>
  </si>
  <si>
    <t>∆hv</t>
  </si>
  <si>
    <t>Masa de Agua a Evaporar</t>
  </si>
  <si>
    <r>
      <t>m</t>
    </r>
    <r>
      <rPr>
        <sz val="8"/>
        <rFont val="Calibri"/>
        <family val="2"/>
        <scheme val="minor"/>
      </rPr>
      <t>H2O</t>
    </r>
  </si>
  <si>
    <t>Calor Nece Calc por Etapa</t>
  </si>
  <si>
    <t>Q cc</t>
  </si>
  <si>
    <t>Cssi</t>
  </si>
  <si>
    <t>Cssf</t>
  </si>
  <si>
    <t>Cssp</t>
  </si>
  <si>
    <t>Gases</t>
  </si>
  <si>
    <t>Masa de Bagazo</t>
  </si>
  <si>
    <t>Eficiencia de Combustion</t>
  </si>
  <si>
    <t>Humedad del Bagazo</t>
  </si>
  <si>
    <t>Exeso de Aire</t>
  </si>
  <si>
    <t>Humedad del Aire</t>
  </si>
  <si>
    <t>Temeratura Ambiente</t>
  </si>
  <si>
    <t>K</t>
  </si>
  <si>
    <t>Composiscion de bagazo seco en %</t>
  </si>
  <si>
    <t>Carbono</t>
  </si>
  <si>
    <t>C</t>
  </si>
  <si>
    <t>Hidrogeno</t>
  </si>
  <si>
    <t>H</t>
  </si>
  <si>
    <t>Oxigeno</t>
  </si>
  <si>
    <t>O</t>
  </si>
  <si>
    <t>Escorias</t>
  </si>
  <si>
    <t>E</t>
  </si>
  <si>
    <t>Masa de Bagazo Seco</t>
  </si>
  <si>
    <t>g/mol</t>
  </si>
  <si>
    <t>H2</t>
  </si>
  <si>
    <t>CO2</t>
  </si>
  <si>
    <t>CO</t>
  </si>
  <si>
    <t>H2O</t>
  </si>
  <si>
    <t>O2</t>
  </si>
  <si>
    <t>N2</t>
  </si>
  <si>
    <t>Entrada</t>
  </si>
  <si>
    <t>C en bagazo</t>
  </si>
  <si>
    <t>kmol</t>
  </si>
  <si>
    <t>H2 en bagazo</t>
  </si>
  <si>
    <t>O2 en bagazo</t>
  </si>
  <si>
    <t>H2O en bagazo</t>
  </si>
  <si>
    <t>O2 req</t>
  </si>
  <si>
    <t>O2 sum</t>
  </si>
  <si>
    <t>N2 sum</t>
  </si>
  <si>
    <t>H2O en aire</t>
  </si>
  <si>
    <t>Salida</t>
  </si>
  <si>
    <t>CO2 producidos</t>
  </si>
  <si>
    <t>mol</t>
  </si>
  <si>
    <t>CO producidos</t>
  </si>
  <si>
    <t>H2O producidos</t>
  </si>
  <si>
    <t>H2O Totales</t>
  </si>
  <si>
    <t>O2 producidos</t>
  </si>
  <si>
    <t>N2 producidos</t>
  </si>
  <si>
    <t>Temperatura de llama</t>
  </si>
  <si>
    <t>Gases Totales</t>
  </si>
  <si>
    <t>masa de Gases Total</t>
  </si>
  <si>
    <t>g</t>
  </si>
  <si>
    <t>Kw</t>
  </si>
  <si>
    <t>Potencia Inicial del Gas</t>
  </si>
  <si>
    <t>Numero de Paila</t>
  </si>
  <si>
    <t>Melotera</t>
  </si>
  <si>
    <t>Temperatura</t>
  </si>
  <si>
    <t>T</t>
  </si>
  <si>
    <t>Presion</t>
  </si>
  <si>
    <t>atm</t>
  </si>
  <si>
    <t>Calor Especifico a Presión Cte</t>
  </si>
  <si>
    <t>Cp</t>
  </si>
  <si>
    <t>KJ/kg.°C</t>
  </si>
  <si>
    <t>Densidad</t>
  </si>
  <si>
    <t>ρ</t>
  </si>
  <si>
    <t>kg/m^3</t>
  </si>
  <si>
    <t>Viscosidad Dinamica</t>
  </si>
  <si>
    <t>μ</t>
  </si>
  <si>
    <t>Kg/m s</t>
  </si>
  <si>
    <t>Coef Conduct Termica</t>
  </si>
  <si>
    <t>KW/m°C</t>
  </si>
  <si>
    <t>Velocidad de Gases</t>
  </si>
  <si>
    <t>√</t>
  </si>
  <si>
    <t>m/s</t>
  </si>
  <si>
    <t>Temperatura deSuperficie</t>
  </si>
  <si>
    <r>
      <t>T</t>
    </r>
    <r>
      <rPr>
        <sz val="8"/>
        <color theme="1"/>
        <rFont val="Calibri"/>
        <family val="2"/>
      </rPr>
      <t>sp</t>
    </r>
  </si>
  <si>
    <t>Visc Dinamic Superfi</t>
  </si>
  <si>
    <t>Kg/ m s</t>
  </si>
  <si>
    <t>Viscosidad Cinematica</t>
  </si>
  <si>
    <t>ϑ</t>
  </si>
  <si>
    <t>Kg/m^2</t>
  </si>
  <si>
    <t>N° Prandlt</t>
  </si>
  <si>
    <t>N pr</t>
  </si>
  <si>
    <t>Numero de Reynolds</t>
  </si>
  <si>
    <r>
      <t>N</t>
    </r>
    <r>
      <rPr>
        <sz val="8"/>
        <color theme="1"/>
        <rFont val="Calibri"/>
        <family val="2"/>
      </rPr>
      <t>re</t>
    </r>
  </si>
  <si>
    <t xml:space="preserve">No. Nusselt </t>
  </si>
  <si>
    <r>
      <t>N</t>
    </r>
    <r>
      <rPr>
        <sz val="8"/>
        <color theme="1"/>
        <rFont val="Calibri"/>
        <family val="2"/>
      </rPr>
      <t>u</t>
    </r>
  </si>
  <si>
    <t>Area Transferencia Calor Paila</t>
  </si>
  <si>
    <r>
      <t>A</t>
    </r>
    <r>
      <rPr>
        <sz val="8"/>
        <color theme="1"/>
        <rFont val="Calibri"/>
        <family val="2"/>
        <scheme val="minor"/>
      </rPr>
      <t>TTC</t>
    </r>
  </si>
  <si>
    <t>Coeficiente de convección</t>
  </si>
  <si>
    <t>KW/m^2°C</t>
  </si>
  <si>
    <t>Calor por Conveccion</t>
  </si>
  <si>
    <r>
      <t>Q</t>
    </r>
    <r>
      <rPr>
        <sz val="9"/>
        <color theme="1"/>
        <rFont val="Calibri"/>
        <family val="2"/>
        <scheme val="minor"/>
      </rPr>
      <t>cnv</t>
    </r>
  </si>
  <si>
    <t>Temperatura del Gas</t>
  </si>
  <si>
    <t>Tgas</t>
  </si>
  <si>
    <t>Temperatua Pared</t>
  </si>
  <si>
    <t>Tpad</t>
  </si>
  <si>
    <t>Temperatura Piso</t>
  </si>
  <si>
    <t>Tpis</t>
  </si>
  <si>
    <t>Temperatura Gases</t>
  </si>
  <si>
    <r>
      <t>T</t>
    </r>
    <r>
      <rPr>
        <sz val="8"/>
        <rFont val="Calibri"/>
        <family val="2"/>
        <scheme val="minor"/>
      </rPr>
      <t>g</t>
    </r>
  </si>
  <si>
    <t>Temperatura Fondo Paila</t>
  </si>
  <si>
    <r>
      <t>T</t>
    </r>
    <r>
      <rPr>
        <sz val="8"/>
        <rFont val="Calibri"/>
        <family val="2"/>
        <scheme val="minor"/>
      </rPr>
      <t>fp</t>
    </r>
  </si>
  <si>
    <t>Temperatura Pared</t>
  </si>
  <si>
    <r>
      <t>T</t>
    </r>
    <r>
      <rPr>
        <sz val="8"/>
        <rFont val="Calibri"/>
        <family val="2"/>
        <scheme val="minor"/>
      </rPr>
      <t>pd</t>
    </r>
  </si>
  <si>
    <r>
      <t>T</t>
    </r>
    <r>
      <rPr>
        <sz val="8"/>
        <rFont val="Calibri"/>
        <family val="2"/>
        <scheme val="minor"/>
      </rPr>
      <t>pi</t>
    </r>
  </si>
  <si>
    <t>C. de Boltzman</t>
  </si>
  <si>
    <t>σ</t>
  </si>
  <si>
    <t>W/m^2*K^4</t>
  </si>
  <si>
    <t>Emisividad Gases</t>
  </si>
  <si>
    <r>
      <t>ϵ</t>
    </r>
    <r>
      <rPr>
        <sz val="6"/>
        <rFont val="Calibri"/>
        <family val="2"/>
        <scheme val="minor"/>
      </rPr>
      <t>g</t>
    </r>
  </si>
  <si>
    <t>Emisividad Fondo Paila</t>
  </si>
  <si>
    <r>
      <t>ϵ</t>
    </r>
    <r>
      <rPr>
        <sz val="6"/>
        <rFont val="Calibri"/>
        <family val="2"/>
        <scheme val="minor"/>
      </rPr>
      <t>fp</t>
    </r>
  </si>
  <si>
    <t>Emisividad Ducto</t>
  </si>
  <si>
    <r>
      <t>ϵ</t>
    </r>
    <r>
      <rPr>
        <sz val="6"/>
        <rFont val="Calibri"/>
        <family val="2"/>
        <scheme val="minor"/>
      </rPr>
      <t>d</t>
    </r>
  </si>
  <si>
    <t>Factor de forma Pared</t>
  </si>
  <si>
    <r>
      <t>F</t>
    </r>
    <r>
      <rPr>
        <sz val="8"/>
        <rFont val="Calibri"/>
        <family val="2"/>
        <scheme val="minor"/>
      </rPr>
      <t>FPA</t>
    </r>
  </si>
  <si>
    <t>Factor de Forma Piso</t>
  </si>
  <si>
    <r>
      <t>F</t>
    </r>
    <r>
      <rPr>
        <sz val="8"/>
        <rFont val="Calibri"/>
        <family val="2"/>
        <scheme val="minor"/>
      </rPr>
      <t>FPI</t>
    </r>
  </si>
  <si>
    <t>Calor desde las Paredes</t>
  </si>
  <si>
    <r>
      <t>Q</t>
    </r>
    <r>
      <rPr>
        <sz val="8"/>
        <color theme="1"/>
        <rFont val="Calibri"/>
        <family val="2"/>
        <scheme val="minor"/>
      </rPr>
      <t>rpd</t>
    </r>
  </si>
  <si>
    <t>Calor desde el Piso</t>
  </si>
  <si>
    <r>
      <t>Q</t>
    </r>
    <r>
      <rPr>
        <sz val="8"/>
        <color theme="1"/>
        <rFont val="Calibri"/>
        <family val="2"/>
        <scheme val="minor"/>
      </rPr>
      <t>rpi</t>
    </r>
  </si>
  <si>
    <t>Calor desde el Gas</t>
  </si>
  <si>
    <r>
      <t>Q</t>
    </r>
    <r>
      <rPr>
        <sz val="8"/>
        <color theme="1"/>
        <rFont val="Calibri"/>
        <family val="2"/>
        <scheme val="minor"/>
      </rPr>
      <t>rgas</t>
    </r>
  </si>
  <si>
    <t>Total Q R P Paila</t>
  </si>
  <si>
    <r>
      <t>TQ</t>
    </r>
    <r>
      <rPr>
        <sz val="8"/>
        <color theme="1"/>
        <rFont val="Calibri"/>
        <family val="2"/>
        <scheme val="minor"/>
      </rPr>
      <t>rppa</t>
    </r>
  </si>
  <si>
    <t>No. Nusselt P.S.E</t>
  </si>
  <si>
    <t>No. Nusselt  Nre&lt;1e5</t>
  </si>
  <si>
    <t>No. Nusselt  Nre&gt;5e5</t>
  </si>
  <si>
    <t>No. Nusselt  1e5&lt; Nre &lt;5e5</t>
  </si>
  <si>
    <t>No. Nusselt Pirotubular Re&lt;2,3e3</t>
  </si>
  <si>
    <t>Calor Total</t>
  </si>
  <si>
    <t>Calcular</t>
  </si>
  <si>
    <t>Viscosidad del Jugo</t>
  </si>
  <si>
    <t>Kg/m.s</t>
  </si>
  <si>
    <t>Tension Superficial</t>
  </si>
  <si>
    <t>Vj</t>
  </si>
  <si>
    <t>Tn S j</t>
  </si>
  <si>
    <t>Kg/s^2</t>
  </si>
  <si>
    <t>Kg/m^3</t>
  </si>
  <si>
    <t>D j</t>
  </si>
  <si>
    <t>w/m K</t>
  </si>
  <si>
    <t>T Pared L Jugo</t>
  </si>
  <si>
    <t>Tppj</t>
  </si>
  <si>
    <t>flux Calor Paila</t>
  </si>
  <si>
    <t>Area Interior Paila</t>
  </si>
  <si>
    <t>Qx</t>
  </si>
  <si>
    <t>Aintp</t>
  </si>
  <si>
    <t>W/m^2</t>
  </si>
  <si>
    <t>Gas Total</t>
  </si>
  <si>
    <t>Flujo Masico</t>
  </si>
  <si>
    <t>kg/s</t>
  </si>
  <si>
    <t>% Molar</t>
  </si>
  <si>
    <t>Espesor de Lamina</t>
  </si>
  <si>
    <t>EsL(m)</t>
  </si>
  <si>
    <t>T Pared L Gas</t>
  </si>
  <si>
    <t>Tppg</t>
  </si>
  <si>
    <t>Temperatura Flama Ad</t>
  </si>
  <si>
    <t>Energia inicial Gas</t>
  </si>
  <si>
    <t>Perdidas</t>
  </si>
  <si>
    <t>Pedidas según 14%</t>
  </si>
  <si>
    <t>Temperarura antes de Paila</t>
  </si>
  <si>
    <t>Temperatura despues de Paila</t>
  </si>
  <si>
    <t>Temperatura Bajo la Paila</t>
  </si>
  <si>
    <t>Calor del Gas antes de Paila</t>
  </si>
  <si>
    <t>Calor Gas despues paila</t>
  </si>
  <si>
    <t>Calore Transferidos</t>
  </si>
  <si>
    <t>Qtt</t>
  </si>
  <si>
    <t>Qgap</t>
  </si>
  <si>
    <t>Qdap</t>
  </si>
  <si>
    <t>Tgap</t>
  </si>
  <si>
    <t>Tdap</t>
  </si>
  <si>
    <t>Psr</t>
  </si>
  <si>
    <t>Ps14</t>
  </si>
  <si>
    <t>Perdtot</t>
  </si>
  <si>
    <t>Calor Transferido desde el gas</t>
  </si>
  <si>
    <t>Qtdg</t>
  </si>
  <si>
    <t>Masa Jugo Entrada</t>
  </si>
  <si>
    <t>Kjug</t>
  </si>
  <si>
    <t>Mjug</t>
  </si>
  <si>
    <t>Temperatura jugo</t>
  </si>
  <si>
    <t>Tjug</t>
  </si>
  <si>
    <t>Concentrancion y Propiedades del jugo según calor cedido por el gas</t>
  </si>
  <si>
    <t>Masa de Jugo Entrada</t>
  </si>
  <si>
    <t>Calor de Diseño Pailas</t>
  </si>
  <si>
    <t>Qdp</t>
  </si>
  <si>
    <t>Error entre calores</t>
  </si>
  <si>
    <t>Porfavor no modificar de aquí para arriba porquer la CAGA</t>
  </si>
  <si>
    <t>Tabla de Resultados Hornilla</t>
  </si>
  <si>
    <t>Calor por Radacion Paila</t>
  </si>
  <si>
    <t>Eficiencia Calculada</t>
  </si>
  <si>
    <t>Stage</t>
  </si>
  <si>
    <t>Área de transferencia (m)*</t>
  </si>
  <si>
    <t>Sugarcane Juice</t>
  </si>
  <si>
    <t>Flue gas</t>
  </si>
  <si>
    <t>Potencia térmica requerida jugo (kW)</t>
  </si>
  <si>
    <t>Outlet temperature (°C)</t>
  </si>
  <si>
    <t>Q conveccion</t>
  </si>
  <si>
    <t xml:space="preserve">  Q radiacion</t>
  </si>
  <si>
    <t>Thermal Outlet potential (kW)</t>
  </si>
  <si>
    <t>Masa de Agua  Evaporada</t>
  </si>
  <si>
    <r>
      <t>M</t>
    </r>
    <r>
      <rPr>
        <sz val="8"/>
        <color theme="1"/>
        <rFont val="Calibri"/>
        <family val="2"/>
        <scheme val="minor"/>
      </rPr>
      <t>H2O</t>
    </r>
  </si>
  <si>
    <t>Masa de agua evaporada (Kg)</t>
  </si>
  <si>
    <t>Tabla resultados Articulo</t>
  </si>
  <si>
    <t>Temp. Jugo (°C)</t>
  </si>
  <si>
    <t>Conductividad del jugo</t>
  </si>
  <si>
    <t>Area Paredes Radiantes</t>
  </si>
  <si>
    <t>Area Piso radiante</t>
  </si>
  <si>
    <t>Area  Total Transferencia Paila</t>
  </si>
  <si>
    <t>Area Lisa</t>
  </si>
  <si>
    <t>Coeficiente de convección corregido</t>
  </si>
  <si>
    <r>
      <t xml:space="preserve">kg </t>
    </r>
    <r>
      <rPr>
        <sz val="8"/>
        <rFont val="Calibri"/>
        <family val="2"/>
        <scheme val="minor"/>
      </rPr>
      <t>H2O</t>
    </r>
    <r>
      <rPr>
        <sz val="11"/>
        <rFont val="Calibri"/>
        <family val="2"/>
        <scheme val="minor"/>
      </rPr>
      <t>/kg</t>
    </r>
    <r>
      <rPr>
        <sz val="8"/>
        <rFont val="Calibri"/>
        <family val="2"/>
        <scheme val="minor"/>
      </rPr>
      <t xml:space="preserve"> aire seco</t>
    </r>
  </si>
  <si>
    <t>Calor por Radiación</t>
  </si>
  <si>
    <t>Flux conveccion (kW/m^2)</t>
  </si>
  <si>
    <t xml:space="preserve">  Flux radiacion (kW/m^2)</t>
  </si>
  <si>
    <t>Velocidad I</t>
  </si>
  <si>
    <t>Temp. Pared L. Jugo (ºC)</t>
  </si>
  <si>
    <t>Tin</t>
  </si>
  <si>
    <t>Tout</t>
  </si>
  <si>
    <t>kJ/s</t>
  </si>
  <si>
    <t>Q gas</t>
  </si>
  <si>
    <t>Q recuperado</t>
  </si>
  <si>
    <t>Masa de Panela Ad</t>
  </si>
  <si>
    <t>Q aprovechado en Panela</t>
  </si>
  <si>
    <t>Factor de produccion de Panela</t>
  </si>
  <si>
    <t>Recuperador de Calor</t>
  </si>
  <si>
    <t>Eficiencia Global</t>
  </si>
  <si>
    <t>Ancho Seccion</t>
  </si>
  <si>
    <t>Area Calculada</t>
  </si>
  <si>
    <t>Especial &gt; 40 Kg</t>
  </si>
  <si>
    <t>Arp</t>
  </si>
  <si>
    <t>Longitud Seccion</t>
  </si>
  <si>
    <t>Ancho de Seccion</t>
  </si>
  <si>
    <t>Ansp</t>
  </si>
  <si>
    <t>N° Secciones An</t>
  </si>
  <si>
    <t>Lonsp</t>
  </si>
  <si>
    <t>N° Secciones An cl</t>
  </si>
  <si>
    <t>Numero de Secciones</t>
  </si>
  <si>
    <t>N°sp</t>
  </si>
  <si>
    <t>AD</t>
  </si>
  <si>
    <t>N° Secciones Lon</t>
  </si>
  <si>
    <t>Numero de Hileras</t>
  </si>
  <si>
    <t>N°hPrr</t>
  </si>
  <si>
    <t>Secciones Totales</t>
  </si>
  <si>
    <t>Ancho de Parrilla</t>
  </si>
  <si>
    <t>AnPrr</t>
  </si>
  <si>
    <t>ArpC</t>
  </si>
  <si>
    <t>Volumen Calculado</t>
  </si>
  <si>
    <t>Vcam</t>
  </si>
  <si>
    <t>m^3</t>
  </si>
  <si>
    <t>Ancho de camara</t>
  </si>
  <si>
    <t>AnCam</t>
  </si>
  <si>
    <t>Longitud Camara</t>
  </si>
  <si>
    <t>LonCam</t>
  </si>
  <si>
    <t xml:space="preserve">Altura camara </t>
  </si>
  <si>
    <t>Hcam</t>
  </si>
  <si>
    <t>Parrilla</t>
  </si>
  <si>
    <t>Calculada</t>
  </si>
  <si>
    <t>Manual</t>
  </si>
  <si>
    <t>Geometria camara</t>
  </si>
  <si>
    <t>Jugo</t>
  </si>
  <si>
    <t>Caña</t>
  </si>
  <si>
    <t>Agua a Evaporar</t>
  </si>
  <si>
    <t>A Evaporacion</t>
  </si>
  <si>
    <t>A Concentracion</t>
  </si>
  <si>
    <t>A Clarificacion</t>
  </si>
  <si>
    <t>Temperatura Ebullicion</t>
  </si>
  <si>
    <t>Calor espesifico jugo</t>
  </si>
  <si>
    <t xml:space="preserve"> Clarificacion</t>
  </si>
  <si>
    <r>
      <t>m</t>
    </r>
    <r>
      <rPr>
        <sz val="8"/>
        <color theme="1"/>
        <rFont val="Calibri"/>
        <family val="2"/>
        <scheme val="minor"/>
      </rPr>
      <t>bs</t>
    </r>
  </si>
  <si>
    <r>
      <rPr>
        <sz val="11"/>
        <color theme="1"/>
        <rFont val="Calibri"/>
        <family val="2"/>
        <scheme val="minor"/>
      </rPr>
      <t>m</t>
    </r>
    <r>
      <rPr>
        <sz val="8"/>
        <color theme="1"/>
        <rFont val="Calibri"/>
        <family val="2"/>
        <scheme val="minor"/>
      </rPr>
      <t>bsum</t>
    </r>
  </si>
  <si>
    <t>Evaporacion</t>
  </si>
  <si>
    <t>Concentracion</t>
  </si>
  <si>
    <t>Total</t>
  </si>
  <si>
    <t>Total (F.L.)</t>
  </si>
  <si>
    <t>Jugo Clarificado</t>
  </si>
  <si>
    <t>Jugo Pre Limp</t>
  </si>
  <si>
    <t>Bagazillo</t>
  </si>
  <si>
    <t>Calor Requerido por Etapa</t>
  </si>
  <si>
    <t>Inicial P. Clf</t>
  </si>
  <si>
    <t>Inicial P. Eva 1</t>
  </si>
  <si>
    <t>Inicial P. Con</t>
  </si>
  <si>
    <t>Clarificacón</t>
  </si>
  <si>
    <t>Evaporación</t>
  </si>
  <si>
    <t>Concentración</t>
  </si>
  <si>
    <t>Entalpia de Evaporizacion</t>
  </si>
  <si>
    <t>Propiedades de los Jugos</t>
  </si>
  <si>
    <t>Bag. Suministrado</t>
  </si>
  <si>
    <t>Bag. humedo</t>
  </si>
  <si>
    <t>Bag. seco</t>
  </si>
  <si>
    <t xml:space="preserve"> Inicial</t>
  </si>
  <si>
    <t>Clarificado</t>
  </si>
  <si>
    <t>Eva</t>
  </si>
  <si>
    <r>
      <t>m</t>
    </r>
    <r>
      <rPr>
        <sz val="6"/>
        <color theme="1"/>
        <rFont val="Calibri"/>
        <family val="2"/>
        <scheme val="minor"/>
      </rPr>
      <t>c</t>
    </r>
  </si>
  <si>
    <r>
      <t>m</t>
    </r>
    <r>
      <rPr>
        <sz val="6"/>
        <color theme="1"/>
        <rFont val="Calibri"/>
        <family val="2"/>
        <scheme val="minor"/>
      </rPr>
      <t>j</t>
    </r>
  </si>
  <si>
    <r>
      <t>m</t>
    </r>
    <r>
      <rPr>
        <sz val="6"/>
        <color theme="1"/>
        <rFont val="Calibri"/>
        <family val="2"/>
        <scheme val="minor"/>
      </rPr>
      <t>bzll</t>
    </r>
  </si>
  <si>
    <r>
      <t>m</t>
    </r>
    <r>
      <rPr>
        <sz val="6"/>
        <color theme="1"/>
        <rFont val="Calibri"/>
        <family val="2"/>
        <scheme val="minor"/>
      </rPr>
      <t>Cl</t>
    </r>
  </si>
  <si>
    <r>
      <t>m</t>
    </r>
    <r>
      <rPr>
        <sz val="6"/>
        <color theme="1"/>
        <rFont val="Calibri"/>
        <family val="2"/>
        <scheme val="minor"/>
      </rPr>
      <t>chz</t>
    </r>
  </si>
  <si>
    <r>
      <t>m</t>
    </r>
    <r>
      <rPr>
        <sz val="6"/>
        <color theme="1"/>
        <rFont val="Calibri"/>
        <family val="2"/>
        <scheme val="minor"/>
      </rPr>
      <t>EV</t>
    </r>
  </si>
  <si>
    <r>
      <t>m</t>
    </r>
    <r>
      <rPr>
        <sz val="6"/>
        <color theme="1"/>
        <rFont val="Calibri"/>
        <family val="2"/>
        <scheme val="minor"/>
      </rPr>
      <t>H2O</t>
    </r>
  </si>
  <si>
    <t>MAX</t>
  </si>
  <si>
    <t>Area Necesaria</t>
  </si>
  <si>
    <t>Area TTL Cam</t>
  </si>
  <si>
    <t>Refractario</t>
  </si>
  <si>
    <t>Tipo de ladrillo</t>
  </si>
  <si>
    <t>Comun</t>
  </si>
  <si>
    <t>-----</t>
  </si>
  <si>
    <t>Semirefractario</t>
  </si>
  <si>
    <t>W/m°C</t>
  </si>
  <si>
    <t>Esp Camara</t>
  </si>
  <si>
    <t>Q Perd Camara</t>
  </si>
  <si>
    <t>W</t>
  </si>
  <si>
    <t>m2</t>
  </si>
  <si>
    <t>Area TTC</t>
  </si>
  <si>
    <t>% de Llenado</t>
  </si>
  <si>
    <t>m3</t>
  </si>
  <si>
    <t>Volumen T</t>
  </si>
  <si>
    <r>
      <t>Volumen</t>
    </r>
    <r>
      <rPr>
        <sz val="8"/>
        <color theme="1"/>
        <rFont val="Calibri"/>
        <family val="2"/>
        <scheme val="minor"/>
      </rPr>
      <t xml:space="preserve"> Fon</t>
    </r>
  </si>
  <si>
    <t>Volumen</t>
  </si>
  <si>
    <t>Area</t>
  </si>
  <si>
    <t>N Tubos</t>
  </si>
  <si>
    <t>Lado Tubo</t>
  </si>
  <si>
    <t>h Aletas</t>
  </si>
  <si>
    <t>H Aleas</t>
  </si>
  <si>
    <t>L</t>
  </si>
  <si>
    <t>rad</t>
  </si>
  <si>
    <r>
      <t xml:space="preserve">Ang  </t>
    </r>
    <r>
      <rPr>
        <sz val="12"/>
        <color theme="1"/>
        <rFont val="Calibri"/>
        <family val="2"/>
      </rPr>
      <t>α</t>
    </r>
  </si>
  <si>
    <r>
      <t xml:space="preserve">H </t>
    </r>
    <r>
      <rPr>
        <sz val="8"/>
        <color theme="1"/>
        <rFont val="Calibri"/>
        <family val="2"/>
        <scheme val="minor"/>
      </rPr>
      <t>fn</t>
    </r>
  </si>
  <si>
    <r>
      <t xml:space="preserve">H </t>
    </r>
    <r>
      <rPr>
        <sz val="8"/>
        <color theme="1"/>
        <rFont val="Calibri"/>
        <family val="2"/>
        <scheme val="minor"/>
      </rPr>
      <t>fl</t>
    </r>
  </si>
  <si>
    <t>Clarificadora</t>
  </si>
  <si>
    <t>Evaporadora 1</t>
  </si>
  <si>
    <r>
      <t>A</t>
    </r>
    <r>
      <rPr>
        <sz val="6"/>
        <color theme="1"/>
        <rFont val="Calibri"/>
        <family val="2"/>
        <scheme val="minor"/>
      </rPr>
      <t>TC</t>
    </r>
  </si>
  <si>
    <r>
      <t>V</t>
    </r>
    <r>
      <rPr>
        <sz val="6"/>
        <color theme="1"/>
        <rFont val="Calibri"/>
        <family val="2"/>
        <scheme val="minor"/>
      </rPr>
      <t>TPA</t>
    </r>
  </si>
  <si>
    <r>
      <t>A</t>
    </r>
    <r>
      <rPr>
        <sz val="8"/>
        <color theme="1"/>
        <rFont val="Calibri"/>
        <family val="2"/>
        <scheme val="minor"/>
      </rPr>
      <t>ca</t>
    </r>
  </si>
  <si>
    <r>
      <t>A</t>
    </r>
    <r>
      <rPr>
        <sz val="8"/>
        <color theme="1"/>
        <rFont val="Calibri"/>
        <family val="2"/>
        <scheme val="minor"/>
      </rPr>
      <t>sc</t>
    </r>
  </si>
  <si>
    <r>
      <t>V</t>
    </r>
    <r>
      <rPr>
        <sz val="6"/>
        <color theme="1"/>
        <rFont val="Calibri"/>
        <family val="2"/>
        <scheme val="minor"/>
      </rPr>
      <t>FA</t>
    </r>
  </si>
  <si>
    <r>
      <t>V</t>
    </r>
    <r>
      <rPr>
        <sz val="8"/>
        <color theme="1"/>
        <rFont val="Calibri"/>
        <family val="2"/>
        <scheme val="minor"/>
      </rPr>
      <t>ca</t>
    </r>
  </si>
  <si>
    <r>
      <t>V</t>
    </r>
    <r>
      <rPr>
        <sz val="6"/>
        <color theme="1"/>
        <rFont val="Calibri"/>
        <family val="2"/>
        <scheme val="minor"/>
      </rPr>
      <t>TJ</t>
    </r>
  </si>
  <si>
    <t>V</t>
  </si>
  <si>
    <r>
      <t>V</t>
    </r>
    <r>
      <rPr>
        <sz val="8"/>
        <color theme="1"/>
        <rFont val="Calibri"/>
        <family val="2"/>
        <scheme val="minor"/>
      </rPr>
      <t>sc</t>
    </r>
  </si>
  <si>
    <t>A2</t>
  </si>
  <si>
    <r>
      <t>R</t>
    </r>
    <r>
      <rPr>
        <sz val="8"/>
        <color theme="1"/>
        <rFont val="Calibri"/>
        <family val="2"/>
        <scheme val="minor"/>
      </rPr>
      <t>ca</t>
    </r>
  </si>
  <si>
    <t>h Al</t>
  </si>
  <si>
    <t>Ax</t>
  </si>
  <si>
    <r>
      <t>A</t>
    </r>
    <r>
      <rPr>
        <sz val="8"/>
        <color theme="1"/>
        <rFont val="Calibri"/>
        <family val="2"/>
        <scheme val="minor"/>
      </rPr>
      <t>cil</t>
    </r>
  </si>
  <si>
    <t>ϴ</t>
  </si>
  <si>
    <r>
      <t>V</t>
    </r>
    <r>
      <rPr>
        <sz val="8"/>
        <color theme="1"/>
        <rFont val="Calibri"/>
        <family val="2"/>
        <scheme val="minor"/>
      </rPr>
      <t>cil</t>
    </r>
  </si>
  <si>
    <t>x</t>
  </si>
  <si>
    <t>h fa</t>
  </si>
  <si>
    <t>R</t>
  </si>
  <si>
    <r>
      <t>A</t>
    </r>
    <r>
      <rPr>
        <sz val="8"/>
        <color theme="1"/>
        <rFont val="Calibri"/>
        <family val="2"/>
        <scheme val="minor"/>
      </rPr>
      <t>sccil</t>
    </r>
  </si>
  <si>
    <t>A1</t>
  </si>
  <si>
    <t>s</t>
  </si>
  <si>
    <t>x2</t>
  </si>
  <si>
    <r>
      <t>h</t>
    </r>
    <r>
      <rPr>
        <sz val="8"/>
        <color theme="1"/>
        <rFont val="Calibri"/>
        <family val="2"/>
        <scheme val="minor"/>
      </rPr>
      <t>c</t>
    </r>
  </si>
  <si>
    <t xml:space="preserve">A </t>
  </si>
  <si>
    <t>x1</t>
  </si>
  <si>
    <t>d</t>
  </si>
  <si>
    <r>
      <t xml:space="preserve">H </t>
    </r>
    <r>
      <rPr>
        <sz val="8"/>
        <rFont val="Calibri"/>
        <family val="2"/>
        <scheme val="minor"/>
      </rPr>
      <t xml:space="preserve">fn </t>
    </r>
  </si>
  <si>
    <t>Concentradora</t>
  </si>
  <si>
    <t>Paila Evaporadora 3</t>
  </si>
  <si>
    <t>Paila Evaporadora 2</t>
  </si>
  <si>
    <t>Configuracion de Pailas</t>
  </si>
  <si>
    <t>Temperatura de Salida</t>
  </si>
  <si>
    <t>Temperatura de Entrada</t>
  </si>
  <si>
    <t>En Litros</t>
  </si>
  <si>
    <t>m^3/kg</t>
  </si>
  <si>
    <t>Vol Jugo</t>
  </si>
  <si>
    <r>
      <t>ρ</t>
    </r>
    <r>
      <rPr>
        <sz val="8"/>
        <color theme="1"/>
        <rFont val="Calibri"/>
        <family val="2"/>
      </rPr>
      <t>jug</t>
    </r>
  </si>
  <si>
    <t>Densidad del Jugo</t>
  </si>
  <si>
    <t>Pirotubular</t>
  </si>
  <si>
    <t>Semiesferica</t>
  </si>
  <si>
    <t>Semicilindrica</t>
  </si>
  <si>
    <t>Tip P</t>
  </si>
  <si>
    <t>Orfg</t>
  </si>
  <si>
    <t>Orsde según Flujo de Gas</t>
  </si>
  <si>
    <t xml:space="preserve">Según John </t>
  </si>
  <si>
    <t>Según Ricardo Jader Apoya</t>
  </si>
  <si>
    <t>ward</t>
  </si>
  <si>
    <t>Capacidad Estimada de la hornilla</t>
  </si>
  <si>
    <t>Masa De panela</t>
  </si>
  <si>
    <t>sem</t>
  </si>
  <si>
    <r>
      <t>J</t>
    </r>
    <r>
      <rPr>
        <sz val="6"/>
        <color theme="1"/>
        <rFont val="Calibri"/>
        <family val="2"/>
        <scheme val="minor"/>
      </rPr>
      <t>dT</t>
    </r>
  </si>
  <si>
    <t>Jornada de Trabajo</t>
  </si>
  <si>
    <t>T/h</t>
  </si>
  <si>
    <r>
      <t>C</t>
    </r>
    <r>
      <rPr>
        <sz val="6"/>
        <color theme="1"/>
        <rFont val="Calibri"/>
        <family val="2"/>
        <scheme val="minor"/>
      </rPr>
      <t>ssi</t>
    </r>
  </si>
  <si>
    <t>CSS de la Caña</t>
  </si>
  <si>
    <t>Jugo Crudo</t>
  </si>
  <si>
    <t>T/Ha</t>
  </si>
  <si>
    <r>
      <t>C</t>
    </r>
    <r>
      <rPr>
        <sz val="6"/>
        <color theme="1"/>
        <rFont val="Calibri"/>
        <family val="2"/>
        <scheme val="minor"/>
      </rPr>
      <t>ñH</t>
    </r>
  </si>
  <si>
    <t>Caña por Hectarea Esperada</t>
  </si>
  <si>
    <t>Caña Molida por Hora</t>
  </si>
  <si>
    <t>meses</t>
  </si>
  <si>
    <r>
      <t>P</t>
    </r>
    <r>
      <rPr>
        <sz val="6"/>
        <color theme="1"/>
        <rFont val="Calibri"/>
        <family val="2"/>
        <scheme val="minor"/>
      </rPr>
      <t>vg</t>
    </r>
  </si>
  <si>
    <t>Periodo vegetatio</t>
  </si>
  <si>
    <t>T/sem</t>
  </si>
  <si>
    <t>Caña molida a la semana</t>
  </si>
  <si>
    <t>Ha</t>
  </si>
  <si>
    <r>
      <t>A</t>
    </r>
    <r>
      <rPr>
        <sz val="6"/>
        <color theme="1"/>
        <rFont val="Calibri"/>
        <family val="2"/>
        <scheme val="minor"/>
      </rPr>
      <t>spc</t>
    </r>
  </si>
  <si>
    <t>Area de Caña Sembrada Para Calculo</t>
  </si>
  <si>
    <t>Ha/mes</t>
  </si>
  <si>
    <t>Area Cosechada al mes</t>
  </si>
  <si>
    <r>
      <t>A</t>
    </r>
    <r>
      <rPr>
        <sz val="6"/>
        <color theme="1"/>
        <rFont val="Calibri"/>
        <family val="2"/>
        <scheme val="minor"/>
      </rPr>
      <t>sp</t>
    </r>
  </si>
  <si>
    <t>Area de Caña Sembrada Propia</t>
  </si>
  <si>
    <t>Cpa Mol</t>
  </si>
  <si>
    <t>Capacidad del Molino</t>
  </si>
  <si>
    <t>T/mes</t>
  </si>
  <si>
    <t>Caña molida al mes</t>
  </si>
  <si>
    <r>
      <t>A</t>
    </r>
    <r>
      <rPr>
        <sz val="6"/>
        <color theme="1"/>
        <rFont val="Calibri"/>
        <family val="2"/>
        <scheme val="minor"/>
      </rPr>
      <t>sar</t>
    </r>
  </si>
  <si>
    <t>Area de Caña Sembrada al rededor</t>
  </si>
  <si>
    <t>Mecaniczado</t>
  </si>
  <si>
    <t>Transporte</t>
  </si>
  <si>
    <t>Oeste</t>
  </si>
  <si>
    <t>Mecanicado</t>
  </si>
  <si>
    <t xml:space="preserve">Cosecha </t>
  </si>
  <si>
    <t>Norte</t>
  </si>
  <si>
    <t>Alimentacion de Caña</t>
  </si>
  <si>
    <t xml:space="preserve">Coordenas </t>
  </si>
  <si>
    <t>Mecanizado</t>
  </si>
  <si>
    <t>Alimentacion de Bagazo</t>
  </si>
  <si>
    <t>Ubicación</t>
  </si>
  <si>
    <t>Concentracion Con Marmitas</t>
  </si>
  <si>
    <t>Panela Pulverizada</t>
  </si>
  <si>
    <t>Producto</t>
  </si>
  <si>
    <t>Nombre del Productor</t>
  </si>
  <si>
    <t>Calor por Convección</t>
  </si>
  <si>
    <t>Diseño Inicial</t>
  </si>
  <si>
    <t>Geometrias Basdas en Diseño Inicial</t>
  </si>
  <si>
    <t>- La Paila Concentradora se Diseño para Obtener Puntos cada 15 minutos de 1/4 de la producción estimada por hora</t>
  </si>
  <si>
    <t>Observación</t>
  </si>
  <si>
    <t>Energia Total Por Etapa</t>
  </si>
  <si>
    <t>Area Paredes Radiación</t>
  </si>
  <si>
    <t>Area Piso Radiación</t>
  </si>
  <si>
    <t>NA</t>
  </si>
  <si>
    <t>m²</t>
  </si>
  <si>
    <t>Area t</t>
  </si>
  <si>
    <t>Area lisa</t>
  </si>
  <si>
    <t>area borde</t>
  </si>
  <si>
    <t>Area Paredes Piso y TechoPara Perdidas</t>
  </si>
  <si>
    <t>Area Chimenea</t>
  </si>
  <si>
    <t>Area Total</t>
  </si>
  <si>
    <t>Pirtubular</t>
  </si>
  <si>
    <t>Calor Especifico  jugo</t>
  </si>
  <si>
    <t>F1-2</t>
  </si>
  <si>
    <t>F1-3</t>
  </si>
  <si>
    <t>F1-4</t>
  </si>
  <si>
    <t>F1-5</t>
  </si>
  <si>
    <t>F1-6</t>
  </si>
  <si>
    <t>F1-1</t>
  </si>
  <si>
    <t>F2-1</t>
  </si>
  <si>
    <t>F2-2</t>
  </si>
  <si>
    <t>F2-3</t>
  </si>
  <si>
    <t>F2-4</t>
  </si>
  <si>
    <t>F2-5</t>
  </si>
  <si>
    <t>F2-6</t>
  </si>
  <si>
    <t>F3-1</t>
  </si>
  <si>
    <t>F3-2</t>
  </si>
  <si>
    <t>F4-1</t>
  </si>
  <si>
    <t>F5-1</t>
  </si>
  <si>
    <t>F6-1</t>
  </si>
  <si>
    <t>F3-3</t>
  </si>
  <si>
    <t>F3-4</t>
  </si>
  <si>
    <t>F3-5</t>
  </si>
  <si>
    <t>F3-6</t>
  </si>
  <si>
    <t>F4-2</t>
  </si>
  <si>
    <t>F4-3</t>
  </si>
  <si>
    <t>F4-4</t>
  </si>
  <si>
    <t>F4-5</t>
  </si>
  <si>
    <t>F4-6</t>
  </si>
  <si>
    <t>F5-2</t>
  </si>
  <si>
    <t>F5-3</t>
  </si>
  <si>
    <t>F5-4</t>
  </si>
  <si>
    <t>F5-5</t>
  </si>
  <si>
    <t>F5-6</t>
  </si>
  <si>
    <t>F6-2</t>
  </si>
  <si>
    <t>F6-3</t>
  </si>
  <si>
    <t>F6-4</t>
  </si>
  <si>
    <t>F6-5</t>
  </si>
  <si>
    <t>F6-6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</si>
</sst>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0"/>
    <numFmt numFmtId="165" formatCode="0.000"/>
    <numFmt numFmtId="166" formatCode="0.000E+00"/>
    <numFmt numFmtId="167" formatCode="0.0000"/>
    <numFmt numFmtId="168" formatCode="0.000000"/>
    <numFmt numFmtId="169" formatCode="0.0.E+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Times New Roman"/>
      <family val="1"/>
    </font>
    <font>
      <b/>
      <i/>
      <sz val="24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Times New Roman"/>
      <family val="1"/>
    </font>
    <font>
      <sz val="6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33">
    <xf numFmtId="0" fontId="0" fillId="0" borderId="0" xfId="0"/>
    <xf numFmtId="164" fontId="0" fillId="2" borderId="7" xfId="0" applyNumberFormat="1" applyFill="1" applyBorder="1" applyAlignment="1">
      <alignment horizontal="left" vertical="center"/>
    </xf>
    <xf numFmtId="164" fontId="0" fillId="2" borderId="8" xfId="0" applyNumberForma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left" vertical="center"/>
    </xf>
    <xf numFmtId="0" fontId="0" fillId="2" borderId="8" xfId="0" applyFill="1" applyBorder="1" applyAlignment="1">
      <alignment horizontal="center" vertical="center"/>
    </xf>
    <xf numFmtId="9" fontId="0" fillId="2" borderId="8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164" fontId="0" fillId="2" borderId="23" xfId="0" applyNumberFormat="1" applyFill="1" applyBorder="1" applyAlignment="1">
      <alignment horizontal="left" vertical="center"/>
    </xf>
    <xf numFmtId="164" fontId="0" fillId="2" borderId="24" xfId="0" applyNumberFormat="1" applyFill="1" applyBorder="1" applyAlignment="1">
      <alignment horizontal="center" vertical="center"/>
    </xf>
    <xf numFmtId="164" fontId="0" fillId="2" borderId="25" xfId="0" applyNumberForma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2" fontId="0" fillId="2" borderId="8" xfId="0" applyNumberFormat="1" applyFill="1" applyBorder="1" applyAlignment="1">
      <alignment horizontal="center" vertical="center"/>
    </xf>
    <xf numFmtId="9" fontId="0" fillId="2" borderId="8" xfId="1" applyFont="1" applyFill="1" applyBorder="1" applyAlignment="1">
      <alignment horizontal="center" vertical="center"/>
    </xf>
    <xf numFmtId="164" fontId="0" fillId="2" borderId="18" xfId="0" applyNumberFormat="1" applyFill="1" applyBorder="1" applyAlignment="1">
      <alignment horizontal="left" vertical="center"/>
    </xf>
    <xf numFmtId="164" fontId="0" fillId="2" borderId="19" xfId="0" applyNumberFormat="1" applyFill="1" applyBorder="1" applyAlignment="1">
      <alignment horizontal="center" vertical="center"/>
    </xf>
    <xf numFmtId="164" fontId="0" fillId="2" borderId="20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 shrinkToFi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/>
    <xf numFmtId="0" fontId="0" fillId="4" borderId="0" xfId="0" applyFill="1" applyBorder="1"/>
    <xf numFmtId="0" fontId="0" fillId="4" borderId="8" xfId="0" applyFill="1" applyBorder="1" applyAlignment="1">
      <alignment horizontal="center"/>
    </xf>
    <xf numFmtId="0" fontId="0" fillId="7" borderId="7" xfId="0" applyFill="1" applyBorder="1" applyAlignment="1">
      <alignment horizontal="left" vertical="center"/>
    </xf>
    <xf numFmtId="0" fontId="0" fillId="7" borderId="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8" xfId="0" applyFill="1" applyBorder="1" applyAlignment="1">
      <alignment horizontal="left" vertical="center"/>
    </xf>
    <xf numFmtId="0" fontId="0" fillId="7" borderId="19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165" fontId="0" fillId="6" borderId="8" xfId="0" applyNumberFormat="1" applyFill="1" applyBorder="1" applyAlignment="1">
      <alignment horizontal="center" vertical="center"/>
    </xf>
    <xf numFmtId="165" fontId="0" fillId="6" borderId="9" xfId="0" applyNumberFormat="1" applyFill="1" applyBorder="1" applyAlignment="1">
      <alignment horizontal="center" vertical="center"/>
    </xf>
    <xf numFmtId="165" fontId="0" fillId="6" borderId="7" xfId="0" applyNumberFormat="1" applyFill="1" applyBorder="1" applyAlignment="1">
      <alignment horizontal="center" vertical="center"/>
    </xf>
    <xf numFmtId="0" fontId="2" fillId="4" borderId="0" xfId="0" applyFont="1" applyFill="1"/>
    <xf numFmtId="0" fontId="0" fillId="4" borderId="0" xfId="0" applyFill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Alignment="1">
      <alignment horizontal="center"/>
    </xf>
    <xf numFmtId="165" fontId="8" fillId="9" borderId="32" xfId="0" applyNumberFormat="1" applyFont="1" applyFill="1" applyBorder="1" applyProtection="1">
      <protection hidden="1"/>
    </xf>
    <xf numFmtId="0" fontId="8" fillId="8" borderId="8" xfId="0" applyFont="1" applyFill="1" applyBorder="1" applyAlignment="1">
      <alignment horizontal="center" vertical="center"/>
    </xf>
    <xf numFmtId="0" fontId="0" fillId="8" borderId="8" xfId="0" applyFill="1" applyBorder="1" applyAlignment="1">
      <alignment horizontal="center"/>
    </xf>
    <xf numFmtId="0" fontId="0" fillId="4" borderId="0" xfId="0" applyFill="1" applyBorder="1" applyAlignment="1"/>
    <xf numFmtId="0" fontId="0" fillId="4" borderId="0" xfId="0" applyFill="1" applyAlignment="1">
      <alignment shrinkToFit="1"/>
    </xf>
    <xf numFmtId="165" fontId="8" fillId="8" borderId="8" xfId="0" applyNumberFormat="1" applyFont="1" applyFill="1" applyBorder="1" applyAlignment="1">
      <alignment horizontal="center" vertical="center"/>
    </xf>
    <xf numFmtId="10" fontId="0" fillId="3" borderId="8" xfId="0" applyNumberFormat="1" applyFill="1" applyBorder="1" applyAlignment="1">
      <alignment horizontal="center" vertical="center"/>
    </xf>
    <xf numFmtId="0" fontId="6" fillId="10" borderId="31" xfId="0" applyFont="1" applyFill="1" applyBorder="1" applyAlignment="1">
      <alignment horizontal="center" vertical="center"/>
    </xf>
    <xf numFmtId="0" fontId="0" fillId="10" borderId="32" xfId="0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0" fillId="10" borderId="2" xfId="0" applyFill="1" applyBorder="1" applyAlignment="1">
      <alignment horizontal="center"/>
    </xf>
    <xf numFmtId="0" fontId="8" fillId="10" borderId="18" xfId="0" applyFont="1" applyFill="1" applyBorder="1" applyAlignment="1">
      <alignment horizontal="center" vertical="center"/>
    </xf>
    <xf numFmtId="0" fontId="8" fillId="10" borderId="19" xfId="0" applyFont="1" applyFill="1" applyBorder="1" applyAlignment="1">
      <alignment horizontal="center" vertical="center"/>
    </xf>
    <xf numFmtId="165" fontId="0" fillId="10" borderId="19" xfId="0" applyNumberFormat="1" applyFill="1" applyBorder="1" applyAlignment="1">
      <alignment horizontal="center"/>
    </xf>
    <xf numFmtId="165" fontId="0" fillId="10" borderId="20" xfId="0" applyNumberFormat="1" applyFill="1" applyBorder="1" applyAlignment="1">
      <alignment horizontal="center"/>
    </xf>
    <xf numFmtId="0" fontId="0" fillId="10" borderId="7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165" fontId="0" fillId="10" borderId="8" xfId="0" applyNumberFormat="1" applyFill="1" applyBorder="1" applyAlignment="1">
      <alignment horizontal="center"/>
    </xf>
    <xf numFmtId="165" fontId="0" fillId="10" borderId="9" xfId="0" applyNumberFormat="1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164" fontId="0" fillId="10" borderId="1" xfId="0" applyNumberFormat="1" applyFill="1" applyBorder="1" applyAlignment="1">
      <alignment horizontal="left" vertical="center"/>
    </xf>
    <xf numFmtId="164" fontId="0" fillId="10" borderId="2" xfId="0" applyNumberFormat="1" applyFill="1" applyBorder="1" applyAlignment="1">
      <alignment horizontal="center" vertical="center"/>
    </xf>
    <xf numFmtId="164" fontId="0" fillId="10" borderId="3" xfId="0" applyNumberFormat="1" applyFill="1" applyBorder="1" applyAlignment="1">
      <alignment horizontal="center" vertical="center"/>
    </xf>
    <xf numFmtId="0" fontId="0" fillId="10" borderId="7" xfId="0" applyFill="1" applyBorder="1" applyAlignment="1">
      <alignment horizontal="left" vertical="center"/>
    </xf>
    <xf numFmtId="0" fontId="0" fillId="10" borderId="9" xfId="0" applyFill="1" applyBorder="1" applyAlignment="1">
      <alignment horizontal="center" vertical="center"/>
    </xf>
    <xf numFmtId="0" fontId="0" fillId="10" borderId="7" xfId="0" applyFill="1" applyBorder="1"/>
    <xf numFmtId="0" fontId="0" fillId="10" borderId="8" xfId="0" applyFill="1" applyBorder="1"/>
    <xf numFmtId="9" fontId="0" fillId="10" borderId="8" xfId="0" applyNumberFormat="1" applyFill="1" applyBorder="1" applyAlignment="1">
      <alignment horizontal="center"/>
    </xf>
    <xf numFmtId="0" fontId="0" fillId="10" borderId="9" xfId="0" applyFill="1" applyBorder="1"/>
    <xf numFmtId="0" fontId="0" fillId="10" borderId="18" xfId="0" applyFill="1" applyBorder="1" applyAlignment="1">
      <alignment horizontal="left" vertical="center"/>
    </xf>
    <xf numFmtId="0" fontId="0" fillId="10" borderId="19" xfId="0" applyFill="1" applyBorder="1" applyAlignment="1">
      <alignment horizontal="center" vertical="center"/>
    </xf>
    <xf numFmtId="10" fontId="0" fillId="10" borderId="19" xfId="0" applyNumberFormat="1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165" fontId="0" fillId="10" borderId="32" xfId="0" applyNumberFormat="1" applyFill="1" applyBorder="1" applyAlignment="1">
      <alignment horizontal="center"/>
    </xf>
    <xf numFmtId="165" fontId="0" fillId="10" borderId="33" xfId="0" applyNumberFormat="1" applyFill="1" applyBorder="1" applyAlignment="1">
      <alignment horizontal="center"/>
    </xf>
    <xf numFmtId="165" fontId="0" fillId="10" borderId="2" xfId="0" applyNumberFormat="1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165" fontId="0" fillId="10" borderId="1" xfId="0" applyNumberFormat="1" applyFill="1" applyBorder="1" applyAlignment="1">
      <alignment horizontal="center" vertical="center"/>
    </xf>
    <xf numFmtId="165" fontId="0" fillId="10" borderId="7" xfId="0" applyNumberForma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164" fontId="8" fillId="6" borderId="8" xfId="0" applyNumberFormat="1" applyFont="1" applyFill="1" applyBorder="1" applyAlignment="1">
      <alignment horizontal="center" vertical="center"/>
    </xf>
    <xf numFmtId="164" fontId="8" fillId="6" borderId="9" xfId="0" applyNumberFormat="1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6" borderId="31" xfId="0" applyFont="1" applyFill="1" applyBorder="1" applyAlignment="1">
      <alignment horizontal="center" vertical="center"/>
    </xf>
    <xf numFmtId="0" fontId="8" fillId="6" borderId="32" xfId="0" applyFont="1" applyFill="1" applyBorder="1" applyAlignment="1">
      <alignment horizontal="center" vertical="center"/>
    </xf>
    <xf numFmtId="0" fontId="8" fillId="6" borderId="33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165" fontId="8" fillId="6" borderId="2" xfId="0" applyNumberFormat="1" applyFont="1" applyFill="1" applyBorder="1" applyProtection="1">
      <protection hidden="1"/>
    </xf>
    <xf numFmtId="165" fontId="8" fillId="6" borderId="3" xfId="0" applyNumberFormat="1" applyFont="1" applyFill="1" applyBorder="1" applyProtection="1">
      <protection hidden="1"/>
    </xf>
    <xf numFmtId="0" fontId="0" fillId="6" borderId="38" xfId="0" applyFill="1" applyBorder="1" applyAlignment="1">
      <alignment horizontal="left" vertical="center"/>
    </xf>
    <xf numFmtId="0" fontId="0" fillId="6" borderId="30" xfId="0" applyFill="1" applyBorder="1" applyAlignment="1">
      <alignment horizontal="center" vertical="center"/>
    </xf>
    <xf numFmtId="0" fontId="0" fillId="6" borderId="45" xfId="0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0" fontId="0" fillId="6" borderId="8" xfId="0" applyFill="1" applyBorder="1" applyAlignment="1">
      <alignment horizontal="center" vertical="center"/>
    </xf>
    <xf numFmtId="0" fontId="0" fillId="6" borderId="37" xfId="0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166" fontId="0" fillId="6" borderId="7" xfId="0" applyNumberFormat="1" applyFill="1" applyBorder="1" applyAlignment="1">
      <alignment horizontal="center" vertical="center"/>
    </xf>
    <xf numFmtId="166" fontId="0" fillId="6" borderId="8" xfId="0" applyNumberFormat="1" applyFill="1" applyBorder="1" applyAlignment="1">
      <alignment horizontal="center" vertical="center"/>
    </xf>
    <xf numFmtId="166" fontId="0" fillId="6" borderId="9" xfId="0" applyNumberFormat="1" applyFill="1" applyBorder="1" applyAlignment="1">
      <alignment horizontal="center" vertical="center"/>
    </xf>
    <xf numFmtId="0" fontId="0" fillId="6" borderId="37" xfId="0" quotePrefix="1" applyFill="1" applyBorder="1" applyAlignment="1">
      <alignment horizontal="center" vertical="center"/>
    </xf>
    <xf numFmtId="0" fontId="0" fillId="6" borderId="26" xfId="0" applyFill="1" applyBorder="1" applyAlignment="1">
      <alignment horizontal="left" vertical="center"/>
    </xf>
    <xf numFmtId="0" fontId="4" fillId="6" borderId="27" xfId="0" applyFont="1" applyFill="1" applyBorder="1" applyAlignment="1">
      <alignment horizontal="center" vertical="center"/>
    </xf>
    <xf numFmtId="0" fontId="0" fillId="6" borderId="47" xfId="0" applyFill="1" applyBorder="1" applyAlignment="1">
      <alignment horizontal="center" vertical="center"/>
    </xf>
    <xf numFmtId="0" fontId="6" fillId="6" borderId="7" xfId="0" applyFont="1" applyFill="1" applyBorder="1" applyAlignment="1">
      <alignment horizontal="left" vertical="center"/>
    </xf>
    <xf numFmtId="166" fontId="8" fillId="6" borderId="7" xfId="0" applyNumberFormat="1" applyFont="1" applyFill="1" applyBorder="1" applyAlignment="1">
      <alignment horizontal="center" vertical="center"/>
    </xf>
    <xf numFmtId="166" fontId="8" fillId="6" borderId="8" xfId="0" applyNumberFormat="1" applyFont="1" applyFill="1" applyBorder="1" applyAlignment="1">
      <alignment horizontal="center" vertical="center"/>
    </xf>
    <xf numFmtId="166" fontId="8" fillId="6" borderId="9" xfId="0" applyNumberFormat="1" applyFont="1" applyFill="1" applyBorder="1" applyAlignment="1">
      <alignment horizontal="center" vertical="center"/>
    </xf>
    <xf numFmtId="0" fontId="0" fillId="6" borderId="18" xfId="0" applyFill="1" applyBorder="1" applyAlignment="1">
      <alignment horizontal="left" vertical="center"/>
    </xf>
    <xf numFmtId="0" fontId="0" fillId="6" borderId="19" xfId="0" applyFill="1" applyBorder="1" applyAlignment="1">
      <alignment horizontal="center" vertical="center"/>
    </xf>
    <xf numFmtId="0" fontId="0" fillId="6" borderId="44" xfId="0" applyFill="1" applyBorder="1" applyAlignment="1">
      <alignment horizontal="center" vertical="center"/>
    </xf>
    <xf numFmtId="165" fontId="8" fillId="6" borderId="18" xfId="0" applyNumberFormat="1" applyFont="1" applyFill="1" applyBorder="1" applyAlignment="1">
      <alignment horizontal="center" vertical="center"/>
    </xf>
    <xf numFmtId="165" fontId="8" fillId="6" borderId="19" xfId="0" applyNumberFormat="1" applyFont="1" applyFill="1" applyBorder="1" applyAlignment="1">
      <alignment horizontal="center" vertical="center"/>
    </xf>
    <xf numFmtId="165" fontId="8" fillId="6" borderId="20" xfId="0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6" borderId="3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18" xfId="0" applyFill="1" applyBorder="1"/>
    <xf numFmtId="0" fontId="0" fillId="10" borderId="19" xfId="0" applyFill="1" applyBorder="1"/>
    <xf numFmtId="0" fontId="0" fillId="4" borderId="14" xfId="0" applyFill="1" applyBorder="1" applyAlignment="1"/>
    <xf numFmtId="0" fontId="0" fillId="4" borderId="0" xfId="0" applyFill="1" applyBorder="1" applyAlignment="1">
      <alignment horizontal="center" vertical="center" shrinkToFit="1"/>
    </xf>
    <xf numFmtId="0" fontId="14" fillId="0" borderId="8" xfId="0" applyFont="1" applyBorder="1" applyAlignment="1">
      <alignment horizontal="center" vertical="center" wrapText="1"/>
    </xf>
    <xf numFmtId="165" fontId="14" fillId="0" borderId="8" xfId="0" applyNumberFormat="1" applyFont="1" applyFill="1" applyBorder="1" applyAlignment="1">
      <alignment horizontal="center" vertical="center"/>
    </xf>
    <xf numFmtId="165" fontId="14" fillId="0" borderId="19" xfId="0" applyNumberFormat="1" applyFont="1" applyFill="1" applyBorder="1" applyAlignment="1">
      <alignment horizontal="center" vertical="center"/>
    </xf>
    <xf numFmtId="11" fontId="0" fillId="6" borderId="8" xfId="0" applyNumberFormat="1" applyFill="1" applyBorder="1" applyAlignment="1">
      <alignment horizontal="center"/>
    </xf>
    <xf numFmtId="0" fontId="4" fillId="6" borderId="2" xfId="0" applyFont="1" applyFill="1" applyBorder="1" applyAlignment="1">
      <alignment horizontal="center" vertical="center"/>
    </xf>
    <xf numFmtId="0" fontId="0" fillId="6" borderId="43" xfId="0" applyFill="1" applyBorder="1" applyAlignment="1">
      <alignment horizontal="center" vertical="center"/>
    </xf>
    <xf numFmtId="166" fontId="0" fillId="6" borderId="7" xfId="0" applyNumberFormat="1" applyFill="1" applyBorder="1"/>
    <xf numFmtId="11" fontId="0" fillId="6" borderId="9" xfId="0" applyNumberFormat="1" applyFill="1" applyBorder="1" applyAlignment="1">
      <alignment horizontal="center"/>
    </xf>
    <xf numFmtId="11" fontId="8" fillId="6" borderId="7" xfId="0" applyNumberFormat="1" applyFont="1" applyFill="1" applyBorder="1" applyAlignment="1">
      <alignment horizontal="center"/>
    </xf>
    <xf numFmtId="11" fontId="8" fillId="6" borderId="8" xfId="0" applyNumberFormat="1" applyFont="1" applyFill="1" applyBorder="1" applyAlignment="1">
      <alignment horizontal="center"/>
    </xf>
    <xf numFmtId="11" fontId="8" fillId="6" borderId="9" xfId="0" applyNumberFormat="1" applyFont="1" applyFill="1" applyBorder="1" applyAlignment="1">
      <alignment horizontal="center"/>
    </xf>
    <xf numFmtId="0" fontId="0" fillId="6" borderId="7" xfId="0" applyFill="1" applyBorder="1" applyAlignment="1">
      <alignment horizontal="center" vertical="center"/>
    </xf>
    <xf numFmtId="0" fontId="8" fillId="6" borderId="20" xfId="0" applyFont="1" applyFill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5" fontId="0" fillId="6" borderId="1" xfId="0" applyNumberFormat="1" applyFill="1" applyBorder="1" applyAlignment="1">
      <alignment horizontal="center" vertical="center"/>
    </xf>
    <xf numFmtId="165" fontId="0" fillId="6" borderId="2" xfId="0" applyNumberForma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shrinkToFit="1"/>
    </xf>
    <xf numFmtId="0" fontId="0" fillId="4" borderId="0" xfId="0" applyFill="1" applyBorder="1" applyAlignment="1">
      <alignment horizontal="center" shrinkToFit="1"/>
    </xf>
    <xf numFmtId="0" fontId="8" fillId="6" borderId="8" xfId="0" applyFont="1" applyFill="1" applyBorder="1" applyAlignment="1">
      <alignment horizontal="center" vertical="center" shrinkToFit="1"/>
    </xf>
    <xf numFmtId="164" fontId="8" fillId="6" borderId="19" xfId="0" applyNumberFormat="1" applyFont="1" applyFill="1" applyBorder="1" applyAlignment="1">
      <alignment horizontal="center" vertical="center" shrinkToFit="1"/>
    </xf>
    <xf numFmtId="165" fontId="8" fillId="8" borderId="8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shrinkToFit="1"/>
    </xf>
    <xf numFmtId="165" fontId="8" fillId="6" borderId="2" xfId="0" applyNumberFormat="1" applyFont="1" applyFill="1" applyBorder="1" applyAlignment="1" applyProtection="1">
      <alignment shrinkToFit="1"/>
      <protection hidden="1"/>
    </xf>
    <xf numFmtId="165" fontId="0" fillId="6" borderId="2" xfId="0" applyNumberFormat="1" applyFill="1" applyBorder="1" applyAlignment="1">
      <alignment horizontal="center" vertical="center" shrinkToFit="1"/>
    </xf>
    <xf numFmtId="165" fontId="0" fillId="6" borderId="8" xfId="0" applyNumberFormat="1" applyFill="1" applyBorder="1" applyAlignment="1">
      <alignment horizontal="center" vertical="center" shrinkToFit="1"/>
    </xf>
    <xf numFmtId="166" fontId="0" fillId="6" borderId="8" xfId="0" applyNumberFormat="1" applyFill="1" applyBorder="1" applyAlignment="1">
      <alignment horizontal="center" vertical="center" shrinkToFit="1"/>
    </xf>
    <xf numFmtId="166" fontId="8" fillId="6" borderId="8" xfId="0" applyNumberFormat="1" applyFont="1" applyFill="1" applyBorder="1" applyAlignment="1">
      <alignment horizontal="center" vertical="center" shrinkToFit="1"/>
    </xf>
    <xf numFmtId="166" fontId="0" fillId="6" borderId="8" xfId="0" applyNumberFormat="1" applyFill="1" applyBorder="1" applyAlignment="1">
      <alignment shrinkToFit="1"/>
    </xf>
    <xf numFmtId="165" fontId="8" fillId="6" borderId="19" xfId="0" applyNumberFormat="1" applyFont="1" applyFill="1" applyBorder="1" applyAlignment="1">
      <alignment horizontal="center" vertical="center" shrinkToFit="1"/>
    </xf>
    <xf numFmtId="0" fontId="0" fillId="6" borderId="2" xfId="0" applyFill="1" applyBorder="1" applyAlignment="1">
      <alignment horizontal="center" vertical="center" shrinkToFit="1"/>
    </xf>
    <xf numFmtId="0" fontId="0" fillId="7" borderId="8" xfId="0" applyFill="1" applyBorder="1" applyAlignment="1">
      <alignment horizontal="center" vertical="center" shrinkToFit="1"/>
    </xf>
    <xf numFmtId="0" fontId="0" fillId="7" borderId="19" xfId="0" applyFill="1" applyBorder="1" applyAlignment="1">
      <alignment horizontal="center" vertical="center" shrinkToFit="1"/>
    </xf>
    <xf numFmtId="11" fontId="8" fillId="6" borderId="8" xfId="0" applyNumberFormat="1" applyFont="1" applyFill="1" applyBorder="1" applyAlignment="1">
      <alignment horizontal="center" shrinkToFit="1"/>
    </xf>
    <xf numFmtId="165" fontId="0" fillId="10" borderId="2" xfId="0" applyNumberFormat="1" applyFill="1" applyBorder="1" applyAlignment="1">
      <alignment horizontal="center" shrinkToFit="1"/>
    </xf>
    <xf numFmtId="165" fontId="0" fillId="10" borderId="8" xfId="0" applyNumberFormat="1" applyFill="1" applyBorder="1" applyAlignment="1">
      <alignment horizontal="center" shrinkToFit="1"/>
    </xf>
    <xf numFmtId="165" fontId="0" fillId="10" borderId="19" xfId="0" applyNumberFormat="1" applyFill="1" applyBorder="1" applyAlignment="1">
      <alignment horizontal="center" shrinkToFit="1"/>
    </xf>
    <xf numFmtId="165" fontId="0" fillId="10" borderId="32" xfId="0" applyNumberFormat="1" applyFill="1" applyBorder="1" applyAlignment="1">
      <alignment horizontal="center" shrinkToFit="1"/>
    </xf>
    <xf numFmtId="165" fontId="14" fillId="0" borderId="8" xfId="0" applyNumberFormat="1" applyFont="1" applyFill="1" applyBorder="1" applyAlignment="1">
      <alignment horizontal="center" vertical="center" shrinkToFit="1"/>
    </xf>
    <xf numFmtId="165" fontId="14" fillId="0" borderId="19" xfId="0" applyNumberFormat="1" applyFont="1" applyFill="1" applyBorder="1" applyAlignment="1">
      <alignment horizontal="center" vertical="center" shrinkToFit="1"/>
    </xf>
    <xf numFmtId="11" fontId="0" fillId="4" borderId="0" xfId="0" applyNumberFormat="1" applyFill="1" applyAlignment="1">
      <alignment shrinkToFit="1"/>
    </xf>
    <xf numFmtId="165" fontId="8" fillId="4" borderId="0" xfId="0" applyNumberFormat="1" applyFont="1" applyFill="1"/>
    <xf numFmtId="165" fontId="8" fillId="6" borderId="1" xfId="0" applyNumberFormat="1" applyFont="1" applyFill="1" applyBorder="1" applyAlignment="1">
      <alignment horizontal="left" vertical="center"/>
    </xf>
    <xf numFmtId="165" fontId="8" fillId="6" borderId="2" xfId="0" applyNumberFormat="1" applyFont="1" applyFill="1" applyBorder="1" applyAlignment="1">
      <alignment horizontal="center" vertical="center"/>
    </xf>
    <xf numFmtId="165" fontId="8" fillId="6" borderId="3" xfId="0" applyNumberFormat="1" applyFont="1" applyFill="1" applyBorder="1" applyAlignment="1">
      <alignment horizontal="center" vertical="center"/>
    </xf>
    <xf numFmtId="165" fontId="8" fillId="6" borderId="1" xfId="0" applyNumberFormat="1" applyFont="1" applyFill="1" applyBorder="1" applyAlignment="1">
      <alignment horizontal="center" vertical="center" shrinkToFit="1"/>
    </xf>
    <xf numFmtId="165" fontId="8" fillId="6" borderId="3" xfId="0" applyNumberFormat="1" applyFont="1" applyFill="1" applyBorder="1" applyAlignment="1">
      <alignment horizontal="center" vertical="center" shrinkToFit="1"/>
    </xf>
    <xf numFmtId="165" fontId="8" fillId="2" borderId="7" xfId="0" applyNumberFormat="1" applyFont="1" applyFill="1" applyBorder="1" applyAlignment="1">
      <alignment horizontal="left" vertical="center"/>
    </xf>
    <xf numFmtId="10" fontId="8" fillId="2" borderId="8" xfId="1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left" vertical="center" shrinkToFit="1"/>
    </xf>
    <xf numFmtId="165" fontId="8" fillId="6" borderId="8" xfId="0" applyNumberFormat="1" applyFont="1" applyFill="1" applyBorder="1" applyAlignment="1">
      <alignment horizontal="center" vertical="center"/>
    </xf>
    <xf numFmtId="165" fontId="8" fillId="6" borderId="9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center" vertical="center" shrinkToFit="1"/>
    </xf>
    <xf numFmtId="165" fontId="8" fillId="6" borderId="9" xfId="0" applyNumberFormat="1" applyFont="1" applyFill="1" applyBorder="1" applyAlignment="1">
      <alignment horizontal="center" vertical="center" shrinkToFit="1"/>
    </xf>
    <xf numFmtId="165" fontId="8" fillId="6" borderId="7" xfId="0" applyNumberFormat="1" applyFont="1" applyFill="1" applyBorder="1" applyAlignment="1">
      <alignment horizontal="left" vertical="center"/>
    </xf>
    <xf numFmtId="10" fontId="8" fillId="6" borderId="8" xfId="1" applyNumberFormat="1" applyFont="1" applyFill="1" applyBorder="1" applyAlignment="1">
      <alignment horizontal="center" vertical="center"/>
    </xf>
    <xf numFmtId="165" fontId="8" fillId="6" borderId="18" xfId="0" applyNumberFormat="1" applyFont="1" applyFill="1" applyBorder="1" applyAlignment="1">
      <alignment horizontal="left" vertical="center"/>
    </xf>
    <xf numFmtId="165" fontId="8" fillId="6" borderId="18" xfId="0" applyNumberFormat="1" applyFont="1" applyFill="1" applyBorder="1" applyAlignment="1">
      <alignment horizontal="center" vertical="center" shrinkToFit="1"/>
    </xf>
    <xf numFmtId="165" fontId="8" fillId="6" borderId="19" xfId="0" applyNumberFormat="1" applyFont="1" applyFill="1" applyBorder="1" applyAlignment="1">
      <alignment horizontal="center"/>
    </xf>
    <xf numFmtId="165" fontId="8" fillId="6" borderId="20" xfId="0" applyNumberFormat="1" applyFont="1" applyFill="1" applyBorder="1" applyAlignment="1">
      <alignment horizontal="center" vertical="center" shrinkToFit="1"/>
    </xf>
    <xf numFmtId="165" fontId="8" fillId="4" borderId="0" xfId="0" applyNumberFormat="1" applyFont="1" applyFill="1" applyBorder="1" applyAlignment="1">
      <alignment vertical="center"/>
    </xf>
    <xf numFmtId="165" fontId="8" fillId="4" borderId="0" xfId="0" applyNumberFormat="1" applyFont="1" applyFill="1" applyAlignment="1">
      <alignment shrinkToFit="1"/>
    </xf>
    <xf numFmtId="165" fontId="8" fillId="6" borderId="26" xfId="0" applyNumberFormat="1" applyFont="1" applyFill="1" applyBorder="1" applyAlignment="1">
      <alignment horizontal="left" vertical="center" shrinkToFit="1"/>
    </xf>
    <xf numFmtId="165" fontId="8" fillId="6" borderId="27" xfId="0" applyNumberFormat="1" applyFont="1" applyFill="1" applyBorder="1" applyAlignment="1">
      <alignment horizontal="center" vertical="center"/>
    </xf>
    <xf numFmtId="165" fontId="8" fillId="6" borderId="28" xfId="0" applyNumberFormat="1" applyFont="1" applyFill="1" applyBorder="1" applyAlignment="1">
      <alignment horizontal="center" vertical="center"/>
    </xf>
    <xf numFmtId="165" fontId="8" fillId="6" borderId="8" xfId="0" applyNumberFormat="1" applyFont="1" applyFill="1" applyBorder="1" applyAlignment="1">
      <alignment horizontal="center"/>
    </xf>
    <xf numFmtId="165" fontId="8" fillId="6" borderId="38" xfId="0" applyNumberFormat="1" applyFont="1" applyFill="1" applyBorder="1" applyAlignment="1">
      <alignment horizontal="left" vertical="center"/>
    </xf>
    <xf numFmtId="165" fontId="8" fillId="6" borderId="30" xfId="0" applyNumberFormat="1" applyFont="1" applyFill="1" applyBorder="1" applyAlignment="1">
      <alignment horizontal="center" vertical="center"/>
    </xf>
    <xf numFmtId="165" fontId="8" fillId="6" borderId="39" xfId="0" applyNumberFormat="1" applyFont="1" applyFill="1" applyBorder="1" applyAlignment="1">
      <alignment horizontal="center" vertical="center"/>
    </xf>
    <xf numFmtId="165" fontId="8" fillId="6" borderId="20" xfId="0" applyNumberFormat="1" applyFont="1" applyFill="1" applyBorder="1" applyAlignment="1">
      <alignment vertical="center" shrinkToFit="1"/>
    </xf>
    <xf numFmtId="0" fontId="8" fillId="4" borderId="0" xfId="0" applyFont="1" applyFill="1" applyAlignment="1">
      <alignment shrinkToFit="1"/>
    </xf>
    <xf numFmtId="0" fontId="8" fillId="4" borderId="0" xfId="0" applyFont="1" applyFill="1"/>
    <xf numFmtId="0" fontId="8" fillId="6" borderId="2" xfId="0" applyFont="1" applyFill="1" applyBorder="1"/>
    <xf numFmtId="0" fontId="8" fillId="6" borderId="3" xfId="0" applyFont="1" applyFill="1" applyBorder="1" applyAlignment="1">
      <alignment shrinkToFit="1"/>
    </xf>
    <xf numFmtId="165" fontId="8" fillId="6" borderId="18" xfId="0" applyNumberFormat="1" applyFont="1" applyFill="1" applyBorder="1" applyAlignment="1">
      <alignment vertical="center" shrinkToFit="1"/>
    </xf>
    <xf numFmtId="165" fontId="8" fillId="6" borderId="19" xfId="0" applyNumberFormat="1" applyFont="1" applyFill="1" applyBorder="1" applyAlignment="1">
      <alignment vertical="center"/>
    </xf>
    <xf numFmtId="165" fontId="8" fillId="4" borderId="0" xfId="0" applyNumberFormat="1" applyFont="1" applyFill="1" applyBorder="1" applyAlignment="1">
      <alignment horizontal="left" vertical="center"/>
    </xf>
    <xf numFmtId="165" fontId="8" fillId="4" borderId="0" xfId="0" applyNumberFormat="1" applyFont="1" applyFill="1" applyBorder="1" applyAlignment="1">
      <alignment horizontal="center" vertical="center"/>
    </xf>
    <xf numFmtId="165" fontId="8" fillId="6" borderId="31" xfId="0" applyNumberFormat="1" applyFont="1" applyFill="1" applyBorder="1" applyAlignment="1">
      <alignment horizontal="left" vertical="center"/>
    </xf>
    <xf numFmtId="0" fontId="8" fillId="0" borderId="5" xfId="0" applyFont="1" applyBorder="1"/>
    <xf numFmtId="165" fontId="8" fillId="3" borderId="33" xfId="0" applyNumberFormat="1" applyFont="1" applyFill="1" applyBorder="1" applyAlignment="1">
      <alignment horizontal="center" vertical="center"/>
    </xf>
    <xf numFmtId="165" fontId="8" fillId="9" borderId="31" xfId="0" applyNumberFormat="1" applyFont="1" applyFill="1" applyBorder="1" applyAlignment="1">
      <alignment horizontal="left" vertical="center"/>
    </xf>
    <xf numFmtId="0" fontId="8" fillId="9" borderId="32" xfId="0" applyFont="1" applyFill="1" applyBorder="1"/>
    <xf numFmtId="0" fontId="8" fillId="9" borderId="32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165" fontId="8" fillId="4" borderId="0" xfId="0" applyNumberFormat="1" applyFont="1" applyFill="1" applyBorder="1"/>
    <xf numFmtId="0" fontId="8" fillId="6" borderId="2" xfId="0" applyFont="1" applyFill="1" applyBorder="1" applyAlignment="1">
      <alignment horizontal="center"/>
    </xf>
    <xf numFmtId="0" fontId="8" fillId="6" borderId="8" xfId="0" applyFont="1" applyFill="1" applyBorder="1"/>
    <xf numFmtId="0" fontId="8" fillId="6" borderId="8" xfId="0" applyFont="1" applyFill="1" applyBorder="1" applyAlignment="1">
      <alignment horizontal="center"/>
    </xf>
    <xf numFmtId="165" fontId="8" fillId="6" borderId="8" xfId="0" applyNumberFormat="1" applyFont="1" applyFill="1" applyBorder="1"/>
    <xf numFmtId="165" fontId="8" fillId="6" borderId="8" xfId="0" applyNumberFormat="1" applyFont="1" applyFill="1" applyBorder="1" applyAlignment="1">
      <alignment shrinkToFit="1"/>
    </xf>
    <xf numFmtId="165" fontId="8" fillId="6" borderId="9" xfId="0" applyNumberFormat="1" applyFont="1" applyFill="1" applyBorder="1"/>
    <xf numFmtId="165" fontId="8" fillId="6" borderId="7" xfId="0" applyNumberFormat="1" applyFont="1" applyFill="1" applyBorder="1"/>
    <xf numFmtId="165" fontId="8" fillId="6" borderId="18" xfId="0" applyNumberFormat="1" applyFont="1" applyFill="1" applyBorder="1"/>
    <xf numFmtId="165" fontId="8" fillId="6" borderId="19" xfId="0" applyNumberFormat="1" applyFont="1" applyFill="1" applyBorder="1"/>
    <xf numFmtId="165" fontId="8" fillId="6" borderId="20" xfId="0" applyNumberFormat="1" applyFont="1" applyFill="1" applyBorder="1"/>
    <xf numFmtId="165" fontId="0" fillId="5" borderId="8" xfId="0" applyNumberFormat="1" applyFill="1" applyBorder="1" applyAlignment="1">
      <alignment horizontal="center"/>
    </xf>
    <xf numFmtId="165" fontId="0" fillId="8" borderId="8" xfId="0" applyNumberFormat="1" applyFill="1" applyBorder="1" applyAlignment="1">
      <alignment horizontal="center"/>
    </xf>
    <xf numFmtId="165" fontId="0" fillId="8" borderId="8" xfId="0" applyNumberFormat="1" applyFill="1" applyBorder="1" applyAlignment="1">
      <alignment horizontal="center" shrinkToFit="1"/>
    </xf>
    <xf numFmtId="0" fontId="10" fillId="8" borderId="8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8" fillId="8" borderId="18" xfId="0" applyFont="1" applyFill="1" applyBorder="1" applyAlignment="1">
      <alignment horizontal="center" vertical="center"/>
    </xf>
    <xf numFmtId="0" fontId="8" fillId="8" borderId="19" xfId="0" applyFont="1" applyFill="1" applyBorder="1" applyAlignment="1">
      <alignment horizontal="center" vertical="center"/>
    </xf>
    <xf numFmtId="165" fontId="8" fillId="8" borderId="19" xfId="0" applyNumberFormat="1" applyFont="1" applyFill="1" applyBorder="1" applyAlignment="1">
      <alignment horizontal="center" vertical="center"/>
    </xf>
    <xf numFmtId="165" fontId="8" fillId="8" borderId="19" xfId="0" applyNumberFormat="1" applyFont="1" applyFill="1" applyBorder="1" applyAlignment="1">
      <alignment horizontal="center" vertical="center" shrinkToFit="1"/>
    </xf>
    <xf numFmtId="0" fontId="8" fillId="8" borderId="40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0" fillId="8" borderId="9" xfId="0" applyFill="1" applyBorder="1" applyAlignment="1">
      <alignment horizontal="center"/>
    </xf>
    <xf numFmtId="0" fontId="8" fillId="8" borderId="20" xfId="0" applyFont="1" applyFill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 shrinkToFit="1"/>
    </xf>
    <xf numFmtId="0" fontId="0" fillId="0" borderId="0" xfId="0" applyBorder="1"/>
    <xf numFmtId="167" fontId="8" fillId="8" borderId="8" xfId="0" applyNumberFormat="1" applyFont="1" applyFill="1" applyBorder="1" applyAlignment="1">
      <alignment horizontal="center" vertical="center"/>
    </xf>
    <xf numFmtId="2" fontId="17" fillId="0" borderId="50" xfId="0" applyNumberFormat="1" applyFont="1" applyBorder="1"/>
    <xf numFmtId="165" fontId="8" fillId="6" borderId="7" xfId="0" applyNumberFormat="1" applyFont="1" applyFill="1" applyBorder="1" applyAlignment="1">
      <alignment horizontal="center" vertical="center"/>
    </xf>
    <xf numFmtId="165" fontId="8" fillId="6" borderId="38" xfId="0" applyNumberFormat="1" applyFont="1" applyFill="1" applyBorder="1" applyAlignment="1">
      <alignment horizontal="center" vertical="center" shrinkToFit="1"/>
    </xf>
    <xf numFmtId="165" fontId="8" fillId="6" borderId="30" xfId="0" applyNumberFormat="1" applyFont="1" applyFill="1" applyBorder="1" applyAlignment="1">
      <alignment horizontal="center"/>
    </xf>
    <xf numFmtId="165" fontId="8" fillId="6" borderId="7" xfId="0" applyNumberFormat="1" applyFont="1" applyFill="1" applyBorder="1" applyAlignment="1">
      <alignment horizontal="center" shrinkToFit="1"/>
    </xf>
    <xf numFmtId="165" fontId="8" fillId="6" borderId="9" xfId="0" applyNumberFormat="1" applyFont="1" applyFill="1" applyBorder="1" applyAlignment="1">
      <alignment horizontal="center" shrinkToFit="1"/>
    </xf>
    <xf numFmtId="165" fontId="8" fillId="6" borderId="39" xfId="0" applyNumberFormat="1" applyFont="1" applyFill="1" applyBorder="1" applyAlignment="1">
      <alignment horizontal="center" vertical="center" shrinkToFit="1"/>
    </xf>
    <xf numFmtId="0" fontId="14" fillId="0" borderId="9" xfId="0" applyFont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165" fontId="18" fillId="4" borderId="8" xfId="0" applyNumberFormat="1" applyFont="1" applyFill="1" applyBorder="1" applyAlignment="1">
      <alignment horizontal="center" vertical="center"/>
    </xf>
    <xf numFmtId="165" fontId="18" fillId="4" borderId="9" xfId="0" applyNumberFormat="1" applyFont="1" applyFill="1" applyBorder="1" applyAlignment="1">
      <alignment horizontal="center" vertical="center"/>
    </xf>
    <xf numFmtId="165" fontId="18" fillId="4" borderId="19" xfId="0" applyNumberFormat="1" applyFont="1" applyFill="1" applyBorder="1" applyAlignment="1">
      <alignment horizontal="center" vertical="center"/>
    </xf>
    <xf numFmtId="165" fontId="18" fillId="4" borderId="20" xfId="0" applyNumberFormat="1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/>
    </xf>
    <xf numFmtId="165" fontId="8" fillId="4" borderId="0" xfId="0" applyNumberFormat="1" applyFont="1" applyFill="1" applyBorder="1" applyAlignment="1">
      <alignment horizontal="center"/>
    </xf>
    <xf numFmtId="0" fontId="17" fillId="0" borderId="0" xfId="0" applyFont="1" applyBorder="1"/>
    <xf numFmtId="168" fontId="0" fillId="6" borderId="15" xfId="0" applyNumberFormat="1" applyFill="1" applyBorder="1" applyAlignment="1">
      <alignment horizontal="center"/>
    </xf>
    <xf numFmtId="165" fontId="0" fillId="6" borderId="7" xfId="0" applyNumberFormat="1" applyFill="1" applyBorder="1" applyAlignment="1">
      <alignment horizontal="center"/>
    </xf>
    <xf numFmtId="165" fontId="0" fillId="6" borderId="8" xfId="0" applyNumberFormat="1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65" fontId="0" fillId="6" borderId="9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 shrinkToFit="1"/>
    </xf>
    <xf numFmtId="165" fontId="0" fillId="6" borderId="7" xfId="0" applyNumberFormat="1" applyFill="1" applyBorder="1" applyAlignment="1">
      <alignment horizontal="center" shrinkToFit="1"/>
    </xf>
    <xf numFmtId="0" fontId="0" fillId="6" borderId="18" xfId="0" applyFill="1" applyBorder="1" applyAlignment="1">
      <alignment horizontal="center" shrinkToFit="1"/>
    </xf>
    <xf numFmtId="9" fontId="0" fillId="6" borderId="19" xfId="1" applyFont="1" applyFill="1" applyBorder="1" applyAlignment="1">
      <alignment horizontal="center"/>
    </xf>
    <xf numFmtId="9" fontId="0" fillId="6" borderId="20" xfId="1" applyFont="1" applyFill="1" applyBorder="1" applyAlignment="1">
      <alignment horizontal="center"/>
    </xf>
    <xf numFmtId="0" fontId="0" fillId="10" borderId="53" xfId="0" applyFill="1" applyBorder="1" applyAlignment="1">
      <alignment horizontal="center" vertical="center"/>
    </xf>
    <xf numFmtId="0" fontId="0" fillId="10" borderId="43" xfId="0" applyFill="1" applyBorder="1" applyAlignment="1">
      <alignment horizontal="center"/>
    </xf>
    <xf numFmtId="0" fontId="0" fillId="10" borderId="37" xfId="0" applyFill="1" applyBorder="1" applyAlignment="1">
      <alignment horizontal="center" vertical="center"/>
    </xf>
    <xf numFmtId="0" fontId="0" fillId="10" borderId="37" xfId="0" applyFill="1" applyBorder="1" applyAlignment="1">
      <alignment horizontal="center"/>
    </xf>
    <xf numFmtId="0" fontId="8" fillId="10" borderId="44" xfId="0" applyFont="1" applyFill="1" applyBorder="1" applyAlignment="1">
      <alignment horizontal="center" vertical="center"/>
    </xf>
    <xf numFmtId="165" fontId="0" fillId="10" borderId="1" xfId="0" applyNumberFormat="1" applyFill="1" applyBorder="1" applyAlignment="1">
      <alignment horizontal="center"/>
    </xf>
    <xf numFmtId="165" fontId="0" fillId="10" borderId="7" xfId="0" applyNumberFormat="1" applyFill="1" applyBorder="1" applyAlignment="1">
      <alignment horizontal="center"/>
    </xf>
    <xf numFmtId="165" fontId="0" fillId="10" borderId="18" xfId="0" applyNumberFormat="1" applyFill="1" applyBorder="1" applyAlignment="1">
      <alignment horizontal="center"/>
    </xf>
    <xf numFmtId="0" fontId="0" fillId="6" borderId="4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49" xfId="0" applyFill="1" applyBorder="1" applyAlignment="1">
      <alignment horizontal="center" vertical="center"/>
    </xf>
    <xf numFmtId="0" fontId="0" fillId="6" borderId="55" xfId="0" applyFill="1" applyBorder="1" applyAlignment="1">
      <alignment horizontal="center" vertical="center"/>
    </xf>
    <xf numFmtId="0" fontId="0" fillId="6" borderId="46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165" fontId="0" fillId="2" borderId="8" xfId="0" applyNumberFormat="1" applyFill="1" applyBorder="1" applyAlignment="1">
      <alignment horizontal="center" vertical="center"/>
    </xf>
    <xf numFmtId="164" fontId="0" fillId="0" borderId="14" xfId="0" applyNumberFormat="1" applyBorder="1" applyAlignment="1">
      <alignment vertical="center"/>
    </xf>
    <xf numFmtId="165" fontId="0" fillId="4" borderId="0" xfId="0" applyNumberFormat="1" applyFill="1" applyAlignment="1">
      <alignment horizontal="center" vertical="center" shrinkToFit="1"/>
    </xf>
    <xf numFmtId="164" fontId="0" fillId="4" borderId="0" xfId="0" applyNumberFormat="1" applyFill="1" applyBorder="1" applyAlignment="1">
      <alignment horizontal="center" vertical="center" shrinkToFit="1"/>
    </xf>
    <xf numFmtId="0" fontId="16" fillId="4" borderId="0" xfId="0" applyFont="1" applyFill="1"/>
    <xf numFmtId="0" fontId="3" fillId="6" borderId="0" xfId="0" applyFont="1" applyFill="1" applyBorder="1" applyAlignment="1">
      <alignment horizontal="center"/>
    </xf>
    <xf numFmtId="164" fontId="0" fillId="6" borderId="49" xfId="0" applyNumberFormat="1" applyFill="1" applyBorder="1" applyAlignment="1">
      <alignment horizontal="center" vertical="center" shrinkToFit="1"/>
    </xf>
    <xf numFmtId="164" fontId="4" fillId="6" borderId="14" xfId="0" applyNumberFormat="1" applyFont="1" applyFill="1" applyBorder="1" applyAlignment="1">
      <alignment horizontal="center" vertical="center" shrinkToFit="1"/>
    </xf>
    <xf numFmtId="164" fontId="0" fillId="6" borderId="15" xfId="0" applyNumberFormat="1" applyFill="1" applyBorder="1" applyAlignment="1">
      <alignment horizontal="center" vertical="center" shrinkToFit="1"/>
    </xf>
    <xf numFmtId="164" fontId="4" fillId="6" borderId="0" xfId="0" applyNumberFormat="1" applyFont="1" applyFill="1" applyBorder="1" applyAlignment="1">
      <alignment horizontal="center" vertical="center" shrinkToFit="1"/>
    </xf>
    <xf numFmtId="164" fontId="4" fillId="6" borderId="55" xfId="0" applyNumberFormat="1" applyFont="1" applyFill="1" applyBorder="1" applyAlignment="1">
      <alignment horizontal="center" vertical="center" shrinkToFit="1"/>
    </xf>
    <xf numFmtId="164" fontId="0" fillId="6" borderId="56" xfId="0" applyNumberFormat="1" applyFill="1" applyBorder="1" applyAlignment="1">
      <alignment horizontal="center" vertical="center" shrinkToFit="1"/>
    </xf>
    <xf numFmtId="164" fontId="0" fillId="6" borderId="7" xfId="0" applyNumberFormat="1" applyFill="1" applyBorder="1" applyAlignment="1">
      <alignment vertical="center"/>
    </xf>
    <xf numFmtId="164" fontId="0" fillId="6" borderId="8" xfId="0" applyNumberFormat="1" applyFill="1" applyBorder="1" applyAlignment="1">
      <alignment vertical="center"/>
    </xf>
    <xf numFmtId="9" fontId="0" fillId="6" borderId="8" xfId="1" applyFont="1" applyFill="1" applyBorder="1" applyAlignment="1">
      <alignment horizontal="center" vertical="center"/>
    </xf>
    <xf numFmtId="164" fontId="0" fillId="6" borderId="9" xfId="0" applyNumberFormat="1" applyFill="1" applyBorder="1" applyAlignment="1">
      <alignment vertical="center"/>
    </xf>
    <xf numFmtId="164" fontId="0" fillId="6" borderId="8" xfId="0" applyNumberFormat="1" applyFill="1" applyBorder="1" applyAlignment="1">
      <alignment horizontal="center" vertical="center"/>
    </xf>
    <xf numFmtId="164" fontId="0" fillId="6" borderId="18" xfId="0" applyNumberFormat="1" applyFill="1" applyBorder="1" applyAlignment="1">
      <alignment horizontal="left" vertical="center"/>
    </xf>
    <xf numFmtId="164" fontId="0" fillId="6" borderId="19" xfId="0" applyNumberFormat="1" applyFill="1" applyBorder="1" applyAlignment="1">
      <alignment horizontal="center" vertical="center"/>
    </xf>
    <xf numFmtId="164" fontId="0" fillId="6" borderId="20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 shrinkToFit="1"/>
    </xf>
    <xf numFmtId="165" fontId="0" fillId="6" borderId="0" xfId="0" applyNumberFormat="1" applyFill="1" applyBorder="1" applyAlignment="1">
      <alignment horizontal="center" vertical="center" shrinkToFit="1"/>
    </xf>
    <xf numFmtId="165" fontId="0" fillId="6" borderId="55" xfId="0" applyNumberFormat="1" applyFill="1" applyBorder="1" applyAlignment="1">
      <alignment horizontal="center" vertical="center" shrinkToFit="1"/>
    </xf>
    <xf numFmtId="165" fontId="0" fillId="6" borderId="0" xfId="0" applyNumberFormat="1" applyFill="1" applyBorder="1" applyAlignment="1">
      <alignment horizontal="center"/>
    </xf>
    <xf numFmtId="0" fontId="0" fillId="6" borderId="49" xfId="0" applyFill="1" applyBorder="1" applyAlignment="1">
      <alignment horizontal="center" vertical="center" shrinkToFit="1"/>
    </xf>
    <xf numFmtId="0" fontId="0" fillId="6" borderId="56" xfId="0" applyFill="1" applyBorder="1" applyAlignment="1">
      <alignment horizontal="center" vertical="center" shrinkToFit="1"/>
    </xf>
    <xf numFmtId="0" fontId="0" fillId="4" borderId="55" xfId="0" applyFill="1" applyBorder="1" applyAlignment="1"/>
    <xf numFmtId="0" fontId="0" fillId="2" borderId="8" xfId="0" quotePrefix="1" applyFill="1" applyBorder="1" applyAlignment="1">
      <alignment horizontal="center" vertical="center"/>
    </xf>
    <xf numFmtId="165" fontId="8" fillId="6" borderId="38" xfId="0" applyNumberFormat="1" applyFont="1" applyFill="1" applyBorder="1" applyAlignment="1">
      <alignment horizontal="left" vertical="center" shrinkToFit="1"/>
    </xf>
    <xf numFmtId="11" fontId="8" fillId="6" borderId="8" xfId="0" applyNumberFormat="1" applyFont="1" applyFill="1" applyBorder="1" applyAlignment="1">
      <alignment horizontal="center" vertical="center"/>
    </xf>
    <xf numFmtId="165" fontId="8" fillId="8" borderId="37" xfId="0" applyNumberFormat="1" applyFont="1" applyFill="1" applyBorder="1" applyAlignment="1">
      <alignment horizontal="center" vertical="center"/>
    </xf>
    <xf numFmtId="165" fontId="0" fillId="8" borderId="37" xfId="0" applyNumberFormat="1" applyFill="1" applyBorder="1" applyAlignment="1">
      <alignment horizontal="center"/>
    </xf>
    <xf numFmtId="167" fontId="8" fillId="8" borderId="37" xfId="0" applyNumberFormat="1" applyFont="1" applyFill="1" applyBorder="1" applyAlignment="1">
      <alignment horizontal="center" vertical="center"/>
    </xf>
    <xf numFmtId="165" fontId="8" fillId="8" borderId="44" xfId="0" applyNumberFormat="1" applyFont="1" applyFill="1" applyBorder="1" applyAlignment="1">
      <alignment horizontal="center" vertical="center"/>
    </xf>
    <xf numFmtId="165" fontId="8" fillId="4" borderId="29" xfId="0" applyNumberFormat="1" applyFont="1" applyFill="1" applyBorder="1" applyAlignment="1"/>
    <xf numFmtId="0" fontId="0" fillId="4" borderId="5" xfId="0" applyFill="1" applyBorder="1" applyAlignment="1"/>
    <xf numFmtId="0" fontId="0" fillId="6" borderId="15" xfId="0" applyFont="1" applyFill="1" applyBorder="1" applyAlignment="1">
      <alignment shrinkToFit="1"/>
    </xf>
    <xf numFmtId="0" fontId="0" fillId="6" borderId="49" xfId="0" applyFont="1" applyFill="1" applyBorder="1" applyAlignment="1">
      <alignment shrinkToFit="1"/>
    </xf>
    <xf numFmtId="0" fontId="0" fillId="6" borderId="49" xfId="0" applyFont="1" applyFill="1" applyBorder="1" applyAlignment="1">
      <alignment horizontal="center" vertical="center" shrinkToFit="1"/>
    </xf>
    <xf numFmtId="0" fontId="0" fillId="6" borderId="56" xfId="0" applyFont="1" applyFill="1" applyBorder="1" applyAlignment="1">
      <alignment horizontal="center" vertical="center" shrinkToFit="1"/>
    </xf>
    <xf numFmtId="0" fontId="0" fillId="2" borderId="8" xfId="0" applyFill="1" applyBorder="1" applyAlignment="1">
      <alignment horizontal="center" vertical="center"/>
    </xf>
    <xf numFmtId="0" fontId="0" fillId="6" borderId="0" xfId="0" applyFill="1" applyBorder="1" applyAlignment="1">
      <alignment horizontal="center"/>
    </xf>
    <xf numFmtId="164" fontId="0" fillId="6" borderId="55" xfId="0" applyNumberFormat="1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0" fontId="0" fillId="6" borderId="14" xfId="0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0" fontId="0" fillId="6" borderId="55" xfId="0" applyFill="1" applyBorder="1" applyAlignment="1">
      <alignment horizontal="center" vertical="center" shrinkToFit="1"/>
    </xf>
    <xf numFmtId="0" fontId="0" fillId="6" borderId="15" xfId="0" applyFill="1" applyBorder="1" applyAlignment="1">
      <alignment horizontal="center" vertical="center" shrinkToFit="1"/>
    </xf>
    <xf numFmtId="0" fontId="0" fillId="4" borderId="48" xfId="0" applyFill="1" applyBorder="1"/>
    <xf numFmtId="0" fontId="0" fillId="4" borderId="0" xfId="0" applyFill="1" applyBorder="1" applyAlignment="1">
      <alignment horizontal="center" vertical="center"/>
    </xf>
    <xf numFmtId="0" fontId="0" fillId="4" borderId="56" xfId="0" applyFill="1" applyBorder="1" applyAlignment="1">
      <alignment horizontal="center" vertical="center"/>
    </xf>
    <xf numFmtId="0" fontId="0" fillId="4" borderId="55" xfId="0" applyFill="1" applyBorder="1" applyAlignment="1">
      <alignment horizontal="center" vertical="center"/>
    </xf>
    <xf numFmtId="164" fontId="0" fillId="3" borderId="19" xfId="0" applyNumberFormat="1" applyFill="1" applyBorder="1" applyAlignment="1">
      <alignment horizontal="center" vertical="center"/>
    </xf>
    <xf numFmtId="164" fontId="6" fillId="3" borderId="18" xfId="0" applyNumberFormat="1" applyFon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164" fontId="0" fillId="4" borderId="22" xfId="0" applyNumberFormat="1" applyFill="1" applyBorder="1" applyAlignment="1">
      <alignment horizontal="center" vertical="center"/>
    </xf>
    <xf numFmtId="164" fontId="0" fillId="4" borderId="21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9" fontId="0" fillId="4" borderId="8" xfId="1" applyFont="1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4" fontId="0" fillId="5" borderId="8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0" fillId="4" borderId="30" xfId="0" applyNumberFormat="1" applyFill="1" applyBorder="1" applyAlignment="1">
      <alignment horizontal="center" vertical="center"/>
    </xf>
    <xf numFmtId="164" fontId="0" fillId="4" borderId="38" xfId="0" applyNumberFormat="1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164" fontId="0" fillId="4" borderId="2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vertical="center"/>
    </xf>
    <xf numFmtId="164" fontId="0" fillId="4" borderId="0" xfId="0" applyNumberFormat="1" applyFill="1" applyBorder="1" applyAlignment="1">
      <alignment horizontal="center" vertical="center"/>
    </xf>
    <xf numFmtId="164" fontId="0" fillId="4" borderId="56" xfId="0" applyNumberFormat="1" applyFill="1" applyBorder="1" applyAlignment="1">
      <alignment horizontal="center" vertical="center"/>
    </xf>
    <xf numFmtId="164" fontId="0" fillId="4" borderId="55" xfId="0" applyNumberFormat="1" applyFill="1" applyBorder="1" applyAlignment="1">
      <alignment horizontal="center" vertical="center"/>
    </xf>
    <xf numFmtId="164" fontId="0" fillId="3" borderId="18" xfId="0" applyNumberFormat="1" applyFill="1" applyBorder="1" applyAlignment="1">
      <alignment horizontal="center" vertical="center"/>
    </xf>
    <xf numFmtId="164" fontId="0" fillId="4" borderId="49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4" fontId="0" fillId="4" borderId="0" xfId="0" applyNumberFormat="1" applyFont="1" applyFill="1" applyBorder="1" applyAlignment="1">
      <alignment horizontal="center" vertical="center"/>
    </xf>
    <xf numFmtId="164" fontId="8" fillId="4" borderId="7" xfId="0" applyNumberFormat="1" applyFont="1" applyFill="1" applyBorder="1" applyAlignment="1">
      <alignment horizontal="center" vertical="center"/>
    </xf>
    <xf numFmtId="164" fontId="8" fillId="4" borderId="38" xfId="0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164" fontId="8" fillId="6" borderId="9" xfId="0" applyNumberFormat="1" applyFont="1" applyFill="1" applyBorder="1" applyAlignment="1">
      <alignment horizontal="center" vertical="center" shrinkToFit="1"/>
    </xf>
    <xf numFmtId="164" fontId="8" fillId="6" borderId="8" xfId="0" applyNumberFormat="1" applyFont="1" applyFill="1" applyBorder="1" applyAlignment="1">
      <alignment horizontal="center" vertical="center" shrinkToFit="1"/>
    </xf>
    <xf numFmtId="164" fontId="8" fillId="6" borderId="20" xfId="0" applyNumberFormat="1" applyFont="1" applyFill="1" applyBorder="1" applyAlignment="1">
      <alignment horizontal="center" vertical="center" shrinkToFit="1"/>
    </xf>
    <xf numFmtId="0" fontId="8" fillId="6" borderId="39" xfId="0" applyFont="1" applyFill="1" applyBorder="1" applyAlignment="1">
      <alignment horizontal="center" vertical="center"/>
    </xf>
    <xf numFmtId="0" fontId="8" fillId="6" borderId="30" xfId="0" applyFont="1" applyFill="1" applyBorder="1" applyAlignment="1">
      <alignment horizontal="center" vertical="center"/>
    </xf>
    <xf numFmtId="165" fontId="8" fillId="2" borderId="33" xfId="0" applyNumberFormat="1" applyFont="1" applyFill="1" applyBorder="1" applyAlignment="1">
      <alignment horizontal="center" vertical="center"/>
    </xf>
    <xf numFmtId="165" fontId="8" fillId="2" borderId="32" xfId="0" applyNumberFormat="1" applyFont="1" applyFill="1" applyBorder="1" applyAlignment="1">
      <alignment horizontal="center" vertical="center"/>
    </xf>
    <xf numFmtId="0" fontId="8" fillId="6" borderId="27" xfId="0" applyFont="1" applyFill="1" applyBorder="1" applyAlignment="1">
      <alignment horizontal="center" vertical="center"/>
    </xf>
    <xf numFmtId="0" fontId="8" fillId="6" borderId="26" xfId="0" applyFont="1" applyFill="1" applyBorder="1" applyAlignment="1">
      <alignment horizontal="center" vertical="center"/>
    </xf>
    <xf numFmtId="165" fontId="8" fillId="6" borderId="9" xfId="0" applyNumberFormat="1" applyFont="1" applyFill="1" applyBorder="1" applyAlignment="1">
      <alignment horizontal="center"/>
    </xf>
    <xf numFmtId="164" fontId="4" fillId="6" borderId="8" xfId="0" applyNumberFormat="1" applyFont="1" applyFill="1" applyBorder="1" applyAlignment="1">
      <alignment horizontal="center" vertical="center" shrinkToFit="1"/>
    </xf>
    <xf numFmtId="165" fontId="8" fillId="6" borderId="8" xfId="0" applyNumberFormat="1" applyFont="1" applyFill="1" applyBorder="1" applyAlignment="1">
      <alignment horizontal="center" vertical="center" shrinkToFit="1"/>
    </xf>
    <xf numFmtId="0" fontId="8" fillId="6" borderId="7" xfId="0" applyFont="1" applyFill="1" applyBorder="1" applyAlignment="1">
      <alignment horizontal="center" vertical="center" shrinkToFit="1"/>
    </xf>
    <xf numFmtId="0" fontId="8" fillId="2" borderId="9" xfId="0" applyFont="1" applyFill="1" applyBorder="1" applyAlignment="1">
      <alignment horizontal="center"/>
    </xf>
    <xf numFmtId="164" fontId="0" fillId="2" borderId="8" xfId="0" applyNumberFormat="1" applyFill="1" applyBorder="1"/>
    <xf numFmtId="164" fontId="8" fillId="2" borderId="8" xfId="0" applyNumberFormat="1" applyFont="1" applyFill="1" applyBorder="1" applyAlignment="1">
      <alignment horizontal="center"/>
    </xf>
    <xf numFmtId="164" fontId="8" fillId="2" borderId="8" xfId="0" applyNumberFormat="1" applyFont="1" applyFill="1" applyBorder="1" applyAlignment="1">
      <alignment horizontal="center" vertical="center"/>
    </xf>
    <xf numFmtId="164" fontId="8" fillId="2" borderId="8" xfId="0" applyNumberFormat="1" applyFont="1" applyFill="1" applyBorder="1" applyAlignment="1">
      <alignment horizontal="center" vertical="center" shrinkToFit="1"/>
    </xf>
    <xf numFmtId="0" fontId="8" fillId="2" borderId="8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4" fontId="8" fillId="2" borderId="9" xfId="0" applyNumberFormat="1" applyFont="1" applyFill="1" applyBorder="1" applyAlignment="1">
      <alignment horizontal="center"/>
    </xf>
    <xf numFmtId="0" fontId="8" fillId="6" borderId="9" xfId="0" applyFont="1" applyFill="1" applyBorder="1" applyAlignment="1">
      <alignment horizontal="center" vertical="center" shrinkToFit="1"/>
    </xf>
    <xf numFmtId="0" fontId="8" fillId="0" borderId="9" xfId="0" applyFont="1" applyFill="1" applyBorder="1" applyAlignment="1">
      <alignment horizontal="center" shrinkToFit="1"/>
    </xf>
    <xf numFmtId="0" fontId="8" fillId="0" borderId="8" xfId="0" applyFont="1" applyFill="1" applyBorder="1" applyAlignment="1">
      <alignment horizontal="center" shrinkToFit="1"/>
    </xf>
    <xf numFmtId="0" fontId="8" fillId="11" borderId="8" xfId="0" applyFont="1" applyFill="1" applyBorder="1" applyAlignment="1">
      <alignment horizontal="center" shrinkToFit="1"/>
    </xf>
    <xf numFmtId="0" fontId="8" fillId="0" borderId="8" xfId="0" applyFont="1" applyBorder="1" applyAlignment="1">
      <alignment horizontal="center" shrinkToFit="1"/>
    </xf>
    <xf numFmtId="0" fontId="8" fillId="0" borderId="8" xfId="0" applyFont="1" applyBorder="1"/>
    <xf numFmtId="0" fontId="0" fillId="0" borderId="8" xfId="0" applyBorder="1"/>
    <xf numFmtId="0" fontId="0" fillId="0" borderId="7" xfId="0" applyBorder="1"/>
    <xf numFmtId="0" fontId="8" fillId="0" borderId="3" xfId="0" applyFont="1" applyFill="1" applyBorder="1"/>
    <xf numFmtId="0" fontId="8" fillId="0" borderId="2" xfId="0" applyFont="1" applyFill="1" applyBorder="1"/>
    <xf numFmtId="0" fontId="8" fillId="0" borderId="2" xfId="0" applyFont="1" applyBorder="1"/>
    <xf numFmtId="0" fontId="8" fillId="0" borderId="2" xfId="0" applyFont="1" applyFill="1" applyBorder="1" applyAlignment="1">
      <alignment horizontal="center"/>
    </xf>
    <xf numFmtId="164" fontId="0" fillId="4" borderId="14" xfId="0" applyNumberFormat="1" applyFill="1" applyBorder="1" applyAlignment="1">
      <alignment vertical="center"/>
    </xf>
    <xf numFmtId="165" fontId="0" fillId="4" borderId="0" xfId="0" applyNumberFormat="1" applyFill="1"/>
    <xf numFmtId="0" fontId="0" fillId="6" borderId="20" xfId="0" applyFill="1" applyBorder="1" applyAlignment="1">
      <alignment horizontal="center"/>
    </xf>
    <xf numFmtId="165" fontId="0" fillId="6" borderId="19" xfId="0" applyNumberFormat="1" applyFill="1" applyBorder="1"/>
    <xf numFmtId="0" fontId="0" fillId="6" borderId="19" xfId="0" applyFill="1" applyBorder="1"/>
    <xf numFmtId="0" fontId="0" fillId="6" borderId="19" xfId="0" applyFill="1" applyBorder="1" applyAlignment="1">
      <alignment horizontal="center"/>
    </xf>
    <xf numFmtId="0" fontId="0" fillId="6" borderId="18" xfId="0" applyFill="1" applyBorder="1"/>
    <xf numFmtId="165" fontId="0" fillId="6" borderId="8" xfId="0" applyNumberFormat="1" applyFill="1" applyBorder="1"/>
    <xf numFmtId="164" fontId="0" fillId="6" borderId="9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left" vertical="center"/>
    </xf>
    <xf numFmtId="0" fontId="0" fillId="6" borderId="8" xfId="0" applyFill="1" applyBorder="1"/>
    <xf numFmtId="0" fontId="0" fillId="6" borderId="8" xfId="0" applyFill="1" applyBorder="1" applyAlignment="1">
      <alignment horizontal="center"/>
    </xf>
    <xf numFmtId="0" fontId="0" fillId="6" borderId="7" xfId="0" applyFill="1" applyBorder="1"/>
    <xf numFmtId="0" fontId="0" fillId="6" borderId="9" xfId="0" applyFill="1" applyBorder="1"/>
    <xf numFmtId="0" fontId="0" fillId="6" borderId="3" xfId="0" applyFill="1" applyBorder="1" applyAlignment="1">
      <alignment horizontal="center"/>
    </xf>
    <xf numFmtId="165" fontId="0" fillId="6" borderId="2" xfId="0" applyNumberFormat="1" applyFill="1" applyBorder="1"/>
    <xf numFmtId="0" fontId="0" fillId="6" borderId="2" xfId="0" applyFill="1" applyBorder="1"/>
    <xf numFmtId="0" fontId="0" fillId="6" borderId="2" xfId="0" applyFill="1" applyBorder="1" applyAlignment="1">
      <alignment horizontal="center"/>
    </xf>
    <xf numFmtId="0" fontId="0" fillId="6" borderId="1" xfId="0" applyFill="1" applyBorder="1"/>
    <xf numFmtId="0" fontId="0" fillId="6" borderId="3" xfId="0" applyFill="1" applyBorder="1"/>
    <xf numFmtId="0" fontId="0" fillId="6" borderId="2" xfId="0" applyFill="1" applyBorder="1" applyAlignment="1"/>
    <xf numFmtId="0" fontId="0" fillId="4" borderId="42" xfId="0" applyFill="1" applyBorder="1"/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14" xfId="0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164" fontId="0" fillId="6" borderId="55" xfId="0" applyNumberFormat="1" applyFill="1" applyBorder="1" applyAlignment="1">
      <alignment horizontal="center" vertical="center" shrinkToFit="1"/>
    </xf>
    <xf numFmtId="0" fontId="0" fillId="6" borderId="55" xfId="0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164" fontId="0" fillId="6" borderId="5" xfId="0" applyNumberFormat="1" applyFill="1" applyBorder="1" applyAlignment="1">
      <alignment horizontal="center" vertical="center" shrinkToFit="1"/>
    </xf>
    <xf numFmtId="164" fontId="0" fillId="6" borderId="6" xfId="0" applyNumberFormat="1" applyFill="1" applyBorder="1" applyAlignment="1">
      <alignment horizontal="center" vertical="center" shrinkToFit="1"/>
    </xf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8" fillId="6" borderId="7" xfId="0" applyFont="1" applyFill="1" applyBorder="1" applyAlignment="1">
      <alignment horizontal="center" vertical="center" shrinkToFit="1"/>
    </xf>
    <xf numFmtId="0" fontId="8" fillId="6" borderId="8" xfId="0" applyFont="1" applyFill="1" applyBorder="1" applyAlignment="1">
      <alignment horizontal="center" vertical="center" shrinkToFit="1"/>
    </xf>
    <xf numFmtId="0" fontId="0" fillId="6" borderId="15" xfId="0" applyFill="1" applyBorder="1" applyAlignment="1">
      <alignment horizontal="center" vertical="center" shrinkToFit="1"/>
    </xf>
    <xf numFmtId="0" fontId="0" fillId="6" borderId="13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0" borderId="0" xfId="0" applyBorder="1" applyAlignment="1"/>
    <xf numFmtId="165" fontId="8" fillId="2" borderId="9" xfId="0" applyNumberFormat="1" applyFont="1" applyFill="1" applyBorder="1" applyAlignment="1">
      <alignment horizontal="center"/>
    </xf>
    <xf numFmtId="0" fontId="8" fillId="6" borderId="5" xfId="0" applyFont="1" applyFill="1" applyBorder="1" applyAlignment="1">
      <alignment horizontal="center" vertical="center"/>
    </xf>
    <xf numFmtId="164" fontId="0" fillId="4" borderId="0" xfId="0" applyNumberFormat="1" applyFill="1" applyBorder="1" applyAlignment="1"/>
    <xf numFmtId="165" fontId="0" fillId="4" borderId="0" xfId="0" applyNumberFormat="1" applyFill="1" applyBorder="1" applyAlignment="1"/>
    <xf numFmtId="0" fontId="8" fillId="6" borderId="3" xfId="0" applyFont="1" applyFill="1" applyBorder="1"/>
    <xf numFmtId="0" fontId="8" fillId="6" borderId="8" xfId="0" applyFont="1" applyFill="1" applyBorder="1" applyAlignment="1">
      <alignment horizontal="center" shrinkToFit="1"/>
    </xf>
    <xf numFmtId="0" fontId="8" fillId="6" borderId="9" xfId="0" applyFont="1" applyFill="1" applyBorder="1" applyAlignment="1">
      <alignment horizontal="center" shrinkToFit="1"/>
    </xf>
    <xf numFmtId="0" fontId="0" fillId="6" borderId="1" xfId="0" applyFill="1" applyBorder="1" applyAlignment="1">
      <alignment horizontal="center"/>
    </xf>
    <xf numFmtId="0" fontId="0" fillId="6" borderId="43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0" fillId="6" borderId="45" xfId="0" applyFill="1" applyBorder="1" applyAlignment="1">
      <alignment horizontal="center"/>
    </xf>
    <xf numFmtId="0" fontId="0" fillId="6" borderId="19" xfId="0" applyFill="1" applyBorder="1" applyAlignment="1">
      <alignment horizontal="center" shrinkToFit="1"/>
    </xf>
    <xf numFmtId="0" fontId="0" fillId="6" borderId="20" xfId="0" applyFill="1" applyBorder="1" applyAlignment="1">
      <alignment horizontal="center" shrinkToFit="1"/>
    </xf>
    <xf numFmtId="165" fontId="8" fillId="6" borderId="32" xfId="0" applyNumberFormat="1" applyFont="1" applyFill="1" applyBorder="1" applyAlignment="1">
      <alignment horizontal="center" vertical="center"/>
    </xf>
    <xf numFmtId="165" fontId="8" fillId="6" borderId="33" xfId="0" applyNumberFormat="1" applyFont="1" applyFill="1" applyBorder="1" applyAlignment="1">
      <alignment horizontal="center" vertical="center"/>
    </xf>
    <xf numFmtId="0" fontId="10" fillId="6" borderId="19" xfId="0" applyFont="1" applyFill="1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44" xfId="0" applyFon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165" fontId="0" fillId="0" borderId="2" xfId="0" applyNumberFormat="1" applyFill="1" applyBorder="1" applyAlignment="1">
      <alignment horizontal="center" vertical="center" shrinkToFit="1"/>
    </xf>
    <xf numFmtId="165" fontId="0" fillId="0" borderId="2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0" fillId="0" borderId="7" xfId="0" applyNumberFormat="1" applyFill="1" applyBorder="1" applyAlignment="1">
      <alignment horizontal="center" vertical="center"/>
    </xf>
    <xf numFmtId="165" fontId="0" fillId="0" borderId="8" xfId="0" applyNumberFormat="1" applyFill="1" applyBorder="1" applyAlignment="1">
      <alignment horizontal="center" vertical="center" shrinkToFit="1"/>
    </xf>
    <xf numFmtId="165" fontId="0" fillId="0" borderId="8" xfId="0" applyNumberFormat="1" applyFill="1" applyBorder="1" applyAlignment="1">
      <alignment horizontal="center" vertical="center"/>
    </xf>
    <xf numFmtId="165" fontId="0" fillId="0" borderId="9" xfId="0" applyNumberForma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 shrinkToFit="1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0" borderId="18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 shrinkToFit="1"/>
    </xf>
    <xf numFmtId="0" fontId="8" fillId="0" borderId="19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0" fillId="4" borderId="5" xfId="0" applyFill="1" applyBorder="1" applyAlignment="1">
      <alignment shrinkToFit="1"/>
    </xf>
    <xf numFmtId="0" fontId="0" fillId="4" borderId="5" xfId="0" applyFill="1" applyBorder="1"/>
    <xf numFmtId="0" fontId="0" fillId="0" borderId="0" xfId="0" applyFill="1" applyBorder="1" applyAlignment="1"/>
    <xf numFmtId="0" fontId="0" fillId="4" borderId="13" xfId="0" applyFill="1" applyBorder="1" applyAlignment="1"/>
    <xf numFmtId="0" fontId="0" fillId="4" borderId="14" xfId="0" applyFill="1" applyBorder="1"/>
    <xf numFmtId="165" fontId="18" fillId="0" borderId="8" xfId="0" applyNumberFormat="1" applyFont="1" applyBorder="1" applyAlignment="1">
      <alignment horizontal="center" vertical="center" shrinkToFit="1"/>
    </xf>
    <xf numFmtId="0" fontId="14" fillId="0" borderId="7" xfId="0" applyFont="1" applyBorder="1" applyAlignment="1">
      <alignment horizontal="center" vertical="center"/>
    </xf>
    <xf numFmtId="0" fontId="14" fillId="0" borderId="7" xfId="0" applyFont="1" applyFill="1" applyBorder="1" applyAlignment="1">
      <alignment horizontal="center" vertical="center"/>
    </xf>
    <xf numFmtId="0" fontId="14" fillId="0" borderId="18" xfId="0" applyFont="1" applyFill="1" applyBorder="1" applyAlignment="1">
      <alignment horizontal="center" vertical="center"/>
    </xf>
    <xf numFmtId="165" fontId="18" fillId="0" borderId="19" xfId="0" applyNumberFormat="1" applyFont="1" applyBorder="1" applyAlignment="1">
      <alignment horizontal="center" vertical="center" shrinkToFit="1"/>
    </xf>
    <xf numFmtId="0" fontId="14" fillId="0" borderId="38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 wrapText="1"/>
    </xf>
    <xf numFmtId="0" fontId="16" fillId="4" borderId="0" xfId="0" applyFont="1" applyFill="1" applyAlignment="1"/>
    <xf numFmtId="0" fontId="0" fillId="4" borderId="13" xfId="0" applyFill="1" applyBorder="1" applyAlignment="1">
      <alignment horizontal="center"/>
    </xf>
    <xf numFmtId="0" fontId="0" fillId="4" borderId="0" xfId="0" applyFill="1" applyAlignment="1">
      <alignment vertical="center"/>
    </xf>
    <xf numFmtId="0" fontId="0" fillId="4" borderId="29" xfId="0" applyFill="1" applyBorder="1"/>
    <xf numFmtId="0" fontId="0" fillId="4" borderId="49" xfId="0" applyFill="1" applyBorder="1"/>
    <xf numFmtId="0" fontId="0" fillId="4" borderId="51" xfId="0" applyFill="1" applyBorder="1" applyAlignment="1">
      <alignment horizontal="center" vertical="center"/>
    </xf>
    <xf numFmtId="0" fontId="0" fillId="4" borderId="54" xfId="0" applyFill="1" applyBorder="1"/>
    <xf numFmtId="0" fontId="0" fillId="4" borderId="52" xfId="0" applyFill="1" applyBorder="1" applyAlignment="1">
      <alignment horizontal="center" vertical="center"/>
    </xf>
    <xf numFmtId="0" fontId="0" fillId="4" borderId="13" xfId="0" applyFill="1" applyBorder="1"/>
    <xf numFmtId="0" fontId="0" fillId="4" borderId="56" xfId="0" applyFill="1" applyBorder="1"/>
    <xf numFmtId="0" fontId="8" fillId="4" borderId="0" xfId="0" applyFont="1" applyFill="1" applyBorder="1" applyAlignment="1"/>
    <xf numFmtId="0" fontId="8" fillId="6" borderId="43" xfId="0" applyFont="1" applyFill="1" applyBorder="1" applyAlignment="1">
      <alignment horizontal="center"/>
    </xf>
    <xf numFmtId="0" fontId="8" fillId="6" borderId="37" xfId="0" applyFont="1" applyFill="1" applyBorder="1" applyAlignment="1">
      <alignment horizontal="center"/>
    </xf>
    <xf numFmtId="165" fontId="8" fillId="6" borderId="44" xfId="0" applyNumberFormat="1" applyFont="1" applyFill="1" applyBorder="1" applyAlignment="1">
      <alignment horizontal="center"/>
    </xf>
    <xf numFmtId="165" fontId="8" fillId="6" borderId="1" xfId="0" applyNumberFormat="1" applyFont="1" applyFill="1" applyBorder="1"/>
    <xf numFmtId="165" fontId="0" fillId="6" borderId="30" xfId="0" applyNumberFormat="1" applyFill="1" applyBorder="1" applyAlignment="1">
      <alignment horizontal="center" vertical="center"/>
    </xf>
    <xf numFmtId="165" fontId="0" fillId="6" borderId="30" xfId="0" applyNumberFormat="1" applyFill="1" applyBorder="1" applyAlignment="1">
      <alignment horizontal="center" vertical="center" shrinkToFit="1"/>
    </xf>
    <xf numFmtId="165" fontId="0" fillId="6" borderId="18" xfId="0" applyNumberFormat="1" applyFill="1" applyBorder="1" applyAlignment="1">
      <alignment horizontal="center" vertical="center"/>
    </xf>
    <xf numFmtId="165" fontId="0" fillId="6" borderId="19" xfId="0" applyNumberFormat="1" applyFill="1" applyBorder="1" applyAlignment="1">
      <alignment horizontal="center" vertical="center" shrinkToFit="1"/>
    </xf>
    <xf numFmtId="165" fontId="0" fillId="6" borderId="19" xfId="0" applyNumberFormat="1" applyFill="1" applyBorder="1" applyAlignment="1">
      <alignment horizontal="center" vertical="center"/>
    </xf>
    <xf numFmtId="165" fontId="0" fillId="6" borderId="20" xfId="0" applyNumberFormat="1" applyFill="1" applyBorder="1" applyAlignment="1">
      <alignment horizontal="center" vertical="center"/>
    </xf>
    <xf numFmtId="0" fontId="0" fillId="7" borderId="37" xfId="0" applyFill="1" applyBorder="1" applyAlignment="1">
      <alignment horizontal="center" vertical="center"/>
    </xf>
    <xf numFmtId="0" fontId="0" fillId="7" borderId="44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165" fontId="0" fillId="6" borderId="38" xfId="0" applyNumberFormat="1" applyFill="1" applyBorder="1" applyAlignment="1">
      <alignment horizontal="center" vertical="center"/>
    </xf>
    <xf numFmtId="165" fontId="0" fillId="6" borderId="39" xfId="0" applyNumberFormat="1" applyFill="1" applyBorder="1" applyAlignment="1">
      <alignment horizontal="center" vertical="center"/>
    </xf>
    <xf numFmtId="0" fontId="8" fillId="6" borderId="34" xfId="0" applyFont="1" applyFill="1" applyBorder="1" applyAlignment="1">
      <alignment horizontal="center" vertical="center"/>
    </xf>
    <xf numFmtId="0" fontId="0" fillId="10" borderId="8" xfId="0" applyFill="1" applyBorder="1" applyAlignment="1">
      <alignment shrinkToFit="1"/>
    </xf>
    <xf numFmtId="0" fontId="0" fillId="10" borderId="43" xfId="0" applyFill="1" applyBorder="1" applyAlignment="1">
      <alignment horizontal="center" vertical="center"/>
    </xf>
    <xf numFmtId="0" fontId="0" fillId="10" borderId="44" xfId="0" applyFill="1" applyBorder="1" applyAlignment="1">
      <alignment horizontal="center"/>
    </xf>
    <xf numFmtId="0" fontId="0" fillId="10" borderId="9" xfId="0" applyFill="1" applyBorder="1" applyAlignment="1">
      <alignment shrinkToFit="1"/>
    </xf>
    <xf numFmtId="0" fontId="8" fillId="4" borderId="14" xfId="0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 shrinkToFit="1"/>
    </xf>
    <xf numFmtId="0" fontId="8" fillId="4" borderId="5" xfId="0" applyFont="1" applyFill="1" applyBorder="1" applyAlignment="1">
      <alignment horizontal="left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 shrinkToFit="1"/>
    </xf>
    <xf numFmtId="0" fontId="0" fillId="4" borderId="57" xfId="0" applyFill="1" applyBorder="1" applyAlignment="1">
      <alignment horizontal="center" vertical="center"/>
    </xf>
    <xf numFmtId="0" fontId="0" fillId="4" borderId="55" xfId="0" applyFill="1" applyBorder="1" applyAlignment="1">
      <alignment horizontal="center"/>
    </xf>
    <xf numFmtId="0" fontId="0" fillId="4" borderId="8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 shrinkToFit="1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165" fontId="8" fillId="8" borderId="7" xfId="0" applyNumberFormat="1" applyFont="1" applyFill="1" applyBorder="1" applyAlignment="1">
      <alignment horizontal="center" vertical="center"/>
    </xf>
    <xf numFmtId="165" fontId="8" fillId="8" borderId="9" xfId="0" applyNumberFormat="1" applyFont="1" applyFill="1" applyBorder="1" applyAlignment="1">
      <alignment horizontal="center" vertical="center"/>
    </xf>
    <xf numFmtId="165" fontId="0" fillId="5" borderId="7" xfId="0" applyNumberFormat="1" applyFill="1" applyBorder="1" applyAlignment="1">
      <alignment horizontal="center"/>
    </xf>
    <xf numFmtId="165" fontId="0" fillId="5" borderId="9" xfId="0" applyNumberFormat="1" applyFill="1" applyBorder="1" applyAlignment="1">
      <alignment horizontal="center"/>
    </xf>
    <xf numFmtId="165" fontId="0" fillId="8" borderId="7" xfId="0" applyNumberFormat="1" applyFill="1" applyBorder="1" applyAlignment="1">
      <alignment horizontal="center"/>
    </xf>
    <xf numFmtId="165" fontId="0" fillId="8" borderId="9" xfId="0" applyNumberFormat="1" applyFill="1" applyBorder="1" applyAlignment="1">
      <alignment horizontal="center"/>
    </xf>
    <xf numFmtId="167" fontId="8" fillId="8" borderId="7" xfId="0" applyNumberFormat="1" applyFont="1" applyFill="1" applyBorder="1" applyAlignment="1">
      <alignment horizontal="center" vertical="center"/>
    </xf>
    <xf numFmtId="167" fontId="8" fillId="8" borderId="9" xfId="0" applyNumberFormat="1" applyFont="1" applyFill="1" applyBorder="1" applyAlignment="1">
      <alignment horizontal="center" vertical="center"/>
    </xf>
    <xf numFmtId="165" fontId="8" fillId="8" borderId="18" xfId="0" applyNumberFormat="1" applyFont="1" applyFill="1" applyBorder="1" applyAlignment="1">
      <alignment horizontal="center" vertical="center"/>
    </xf>
    <xf numFmtId="165" fontId="8" fillId="8" borderId="20" xfId="0" applyNumberFormat="1" applyFont="1" applyFill="1" applyBorder="1" applyAlignment="1">
      <alignment horizontal="center" vertical="center"/>
    </xf>
    <xf numFmtId="169" fontId="8" fillId="6" borderId="7" xfId="0" applyNumberFormat="1" applyFont="1" applyFill="1" applyBorder="1" applyAlignment="1">
      <alignment horizontal="center" vertical="center"/>
    </xf>
    <xf numFmtId="169" fontId="8" fillId="6" borderId="8" xfId="0" applyNumberFormat="1" applyFont="1" applyFill="1" applyBorder="1" applyAlignment="1">
      <alignment horizontal="center" vertical="center" shrinkToFit="1"/>
    </xf>
    <xf numFmtId="169" fontId="8" fillId="6" borderId="8" xfId="0" applyNumberFormat="1" applyFont="1" applyFill="1" applyBorder="1" applyAlignment="1">
      <alignment horizontal="center" vertical="center"/>
    </xf>
    <xf numFmtId="169" fontId="8" fillId="6" borderId="9" xfId="0" applyNumberFormat="1" applyFont="1" applyFill="1" applyBorder="1" applyAlignment="1">
      <alignment horizontal="center" vertical="center"/>
    </xf>
    <xf numFmtId="0" fontId="8" fillId="6" borderId="35" xfId="0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169" fontId="8" fillId="6" borderId="1" xfId="0" applyNumberFormat="1" applyFont="1" applyFill="1" applyBorder="1" applyAlignment="1">
      <alignment horizontal="center" vertical="center"/>
    </xf>
    <xf numFmtId="169" fontId="8" fillId="6" borderId="2" xfId="0" applyNumberFormat="1" applyFont="1" applyFill="1" applyBorder="1" applyAlignment="1">
      <alignment horizontal="center" vertical="center" shrinkToFit="1"/>
    </xf>
    <xf numFmtId="169" fontId="8" fillId="6" borderId="2" xfId="0" applyNumberFormat="1" applyFont="1" applyFill="1" applyBorder="1" applyAlignment="1">
      <alignment horizontal="center" vertical="center"/>
    </xf>
    <xf numFmtId="169" fontId="8" fillId="6" borderId="3" xfId="0" applyNumberFormat="1" applyFont="1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32" xfId="0" applyFill="1" applyBorder="1" applyAlignment="1">
      <alignment horizontal="center" vertical="center"/>
    </xf>
    <xf numFmtId="0" fontId="0" fillId="6" borderId="33" xfId="0" applyFill="1" applyBorder="1" applyAlignment="1">
      <alignment horizontal="center" vertical="center"/>
    </xf>
    <xf numFmtId="165" fontId="0" fillId="4" borderId="38" xfId="0" applyNumberFormat="1" applyFill="1" applyBorder="1" applyAlignment="1">
      <alignment horizontal="center"/>
    </xf>
    <xf numFmtId="165" fontId="0" fillId="4" borderId="30" xfId="0" applyNumberFormat="1" applyFill="1" applyBorder="1" applyAlignment="1">
      <alignment horizontal="center" shrinkToFit="1"/>
    </xf>
    <xf numFmtId="165" fontId="0" fillId="4" borderId="30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 shrinkToFit="1"/>
    </xf>
    <xf numFmtId="165" fontId="0" fillId="4" borderId="8" xfId="0" applyNumberFormat="1" applyFill="1" applyBorder="1" applyAlignment="1">
      <alignment horizontal="center"/>
    </xf>
    <xf numFmtId="165" fontId="0" fillId="4" borderId="18" xfId="0" applyNumberFormat="1" applyFill="1" applyBorder="1" applyAlignment="1">
      <alignment horizontal="center"/>
    </xf>
    <xf numFmtId="165" fontId="0" fillId="4" borderId="19" xfId="0" applyNumberFormat="1" applyFill="1" applyBorder="1" applyAlignment="1">
      <alignment horizontal="center" shrinkToFit="1"/>
    </xf>
    <xf numFmtId="165" fontId="0" fillId="4" borderId="19" xfId="0" applyNumberFormat="1" applyFill="1" applyBorder="1" applyAlignment="1">
      <alignment horizontal="center"/>
    </xf>
    <xf numFmtId="165" fontId="0" fillId="0" borderId="30" xfId="0" applyNumberFormat="1" applyBorder="1" applyAlignment="1">
      <alignment horizontal="center" shrinkToFit="1"/>
    </xf>
    <xf numFmtId="165" fontId="0" fillId="0" borderId="39" xfId="0" applyNumberFormat="1" applyBorder="1" applyAlignment="1">
      <alignment horizontal="center"/>
    </xf>
    <xf numFmtId="165" fontId="0" fillId="0" borderId="8" xfId="0" applyNumberFormat="1" applyBorder="1" applyAlignment="1">
      <alignment horizontal="center" shrinkToFit="1"/>
    </xf>
    <xf numFmtId="165" fontId="0" fillId="0" borderId="9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 shrinkToFit="1"/>
    </xf>
    <xf numFmtId="165" fontId="0" fillId="0" borderId="20" xfId="0" applyNumberFormat="1" applyBorder="1" applyAlignment="1">
      <alignment horizontal="center"/>
    </xf>
    <xf numFmtId="1" fontId="8" fillId="6" borderId="7" xfId="0" applyNumberFormat="1" applyFont="1" applyFill="1" applyBorder="1" applyAlignment="1">
      <alignment horizontal="center" vertical="center" shrinkToFit="1"/>
    </xf>
    <xf numFmtId="165" fontId="8" fillId="4" borderId="46" xfId="0" applyNumberFormat="1" applyFont="1" applyFill="1" applyBorder="1" applyAlignment="1">
      <alignment shrinkToFit="1"/>
    </xf>
    <xf numFmtId="165" fontId="8" fillId="4" borderId="42" xfId="0" applyNumberFormat="1" applyFont="1" applyFill="1" applyBorder="1" applyAlignment="1">
      <alignment shrinkToFit="1"/>
    </xf>
    <xf numFmtId="0" fontId="8" fillId="9" borderId="53" xfId="0" applyFont="1" applyFill="1" applyBorder="1" applyAlignment="1">
      <alignment horizontal="center"/>
    </xf>
    <xf numFmtId="165" fontId="8" fillId="9" borderId="31" xfId="0" applyNumberFormat="1" applyFont="1" applyFill="1" applyBorder="1" applyProtection="1">
      <protection hidden="1"/>
    </xf>
    <xf numFmtId="165" fontId="8" fillId="9" borderId="33" xfId="0" applyNumberFormat="1" applyFont="1" applyFill="1" applyBorder="1" applyProtection="1">
      <protection hidden="1"/>
    </xf>
    <xf numFmtId="165" fontId="0" fillId="4" borderId="2" xfId="0" applyNumberFormat="1" applyFill="1" applyBorder="1" applyAlignment="1">
      <alignment horizontal="center"/>
    </xf>
    <xf numFmtId="169" fontId="8" fillId="8" borderId="7" xfId="0" applyNumberFormat="1" applyFont="1" applyFill="1" applyBorder="1" applyAlignment="1">
      <alignment horizontal="center" vertical="center"/>
    </xf>
    <xf numFmtId="169" fontId="8" fillId="8" borderId="8" xfId="0" applyNumberFormat="1" applyFont="1" applyFill="1" applyBorder="1" applyAlignment="1">
      <alignment horizontal="center" vertical="center" shrinkToFit="1"/>
    </xf>
    <xf numFmtId="169" fontId="8" fillId="8" borderId="8" xfId="0" applyNumberFormat="1" applyFont="1" applyFill="1" applyBorder="1" applyAlignment="1">
      <alignment horizontal="center" vertical="center"/>
    </xf>
    <xf numFmtId="169" fontId="8" fillId="8" borderId="37" xfId="0" applyNumberFormat="1" applyFont="1" applyFill="1" applyBorder="1" applyAlignment="1">
      <alignment horizontal="center" vertical="center"/>
    </xf>
    <xf numFmtId="169" fontId="8" fillId="8" borderId="9" xfId="0" applyNumberFormat="1" applyFont="1" applyFill="1" applyBorder="1" applyAlignment="1">
      <alignment horizontal="center" vertical="center"/>
    </xf>
    <xf numFmtId="0" fontId="8" fillId="6" borderId="16" xfId="0" applyFont="1" applyFill="1" applyBorder="1" applyAlignment="1">
      <alignment vertical="center"/>
    </xf>
    <xf numFmtId="0" fontId="8" fillId="6" borderId="17" xfId="0" applyFont="1" applyFill="1" applyBorder="1" applyAlignment="1">
      <alignment vertical="center"/>
    </xf>
    <xf numFmtId="0" fontId="8" fillId="6" borderId="58" xfId="0" applyFont="1" applyFill="1" applyBorder="1" applyAlignment="1">
      <alignment vertical="center"/>
    </xf>
    <xf numFmtId="165" fontId="0" fillId="4" borderId="6" xfId="0" applyNumberFormat="1" applyFill="1" applyBorder="1"/>
    <xf numFmtId="0" fontId="8" fillId="8" borderId="37" xfId="0" applyFont="1" applyFill="1" applyBorder="1" applyAlignment="1">
      <alignment horizontal="center" vertical="center"/>
    </xf>
    <xf numFmtId="0" fontId="8" fillId="8" borderId="43" xfId="0" applyFont="1" applyFill="1" applyBorder="1" applyAlignment="1">
      <alignment horizontal="center" vertical="center"/>
    </xf>
    <xf numFmtId="0" fontId="0" fillId="8" borderId="37" xfId="0" applyFill="1" applyBorder="1" applyAlignment="1">
      <alignment horizontal="center"/>
    </xf>
    <xf numFmtId="0" fontId="8" fillId="8" borderId="44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 shrinkToFit="1"/>
    </xf>
    <xf numFmtId="0" fontId="0" fillId="6" borderId="29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54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0" fontId="0" fillId="4" borderId="0" xfId="0" applyNumberFormat="1" applyFill="1" applyAlignment="1">
      <alignment horizontal="center"/>
    </xf>
    <xf numFmtId="0" fontId="0" fillId="4" borderId="42" xfId="0" applyFill="1" applyBorder="1" applyAlignment="1"/>
    <xf numFmtId="0" fontId="0" fillId="4" borderId="48" xfId="0" applyFill="1" applyBorder="1" applyAlignment="1"/>
    <xf numFmtId="0" fontId="8" fillId="6" borderId="40" xfId="0" applyFont="1" applyFill="1" applyBorder="1" applyAlignment="1">
      <alignment horizontal="center"/>
    </xf>
    <xf numFmtId="0" fontId="0" fillId="6" borderId="41" xfId="0" applyFill="1" applyBorder="1"/>
    <xf numFmtId="0" fontId="8" fillId="6" borderId="41" xfId="0" applyFont="1" applyFill="1" applyBorder="1" applyAlignment="1">
      <alignment horizontal="center" vertical="center"/>
    </xf>
    <xf numFmtId="0" fontId="8" fillId="2" borderId="41" xfId="0" applyFont="1" applyFill="1" applyBorder="1" applyAlignment="1">
      <alignment horizontal="center" vertical="center"/>
    </xf>
    <xf numFmtId="164" fontId="4" fillId="6" borderId="41" xfId="0" applyNumberFormat="1" applyFont="1" applyFill="1" applyBorder="1" applyAlignment="1">
      <alignment horizontal="center" vertical="center" shrinkToFit="1"/>
    </xf>
    <xf numFmtId="0" fontId="8" fillId="6" borderId="59" xfId="0" applyFont="1" applyFill="1" applyBorder="1" applyAlignment="1">
      <alignment horizontal="center" vertical="center"/>
    </xf>
    <xf numFmtId="0" fontId="8" fillId="6" borderId="60" xfId="0" applyFont="1" applyFill="1" applyBorder="1" applyAlignment="1">
      <alignment horizontal="center" vertical="center"/>
    </xf>
    <xf numFmtId="0" fontId="10" fillId="6" borderId="41" xfId="0" applyFont="1" applyFill="1" applyBorder="1" applyAlignment="1">
      <alignment horizontal="center" vertical="center"/>
    </xf>
    <xf numFmtId="0" fontId="8" fillId="6" borderId="61" xfId="0" applyFont="1" applyFill="1" applyBorder="1" applyAlignment="1">
      <alignment horizontal="center" vertical="center"/>
    </xf>
    <xf numFmtId="165" fontId="16" fillId="4" borderId="0" xfId="0" applyNumberFormat="1" applyFont="1" applyFill="1" applyAlignment="1"/>
    <xf numFmtId="0" fontId="0" fillId="6" borderId="56" xfId="0" applyFill="1" applyBorder="1" applyAlignment="1">
      <alignment horizontal="center" vertical="center"/>
    </xf>
    <xf numFmtId="11" fontId="8" fillId="6" borderId="7" xfId="0" applyNumberFormat="1" applyFont="1" applyFill="1" applyBorder="1" applyAlignment="1">
      <alignment horizontal="center" vertical="center"/>
    </xf>
    <xf numFmtId="0" fontId="0" fillId="4" borderId="8" xfId="0" applyFill="1" applyBorder="1" applyAlignment="1"/>
    <xf numFmtId="0" fontId="0" fillId="4" borderId="1" xfId="0" applyFill="1" applyBorder="1"/>
    <xf numFmtId="0" fontId="0" fillId="0" borderId="2" xfId="0" applyBorder="1"/>
    <xf numFmtId="0" fontId="0" fillId="4" borderId="2" xfId="0" applyFill="1" applyBorder="1" applyAlignment="1"/>
    <xf numFmtId="0" fontId="0" fillId="4" borderId="7" xfId="0" applyFill="1" applyBorder="1"/>
    <xf numFmtId="0" fontId="0" fillId="4" borderId="18" xfId="0" applyFill="1" applyBorder="1"/>
    <xf numFmtId="0" fontId="0" fillId="0" borderId="19" xfId="0" applyBorder="1"/>
    <xf numFmtId="0" fontId="0" fillId="4" borderId="19" xfId="0" applyFill="1" applyBorder="1" applyAlignment="1"/>
    <xf numFmtId="11" fontId="8" fillId="6" borderId="18" xfId="0" applyNumberFormat="1" applyFont="1" applyFill="1" applyBorder="1" applyAlignment="1">
      <alignment horizontal="center" vertical="center"/>
    </xf>
    <xf numFmtId="11" fontId="8" fillId="6" borderId="9" xfId="0" applyNumberFormat="1" applyFont="1" applyFill="1" applyBorder="1" applyAlignment="1">
      <alignment horizontal="center" vertical="center"/>
    </xf>
    <xf numFmtId="11" fontId="8" fillId="6" borderId="19" xfId="0" applyNumberFormat="1" applyFont="1" applyFill="1" applyBorder="1" applyAlignment="1">
      <alignment horizontal="center" vertical="center"/>
    </xf>
    <xf numFmtId="11" fontId="8" fillId="6" borderId="20" xfId="0" applyNumberFormat="1" applyFont="1" applyFill="1" applyBorder="1" applyAlignment="1">
      <alignment horizontal="center" vertical="center"/>
    </xf>
    <xf numFmtId="165" fontId="0" fillId="4" borderId="0" xfId="0" applyNumberFormat="1" applyFill="1" applyAlignment="1">
      <alignment shrinkToFit="1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2" borderId="8" xfId="0" applyNumberFormat="1" applyFill="1" applyBorder="1" applyAlignment="1">
      <alignment horizontal="center" vertical="center"/>
    </xf>
    <xf numFmtId="165" fontId="0" fillId="10" borderId="8" xfId="0" applyNumberFormat="1" applyFill="1" applyBorder="1" applyAlignment="1">
      <alignment shrinkToFit="1"/>
    </xf>
    <xf numFmtId="165" fontId="0" fillId="10" borderId="9" xfId="0" applyNumberFormat="1" applyFill="1" applyBorder="1" applyAlignment="1">
      <alignment shrinkToFit="1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8" fillId="6" borderId="18" xfId="0" applyFont="1" applyFill="1" applyBorder="1" applyAlignment="1">
      <alignment horizontal="center" vertical="center" shrinkToFit="1"/>
    </xf>
    <xf numFmtId="0" fontId="8" fillId="6" borderId="19" xfId="0" applyFont="1" applyFill="1" applyBorder="1" applyAlignment="1">
      <alignment horizontal="center" vertical="center" shrinkToFit="1"/>
    </xf>
    <xf numFmtId="0" fontId="0" fillId="4" borderId="4" xfId="0" applyFill="1" applyBorder="1" applyAlignment="1">
      <alignment horizontal="center" wrapText="1"/>
    </xf>
    <xf numFmtId="0" fontId="0" fillId="4" borderId="5" xfId="0" applyFill="1" applyBorder="1" applyAlignment="1">
      <alignment horizontal="center" wrapText="1"/>
    </xf>
    <xf numFmtId="0" fontId="0" fillId="4" borderId="6" xfId="0" applyFill="1" applyBorder="1" applyAlignment="1">
      <alignment horizontal="center" wrapText="1"/>
    </xf>
    <xf numFmtId="0" fontId="8" fillId="6" borderId="31" xfId="0" applyFont="1" applyFill="1" applyBorder="1" applyAlignment="1">
      <alignment horizontal="center" vertical="center" shrinkToFit="1"/>
    </xf>
    <xf numFmtId="0" fontId="8" fillId="6" borderId="32" xfId="0" applyFont="1" applyFill="1" applyBorder="1" applyAlignment="1">
      <alignment horizontal="center" vertical="center" shrinkToFit="1"/>
    </xf>
    <xf numFmtId="0" fontId="8" fillId="6" borderId="38" xfId="0" applyFont="1" applyFill="1" applyBorder="1" applyAlignment="1">
      <alignment horizontal="center" vertical="center" shrinkToFit="1"/>
    </xf>
    <xf numFmtId="0" fontId="8" fillId="6" borderId="30" xfId="0" applyFont="1" applyFill="1" applyBorder="1" applyAlignment="1">
      <alignment horizontal="center" vertical="center" shrinkToFit="1"/>
    </xf>
    <xf numFmtId="0" fontId="8" fillId="6" borderId="7" xfId="0" applyFont="1" applyFill="1" applyBorder="1" applyAlignment="1">
      <alignment horizontal="center" vertical="center" shrinkToFit="1"/>
    </xf>
    <xf numFmtId="0" fontId="8" fillId="6" borderId="8" xfId="0" applyFont="1" applyFill="1" applyBorder="1" applyAlignment="1">
      <alignment horizontal="center" vertical="center" shrinkToFit="1"/>
    </xf>
    <xf numFmtId="0" fontId="8" fillId="6" borderId="26" xfId="0" applyFont="1" applyFill="1" applyBorder="1" applyAlignment="1">
      <alignment horizontal="center" vertical="center" shrinkToFit="1"/>
    </xf>
    <xf numFmtId="0" fontId="8" fillId="6" borderId="27" xfId="0" applyFont="1" applyFill="1" applyBorder="1" applyAlignment="1">
      <alignment horizontal="center" vertical="center" shrinkToFit="1"/>
    </xf>
    <xf numFmtId="0" fontId="8" fillId="6" borderId="1" xfId="0" applyFont="1" applyFill="1" applyBorder="1" applyAlignment="1">
      <alignment horizontal="center" vertical="center" shrinkToFit="1"/>
    </xf>
    <xf numFmtId="0" fontId="8" fillId="6" borderId="2" xfId="0" applyFont="1" applyFill="1" applyBorder="1" applyAlignment="1">
      <alignment horizontal="center" vertical="center" shrinkToFit="1"/>
    </xf>
    <xf numFmtId="0" fontId="0" fillId="0" borderId="7" xfId="0" applyBorder="1" applyAlignment="1">
      <alignment horizontal="center" shrinkToFit="1"/>
    </xf>
    <xf numFmtId="0" fontId="0" fillId="0" borderId="8" xfId="0" applyBorder="1" applyAlignment="1">
      <alignment horizontal="center" shrinkToFit="1"/>
    </xf>
    <xf numFmtId="0" fontId="8" fillId="2" borderId="7" xfId="0" applyFont="1" applyFill="1" applyBorder="1" applyAlignment="1">
      <alignment horizontal="center" vertical="center" shrinkToFit="1"/>
    </xf>
    <xf numFmtId="0" fontId="8" fillId="2" borderId="8" xfId="0" applyFont="1" applyFill="1" applyBorder="1" applyAlignment="1">
      <alignment horizontal="center" vertical="center" shrinkToFit="1"/>
    </xf>
    <xf numFmtId="0" fontId="0" fillId="4" borderId="8" xfId="0" applyFill="1" applyBorder="1" applyAlignment="1">
      <alignment horizontal="center" shrinkToFit="1"/>
    </xf>
    <xf numFmtId="0" fontId="0" fillId="6" borderId="16" xfId="0" applyFill="1" applyBorder="1" applyAlignment="1"/>
    <xf numFmtId="0" fontId="0" fillId="6" borderId="17" xfId="0" applyFill="1" applyBorder="1" applyAlignment="1"/>
    <xf numFmtId="0" fontId="0" fillId="6" borderId="41" xfId="0" applyFill="1" applyBorder="1" applyAlignment="1"/>
    <xf numFmtId="164" fontId="0" fillId="6" borderId="4" xfId="0" applyNumberFormat="1" applyFill="1" applyBorder="1" applyAlignment="1">
      <alignment horizontal="center" vertical="center" shrinkToFit="1"/>
    </xf>
    <xf numFmtId="164" fontId="0" fillId="6" borderId="5" xfId="0" applyNumberFormat="1" applyFill="1" applyBorder="1" applyAlignment="1">
      <alignment horizontal="center" vertical="center" shrinkToFit="1"/>
    </xf>
    <xf numFmtId="164" fontId="0" fillId="6" borderId="6" xfId="0" applyNumberFormat="1" applyFill="1" applyBorder="1" applyAlignment="1">
      <alignment horizontal="center" vertical="center" shrinkToFit="1"/>
    </xf>
    <xf numFmtId="0" fontId="0" fillId="6" borderId="4" xfId="0" applyFill="1" applyBorder="1" applyAlignment="1">
      <alignment horizontal="center" shrinkToFit="1"/>
    </xf>
    <xf numFmtId="0" fontId="0" fillId="6" borderId="5" xfId="0" applyFill="1" applyBorder="1" applyAlignment="1">
      <alignment horizontal="center" shrinkToFit="1"/>
    </xf>
    <xf numFmtId="0" fontId="0" fillId="6" borderId="6" xfId="0" applyFill="1" applyBorder="1" applyAlignment="1">
      <alignment horizontal="center" shrinkToFit="1"/>
    </xf>
    <xf numFmtId="164" fontId="0" fillId="6" borderId="13" xfId="0" applyNumberFormat="1" applyFont="1" applyFill="1" applyBorder="1" applyAlignment="1">
      <alignment horizontal="center" vertical="center"/>
    </xf>
    <xf numFmtId="164" fontId="0" fillId="6" borderId="14" xfId="0" applyNumberFormat="1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 shrinkToFit="1"/>
    </xf>
    <xf numFmtId="0" fontId="0" fillId="6" borderId="14" xfId="0" applyFill="1" applyBorder="1" applyAlignment="1">
      <alignment horizontal="center" vertical="center" shrinkToFit="1"/>
    </xf>
    <xf numFmtId="0" fontId="0" fillId="6" borderId="15" xfId="0" applyFill="1" applyBorder="1" applyAlignment="1">
      <alignment horizontal="center" vertical="center" shrinkToFit="1"/>
    </xf>
    <xf numFmtId="164" fontId="0" fillId="6" borderId="29" xfId="0" applyNumberFormat="1" applyFont="1" applyFill="1" applyBorder="1" applyAlignment="1">
      <alignment horizontal="center" vertical="center"/>
    </xf>
    <xf numFmtId="164" fontId="0" fillId="6" borderId="0" xfId="0" applyNumberFormat="1" applyFont="1" applyFill="1" applyBorder="1" applyAlignment="1">
      <alignment horizontal="center" vertical="center"/>
    </xf>
    <xf numFmtId="164" fontId="0" fillId="6" borderId="13" xfId="0" applyNumberFormat="1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0" fontId="0" fillId="6" borderId="29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164" fontId="0" fillId="6" borderId="29" xfId="0" applyNumberFormat="1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164" fontId="0" fillId="6" borderId="54" xfId="0" applyNumberFormat="1" applyFill="1" applyBorder="1" applyAlignment="1">
      <alignment horizontal="center" vertical="center" shrinkToFit="1"/>
    </xf>
    <xf numFmtId="164" fontId="0" fillId="6" borderId="55" xfId="0" applyNumberFormat="1" applyFill="1" applyBorder="1" applyAlignment="1">
      <alignment horizontal="center" vertical="center" shrinkToFit="1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29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7" xfId="0" applyFill="1" applyBorder="1" applyAlignment="1"/>
    <xf numFmtId="0" fontId="0" fillId="6" borderId="8" xfId="0" applyFill="1" applyBorder="1" applyAlignment="1"/>
    <xf numFmtId="0" fontId="0" fillId="6" borderId="18" xfId="0" applyFill="1" applyBorder="1" applyAlignment="1"/>
    <xf numFmtId="0" fontId="0" fillId="6" borderId="19" xfId="0" applyFill="1" applyBorder="1" applyAlignment="1"/>
    <xf numFmtId="0" fontId="0" fillId="6" borderId="10" xfId="0" applyFill="1" applyBorder="1" applyAlignment="1"/>
    <xf numFmtId="0" fontId="0" fillId="6" borderId="11" xfId="0" applyFill="1" applyBorder="1" applyAlignment="1"/>
    <xf numFmtId="0" fontId="0" fillId="6" borderId="40" xfId="0" applyFill="1" applyBorder="1" applyAlignment="1"/>
    <xf numFmtId="0" fontId="0" fillId="6" borderId="54" xfId="0" applyFill="1" applyBorder="1" applyAlignment="1">
      <alignment horizontal="center" vertical="center" shrinkToFit="1"/>
    </xf>
    <xf numFmtId="0" fontId="0" fillId="6" borderId="55" xfId="0" applyFill="1" applyBorder="1" applyAlignment="1">
      <alignment horizontal="center" vertical="center" shrinkToFit="1"/>
    </xf>
    <xf numFmtId="0" fontId="0" fillId="6" borderId="29" xfId="0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0" fontId="0" fillId="6" borderId="54" xfId="0" applyFont="1" applyFill="1" applyBorder="1" applyAlignment="1">
      <alignment horizontal="center" vertical="center"/>
    </xf>
    <xf numFmtId="0" fontId="0" fillId="6" borderId="55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7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0" fillId="6" borderId="18" xfId="0" applyFill="1" applyBorder="1" applyAlignment="1">
      <alignment horizontal="left"/>
    </xf>
    <xf numFmtId="0" fontId="0" fillId="6" borderId="19" xfId="0" applyFill="1" applyBorder="1" applyAlignment="1">
      <alignment horizontal="left"/>
    </xf>
    <xf numFmtId="0" fontId="8" fillId="6" borderId="7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shrinkToFit="1"/>
    </xf>
    <xf numFmtId="0" fontId="0" fillId="6" borderId="29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13" fillId="0" borderId="4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21" fillId="12" borderId="13" xfId="0" applyFont="1" applyFill="1" applyBorder="1" applyAlignment="1">
      <alignment horizontal="center" vertical="center"/>
    </xf>
    <xf numFmtId="0" fontId="21" fillId="12" borderId="14" xfId="0" applyFont="1" applyFill="1" applyBorder="1" applyAlignment="1">
      <alignment horizontal="center" vertical="center"/>
    </xf>
    <xf numFmtId="0" fontId="21" fillId="12" borderId="15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0" fontId="21" fillId="12" borderId="55" xfId="0" applyFont="1" applyFill="1" applyBorder="1" applyAlignment="1">
      <alignment horizontal="center" vertical="center"/>
    </xf>
    <xf numFmtId="0" fontId="21" fillId="12" borderId="56" xfId="0" applyFont="1" applyFill="1" applyBorder="1" applyAlignment="1">
      <alignment horizontal="center" vertical="center"/>
    </xf>
    <xf numFmtId="0" fontId="0" fillId="12" borderId="13" xfId="0" quotePrefix="1" applyFill="1" applyBorder="1" applyAlignment="1">
      <alignment horizontal="center" vertical="center" wrapText="1"/>
    </xf>
    <xf numFmtId="0" fontId="0" fillId="12" borderId="14" xfId="0" quotePrefix="1" applyFill="1" applyBorder="1" applyAlignment="1">
      <alignment horizontal="center" vertical="center" wrapText="1"/>
    </xf>
    <xf numFmtId="0" fontId="0" fillId="12" borderId="15" xfId="0" quotePrefix="1" applyFill="1" applyBorder="1" applyAlignment="1">
      <alignment horizontal="center" vertical="center" wrapText="1"/>
    </xf>
    <xf numFmtId="0" fontId="0" fillId="12" borderId="29" xfId="0" quotePrefix="1" applyFill="1" applyBorder="1" applyAlignment="1">
      <alignment horizontal="center" vertical="center" wrapText="1"/>
    </xf>
    <xf numFmtId="0" fontId="0" fillId="12" borderId="0" xfId="0" quotePrefix="1" applyFill="1" applyBorder="1" applyAlignment="1">
      <alignment horizontal="center" vertical="center" wrapText="1"/>
    </xf>
    <xf numFmtId="0" fontId="0" fillId="12" borderId="49" xfId="0" quotePrefix="1" applyFill="1" applyBorder="1" applyAlignment="1">
      <alignment horizontal="center" vertical="center" wrapText="1"/>
    </xf>
    <xf numFmtId="0" fontId="0" fillId="12" borderId="54" xfId="0" quotePrefix="1" applyFill="1" applyBorder="1" applyAlignment="1">
      <alignment horizontal="center" vertical="center" wrapText="1"/>
    </xf>
    <xf numFmtId="0" fontId="0" fillId="12" borderId="55" xfId="0" quotePrefix="1" applyFill="1" applyBorder="1" applyAlignment="1">
      <alignment horizontal="center" vertical="center" wrapText="1"/>
    </xf>
    <xf numFmtId="0" fontId="0" fillId="12" borderId="56" xfId="0" quotePrefix="1" applyFill="1" applyBorder="1" applyAlignment="1">
      <alignment horizontal="center" vertical="center" wrapText="1"/>
    </xf>
    <xf numFmtId="165" fontId="8" fillId="6" borderId="4" xfId="0" applyNumberFormat="1" applyFont="1" applyFill="1" applyBorder="1" applyAlignment="1">
      <alignment horizontal="center" vertical="center" shrinkToFit="1"/>
    </xf>
    <xf numFmtId="165" fontId="8" fillId="6" borderId="5" xfId="0" applyNumberFormat="1" applyFont="1" applyFill="1" applyBorder="1" applyAlignment="1">
      <alignment horizontal="center" vertical="center" shrinkToFit="1"/>
    </xf>
    <xf numFmtId="165" fontId="8" fillId="6" borderId="6" xfId="0" applyNumberFormat="1" applyFont="1" applyFill="1" applyBorder="1" applyAlignment="1">
      <alignment horizontal="center" vertical="center" shrinkToFit="1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20" xfId="0" applyFont="1" applyFill="1" applyBorder="1" applyAlignment="1">
      <alignment horizontal="center" vertical="center"/>
    </xf>
    <xf numFmtId="165" fontId="8" fillId="6" borderId="10" xfId="0" applyNumberFormat="1" applyFont="1" applyFill="1" applyBorder="1" applyAlignment="1">
      <alignment horizontal="center" vertical="center"/>
    </xf>
    <xf numFmtId="165" fontId="8" fillId="6" borderId="11" xfId="0" applyNumberFormat="1" applyFont="1" applyFill="1" applyBorder="1" applyAlignment="1">
      <alignment horizontal="center" vertical="center"/>
    </xf>
    <xf numFmtId="165" fontId="8" fillId="6" borderId="12" xfId="0" applyNumberFormat="1" applyFont="1" applyFill="1" applyBorder="1" applyAlignment="1">
      <alignment horizontal="center" vertical="center"/>
    </xf>
    <xf numFmtId="0" fontId="0" fillId="6" borderId="54" xfId="0" applyFill="1" applyBorder="1" applyAlignment="1">
      <alignment horizontal="center" vertical="center"/>
    </xf>
    <xf numFmtId="0" fontId="0" fillId="6" borderId="55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 shrinkToFit="1"/>
    </xf>
    <xf numFmtId="0" fontId="0" fillId="6" borderId="8" xfId="0" applyFill="1" applyBorder="1" applyAlignment="1">
      <alignment horizontal="center" vertical="center" shrinkToFit="1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13" fillId="6" borderId="10" xfId="0" applyFont="1" applyFill="1" applyBorder="1" applyAlignment="1">
      <alignment horizontal="center"/>
    </xf>
    <xf numFmtId="0" fontId="13" fillId="6" borderId="11" xfId="0" applyFont="1" applyFill="1" applyBorder="1" applyAlignment="1">
      <alignment horizontal="center"/>
    </xf>
    <xf numFmtId="0" fontId="14" fillId="0" borderId="4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6" xfId="0" applyFont="1" applyFill="1" applyBorder="1" applyAlignment="1">
      <alignment horizontal="center" vertical="center"/>
    </xf>
    <xf numFmtId="0" fontId="14" fillId="0" borderId="30" xfId="0" applyFont="1" applyBorder="1" applyAlignment="1">
      <alignment horizontal="center" vertical="center" shrinkToFit="1"/>
    </xf>
    <xf numFmtId="0" fontId="14" fillId="0" borderId="30" xfId="0" applyFont="1" applyBorder="1" applyAlignment="1">
      <alignment horizontal="center" vertical="center" wrapText="1"/>
    </xf>
    <xf numFmtId="0" fontId="14" fillId="0" borderId="39" xfId="0" applyFont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9" xfId="0" applyBorder="1" applyAlignment="1">
      <alignment horizontal="center"/>
    </xf>
    <xf numFmtId="0" fontId="8" fillId="6" borderId="16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6" borderId="58" xfId="0" applyFont="1" applyFill="1" applyBorder="1" applyAlignment="1">
      <alignment horizontal="center" vertical="center"/>
    </xf>
    <xf numFmtId="0" fontId="0" fillId="4" borderId="42" xfId="0" applyFill="1" applyBorder="1" applyAlignment="1">
      <alignment horizontal="center"/>
    </xf>
    <xf numFmtId="0" fontId="0" fillId="4" borderId="48" xfId="0" applyFill="1" applyBorder="1" applyAlignment="1">
      <alignment horizontal="center"/>
    </xf>
    <xf numFmtId="0" fontId="8" fillId="4" borderId="13" xfId="0" applyFont="1" applyFill="1" applyBorder="1" applyAlignment="1">
      <alignment horizontal="center"/>
    </xf>
    <xf numFmtId="0" fontId="8" fillId="4" borderId="15" xfId="0" applyFont="1" applyFill="1" applyBorder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72804</xdr:colOff>
      <xdr:row>78</xdr:row>
      <xdr:rowOff>63498</xdr:rowOff>
    </xdr:from>
    <xdr:ext cx="2964904" cy="2450043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84004" y="14922498"/>
          <a:ext cx="2964904" cy="2450043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22</xdr:col>
      <xdr:colOff>238391</xdr:colOff>
      <xdr:row>63</xdr:row>
      <xdr:rowOff>188527</xdr:rowOff>
    </xdr:from>
    <xdr:ext cx="2654034" cy="1441715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71332" y="12537409"/>
          <a:ext cx="2654034" cy="144171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129072</xdr:colOff>
      <xdr:row>63</xdr:row>
      <xdr:rowOff>110083</xdr:rowOff>
    </xdr:from>
    <xdr:ext cx="3521460" cy="1923784"/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6572" y="12458965"/>
          <a:ext cx="3521460" cy="192378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154517</xdr:colOff>
      <xdr:row>62</xdr:row>
      <xdr:rowOff>61571</xdr:rowOff>
    </xdr:from>
    <xdr:ext cx="3285067" cy="2508740"/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576" y="12219953"/>
          <a:ext cx="3285067" cy="250874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354319</xdr:colOff>
      <xdr:row>78</xdr:row>
      <xdr:rowOff>136374</xdr:rowOff>
    </xdr:from>
    <xdr:ext cx="2957415" cy="2456543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9119" y="14995374"/>
          <a:ext cx="2957415" cy="2456543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22</xdr:col>
      <xdr:colOff>72804</xdr:colOff>
      <xdr:row>114</xdr:row>
      <xdr:rowOff>63498</xdr:rowOff>
    </xdr:from>
    <xdr:ext cx="2964904" cy="2450043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84004" y="21780498"/>
          <a:ext cx="2964904" cy="2450043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22</xdr:col>
      <xdr:colOff>238391</xdr:colOff>
      <xdr:row>100</xdr:row>
      <xdr:rowOff>76467</xdr:rowOff>
    </xdr:from>
    <xdr:ext cx="2654034" cy="1441715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591" y="19126467"/>
          <a:ext cx="2654034" cy="144171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39425</xdr:colOff>
      <xdr:row>99</xdr:row>
      <xdr:rowOff>76466</xdr:rowOff>
    </xdr:from>
    <xdr:ext cx="3521460" cy="1923784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64225" y="18935966"/>
          <a:ext cx="3521460" cy="192378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205238</xdr:colOff>
      <xdr:row>114</xdr:row>
      <xdr:rowOff>45678</xdr:rowOff>
    </xdr:from>
    <xdr:ext cx="3145446" cy="2606797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7297" y="22289354"/>
          <a:ext cx="3145446" cy="2606797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154516</xdr:colOff>
      <xdr:row>98</xdr:row>
      <xdr:rowOff>39159</xdr:rowOff>
    </xdr:from>
    <xdr:ext cx="3285067" cy="2508740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2916" y="18708159"/>
          <a:ext cx="3285067" cy="250874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354319</xdr:colOff>
      <xdr:row>114</xdr:row>
      <xdr:rowOff>136374</xdr:rowOff>
    </xdr:from>
    <xdr:ext cx="2957415" cy="2456543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9119" y="21853374"/>
          <a:ext cx="2957415" cy="2456543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179</xdr:row>
          <xdr:rowOff>19050</xdr:rowOff>
        </xdr:from>
        <xdr:to>
          <xdr:col>16</xdr:col>
          <xdr:colOff>57150</xdr:colOff>
          <xdr:row>181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CO" sz="2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171450</xdr:colOff>
      <xdr:row>44</xdr:row>
      <xdr:rowOff>19051</xdr:rowOff>
    </xdr:from>
    <xdr:to>
      <xdr:col>19</xdr:col>
      <xdr:colOff>438150</xdr:colOff>
      <xdr:row>68</xdr:row>
      <xdr:rowOff>168282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48850" y="8686801"/>
          <a:ext cx="4933950" cy="47402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444499</xdr:colOff>
      <xdr:row>171</xdr:row>
      <xdr:rowOff>63499</xdr:rowOff>
    </xdr:from>
    <xdr:to>
      <xdr:col>20</xdr:col>
      <xdr:colOff>575732</xdr:colOff>
      <xdr:row>177</xdr:row>
      <xdr:rowOff>29632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17916" y="33432749"/>
          <a:ext cx="3464983" cy="11091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177</xdr:row>
          <xdr:rowOff>95250</xdr:rowOff>
        </xdr:from>
        <xdr:to>
          <xdr:col>18</xdr:col>
          <xdr:colOff>19050</xdr:colOff>
          <xdr:row>180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CO" sz="2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581026</xdr:colOff>
      <xdr:row>43</xdr:row>
      <xdr:rowOff>57151</xdr:rowOff>
    </xdr:from>
    <xdr:to>
      <xdr:col>19</xdr:col>
      <xdr:colOff>114300</xdr:colOff>
      <xdr:row>69</xdr:row>
      <xdr:rowOff>108433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58426" y="8524876"/>
          <a:ext cx="4200524" cy="50423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FCFF5-A7CA-4FD6-B41D-F83A612D45D0}">
  <sheetPr codeName="Hoja3">
    <tabColor rgb="FFFFC000"/>
  </sheetPr>
  <dimension ref="A1:AQ130"/>
  <sheetViews>
    <sheetView zoomScale="80" zoomScaleNormal="80" workbookViewId="0">
      <selection activeCell="D18" sqref="D18"/>
    </sheetView>
  </sheetViews>
  <sheetFormatPr baseColWidth="10" defaultColWidth="9.140625" defaultRowHeight="15" x14ac:dyDescent="0.25"/>
  <cols>
    <col min="2" max="2" width="31.5703125" bestFit="1" customWidth="1"/>
    <col min="5" max="24" width="10.85546875" customWidth="1"/>
    <col min="29" max="29" width="9.140625" style="341"/>
    <col min="30" max="38" width="9.140625" style="20"/>
  </cols>
  <sheetData>
    <row r="1" spans="1:29" ht="15.75" thickBot="1" x14ac:dyDescent="0.3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429"/>
    </row>
    <row r="2" spans="1:29" x14ac:dyDescent="0.25">
      <c r="A2" s="20"/>
      <c r="B2" s="426" t="s">
        <v>563</v>
      </c>
      <c r="C2" s="725"/>
      <c r="D2" s="725"/>
      <c r="E2" s="726"/>
      <c r="F2" s="20"/>
      <c r="G2" s="20"/>
      <c r="H2" s="745" t="s">
        <v>562</v>
      </c>
      <c r="I2" s="746"/>
      <c r="J2" s="746"/>
      <c r="K2" s="428" t="s">
        <v>561</v>
      </c>
      <c r="L2" s="427"/>
      <c r="M2" s="20"/>
      <c r="N2" s="20" t="s">
        <v>560</v>
      </c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</row>
    <row r="3" spans="1:29" x14ac:dyDescent="0.25">
      <c r="A3" s="20"/>
      <c r="B3" s="420" t="s">
        <v>559</v>
      </c>
      <c r="C3" s="727"/>
      <c r="D3" s="727"/>
      <c r="E3" s="728"/>
      <c r="F3" s="20"/>
      <c r="G3" s="20"/>
      <c r="H3" s="747" t="s">
        <v>558</v>
      </c>
      <c r="I3" s="748"/>
      <c r="J3" s="748"/>
      <c r="K3" s="727" t="s">
        <v>557</v>
      </c>
      <c r="L3" s="728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</row>
    <row r="4" spans="1:29" x14ac:dyDescent="0.25">
      <c r="A4" s="20"/>
      <c r="B4" s="731" t="s">
        <v>556</v>
      </c>
      <c r="C4" s="727"/>
      <c r="D4" s="727"/>
      <c r="E4" s="728"/>
      <c r="F4" s="20"/>
      <c r="G4" s="20"/>
      <c r="H4" s="747" t="s">
        <v>555</v>
      </c>
      <c r="I4" s="748"/>
      <c r="J4" s="748"/>
      <c r="K4" s="727" t="s">
        <v>552</v>
      </c>
      <c r="L4" s="728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</row>
    <row r="5" spans="1:29" x14ac:dyDescent="0.25">
      <c r="A5" s="20"/>
      <c r="B5" s="420" t="s">
        <v>554</v>
      </c>
      <c r="C5" s="727"/>
      <c r="D5" s="727"/>
      <c r="E5" s="728"/>
      <c r="F5" s="20"/>
      <c r="G5" s="20"/>
      <c r="H5" s="747" t="s">
        <v>553</v>
      </c>
      <c r="I5" s="748"/>
      <c r="J5" s="748"/>
      <c r="K5" s="727" t="s">
        <v>552</v>
      </c>
      <c r="L5" s="728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</row>
    <row r="6" spans="1:29" ht="15.75" thickBot="1" x14ac:dyDescent="0.3">
      <c r="A6" s="20"/>
      <c r="B6" s="414" t="s">
        <v>551</v>
      </c>
      <c r="C6" s="729"/>
      <c r="D6" s="729"/>
      <c r="E6" s="730"/>
      <c r="F6" s="20"/>
      <c r="G6" s="20"/>
      <c r="H6" s="749" t="s">
        <v>550</v>
      </c>
      <c r="I6" s="750"/>
      <c r="J6" s="750"/>
      <c r="K6" s="729" t="s">
        <v>549</v>
      </c>
      <c r="L6" s="73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>
        <f>52*7</f>
        <v>364</v>
      </c>
      <c r="AB6" s="20"/>
      <c r="AC6" s="341">
        <f>52/4</f>
        <v>13</v>
      </c>
    </row>
    <row r="7" spans="1:29" ht="15.75" thickBot="1" x14ac:dyDescent="0.3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341">
        <f>52-16</f>
        <v>36</v>
      </c>
    </row>
    <row r="8" spans="1:29" x14ac:dyDescent="0.25">
      <c r="A8" s="20"/>
      <c r="B8" s="426" t="s">
        <v>548</v>
      </c>
      <c r="C8" s="425" t="s">
        <v>547</v>
      </c>
      <c r="D8" s="424">
        <v>30</v>
      </c>
      <c r="E8" s="422" t="s">
        <v>536</v>
      </c>
      <c r="F8" s="20"/>
      <c r="G8" s="20"/>
      <c r="H8" s="736" t="s">
        <v>546</v>
      </c>
      <c r="I8" s="737"/>
      <c r="J8" s="738"/>
      <c r="K8" s="423">
        <f>+D10*D12/D11</f>
        <v>280</v>
      </c>
      <c r="L8" s="422" t="s">
        <v>545</v>
      </c>
      <c r="M8" s="20"/>
      <c r="N8" s="20"/>
      <c r="O8" s="692" t="s">
        <v>544</v>
      </c>
      <c r="P8" s="692"/>
      <c r="Q8" s="25" t="s">
        <v>543</v>
      </c>
      <c r="R8" s="25">
        <f>+K11*1.3</f>
        <v>1.8958333333333333</v>
      </c>
      <c r="S8" s="25" t="s">
        <v>523</v>
      </c>
      <c r="T8" s="20"/>
      <c r="U8" s="20"/>
      <c r="V8" s="20"/>
      <c r="W8" s="20"/>
      <c r="X8" s="20"/>
      <c r="Y8" s="20"/>
      <c r="Z8" s="20"/>
      <c r="AA8" s="20"/>
      <c r="AB8" s="20"/>
    </row>
    <row r="9" spans="1:29" x14ac:dyDescent="0.25">
      <c r="A9" s="20"/>
      <c r="B9" s="420" t="s">
        <v>542</v>
      </c>
      <c r="C9" s="419" t="s">
        <v>541</v>
      </c>
      <c r="D9" s="418">
        <v>40</v>
      </c>
      <c r="E9" s="264" t="s">
        <v>536</v>
      </c>
      <c r="F9" s="20"/>
      <c r="G9" s="20"/>
      <c r="H9" s="693" t="s">
        <v>540</v>
      </c>
      <c r="I9" s="694"/>
      <c r="J9" s="695"/>
      <c r="K9" s="415">
        <f>+K8/D12</f>
        <v>2.3333333333333335</v>
      </c>
      <c r="L9" s="421" t="s">
        <v>539</v>
      </c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</row>
    <row r="10" spans="1:29" x14ac:dyDescent="0.25">
      <c r="A10" s="20"/>
      <c r="B10" s="420" t="s">
        <v>538</v>
      </c>
      <c r="C10" s="419" t="s">
        <v>537</v>
      </c>
      <c r="D10" s="418">
        <f>+(D9+D8)/2</f>
        <v>35</v>
      </c>
      <c r="E10" s="264" t="s">
        <v>536</v>
      </c>
      <c r="F10" s="20"/>
      <c r="G10" s="20"/>
      <c r="H10" s="693" t="s">
        <v>535</v>
      </c>
      <c r="I10" s="694"/>
      <c r="J10" s="695"/>
      <c r="K10" s="415">
        <f>+K8/D14</f>
        <v>140</v>
      </c>
      <c r="L10" s="264" t="s">
        <v>534</v>
      </c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341">
        <f>+AC7/3</f>
        <v>12</v>
      </c>
    </row>
    <row r="11" spans="1:29" x14ac:dyDescent="0.25">
      <c r="A11" s="20"/>
      <c r="B11" s="420" t="s">
        <v>533</v>
      </c>
      <c r="C11" s="419" t="s">
        <v>532</v>
      </c>
      <c r="D11" s="418">
        <v>15</v>
      </c>
      <c r="E11" s="264" t="s">
        <v>531</v>
      </c>
      <c r="F11" s="20"/>
      <c r="G11" s="20"/>
      <c r="H11" s="693" t="s">
        <v>530</v>
      </c>
      <c r="I11" s="694"/>
      <c r="J11" s="695"/>
      <c r="K11" s="415">
        <f>+K10/(6*16)</f>
        <v>1.4583333333333333</v>
      </c>
      <c r="L11" s="264" t="s">
        <v>523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</row>
    <row r="12" spans="1:29" x14ac:dyDescent="0.25">
      <c r="A12" s="20"/>
      <c r="B12" s="420" t="s">
        <v>529</v>
      </c>
      <c r="C12" s="419" t="s">
        <v>528</v>
      </c>
      <c r="D12" s="418">
        <v>120</v>
      </c>
      <c r="E12" s="264" t="s">
        <v>527</v>
      </c>
      <c r="F12" s="20"/>
      <c r="G12" s="20"/>
      <c r="H12" s="732" t="s">
        <v>526</v>
      </c>
      <c r="I12" s="733"/>
      <c r="J12" s="733"/>
      <c r="K12" s="415">
        <f>+K11*D31</f>
        <v>0.87499999999999989</v>
      </c>
      <c r="L12" s="264" t="s">
        <v>523</v>
      </c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</row>
    <row r="13" spans="1:29" x14ac:dyDescent="0.25">
      <c r="A13" s="20"/>
      <c r="B13" s="417" t="s">
        <v>525</v>
      </c>
      <c r="C13" s="308" t="s">
        <v>524</v>
      </c>
      <c r="D13" s="308">
        <v>17</v>
      </c>
      <c r="E13" s="416" t="s">
        <v>22</v>
      </c>
      <c r="F13" s="20"/>
      <c r="G13" s="20"/>
      <c r="H13" s="732" t="s">
        <v>414</v>
      </c>
      <c r="I13" s="733"/>
      <c r="J13" s="733"/>
      <c r="K13" s="415">
        <f>+K12-((K12*D21)+((K12-(K12*D21))*D22))</f>
        <v>0.82319999999999993</v>
      </c>
      <c r="L13" s="264" t="s">
        <v>523</v>
      </c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</row>
    <row r="14" spans="1:29" ht="15.75" thickBot="1" x14ac:dyDescent="0.3">
      <c r="A14" s="20"/>
      <c r="B14" s="414" t="s">
        <v>522</v>
      </c>
      <c r="C14" s="413" t="s">
        <v>521</v>
      </c>
      <c r="D14" s="412">
        <v>2</v>
      </c>
      <c r="E14" s="410" t="s">
        <v>520</v>
      </c>
      <c r="F14" s="20"/>
      <c r="G14" s="20"/>
      <c r="H14" s="734" t="s">
        <v>519</v>
      </c>
      <c r="I14" s="735"/>
      <c r="J14" s="735"/>
      <c r="K14" s="411">
        <f>+K13*D23/D26*1000</f>
        <v>149.83297644539613</v>
      </c>
      <c r="L14" s="410" t="s">
        <v>4</v>
      </c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</row>
    <row r="15" spans="1:29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</row>
    <row r="16" spans="1:29" ht="15.75" thickBot="1" x14ac:dyDescent="0.3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</row>
    <row r="17" spans="1:28" ht="15.75" thickBot="1" x14ac:dyDescent="0.3">
      <c r="A17" s="20"/>
      <c r="B17" s="722" t="s">
        <v>0</v>
      </c>
      <c r="C17" s="723"/>
      <c r="D17" s="723"/>
      <c r="E17" s="724"/>
      <c r="F17" s="21"/>
      <c r="G17" s="20"/>
      <c r="H17" s="696" t="s">
        <v>1</v>
      </c>
      <c r="I17" s="697"/>
      <c r="J17" s="697"/>
      <c r="K17" s="697"/>
      <c r="L17" s="698"/>
      <c r="M17" s="20"/>
      <c r="N17" s="20"/>
      <c r="O17" s="699" t="s">
        <v>425</v>
      </c>
      <c r="P17" s="700"/>
      <c r="Q17" s="700"/>
      <c r="R17" s="700"/>
      <c r="S17" s="701"/>
      <c r="T17" s="146"/>
      <c r="U17" s="21"/>
      <c r="V17" s="20"/>
      <c r="W17" s="20"/>
      <c r="X17" s="20"/>
      <c r="Y17" s="20"/>
      <c r="Z17" s="20"/>
      <c r="AA17" s="20"/>
      <c r="AB17" s="20"/>
    </row>
    <row r="18" spans="1:28" ht="15.75" thickBot="1" x14ac:dyDescent="0.3">
      <c r="A18" s="20"/>
      <c r="B18" s="1" t="s">
        <v>518</v>
      </c>
      <c r="C18" s="2" t="s">
        <v>3</v>
      </c>
      <c r="D18" s="2">
        <f>+K14</f>
        <v>149.83297644539613</v>
      </c>
      <c r="E18" s="3" t="s">
        <v>4</v>
      </c>
      <c r="F18" s="21" t="s">
        <v>439</v>
      </c>
      <c r="G18" s="20"/>
      <c r="H18" s="702" t="s">
        <v>400</v>
      </c>
      <c r="I18" s="703"/>
      <c r="J18" s="336" t="s">
        <v>432</v>
      </c>
      <c r="K18" s="312">
        <f>K19/D31</f>
        <v>1458.3333333333335</v>
      </c>
      <c r="L18" s="300" t="s">
        <v>4</v>
      </c>
      <c r="M18" s="20"/>
      <c r="N18" s="20"/>
      <c r="O18" s="704" t="s">
        <v>201</v>
      </c>
      <c r="P18" s="705"/>
      <c r="Q18" s="705"/>
      <c r="R18" s="705"/>
      <c r="S18" s="706"/>
      <c r="T18" s="125"/>
      <c r="U18" s="21"/>
      <c r="V18" s="20"/>
      <c r="W18" s="20"/>
      <c r="X18" s="20"/>
      <c r="Y18" s="20"/>
      <c r="Z18" s="20"/>
      <c r="AA18" s="20"/>
      <c r="AB18" s="20"/>
    </row>
    <row r="19" spans="1:28" x14ac:dyDescent="0.25">
      <c r="A19" s="20"/>
      <c r="B19" s="4" t="s">
        <v>75</v>
      </c>
      <c r="C19" s="332" t="s">
        <v>76</v>
      </c>
      <c r="D19" s="292">
        <f>+F19</f>
        <v>2.9880493864212365</v>
      </c>
      <c r="E19" s="7" t="s">
        <v>77</v>
      </c>
      <c r="F19" s="294">
        <f>K30/D18</f>
        <v>2.9880493864212365</v>
      </c>
      <c r="G19" s="20"/>
      <c r="H19" s="707" t="s">
        <v>399</v>
      </c>
      <c r="I19" s="708"/>
      <c r="J19" s="335" t="s">
        <v>433</v>
      </c>
      <c r="K19" s="313">
        <f>+K21/(1-D21)</f>
        <v>875</v>
      </c>
      <c r="L19" s="298" t="s">
        <v>4</v>
      </c>
      <c r="M19" s="409"/>
      <c r="N19" s="20"/>
      <c r="O19" s="709" t="s">
        <v>418</v>
      </c>
      <c r="P19" s="710"/>
      <c r="Q19" s="299" t="s">
        <v>51</v>
      </c>
      <c r="R19" s="336">
        <f>997.39+4.46*D23</f>
        <v>1073.21</v>
      </c>
      <c r="S19" s="300" t="s">
        <v>52</v>
      </c>
      <c r="T19" s="295"/>
      <c r="U19" s="21"/>
      <c r="V19" s="20"/>
      <c r="W19" s="20"/>
      <c r="X19" s="20"/>
      <c r="Y19" s="20"/>
      <c r="Z19" s="20"/>
      <c r="AA19" s="20"/>
      <c r="AB19" s="20"/>
    </row>
    <row r="20" spans="1:28" x14ac:dyDescent="0.25">
      <c r="A20" s="20"/>
      <c r="B20" s="17" t="s">
        <v>329</v>
      </c>
      <c r="C20" s="18" t="s">
        <v>5</v>
      </c>
      <c r="D20" s="45">
        <f>+K36/R36</f>
        <v>0.43028718508909702</v>
      </c>
      <c r="E20" s="19" t="s">
        <v>6</v>
      </c>
      <c r="F20" s="21"/>
      <c r="G20" s="20"/>
      <c r="H20" s="711" t="s">
        <v>416</v>
      </c>
      <c r="I20" s="712"/>
      <c r="J20" s="333" t="s">
        <v>434</v>
      </c>
      <c r="K20" s="315">
        <f>+K19*D21</f>
        <v>17.5</v>
      </c>
      <c r="L20" s="298" t="s">
        <v>4</v>
      </c>
      <c r="M20" s="409"/>
      <c r="N20" s="20"/>
      <c r="O20" s="713" t="s">
        <v>419</v>
      </c>
      <c r="P20" s="714"/>
      <c r="Q20" s="301" t="s">
        <v>55</v>
      </c>
      <c r="R20" s="335">
        <f>997.39+4.46*D24</f>
        <v>1095.51</v>
      </c>
      <c r="S20" s="298" t="s">
        <v>52</v>
      </c>
      <c r="T20" s="295"/>
      <c r="U20" s="21"/>
      <c r="V20" s="20"/>
      <c r="W20" s="20"/>
      <c r="X20" s="20"/>
      <c r="Y20" s="20"/>
      <c r="Z20" s="20"/>
      <c r="AA20" s="20"/>
      <c r="AB20" s="20"/>
    </row>
    <row r="21" spans="1:28" ht="15.75" thickBot="1" x14ac:dyDescent="0.3">
      <c r="A21" s="20"/>
      <c r="B21" s="4" t="s">
        <v>10</v>
      </c>
      <c r="C21" s="332" t="s">
        <v>11</v>
      </c>
      <c r="D21" s="6">
        <v>0.02</v>
      </c>
      <c r="E21" s="7" t="s">
        <v>6</v>
      </c>
      <c r="F21" s="21"/>
      <c r="G21" s="20"/>
      <c r="H21" s="711" t="s">
        <v>415</v>
      </c>
      <c r="I21" s="712"/>
      <c r="J21" s="335" t="s">
        <v>435</v>
      </c>
      <c r="K21" s="315">
        <f>+K23/(1-D22)</f>
        <v>857.5</v>
      </c>
      <c r="L21" s="298" t="s">
        <v>4</v>
      </c>
      <c r="M21" s="20"/>
      <c r="N21" s="20"/>
      <c r="O21" s="715" t="s">
        <v>420</v>
      </c>
      <c r="P21" s="716"/>
      <c r="Q21" s="302" t="s">
        <v>58</v>
      </c>
      <c r="R21" s="334">
        <f>997.39+4.46*D25</f>
        <v>1331.8899999999999</v>
      </c>
      <c r="S21" s="303" t="s">
        <v>52</v>
      </c>
      <c r="T21" s="295"/>
      <c r="U21" s="21"/>
      <c r="V21" s="20"/>
      <c r="W21" s="20"/>
      <c r="X21" s="20"/>
      <c r="Y21" s="20"/>
      <c r="Z21" s="20"/>
      <c r="AA21" s="20"/>
      <c r="AB21" s="20"/>
    </row>
    <row r="22" spans="1:28" ht="15.75" thickBot="1" x14ac:dyDescent="0.3">
      <c r="A22" s="20"/>
      <c r="B22" s="4" t="s">
        <v>14</v>
      </c>
      <c r="C22" s="332" t="s">
        <v>15</v>
      </c>
      <c r="D22" s="6">
        <v>0.04</v>
      </c>
      <c r="E22" s="7" t="s">
        <v>6</v>
      </c>
      <c r="F22" s="21"/>
      <c r="G22" s="20"/>
      <c r="H22" s="711" t="s">
        <v>14</v>
      </c>
      <c r="I22" s="712"/>
      <c r="J22" s="333" t="s">
        <v>436</v>
      </c>
      <c r="K22" s="315">
        <f>+K21*D22</f>
        <v>34.300000000000004</v>
      </c>
      <c r="L22" s="298" t="s">
        <v>4</v>
      </c>
      <c r="M22" s="20"/>
      <c r="N22" s="20"/>
      <c r="O22" s="717" t="s">
        <v>405</v>
      </c>
      <c r="P22" s="718"/>
      <c r="Q22" s="718"/>
      <c r="R22" s="718"/>
      <c r="S22" s="719"/>
      <c r="T22" s="37"/>
      <c r="U22" s="21"/>
      <c r="V22" s="20"/>
      <c r="W22" s="20"/>
      <c r="X22" s="20"/>
      <c r="Y22" s="20"/>
      <c r="Z22" s="20"/>
      <c r="AA22" s="20"/>
      <c r="AB22" s="20"/>
    </row>
    <row r="23" spans="1:28" x14ac:dyDescent="0.25">
      <c r="A23" s="20"/>
      <c r="B23" s="1" t="s">
        <v>20</v>
      </c>
      <c r="C23" s="2" t="s">
        <v>21</v>
      </c>
      <c r="D23" s="2">
        <f>+D13</f>
        <v>17</v>
      </c>
      <c r="E23" s="3" t="s">
        <v>22</v>
      </c>
      <c r="F23" s="21"/>
      <c r="G23" s="20"/>
      <c r="H23" s="711" t="s">
        <v>414</v>
      </c>
      <c r="I23" s="712"/>
      <c r="J23" s="335" t="s">
        <v>437</v>
      </c>
      <c r="K23" s="315">
        <f>+D18*D27/D23</f>
        <v>823.19999999999993</v>
      </c>
      <c r="L23" s="298" t="s">
        <v>4</v>
      </c>
      <c r="M23" s="20"/>
      <c r="N23" s="20"/>
      <c r="O23" s="709" t="s">
        <v>421</v>
      </c>
      <c r="P23" s="710"/>
      <c r="Q23" s="336" t="s">
        <v>12</v>
      </c>
      <c r="R23" s="336">
        <f>D37+0.2209*EXP(0.0557*D24)</f>
        <v>95.599979559921579</v>
      </c>
      <c r="S23" s="300" t="s">
        <v>13</v>
      </c>
      <c r="T23" s="295"/>
      <c r="U23" s="21"/>
      <c r="V23" s="20"/>
      <c r="W23" s="20"/>
      <c r="X23" s="20"/>
      <c r="Y23" s="20"/>
      <c r="Z23" s="20"/>
      <c r="AA23" s="20"/>
      <c r="AB23" s="20"/>
    </row>
    <row r="24" spans="1:28" x14ac:dyDescent="0.25">
      <c r="A24" s="20"/>
      <c r="B24" s="1" t="s">
        <v>24</v>
      </c>
      <c r="C24" s="2" t="s">
        <v>25</v>
      </c>
      <c r="D24" s="2">
        <v>22</v>
      </c>
      <c r="E24" s="3" t="s">
        <v>22</v>
      </c>
      <c r="F24" s="21"/>
      <c r="G24" s="20"/>
      <c r="H24" s="707" t="s">
        <v>401</v>
      </c>
      <c r="I24" s="708"/>
      <c r="J24" s="335" t="s">
        <v>438</v>
      </c>
      <c r="K24" s="313">
        <f>K21-D18</f>
        <v>707.66702355460393</v>
      </c>
      <c r="L24" s="298" t="s">
        <v>4</v>
      </c>
      <c r="M24" s="20"/>
      <c r="N24" s="20"/>
      <c r="O24" s="713" t="s">
        <v>422</v>
      </c>
      <c r="P24" s="714"/>
      <c r="Q24" s="335" t="s">
        <v>16</v>
      </c>
      <c r="R24" s="335">
        <f>D37+0.2209*EXP(0.0557*D25)</f>
        <v>109.25096218777557</v>
      </c>
      <c r="S24" s="298" t="s">
        <v>13</v>
      </c>
      <c r="T24" s="295"/>
      <c r="U24" s="21"/>
      <c r="V24" s="20"/>
      <c r="W24" s="20"/>
      <c r="X24" s="20"/>
      <c r="Y24" s="20"/>
      <c r="Z24" s="20"/>
      <c r="AA24" s="20"/>
      <c r="AB24" s="20"/>
    </row>
    <row r="25" spans="1:28" ht="15.75" thickBot="1" x14ac:dyDescent="0.3">
      <c r="A25" s="20"/>
      <c r="B25" s="1" t="s">
        <v>29</v>
      </c>
      <c r="C25" s="2" t="s">
        <v>30</v>
      </c>
      <c r="D25" s="2">
        <v>75</v>
      </c>
      <c r="E25" s="3" t="s">
        <v>22</v>
      </c>
      <c r="F25" s="21"/>
      <c r="G25" s="20"/>
      <c r="H25" s="707" t="s">
        <v>404</v>
      </c>
      <c r="I25" s="708"/>
      <c r="J25" s="335" t="s">
        <v>435</v>
      </c>
      <c r="K25" s="313">
        <f>+K21</f>
        <v>857.5</v>
      </c>
      <c r="L25" s="298" t="s">
        <v>4</v>
      </c>
      <c r="M25" s="20"/>
      <c r="N25" s="20"/>
      <c r="O25" s="715" t="s">
        <v>423</v>
      </c>
      <c r="P25" s="716"/>
      <c r="Q25" s="334" t="s">
        <v>23</v>
      </c>
      <c r="R25" s="334">
        <f>D37+0.2209*EXP(0.0557*D26)</f>
        <v>134.9861525810787</v>
      </c>
      <c r="S25" s="303" t="s">
        <v>13</v>
      </c>
      <c r="T25" s="295"/>
      <c r="U25" s="21"/>
      <c r="V25" s="20"/>
      <c r="W25" s="20"/>
      <c r="X25" s="20"/>
      <c r="Y25" s="20"/>
      <c r="Z25" s="20"/>
      <c r="AA25" s="20"/>
      <c r="AB25" s="20"/>
    </row>
    <row r="26" spans="1:28" ht="15.75" thickBot="1" x14ac:dyDescent="0.3">
      <c r="A26" s="20"/>
      <c r="B26" s="1" t="s">
        <v>34</v>
      </c>
      <c r="C26" s="2" t="s">
        <v>35</v>
      </c>
      <c r="D26" s="2">
        <v>93.4</v>
      </c>
      <c r="E26" s="3" t="s">
        <v>22</v>
      </c>
      <c r="F26" s="21"/>
      <c r="G26" s="20"/>
      <c r="H26" s="707" t="s">
        <v>402</v>
      </c>
      <c r="I26" s="708"/>
      <c r="J26" s="335" t="s">
        <v>36</v>
      </c>
      <c r="K26" s="313">
        <f>+K23</f>
        <v>823.19999999999993</v>
      </c>
      <c r="L26" s="298" t="s">
        <v>4</v>
      </c>
      <c r="M26" s="20"/>
      <c r="N26" s="20"/>
      <c r="O26" s="696" t="s">
        <v>424</v>
      </c>
      <c r="P26" s="697"/>
      <c r="Q26" s="697"/>
      <c r="R26" s="697"/>
      <c r="S26" s="698"/>
      <c r="T26" s="295"/>
      <c r="U26" s="21"/>
      <c r="V26" s="20"/>
      <c r="W26" s="20"/>
      <c r="X26" s="20"/>
      <c r="Y26" s="20"/>
      <c r="Z26" s="20"/>
      <c r="AA26" s="20"/>
      <c r="AB26" s="20"/>
    </row>
    <row r="27" spans="1:28" x14ac:dyDescent="0.25">
      <c r="A27" s="20"/>
      <c r="B27" s="1" t="s">
        <v>39</v>
      </c>
      <c r="C27" s="332" t="s">
        <v>35</v>
      </c>
      <c r="D27" s="2">
        <f>D26</f>
        <v>93.4</v>
      </c>
      <c r="E27" s="3" t="s">
        <v>22</v>
      </c>
      <c r="F27" s="21"/>
      <c r="G27" s="20"/>
      <c r="H27" s="707" t="s">
        <v>403</v>
      </c>
      <c r="I27" s="708"/>
      <c r="J27" s="335" t="s">
        <v>40</v>
      </c>
      <c r="K27" s="313">
        <f>K26*D24/D25</f>
        <v>241.47199999999998</v>
      </c>
      <c r="L27" s="298" t="s">
        <v>4</v>
      </c>
      <c r="M27" s="20"/>
      <c r="N27" s="20"/>
      <c r="O27" s="713" t="s">
        <v>421</v>
      </c>
      <c r="P27" s="714"/>
      <c r="Q27" s="301" t="s">
        <v>32</v>
      </c>
      <c r="R27" s="335">
        <f>2492.9-2.0523*((D37+R23)/2)-0.0030752*((D37+R23)/2)^2</f>
        <v>2269.5874947257084</v>
      </c>
      <c r="S27" s="298" t="s">
        <v>33</v>
      </c>
      <c r="T27" s="295"/>
      <c r="U27" s="21"/>
      <c r="V27" s="20"/>
      <c r="W27" s="20"/>
      <c r="X27" s="20"/>
      <c r="Y27" s="20"/>
      <c r="Z27" s="20"/>
      <c r="AA27" s="20"/>
      <c r="AB27" s="20"/>
    </row>
    <row r="28" spans="1:28" x14ac:dyDescent="0.25">
      <c r="A28" s="20"/>
      <c r="B28" s="8" t="s">
        <v>41</v>
      </c>
      <c r="C28" s="9" t="s">
        <v>42</v>
      </c>
      <c r="D28" s="6" t="s">
        <v>517</v>
      </c>
      <c r="E28" s="10" t="s">
        <v>44</v>
      </c>
      <c r="F28" s="21"/>
      <c r="G28" s="20"/>
      <c r="H28" s="720" t="s">
        <v>426</v>
      </c>
      <c r="I28" s="721"/>
      <c r="J28" s="297" t="s">
        <v>409</v>
      </c>
      <c r="K28" s="315">
        <f>D18*D19</f>
        <v>447.70833333333348</v>
      </c>
      <c r="L28" s="298" t="s">
        <v>4</v>
      </c>
      <c r="M28" s="20"/>
      <c r="N28" s="20"/>
      <c r="O28" s="713" t="s">
        <v>422</v>
      </c>
      <c r="P28" s="714"/>
      <c r="Q28" s="301" t="s">
        <v>32</v>
      </c>
      <c r="R28" s="335">
        <f>2492.9-2.0523*((R23+R24)/2)-0.0030752*((R23+R24)/2)^2</f>
        <v>2250.4303533977154</v>
      </c>
      <c r="S28" s="298" t="s">
        <v>33</v>
      </c>
      <c r="T28" s="295"/>
      <c r="U28" s="21"/>
      <c r="V28" s="20"/>
      <c r="W28" s="20"/>
      <c r="X28" s="20"/>
      <c r="Y28" s="20"/>
      <c r="Z28" s="20"/>
      <c r="AA28" s="20"/>
      <c r="AB28" s="20"/>
    </row>
    <row r="29" spans="1:28" ht="15.75" thickBot="1" x14ac:dyDescent="0.3">
      <c r="A29" s="20"/>
      <c r="B29" s="4" t="s">
        <v>45</v>
      </c>
      <c r="C29" s="332" t="s">
        <v>46</v>
      </c>
      <c r="D29" s="6">
        <v>0.4</v>
      </c>
      <c r="E29" s="7" t="s">
        <v>6</v>
      </c>
      <c r="F29" s="21"/>
      <c r="G29" s="20"/>
      <c r="H29" s="707" t="s">
        <v>427</v>
      </c>
      <c r="I29" s="708"/>
      <c r="J29" s="335" t="s">
        <v>37</v>
      </c>
      <c r="K29" s="313">
        <f>K18-K19</f>
        <v>583.33333333333348</v>
      </c>
      <c r="L29" s="298" t="s">
        <v>4</v>
      </c>
      <c r="M29" s="20"/>
      <c r="N29" s="20"/>
      <c r="O29" s="715" t="s">
        <v>423</v>
      </c>
      <c r="P29" s="716"/>
      <c r="Q29" s="302" t="s">
        <v>32</v>
      </c>
      <c r="R29" s="334">
        <f>2492.9-2.0523*((R24+R25)/2)-0.0030752*((R24+R25)/2)^2</f>
        <v>2196.4158052642438</v>
      </c>
      <c r="S29" s="303" t="s">
        <v>33</v>
      </c>
      <c r="T29" s="295"/>
      <c r="U29" s="21"/>
      <c r="V29" s="20"/>
      <c r="W29" s="20"/>
      <c r="X29" s="20"/>
      <c r="Y29" s="20"/>
      <c r="Z29" s="20"/>
      <c r="AA29" s="20"/>
      <c r="AB29" s="20"/>
    </row>
    <row r="30" spans="1:28" ht="15.75" thickBot="1" x14ac:dyDescent="0.3">
      <c r="A30" s="20"/>
      <c r="B30" s="4" t="s">
        <v>49</v>
      </c>
      <c r="C30" s="11" t="s">
        <v>50</v>
      </c>
      <c r="D30" s="12">
        <v>1.8</v>
      </c>
      <c r="E30" s="7"/>
      <c r="F30" s="21"/>
      <c r="G30" s="20"/>
      <c r="H30" s="743" t="s">
        <v>428</v>
      </c>
      <c r="I30" s="744"/>
      <c r="J30" s="339" t="s">
        <v>408</v>
      </c>
      <c r="K30" s="314">
        <f>K29*((100%-D35)/(100%-D29))</f>
        <v>447.70833333333348</v>
      </c>
      <c r="L30" s="303" t="s">
        <v>4</v>
      </c>
      <c r="M30" s="20"/>
      <c r="N30" s="20"/>
      <c r="O30" s="696" t="s">
        <v>406</v>
      </c>
      <c r="P30" s="697"/>
      <c r="Q30" s="697"/>
      <c r="R30" s="697"/>
      <c r="S30" s="698"/>
      <c r="T30" s="295"/>
      <c r="U30" s="21"/>
      <c r="V30" s="20"/>
      <c r="W30" s="20"/>
      <c r="X30" s="20"/>
      <c r="Y30" s="20"/>
      <c r="Z30" s="20"/>
      <c r="AA30" s="20"/>
      <c r="AB30" s="20"/>
    </row>
    <row r="31" spans="1:28" ht="15.75" thickBot="1" x14ac:dyDescent="0.3">
      <c r="A31" s="20"/>
      <c r="B31" s="1" t="s">
        <v>53</v>
      </c>
      <c r="C31" s="2" t="s">
        <v>54</v>
      </c>
      <c r="D31" s="13">
        <v>0.6</v>
      </c>
      <c r="E31" s="3" t="s">
        <v>6</v>
      </c>
      <c r="F31" s="21"/>
      <c r="G31" s="20"/>
      <c r="H31" s="24"/>
      <c r="I31" s="24"/>
      <c r="J31" s="24"/>
      <c r="K31" s="145"/>
      <c r="L31" s="145"/>
      <c r="M31" s="20"/>
      <c r="N31" s="20"/>
      <c r="O31" s="713" t="s">
        <v>429</v>
      </c>
      <c r="P31" s="714"/>
      <c r="Q31" s="335" t="s">
        <v>47</v>
      </c>
      <c r="R31" s="335">
        <f>4.18*(1-0.006*D23)</f>
        <v>3.7536399999999999</v>
      </c>
      <c r="S31" s="298" t="s">
        <v>48</v>
      </c>
      <c r="T31" s="295"/>
      <c r="U31" s="21"/>
      <c r="V31" s="20"/>
      <c r="W31" s="20"/>
      <c r="X31" s="20"/>
      <c r="Y31" s="20"/>
      <c r="Z31" s="20"/>
      <c r="AA31" s="20"/>
      <c r="AB31" s="20"/>
    </row>
    <row r="32" spans="1:28" ht="15.75" thickBot="1" x14ac:dyDescent="0.3">
      <c r="A32" s="20"/>
      <c r="B32" s="1" t="s">
        <v>56</v>
      </c>
      <c r="C32" s="2" t="s">
        <v>57</v>
      </c>
      <c r="D32" s="13">
        <v>0.14000000000000001</v>
      </c>
      <c r="E32" s="3" t="s">
        <v>6</v>
      </c>
      <c r="F32" s="21"/>
      <c r="G32" s="20"/>
      <c r="H32" s="717" t="s">
        <v>417</v>
      </c>
      <c r="I32" s="718"/>
      <c r="J32" s="718"/>
      <c r="K32" s="718"/>
      <c r="L32" s="719"/>
      <c r="M32" s="20"/>
      <c r="N32" s="20"/>
      <c r="O32" s="713" t="s">
        <v>430</v>
      </c>
      <c r="P32" s="714"/>
      <c r="Q32" s="335" t="s">
        <v>47</v>
      </c>
      <c r="R32" s="335">
        <f>4.18*(1-0.006*D24)</f>
        <v>3.6282399999999999</v>
      </c>
      <c r="S32" s="298" t="s">
        <v>48</v>
      </c>
      <c r="T32" s="295"/>
      <c r="U32" s="21"/>
      <c r="V32" s="20"/>
      <c r="W32" s="20"/>
      <c r="X32" s="20"/>
      <c r="Y32" s="20"/>
      <c r="Z32" s="20"/>
      <c r="AA32" s="20"/>
      <c r="AB32" s="20"/>
    </row>
    <row r="33" spans="1:28" ht="15.75" thickBot="1" x14ac:dyDescent="0.3">
      <c r="A33" s="20"/>
      <c r="B33" s="1" t="s">
        <v>59</v>
      </c>
      <c r="C33" s="2" t="s">
        <v>60</v>
      </c>
      <c r="D33" s="2">
        <v>1610</v>
      </c>
      <c r="E33" s="3" t="s">
        <v>61</v>
      </c>
      <c r="F33" s="21"/>
      <c r="G33" s="20"/>
      <c r="H33" s="709" t="s">
        <v>407</v>
      </c>
      <c r="I33" s="710"/>
      <c r="J33" s="336" t="s">
        <v>62</v>
      </c>
      <c r="K33" s="336">
        <f>(K25*R31*(R23-D34)+(K25-K26)*R27)/3600</f>
        <v>84.747298349351425</v>
      </c>
      <c r="L33" s="300" t="s">
        <v>19</v>
      </c>
      <c r="M33" s="20"/>
      <c r="N33" s="20"/>
      <c r="O33" s="715" t="s">
        <v>431</v>
      </c>
      <c r="P33" s="716"/>
      <c r="Q33" s="334" t="s">
        <v>47</v>
      </c>
      <c r="R33" s="334">
        <f>4.18*(1-0.006*D25)</f>
        <v>2.2989999999999999</v>
      </c>
      <c r="S33" s="303" t="s">
        <v>48</v>
      </c>
      <c r="T33" s="295"/>
      <c r="U33" s="21"/>
      <c r="V33" s="20"/>
      <c r="W33" s="20"/>
      <c r="X33" s="20"/>
      <c r="Y33" s="20"/>
      <c r="Z33" s="20"/>
      <c r="AA33" s="20"/>
      <c r="AB33" s="20"/>
    </row>
    <row r="34" spans="1:28" ht="15.75" thickBot="1" x14ac:dyDescent="0.3">
      <c r="A34" s="20"/>
      <c r="B34" s="14" t="s">
        <v>63</v>
      </c>
      <c r="C34" s="15" t="s">
        <v>64</v>
      </c>
      <c r="D34" s="15">
        <v>25</v>
      </c>
      <c r="E34" s="16" t="s">
        <v>13</v>
      </c>
      <c r="F34" s="21"/>
      <c r="G34" s="20"/>
      <c r="H34" s="713" t="s">
        <v>410</v>
      </c>
      <c r="I34" s="714"/>
      <c r="J34" s="335" t="s">
        <v>65</v>
      </c>
      <c r="K34" s="335">
        <f>(K26*R32*(R24-R23)+(K26-K27)*R28)/3600</f>
        <v>374.97518204032184</v>
      </c>
      <c r="L34" s="298" t="s">
        <v>19</v>
      </c>
      <c r="M34" s="20"/>
      <c r="N34" s="20"/>
      <c r="O34" s="145"/>
      <c r="P34" s="24"/>
      <c r="Q34" s="24"/>
      <c r="R34" s="24"/>
      <c r="S34" s="24"/>
      <c r="T34" s="24"/>
      <c r="U34" s="21"/>
      <c r="V34" s="20"/>
      <c r="W34" s="20"/>
      <c r="X34" s="20"/>
      <c r="Y34" s="20"/>
      <c r="Z34" s="20"/>
      <c r="AA34" s="20"/>
      <c r="AB34" s="20"/>
    </row>
    <row r="35" spans="1:28" x14ac:dyDescent="0.25">
      <c r="A35" s="20"/>
      <c r="B35" s="304" t="s">
        <v>66</v>
      </c>
      <c r="C35" s="305" t="s">
        <v>67</v>
      </c>
      <c r="D35" s="306">
        <f>((K19-K19*(D31+D32))-(K19-K19*(D31+D32))*(D23/100))/(K19*(1-D31))</f>
        <v>0.53949999999999998</v>
      </c>
      <c r="E35" s="307" t="s">
        <v>6</v>
      </c>
      <c r="F35" s="21"/>
      <c r="G35" s="20"/>
      <c r="H35" s="713" t="s">
        <v>411</v>
      </c>
      <c r="I35" s="714"/>
      <c r="J35" s="335" t="s">
        <v>68</v>
      </c>
      <c r="K35" s="335">
        <f>(K27*R33*(R25-R24)+(K27-D18)*R29)/3600</f>
        <v>59.878927651144025</v>
      </c>
      <c r="L35" s="298" t="s">
        <v>19</v>
      </c>
      <c r="M35" s="20"/>
      <c r="N35" s="20"/>
      <c r="O35" s="704" t="s">
        <v>7</v>
      </c>
      <c r="P35" s="705"/>
      <c r="Q35" s="337" t="s">
        <v>8</v>
      </c>
      <c r="R35" s="337">
        <f>17.85-20.35*D29</f>
        <v>9.7100000000000009</v>
      </c>
      <c r="S35" s="340" t="s">
        <v>9</v>
      </c>
      <c r="T35" s="125"/>
      <c r="U35" s="21"/>
      <c r="V35" s="20"/>
      <c r="W35" s="20"/>
      <c r="X35" s="20"/>
      <c r="Y35" s="20"/>
      <c r="Z35" s="20"/>
      <c r="AA35" s="20"/>
      <c r="AB35" s="20"/>
    </row>
    <row r="36" spans="1:28" x14ac:dyDescent="0.25">
      <c r="A36" s="20"/>
      <c r="B36" s="304" t="s">
        <v>70</v>
      </c>
      <c r="C36" s="305" t="s">
        <v>71</v>
      </c>
      <c r="D36" s="308">
        <f>760*EXP(-0.0001158*D33)</f>
        <v>630.73161123067814</v>
      </c>
      <c r="E36" s="307" t="s">
        <v>72</v>
      </c>
      <c r="F36" s="21"/>
      <c r="G36" s="20"/>
      <c r="H36" s="713" t="s">
        <v>412</v>
      </c>
      <c r="I36" s="714"/>
      <c r="J36" s="335" t="s">
        <v>69</v>
      </c>
      <c r="K36" s="335">
        <f>SUM(K33:K35)</f>
        <v>519.60140804081732</v>
      </c>
      <c r="L36" s="298" t="s">
        <v>19</v>
      </c>
      <c r="M36" s="20"/>
      <c r="N36" s="20"/>
      <c r="O36" s="741" t="s">
        <v>17</v>
      </c>
      <c r="P36" s="742"/>
      <c r="Q36" s="338" t="s">
        <v>18</v>
      </c>
      <c r="R36" s="338">
        <f>(D19*D18)*R35/3.6</f>
        <v>1207.5688657407413</v>
      </c>
      <c r="S36" s="316" t="s">
        <v>19</v>
      </c>
      <c r="T36" s="125"/>
      <c r="U36" s="21"/>
      <c r="V36" s="20"/>
      <c r="W36" s="20"/>
      <c r="X36" s="20"/>
      <c r="Y36" s="20"/>
      <c r="Z36" s="20"/>
      <c r="AA36" s="20"/>
      <c r="AB36" s="20"/>
    </row>
    <row r="37" spans="1:28" ht="15.75" thickBot="1" x14ac:dyDescent="0.3">
      <c r="A37" s="20"/>
      <c r="B37" s="309" t="s">
        <v>73</v>
      </c>
      <c r="C37" s="310" t="s">
        <v>74</v>
      </c>
      <c r="D37" s="310">
        <f>-227.03+3816.44/(18.3036-LN(7.5*(D36*133.3224/1000)))</f>
        <v>94.84769841995157</v>
      </c>
      <c r="E37" s="311" t="s">
        <v>13</v>
      </c>
      <c r="F37" s="21"/>
      <c r="G37" s="20"/>
      <c r="H37" s="715" t="s">
        <v>413</v>
      </c>
      <c r="I37" s="716"/>
      <c r="J37" s="334" t="s">
        <v>69</v>
      </c>
      <c r="K37" s="334">
        <f>(K19*(R25-D34)*R31+K24*((R27+R29)/2))/3600</f>
        <v>539.2955556380831</v>
      </c>
      <c r="L37" s="303" t="s">
        <v>19</v>
      </c>
      <c r="M37" s="20"/>
      <c r="N37" s="20"/>
      <c r="O37" s="739" t="s">
        <v>26</v>
      </c>
      <c r="P37" s="740"/>
      <c r="Q37" s="339" t="s">
        <v>27</v>
      </c>
      <c r="R37" s="339">
        <f>R36/1000</f>
        <v>1.2075688657407413</v>
      </c>
      <c r="S37" s="317" t="s">
        <v>28</v>
      </c>
      <c r="T37" s="125"/>
      <c r="U37" s="21"/>
      <c r="V37" s="20"/>
      <c r="W37" s="20"/>
      <c r="X37" s="20"/>
      <c r="Y37" s="20"/>
      <c r="Z37" s="20"/>
      <c r="AA37" s="20"/>
      <c r="AB37" s="20"/>
    </row>
    <row r="38" spans="1:28" ht="15.75" thickBot="1" x14ac:dyDescent="0.3">
      <c r="A38" s="20"/>
      <c r="B38" s="408"/>
      <c r="C38" s="408"/>
      <c r="D38" s="408"/>
      <c r="E38" s="408"/>
      <c r="F38" s="21"/>
      <c r="G38" s="20"/>
      <c r="H38" s="20"/>
      <c r="I38" s="20"/>
      <c r="J38" s="43"/>
      <c r="K38" s="20"/>
      <c r="L38" s="43"/>
      <c r="M38" s="20"/>
      <c r="N38" s="20"/>
      <c r="O38" s="20"/>
      <c r="P38" s="22"/>
      <c r="Q38" s="22"/>
      <c r="R38" s="22"/>
      <c r="S38" s="22"/>
      <c r="T38" s="22"/>
      <c r="U38" s="22"/>
      <c r="V38" s="20"/>
      <c r="W38" s="20"/>
      <c r="X38" s="20"/>
      <c r="Y38" s="20"/>
      <c r="Z38" s="20"/>
      <c r="AA38" s="20"/>
      <c r="AB38" s="20"/>
    </row>
    <row r="39" spans="1:28" ht="15.75" thickBot="1" x14ac:dyDescent="0.3">
      <c r="A39" s="670" t="s">
        <v>78</v>
      </c>
      <c r="B39" s="671"/>
      <c r="C39" s="671"/>
      <c r="D39" s="671"/>
      <c r="E39" s="671"/>
      <c r="F39" s="671"/>
      <c r="G39" s="671"/>
      <c r="H39" s="671"/>
      <c r="I39" s="671"/>
      <c r="J39" s="671"/>
      <c r="K39" s="671"/>
      <c r="L39" s="671"/>
      <c r="M39" s="671"/>
      <c r="N39" s="671"/>
      <c r="O39" s="671"/>
      <c r="P39" s="671"/>
      <c r="Q39" s="671"/>
      <c r="R39" s="671"/>
      <c r="S39" s="671"/>
      <c r="T39" s="671"/>
      <c r="U39" s="671"/>
      <c r="V39" s="671"/>
      <c r="W39" s="671"/>
      <c r="X39" s="671"/>
      <c r="Y39" s="671"/>
      <c r="Z39" s="671"/>
      <c r="AA39" s="671"/>
      <c r="AB39" s="672"/>
    </row>
    <row r="40" spans="1:28" ht="15.75" thickBot="1" x14ac:dyDescent="0.3">
      <c r="A40" s="20"/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6"/>
      <c r="P40" s="296"/>
      <c r="Q40" s="296"/>
      <c r="R40" s="296"/>
      <c r="S40" s="296"/>
      <c r="T40" s="296"/>
      <c r="U40" s="296"/>
      <c r="V40" s="20"/>
      <c r="W40" s="20"/>
      <c r="X40" s="20"/>
      <c r="Y40" s="20"/>
      <c r="Z40" s="20"/>
      <c r="AA40" s="20"/>
      <c r="AB40" s="20"/>
    </row>
    <row r="41" spans="1:28" ht="15.75" customHeight="1" thickBot="1" x14ac:dyDescent="0.3">
      <c r="A41" s="20"/>
      <c r="B41" s="670" t="s">
        <v>516</v>
      </c>
      <c r="C41" s="671"/>
      <c r="D41" s="671"/>
      <c r="E41" s="671"/>
      <c r="F41" s="671"/>
      <c r="G41" s="671"/>
      <c r="H41" s="671"/>
      <c r="I41" s="671"/>
      <c r="J41" s="671"/>
      <c r="K41" s="672"/>
      <c r="L41" s="42"/>
      <c r="M41" s="675" t="s">
        <v>515</v>
      </c>
      <c r="N41" s="676"/>
      <c r="O41" s="676"/>
      <c r="P41" s="676"/>
      <c r="Q41" s="676"/>
      <c r="R41" s="676"/>
      <c r="S41" s="676"/>
      <c r="T41" s="676"/>
      <c r="U41" s="676"/>
      <c r="V41" s="676"/>
      <c r="W41" s="676"/>
      <c r="X41" s="677"/>
      <c r="Y41" s="20"/>
      <c r="Z41" s="20"/>
      <c r="AA41" s="20"/>
      <c r="AB41" s="20"/>
    </row>
    <row r="42" spans="1:28" ht="15.75" thickBot="1" x14ac:dyDescent="0.3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</row>
    <row r="43" spans="1:28" x14ac:dyDescent="0.25">
      <c r="A43" s="20"/>
      <c r="B43" s="79" t="s">
        <v>514</v>
      </c>
      <c r="C43" s="407" t="s">
        <v>513</v>
      </c>
      <c r="D43" s="406" t="s">
        <v>44</v>
      </c>
      <c r="E43" s="405">
        <v>1</v>
      </c>
      <c r="F43" s="405">
        <v>2</v>
      </c>
      <c r="G43" s="405">
        <v>3</v>
      </c>
      <c r="H43" s="405">
        <v>4</v>
      </c>
      <c r="I43" s="405">
        <v>5</v>
      </c>
      <c r="J43" s="405">
        <v>6</v>
      </c>
      <c r="K43" s="404">
        <v>7</v>
      </c>
      <c r="L43" s="20"/>
      <c r="M43" s="686" t="s">
        <v>514</v>
      </c>
      <c r="N43" s="687"/>
      <c r="O43" s="407" t="s">
        <v>513</v>
      </c>
      <c r="P43" s="406" t="s">
        <v>44</v>
      </c>
      <c r="Q43" s="405">
        <v>1</v>
      </c>
      <c r="R43" s="405">
        <v>2</v>
      </c>
      <c r="S43" s="405">
        <v>3</v>
      </c>
      <c r="T43" s="405">
        <v>4</v>
      </c>
      <c r="U43" s="405">
        <v>5</v>
      </c>
      <c r="V43" s="405">
        <v>6</v>
      </c>
      <c r="W43" s="405">
        <v>7</v>
      </c>
      <c r="X43" s="404">
        <v>8</v>
      </c>
      <c r="Y43" s="20"/>
      <c r="Z43" s="20"/>
      <c r="AA43" s="20"/>
      <c r="AB43" s="20"/>
    </row>
    <row r="44" spans="1:28" x14ac:dyDescent="0.25">
      <c r="A44" s="20"/>
      <c r="B44" s="403" t="s">
        <v>83</v>
      </c>
      <c r="C44" s="402" t="s">
        <v>512</v>
      </c>
      <c r="D44" s="401" t="s">
        <v>44</v>
      </c>
      <c r="E44" s="400" t="s">
        <v>511</v>
      </c>
      <c r="F44" s="400" t="s">
        <v>510</v>
      </c>
      <c r="G44" s="400" t="s">
        <v>510</v>
      </c>
      <c r="H44" s="400" t="s">
        <v>510</v>
      </c>
      <c r="I44" s="399" t="s">
        <v>509</v>
      </c>
      <c r="J44" s="398" t="s">
        <v>43</v>
      </c>
      <c r="K44" s="397" t="s">
        <v>43</v>
      </c>
      <c r="L44" s="296"/>
      <c r="M44" s="688" t="s">
        <v>83</v>
      </c>
      <c r="N44" s="689"/>
      <c r="O44" s="402" t="s">
        <v>512</v>
      </c>
      <c r="P44" s="401" t="s">
        <v>44</v>
      </c>
      <c r="Q44" s="400" t="s">
        <v>511</v>
      </c>
      <c r="R44" s="400" t="s">
        <v>510</v>
      </c>
      <c r="S44" s="400" t="s">
        <v>510</v>
      </c>
      <c r="T44" s="400" t="s">
        <v>510</v>
      </c>
      <c r="U44" s="399" t="s">
        <v>509</v>
      </c>
      <c r="V44" s="398" t="s">
        <v>43</v>
      </c>
      <c r="W44" s="398" t="s">
        <v>43</v>
      </c>
      <c r="X44" s="397" t="s">
        <v>43</v>
      </c>
      <c r="Y44" s="20"/>
      <c r="Z44" s="20"/>
      <c r="AA44" s="20"/>
      <c r="AB44" s="20"/>
    </row>
    <row r="45" spans="1:28" x14ac:dyDescent="0.25">
      <c r="A45" s="20"/>
      <c r="B45" s="80" t="s">
        <v>123</v>
      </c>
      <c r="C45" s="81" t="s">
        <v>124</v>
      </c>
      <c r="D45" s="81" t="s">
        <v>44</v>
      </c>
      <c r="E45" s="81">
        <v>3</v>
      </c>
      <c r="F45" s="147">
        <v>4</v>
      </c>
      <c r="G45" s="81">
        <v>5</v>
      </c>
      <c r="H45" s="81">
        <v>5</v>
      </c>
      <c r="I45" s="81">
        <v>2</v>
      </c>
      <c r="J45" s="217">
        <v>1</v>
      </c>
      <c r="K45" s="396" t="s">
        <v>193</v>
      </c>
      <c r="L45" s="296"/>
      <c r="M45" s="682" t="s">
        <v>123</v>
      </c>
      <c r="N45" s="683"/>
      <c r="O45" s="81" t="s">
        <v>124</v>
      </c>
      <c r="P45" s="81" t="s">
        <v>44</v>
      </c>
      <c r="Q45" s="81">
        <v>4</v>
      </c>
      <c r="R45" s="147">
        <v>5</v>
      </c>
      <c r="S45" s="81">
        <v>6</v>
      </c>
      <c r="T45" s="81">
        <v>6</v>
      </c>
      <c r="U45" s="81">
        <v>3</v>
      </c>
      <c r="V45" s="217">
        <v>2</v>
      </c>
      <c r="W45" s="81">
        <v>1</v>
      </c>
      <c r="X45" s="396" t="s">
        <v>193</v>
      </c>
      <c r="Y45" s="20"/>
      <c r="Z45" s="20"/>
      <c r="AA45" s="20"/>
      <c r="AB45" s="20"/>
    </row>
    <row r="46" spans="1:28" x14ac:dyDescent="0.25">
      <c r="A46" s="20"/>
      <c r="B46" s="394" t="s">
        <v>125</v>
      </c>
      <c r="C46" s="393" t="s">
        <v>140</v>
      </c>
      <c r="D46" s="393" t="s">
        <v>126</v>
      </c>
      <c r="E46" s="391">
        <f>+I47</f>
        <v>40</v>
      </c>
      <c r="F46" s="392">
        <f>+E47</f>
        <v>55</v>
      </c>
      <c r="G46" s="391">
        <f>+F47</f>
        <v>65</v>
      </c>
      <c r="H46" s="391">
        <f>+F47</f>
        <v>65</v>
      </c>
      <c r="I46" s="391">
        <f>+J47</f>
        <v>22</v>
      </c>
      <c r="J46" s="390">
        <f>+D23</f>
        <v>17</v>
      </c>
      <c r="K46" s="395">
        <f>+J46</f>
        <v>17</v>
      </c>
      <c r="L46" s="296"/>
      <c r="M46" s="690" t="s">
        <v>125</v>
      </c>
      <c r="N46" s="691"/>
      <c r="O46" s="393" t="s">
        <v>140</v>
      </c>
      <c r="P46" s="393" t="s">
        <v>126</v>
      </c>
      <c r="Q46" s="391">
        <f>+U47</f>
        <v>40</v>
      </c>
      <c r="R46" s="392">
        <f>+Q47</f>
        <v>55</v>
      </c>
      <c r="S46" s="391">
        <f>+R47</f>
        <v>65</v>
      </c>
      <c r="T46" s="391">
        <f>+S46</f>
        <v>65</v>
      </c>
      <c r="U46" s="391">
        <v>22</v>
      </c>
      <c r="V46" s="390">
        <f>+W47</f>
        <v>17</v>
      </c>
      <c r="W46" s="389">
        <f>+D23</f>
        <v>17</v>
      </c>
      <c r="X46" s="395">
        <f>+V46</f>
        <v>17</v>
      </c>
      <c r="Y46" s="20"/>
      <c r="Z46" s="20"/>
      <c r="AA46" s="20"/>
      <c r="AB46" s="20"/>
    </row>
    <row r="47" spans="1:28" x14ac:dyDescent="0.25">
      <c r="A47" s="20"/>
      <c r="B47" s="394" t="s">
        <v>127</v>
      </c>
      <c r="C47" s="393" t="s">
        <v>141</v>
      </c>
      <c r="D47" s="393" t="s">
        <v>126</v>
      </c>
      <c r="E47" s="391">
        <v>55</v>
      </c>
      <c r="F47" s="392">
        <v>65</v>
      </c>
      <c r="G47" s="391">
        <f>+D26</f>
        <v>93.4</v>
      </c>
      <c r="H47" s="391">
        <f>+D26</f>
        <v>93.4</v>
      </c>
      <c r="I47" s="391">
        <v>40</v>
      </c>
      <c r="J47" s="390">
        <f>+D24</f>
        <v>22</v>
      </c>
      <c r="K47" s="388">
        <v>60</v>
      </c>
      <c r="L47" s="296"/>
      <c r="M47" s="690" t="s">
        <v>127</v>
      </c>
      <c r="N47" s="691"/>
      <c r="O47" s="393" t="s">
        <v>141</v>
      </c>
      <c r="P47" s="393" t="s">
        <v>126</v>
      </c>
      <c r="Q47" s="391">
        <v>55</v>
      </c>
      <c r="R47" s="392">
        <v>65</v>
      </c>
      <c r="S47" s="391">
        <f>+D27</f>
        <v>93.4</v>
      </c>
      <c r="T47" s="391">
        <f>+S47</f>
        <v>93.4</v>
      </c>
      <c r="U47" s="391">
        <v>40</v>
      </c>
      <c r="V47" s="390">
        <f>+D24</f>
        <v>22</v>
      </c>
      <c r="W47" s="389">
        <f>+W46</f>
        <v>17</v>
      </c>
      <c r="X47" s="388">
        <v>60</v>
      </c>
      <c r="Y47" s="20"/>
      <c r="Z47" s="20"/>
      <c r="AA47" s="20"/>
      <c r="AB47" s="20"/>
    </row>
    <row r="48" spans="1:28" x14ac:dyDescent="0.25">
      <c r="A48" s="20"/>
      <c r="B48" s="387" t="s">
        <v>128</v>
      </c>
      <c r="C48" s="81" t="s">
        <v>142</v>
      </c>
      <c r="D48" s="81" t="s">
        <v>126</v>
      </c>
      <c r="E48" s="81">
        <f t="shared" ref="E48:K48" si="0">(E46+E47)/2</f>
        <v>47.5</v>
      </c>
      <c r="F48" s="147">
        <f t="shared" si="0"/>
        <v>60</v>
      </c>
      <c r="G48" s="81">
        <f t="shared" si="0"/>
        <v>79.2</v>
      </c>
      <c r="H48" s="81">
        <f t="shared" si="0"/>
        <v>79.2</v>
      </c>
      <c r="I48" s="81">
        <f t="shared" si="0"/>
        <v>31</v>
      </c>
      <c r="J48" s="81">
        <f t="shared" si="0"/>
        <v>19.5</v>
      </c>
      <c r="K48" s="82">
        <f t="shared" si="0"/>
        <v>38.5</v>
      </c>
      <c r="L48" s="20"/>
      <c r="M48" s="682" t="s">
        <v>128</v>
      </c>
      <c r="N48" s="683"/>
      <c r="O48" s="81" t="s">
        <v>142</v>
      </c>
      <c r="P48" s="81" t="s">
        <v>126</v>
      </c>
      <c r="Q48" s="81">
        <f t="shared" ref="Q48:X48" si="1">(Q46+Q47)/2</f>
        <v>47.5</v>
      </c>
      <c r="R48" s="147">
        <f t="shared" si="1"/>
        <v>60</v>
      </c>
      <c r="S48" s="81">
        <f t="shared" si="1"/>
        <v>79.2</v>
      </c>
      <c r="T48" s="81">
        <f t="shared" si="1"/>
        <v>79.2</v>
      </c>
      <c r="U48" s="81">
        <f t="shared" si="1"/>
        <v>31</v>
      </c>
      <c r="V48" s="81">
        <f t="shared" si="1"/>
        <v>19.5</v>
      </c>
      <c r="W48" s="81">
        <f t="shared" si="1"/>
        <v>17</v>
      </c>
      <c r="X48" s="82">
        <f t="shared" si="1"/>
        <v>38.5</v>
      </c>
      <c r="Y48" s="20"/>
      <c r="Z48" s="20"/>
      <c r="AA48" s="20"/>
      <c r="AB48" s="20"/>
    </row>
    <row r="49" spans="1:43" x14ac:dyDescent="0.25">
      <c r="A49" s="20"/>
      <c r="B49" s="80" t="s">
        <v>322</v>
      </c>
      <c r="C49" s="81" t="s">
        <v>129</v>
      </c>
      <c r="D49" s="81" t="s">
        <v>38</v>
      </c>
      <c r="E49" s="81">
        <f>+I49*I46/I47</f>
        <v>349.86</v>
      </c>
      <c r="F49" s="386">
        <f>+(E49*E46)/F46</f>
        <v>254.44363636363639</v>
      </c>
      <c r="G49" s="386">
        <f>+(F49*F46)/G46/2</f>
        <v>107.64923076923078</v>
      </c>
      <c r="H49" s="386">
        <f>+(G49*G46)/H46</f>
        <v>107.64923076923078</v>
      </c>
      <c r="I49" s="83">
        <f>+(J49-K49)*J46/J47</f>
        <v>636.10909090909092</v>
      </c>
      <c r="J49" s="83">
        <f>+K21</f>
        <v>857.5</v>
      </c>
      <c r="K49" s="84">
        <f>+K22</f>
        <v>34.300000000000004</v>
      </c>
      <c r="L49" s="20"/>
      <c r="M49" s="682" t="s">
        <v>322</v>
      </c>
      <c r="N49" s="683"/>
      <c r="O49" s="81" t="s">
        <v>129</v>
      </c>
      <c r="P49" s="81" t="s">
        <v>38</v>
      </c>
      <c r="Q49" s="81">
        <f>+U49*U46/U47</f>
        <v>349.86</v>
      </c>
      <c r="R49" s="386">
        <f>+(Q49*Q46)/R46</f>
        <v>254.44363636363639</v>
      </c>
      <c r="S49" s="386">
        <f>+(R49*R46)/S46/2</f>
        <v>107.64923076923078</v>
      </c>
      <c r="T49" s="386">
        <f>+(S49*S46)/T46</f>
        <v>107.64923076923078</v>
      </c>
      <c r="U49" s="83">
        <f>V49*V46/V47</f>
        <v>636.10909090909092</v>
      </c>
      <c r="V49" s="83">
        <f>+W49-X49</f>
        <v>823.2</v>
      </c>
      <c r="W49" s="83">
        <f>+K25</f>
        <v>857.5</v>
      </c>
      <c r="X49" s="84">
        <f>+K22</f>
        <v>34.300000000000004</v>
      </c>
      <c r="Y49" s="20"/>
      <c r="Z49" s="20"/>
      <c r="AA49" s="20"/>
      <c r="AB49" s="20"/>
    </row>
    <row r="50" spans="1:43" x14ac:dyDescent="0.25">
      <c r="A50" s="20"/>
      <c r="B50" s="80" t="s">
        <v>130</v>
      </c>
      <c r="C50" s="81" t="s">
        <v>131</v>
      </c>
      <c r="D50" s="81" t="s">
        <v>48</v>
      </c>
      <c r="E50" s="179">
        <f t="shared" ref="E50:K50" si="2">4.18*(1-0.006*E48)</f>
        <v>2.9886999999999997</v>
      </c>
      <c r="F50" s="386">
        <f t="shared" si="2"/>
        <v>2.6751999999999998</v>
      </c>
      <c r="G50" s="179">
        <f t="shared" si="2"/>
        <v>2.1936639999999996</v>
      </c>
      <c r="H50" s="179">
        <f t="shared" si="2"/>
        <v>2.1936639999999996</v>
      </c>
      <c r="I50" s="179">
        <f t="shared" si="2"/>
        <v>3.40252</v>
      </c>
      <c r="J50" s="179">
        <f t="shared" si="2"/>
        <v>3.6909399999999999</v>
      </c>
      <c r="K50" s="180">
        <f t="shared" si="2"/>
        <v>3.2144200000000001</v>
      </c>
      <c r="L50" s="20"/>
      <c r="M50" s="682" t="s">
        <v>130</v>
      </c>
      <c r="N50" s="683"/>
      <c r="O50" s="81" t="s">
        <v>131</v>
      </c>
      <c r="P50" s="81" t="s">
        <v>48</v>
      </c>
      <c r="Q50" s="179">
        <f t="shared" ref="Q50:X50" si="3">4.18*(1-0.006*Q48)</f>
        <v>2.9886999999999997</v>
      </c>
      <c r="R50" s="386">
        <f t="shared" si="3"/>
        <v>2.6751999999999998</v>
      </c>
      <c r="S50" s="179">
        <f t="shared" si="3"/>
        <v>2.1936639999999996</v>
      </c>
      <c r="T50" s="179">
        <f t="shared" si="3"/>
        <v>2.1936639999999996</v>
      </c>
      <c r="U50" s="179">
        <f t="shared" si="3"/>
        <v>3.40252</v>
      </c>
      <c r="V50" s="179">
        <f t="shared" si="3"/>
        <v>3.6909399999999999</v>
      </c>
      <c r="W50" s="179">
        <f t="shared" si="3"/>
        <v>3.7536399999999999</v>
      </c>
      <c r="X50" s="180">
        <f t="shared" si="3"/>
        <v>3.2144200000000001</v>
      </c>
      <c r="Y50" s="20"/>
      <c r="Z50" s="20"/>
      <c r="AA50" s="20"/>
      <c r="AB50" s="20"/>
    </row>
    <row r="51" spans="1:43" x14ac:dyDescent="0.25">
      <c r="A51" s="20"/>
      <c r="B51" s="80" t="s">
        <v>508</v>
      </c>
      <c r="C51" s="385" t="s">
        <v>507</v>
      </c>
      <c r="D51" s="376" t="s">
        <v>52</v>
      </c>
      <c r="E51" s="194">
        <f t="shared" ref="E51:K51" si="4">997.39+4.46*E48</f>
        <v>1209.24</v>
      </c>
      <c r="F51" s="194">
        <f t="shared" si="4"/>
        <v>1264.99</v>
      </c>
      <c r="G51" s="194">
        <f t="shared" si="4"/>
        <v>1350.6220000000001</v>
      </c>
      <c r="H51" s="194">
        <f t="shared" si="4"/>
        <v>1350.6220000000001</v>
      </c>
      <c r="I51" s="194">
        <f t="shared" si="4"/>
        <v>1135.6500000000001</v>
      </c>
      <c r="J51" s="194">
        <f t="shared" si="4"/>
        <v>1084.3599999999999</v>
      </c>
      <c r="K51" s="384">
        <f t="shared" si="4"/>
        <v>1169.0999999999999</v>
      </c>
      <c r="L51" s="20"/>
      <c r="M51" s="682" t="s">
        <v>508</v>
      </c>
      <c r="N51" s="683"/>
      <c r="O51" s="385" t="s">
        <v>507</v>
      </c>
      <c r="P51" s="376" t="s">
        <v>52</v>
      </c>
      <c r="Q51" s="194">
        <f t="shared" ref="Q51:X51" si="5">997.39+4.46*Q48</f>
        <v>1209.24</v>
      </c>
      <c r="R51" s="194">
        <f t="shared" si="5"/>
        <v>1264.99</v>
      </c>
      <c r="S51" s="194">
        <f t="shared" si="5"/>
        <v>1350.6220000000001</v>
      </c>
      <c r="T51" s="194">
        <f t="shared" si="5"/>
        <v>1350.6220000000001</v>
      </c>
      <c r="U51" s="194">
        <f t="shared" si="5"/>
        <v>1135.6500000000001</v>
      </c>
      <c r="V51" s="194">
        <f t="shared" si="5"/>
        <v>1084.3599999999999</v>
      </c>
      <c r="W51" s="194">
        <f t="shared" si="5"/>
        <v>1073.21</v>
      </c>
      <c r="X51" s="384">
        <f t="shared" si="5"/>
        <v>1169.0999999999999</v>
      </c>
      <c r="Y51" s="20"/>
      <c r="Z51" s="20"/>
      <c r="AA51" s="20"/>
      <c r="AB51" s="20"/>
    </row>
    <row r="52" spans="1:43" ht="15.75" thickBot="1" x14ac:dyDescent="0.3">
      <c r="A52" s="20"/>
      <c r="B52" s="383" t="s">
        <v>457</v>
      </c>
      <c r="C52" s="382" t="s">
        <v>506</v>
      </c>
      <c r="D52" s="382" t="s">
        <v>505</v>
      </c>
      <c r="E52" s="192">
        <f t="shared" ref="E52:K52" si="6">+E49/E51</f>
        <v>0.28932221891435944</v>
      </c>
      <c r="F52" s="192">
        <f t="shared" si="6"/>
        <v>0.20114280457840489</v>
      </c>
      <c r="G52" s="192">
        <f t="shared" si="6"/>
        <v>7.9703448314354997E-2</v>
      </c>
      <c r="H52" s="192">
        <f t="shared" si="6"/>
        <v>7.9703448314354997E-2</v>
      </c>
      <c r="I52" s="192">
        <f t="shared" si="6"/>
        <v>0.56012776023342659</v>
      </c>
      <c r="J52" s="192">
        <f t="shared" si="6"/>
        <v>0.79078903685123025</v>
      </c>
      <c r="K52" s="193">
        <f t="shared" si="6"/>
        <v>2.9338807629800706E-2</v>
      </c>
      <c r="L52" s="20"/>
      <c r="M52" s="684" t="s">
        <v>457</v>
      </c>
      <c r="N52" s="685"/>
      <c r="O52" s="382" t="s">
        <v>506</v>
      </c>
      <c r="P52" s="382" t="s">
        <v>505</v>
      </c>
      <c r="Q52" s="192">
        <f t="shared" ref="Q52:X52" si="7">+Q49/Q51</f>
        <v>0.28932221891435944</v>
      </c>
      <c r="R52" s="192">
        <f t="shared" si="7"/>
        <v>0.20114280457840489</v>
      </c>
      <c r="S52" s="192">
        <f t="shared" si="7"/>
        <v>7.9703448314354997E-2</v>
      </c>
      <c r="T52" s="192">
        <f t="shared" si="7"/>
        <v>7.9703448314354997E-2</v>
      </c>
      <c r="U52" s="192">
        <f t="shared" si="7"/>
        <v>0.56012776023342659</v>
      </c>
      <c r="V52" s="192">
        <f t="shared" si="7"/>
        <v>0.75915747537718115</v>
      </c>
      <c r="W52" s="192">
        <f t="shared" si="7"/>
        <v>0.79900485459509318</v>
      </c>
      <c r="X52" s="193">
        <f t="shared" si="7"/>
        <v>2.9338807629800706E-2</v>
      </c>
      <c r="Y52" s="20"/>
      <c r="Z52" s="20"/>
      <c r="AA52" s="20"/>
      <c r="AB52" s="20"/>
    </row>
    <row r="53" spans="1:43" ht="15.75" thickBot="1" x14ac:dyDescent="0.3">
      <c r="A53" s="20"/>
      <c r="B53" s="88" t="s">
        <v>457</v>
      </c>
      <c r="C53" s="89" t="s">
        <v>504</v>
      </c>
      <c r="D53" s="89" t="s">
        <v>463</v>
      </c>
      <c r="E53" s="381">
        <f t="shared" ref="E53:K53" si="8">+E52*1000</f>
        <v>289.32221891435944</v>
      </c>
      <c r="F53" s="381">
        <f t="shared" si="8"/>
        <v>201.14280457840488</v>
      </c>
      <c r="G53" s="381">
        <f t="shared" si="8"/>
        <v>79.703448314355001</v>
      </c>
      <c r="H53" s="381">
        <f t="shared" si="8"/>
        <v>79.703448314355001</v>
      </c>
      <c r="I53" s="381">
        <f t="shared" si="8"/>
        <v>560.12776023342656</v>
      </c>
      <c r="J53" s="381">
        <f t="shared" si="8"/>
        <v>790.78903685123021</v>
      </c>
      <c r="K53" s="380">
        <f t="shared" si="8"/>
        <v>29.338807629800705</v>
      </c>
      <c r="L53" s="20"/>
      <c r="M53" s="678" t="s">
        <v>457</v>
      </c>
      <c r="N53" s="679"/>
      <c r="O53" s="89" t="s">
        <v>504</v>
      </c>
      <c r="P53" s="89" t="s">
        <v>463</v>
      </c>
      <c r="Q53" s="381">
        <f t="shared" ref="Q53:X53" si="9">+Q52*1000</f>
        <v>289.32221891435944</v>
      </c>
      <c r="R53" s="381">
        <f t="shared" si="9"/>
        <v>201.14280457840488</v>
      </c>
      <c r="S53" s="381">
        <f t="shared" si="9"/>
        <v>79.703448314355001</v>
      </c>
      <c r="T53" s="381">
        <f t="shared" si="9"/>
        <v>79.703448314355001</v>
      </c>
      <c r="U53" s="381">
        <f t="shared" si="9"/>
        <v>560.12776023342656</v>
      </c>
      <c r="V53" s="381">
        <f t="shared" si="9"/>
        <v>759.15747537718119</v>
      </c>
      <c r="W53" s="381">
        <f t="shared" si="9"/>
        <v>799.00485459509321</v>
      </c>
      <c r="X53" s="380">
        <f t="shared" si="9"/>
        <v>29.338807629800705</v>
      </c>
      <c r="Y53" s="20"/>
      <c r="Z53" s="20"/>
      <c r="AA53" s="20"/>
      <c r="AB53" s="20"/>
    </row>
    <row r="54" spans="1:43" x14ac:dyDescent="0.25">
      <c r="A54" s="20"/>
      <c r="B54" s="80" t="s">
        <v>503</v>
      </c>
      <c r="C54" s="81" t="s">
        <v>132</v>
      </c>
      <c r="D54" s="81" t="s">
        <v>133</v>
      </c>
      <c r="E54" s="179">
        <f t="shared" ref="E54:I55" si="10">$D$37+0.2209*EXP(0.0557*E46)</f>
        <v>96.897934262018666</v>
      </c>
      <c r="F54" s="179">
        <f t="shared" si="10"/>
        <v>99.575474088009912</v>
      </c>
      <c r="G54" s="179">
        <f t="shared" si="10"/>
        <v>103.09969211736461</v>
      </c>
      <c r="H54" s="179">
        <f t="shared" si="10"/>
        <v>103.09969211736461</v>
      </c>
      <c r="I54" s="179">
        <f t="shared" si="10"/>
        <v>95.599979559921579</v>
      </c>
      <c r="J54" s="179">
        <f>+D34</f>
        <v>25</v>
      </c>
      <c r="K54" s="82">
        <f>$D$37+0.2209*EXP(0.0557*K48)</f>
        <v>96.733597799316598</v>
      </c>
      <c r="L54" s="20"/>
      <c r="M54" s="680" t="s">
        <v>503</v>
      </c>
      <c r="N54" s="681"/>
      <c r="O54" s="379" t="s">
        <v>132</v>
      </c>
      <c r="P54" s="379" t="s">
        <v>133</v>
      </c>
      <c r="Q54" s="196">
        <f t="shared" ref="Q54:U55" si="11">$D$37+0.2209*EXP(0.0557*Q46)</f>
        <v>96.897934262018666</v>
      </c>
      <c r="R54" s="196">
        <f t="shared" si="11"/>
        <v>99.575474088009912</v>
      </c>
      <c r="S54" s="196">
        <f t="shared" si="11"/>
        <v>103.09969211736461</v>
      </c>
      <c r="T54" s="196">
        <f t="shared" si="11"/>
        <v>103.09969211736461</v>
      </c>
      <c r="U54" s="196">
        <f t="shared" si="11"/>
        <v>95.599979559921579</v>
      </c>
      <c r="V54" s="196">
        <f>+W55</f>
        <v>80</v>
      </c>
      <c r="W54" s="196">
        <f>+D34</f>
        <v>25</v>
      </c>
      <c r="X54" s="378">
        <f>$D$37+0.2209*EXP(0.0557*X48)</f>
        <v>96.733597799316598</v>
      </c>
      <c r="Y54" s="20"/>
      <c r="Z54" s="20"/>
      <c r="AA54" s="20"/>
      <c r="AB54" s="20"/>
    </row>
    <row r="55" spans="1:43" x14ac:dyDescent="0.25">
      <c r="A55" s="20"/>
      <c r="B55" s="80" t="s">
        <v>502</v>
      </c>
      <c r="C55" s="81" t="s">
        <v>132</v>
      </c>
      <c r="D55" s="81" t="s">
        <v>133</v>
      </c>
      <c r="E55" s="179">
        <f t="shared" si="10"/>
        <v>99.575474088009912</v>
      </c>
      <c r="F55" s="179">
        <f t="shared" si="10"/>
        <v>103.09969211736461</v>
      </c>
      <c r="G55" s="179">
        <f t="shared" si="10"/>
        <v>134.9861525810787</v>
      </c>
      <c r="H55" s="179">
        <f t="shared" si="10"/>
        <v>134.9861525810787</v>
      </c>
      <c r="I55" s="179">
        <f t="shared" si="10"/>
        <v>96.897934262018666</v>
      </c>
      <c r="J55" s="179">
        <f>$D$37+0.2209*EXP(0.0557*J47)</f>
        <v>95.599979559921579</v>
      </c>
      <c r="K55" s="82">
        <f>$D$37+0.2209*EXP(0.0557*K49)</f>
        <v>96.340216725814102</v>
      </c>
      <c r="L55" s="20"/>
      <c r="M55" s="682" t="s">
        <v>502</v>
      </c>
      <c r="N55" s="683"/>
      <c r="O55" s="81" t="s">
        <v>132</v>
      </c>
      <c r="P55" s="81" t="s">
        <v>133</v>
      </c>
      <c r="Q55" s="179">
        <f t="shared" si="11"/>
        <v>99.575474088009912</v>
      </c>
      <c r="R55" s="179">
        <f t="shared" si="11"/>
        <v>103.09969211736461</v>
      </c>
      <c r="S55" s="179">
        <f t="shared" si="11"/>
        <v>134.9861525810787</v>
      </c>
      <c r="T55" s="179">
        <f t="shared" si="11"/>
        <v>134.9861525810787</v>
      </c>
      <c r="U55" s="179">
        <f t="shared" si="11"/>
        <v>96.897934262018666</v>
      </c>
      <c r="V55" s="179">
        <f>$D$37+0.2209*EXP(0.0557*V47)</f>
        <v>95.599979559921579</v>
      </c>
      <c r="W55" s="179">
        <v>80</v>
      </c>
      <c r="X55" s="82">
        <f>$D$37+0.2209*EXP(0.0557*X49)</f>
        <v>96.340216725814102</v>
      </c>
      <c r="Y55" s="20"/>
      <c r="Z55" s="20"/>
      <c r="AA55" s="20"/>
      <c r="AB55" s="20"/>
    </row>
    <row r="56" spans="1:43" x14ac:dyDescent="0.25">
      <c r="A56" s="20"/>
      <c r="B56" s="80" t="s">
        <v>134</v>
      </c>
      <c r="C56" s="85" t="s">
        <v>135</v>
      </c>
      <c r="D56" s="81" t="s">
        <v>33</v>
      </c>
      <c r="E56" s="179">
        <f t="shared" ref="E56:K56" si="12">2492.9-2.0523*E54-0.0030752*E54^2</f>
        <v>2265.1626719545684</v>
      </c>
      <c r="F56" s="179">
        <f t="shared" si="12"/>
        <v>2258.0498007266247</v>
      </c>
      <c r="G56" s="179">
        <f t="shared" si="12"/>
        <v>2248.6205204255416</v>
      </c>
      <c r="H56" s="179">
        <f t="shared" si="12"/>
        <v>2248.6205204255416</v>
      </c>
      <c r="I56" s="179">
        <f t="shared" si="12"/>
        <v>2268.5948140954929</v>
      </c>
      <c r="J56" s="179">
        <f t="shared" si="12"/>
        <v>2439.6705000000002</v>
      </c>
      <c r="K56" s="180">
        <f t="shared" si="12"/>
        <v>2265.5977947583342</v>
      </c>
      <c r="L56" s="20"/>
      <c r="M56" s="682" t="s">
        <v>134</v>
      </c>
      <c r="N56" s="683"/>
      <c r="O56" s="85" t="s">
        <v>135</v>
      </c>
      <c r="P56" s="81" t="s">
        <v>33</v>
      </c>
      <c r="Q56" s="179">
        <f t="shared" ref="Q56:X56" si="13">2492.9-2.0523*Q54-0.0030752*Q54^2</f>
        <v>2265.1626719545684</v>
      </c>
      <c r="R56" s="179">
        <f t="shared" si="13"/>
        <v>2258.0498007266247</v>
      </c>
      <c r="S56" s="179">
        <f t="shared" si="13"/>
        <v>2248.6205204255416</v>
      </c>
      <c r="T56" s="179">
        <f t="shared" si="13"/>
        <v>2248.6205204255416</v>
      </c>
      <c r="U56" s="179">
        <f t="shared" si="13"/>
        <v>2268.5948140954929</v>
      </c>
      <c r="V56" s="179">
        <f t="shared" si="13"/>
        <v>2309.0347200000006</v>
      </c>
      <c r="W56" s="179">
        <f t="shared" si="13"/>
        <v>2439.6705000000002</v>
      </c>
      <c r="X56" s="180">
        <f t="shared" si="13"/>
        <v>2265.5977947583342</v>
      </c>
      <c r="Y56" s="20"/>
      <c r="Z56" s="20"/>
      <c r="AA56" s="20"/>
      <c r="AB56" s="20"/>
    </row>
    <row r="57" spans="1:43" ht="15.75" thickBot="1" x14ac:dyDescent="0.3">
      <c r="A57" s="20"/>
      <c r="B57" s="86" t="s">
        <v>136</v>
      </c>
      <c r="C57" s="87" t="s">
        <v>137</v>
      </c>
      <c r="D57" s="87" t="s">
        <v>38</v>
      </c>
      <c r="E57" s="148">
        <f t="shared" ref="E57:K57" si="14">+E49-(E49*E46/E47)</f>
        <v>95.416363636363627</v>
      </c>
      <c r="F57" s="148">
        <f t="shared" si="14"/>
        <v>39.14517482517482</v>
      </c>
      <c r="G57" s="148">
        <f t="shared" si="14"/>
        <v>32.732742546532705</v>
      </c>
      <c r="H57" s="148">
        <f t="shared" si="14"/>
        <v>32.732742546532705</v>
      </c>
      <c r="I57" s="148">
        <f t="shared" si="14"/>
        <v>286.24909090909091</v>
      </c>
      <c r="J57" s="148">
        <f t="shared" si="14"/>
        <v>194.88636363636363</v>
      </c>
      <c r="K57" s="377">
        <f t="shared" si="14"/>
        <v>24.581666666666671</v>
      </c>
      <c r="L57" s="20"/>
      <c r="M57" s="682" t="s">
        <v>136</v>
      </c>
      <c r="N57" s="683"/>
      <c r="O57" s="81" t="s">
        <v>137</v>
      </c>
      <c r="P57" s="81" t="s">
        <v>38</v>
      </c>
      <c r="Q57" s="376">
        <f t="shared" ref="Q57:X57" si="15">+Q49-(Q49*Q46/Q47)</f>
        <v>95.416363636363627</v>
      </c>
      <c r="R57" s="376">
        <f t="shared" si="15"/>
        <v>39.14517482517482</v>
      </c>
      <c r="S57" s="376">
        <f t="shared" si="15"/>
        <v>32.732742546532705</v>
      </c>
      <c r="T57" s="376">
        <f t="shared" si="15"/>
        <v>32.732742546532705</v>
      </c>
      <c r="U57" s="376">
        <f t="shared" si="15"/>
        <v>286.24909090909091</v>
      </c>
      <c r="V57" s="376">
        <f t="shared" si="15"/>
        <v>187.09090909090912</v>
      </c>
      <c r="W57" s="376">
        <f t="shared" si="15"/>
        <v>0</v>
      </c>
      <c r="X57" s="375">
        <f t="shared" si="15"/>
        <v>24.581666666666671</v>
      </c>
      <c r="Y57" s="20"/>
      <c r="Z57" s="20"/>
      <c r="AA57" s="20"/>
      <c r="AB57" s="20"/>
    </row>
    <row r="58" spans="1:43" ht="15.75" thickBot="1" x14ac:dyDescent="0.3">
      <c r="A58" s="20"/>
      <c r="B58" s="88" t="s">
        <v>138</v>
      </c>
      <c r="C58" s="89" t="s">
        <v>139</v>
      </c>
      <c r="D58" s="89" t="s">
        <v>19</v>
      </c>
      <c r="E58" s="89">
        <f t="shared" ref="E58:K58" si="16">(E49*E50*(E55- E54)+E57*E56)/3600</f>
        <v>60.814803338653959</v>
      </c>
      <c r="F58" s="89">
        <f t="shared" si="16"/>
        <v>25.219623828350155</v>
      </c>
      <c r="G58" s="89">
        <f t="shared" si="16"/>
        <v>22.537051220673707</v>
      </c>
      <c r="H58" s="89">
        <f t="shared" si="16"/>
        <v>22.537051220673707</v>
      </c>
      <c r="I58" s="89">
        <f t="shared" si="16"/>
        <v>181.16457290602946</v>
      </c>
      <c r="J58" s="89">
        <f t="shared" si="16"/>
        <v>194.14058601484672</v>
      </c>
      <c r="K58" s="90">
        <f t="shared" si="16"/>
        <v>15.457999365615997</v>
      </c>
      <c r="L58" s="20"/>
      <c r="M58" s="673" t="s">
        <v>138</v>
      </c>
      <c r="N58" s="674"/>
      <c r="O58" s="87" t="s">
        <v>139</v>
      </c>
      <c r="P58" s="87" t="s">
        <v>19</v>
      </c>
      <c r="Q58" s="87">
        <f t="shared" ref="Q58:X58" si="17">(Q49*Q50*(Q55- Q54)+Q57*Q56)/3600</f>
        <v>60.814803338653959</v>
      </c>
      <c r="R58" s="87">
        <f t="shared" si="17"/>
        <v>25.219623828350155</v>
      </c>
      <c r="S58" s="87">
        <f t="shared" si="17"/>
        <v>22.537051220673707</v>
      </c>
      <c r="T58" s="87">
        <f t="shared" si="17"/>
        <v>22.537051220673707</v>
      </c>
      <c r="U58" s="87">
        <f t="shared" si="17"/>
        <v>181.16457290602946</v>
      </c>
      <c r="V58" s="87">
        <f t="shared" si="17"/>
        <v>133.16613860758625</v>
      </c>
      <c r="W58" s="87">
        <f t="shared" si="17"/>
        <v>49.175290694444442</v>
      </c>
      <c r="X58" s="138">
        <f t="shared" si="17"/>
        <v>15.457999365615997</v>
      </c>
      <c r="Y58" s="20"/>
      <c r="Z58" s="20"/>
      <c r="AA58" s="20"/>
      <c r="AB58" s="20"/>
    </row>
    <row r="59" spans="1:43" ht="15.75" thickBot="1" x14ac:dyDescent="0.3">
      <c r="A59" s="20"/>
      <c r="B59" s="20"/>
      <c r="C59" s="20"/>
      <c r="D59" s="20"/>
      <c r="E59" s="20"/>
      <c r="F59" s="20"/>
      <c r="G59" s="20">
        <f>997.39+4.46*G47</f>
        <v>1413.954</v>
      </c>
      <c r="H59" s="20">
        <f>+D18/4</f>
        <v>37.458244111349032</v>
      </c>
      <c r="I59" s="20">
        <f>+H59/G59</f>
        <v>2.6491840690255151E-2</v>
      </c>
      <c r="J59" s="20">
        <f>+I59*1000</f>
        <v>26.491840690255152</v>
      </c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E59" s="364"/>
      <c r="AF59" s="364"/>
      <c r="AG59" s="364"/>
      <c r="AH59" s="364"/>
      <c r="AI59" s="364"/>
      <c r="AJ59" s="364"/>
      <c r="AK59" s="364"/>
      <c r="AL59" s="364"/>
      <c r="AM59" s="364"/>
      <c r="AN59" s="364"/>
      <c r="AO59" s="364"/>
      <c r="AP59" s="364"/>
      <c r="AQ59" s="364"/>
    </row>
    <row r="60" spans="1:43" ht="15.75" thickBot="1" x14ac:dyDescent="0.3">
      <c r="A60" s="670" t="s">
        <v>501</v>
      </c>
      <c r="B60" s="671"/>
      <c r="C60" s="671"/>
      <c r="D60" s="671"/>
      <c r="E60" s="671"/>
      <c r="F60" s="671"/>
      <c r="G60" s="671"/>
      <c r="H60" s="671"/>
      <c r="I60" s="671"/>
      <c r="J60" s="671"/>
      <c r="K60" s="671"/>
      <c r="L60" s="671"/>
      <c r="M60" s="671"/>
      <c r="N60" s="671"/>
      <c r="O60" s="671"/>
      <c r="P60" s="671"/>
      <c r="Q60" s="671"/>
      <c r="R60" s="671"/>
      <c r="S60" s="671"/>
      <c r="T60" s="671"/>
      <c r="U60" s="671"/>
      <c r="V60" s="671"/>
      <c r="W60" s="671"/>
      <c r="X60" s="671"/>
      <c r="Y60" s="671"/>
      <c r="Z60" s="671"/>
      <c r="AA60" s="671"/>
      <c r="AB60" s="672"/>
      <c r="AE60" s="364"/>
      <c r="AF60" s="364"/>
      <c r="AG60" s="364"/>
      <c r="AH60" s="364"/>
      <c r="AI60" s="364"/>
      <c r="AJ60" s="364"/>
      <c r="AK60" s="364"/>
      <c r="AL60" s="364"/>
      <c r="AM60" s="364"/>
      <c r="AN60" s="364"/>
      <c r="AO60" s="364"/>
      <c r="AP60" s="364"/>
      <c r="AQ60" s="364"/>
    </row>
    <row r="61" spans="1:43" ht="15.75" thickBot="1" x14ac:dyDescent="0.3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E61" s="364"/>
      <c r="AF61" s="364"/>
      <c r="AG61" s="364"/>
      <c r="AH61" s="364"/>
      <c r="AI61" s="364"/>
      <c r="AJ61" s="364"/>
      <c r="AK61" s="364"/>
      <c r="AL61" s="364"/>
      <c r="AM61" s="364"/>
      <c r="AN61" s="364"/>
      <c r="AO61" s="364"/>
      <c r="AP61" s="364"/>
      <c r="AQ61" s="364"/>
    </row>
    <row r="62" spans="1:43" ht="15.75" thickBot="1" x14ac:dyDescent="0.3">
      <c r="A62" s="22"/>
      <c r="B62" s="667" t="s">
        <v>500</v>
      </c>
      <c r="C62" s="668"/>
      <c r="D62" s="668"/>
      <c r="E62" s="668"/>
      <c r="F62" s="668"/>
      <c r="G62" s="668"/>
      <c r="H62" s="668"/>
      <c r="I62" s="669"/>
      <c r="J62" s="364"/>
      <c r="K62" s="667" t="s">
        <v>499</v>
      </c>
      <c r="L62" s="668"/>
      <c r="M62" s="668"/>
      <c r="N62" s="668"/>
      <c r="O62" s="668"/>
      <c r="P62" s="668"/>
      <c r="Q62" s="668"/>
      <c r="R62" s="669"/>
      <c r="S62" s="342"/>
      <c r="T62" s="667" t="s">
        <v>498</v>
      </c>
      <c r="U62" s="668"/>
      <c r="V62" s="668"/>
      <c r="W62" s="668"/>
      <c r="X62" s="668"/>
      <c r="Y62" s="668"/>
      <c r="Z62" s="668"/>
      <c r="AA62" s="669"/>
      <c r="AB62" s="342"/>
      <c r="AD62" s="22"/>
      <c r="AE62" s="364"/>
      <c r="AF62" s="364"/>
      <c r="AG62" s="364"/>
      <c r="AH62" s="364"/>
      <c r="AI62" s="364"/>
      <c r="AJ62" s="364"/>
      <c r="AK62" s="364"/>
      <c r="AL62" s="364"/>
      <c r="AM62" s="364"/>
      <c r="AN62" s="364"/>
      <c r="AO62" s="364"/>
      <c r="AP62" s="364"/>
      <c r="AQ62" s="364"/>
    </row>
    <row r="63" spans="1:43" x14ac:dyDescent="0.25">
      <c r="A63" s="22"/>
      <c r="B63" s="359" t="s">
        <v>110</v>
      </c>
      <c r="C63" s="358">
        <v>1.2</v>
      </c>
      <c r="D63" s="358" t="s">
        <v>61</v>
      </c>
      <c r="E63" s="365" t="s">
        <v>488</v>
      </c>
      <c r="F63" s="365">
        <f>((C63/2)^2+C64^2)/(2*C64)</f>
        <v>0.65</v>
      </c>
      <c r="G63" s="365" t="s">
        <v>61</v>
      </c>
      <c r="H63" s="365"/>
      <c r="I63" s="369"/>
      <c r="J63" s="364"/>
      <c r="K63" s="373" t="s">
        <v>497</v>
      </c>
      <c r="L63" s="358">
        <v>0.5</v>
      </c>
      <c r="M63" s="358" t="s">
        <v>61</v>
      </c>
      <c r="N63" s="365"/>
      <c r="O63" s="365"/>
      <c r="P63" s="365"/>
      <c r="Q63" s="365"/>
      <c r="R63" s="369"/>
      <c r="S63" s="365"/>
      <c r="T63" s="373" t="s">
        <v>497</v>
      </c>
      <c r="U63" s="358">
        <v>0.3</v>
      </c>
      <c r="V63" s="358" t="s">
        <v>61</v>
      </c>
      <c r="W63" s="365"/>
      <c r="X63" s="365"/>
      <c r="Y63" s="365"/>
      <c r="Z63" s="365"/>
      <c r="AA63" s="369"/>
      <c r="AB63" s="365"/>
      <c r="AE63" s="364"/>
      <c r="AF63" s="364"/>
      <c r="AG63" s="364"/>
      <c r="AH63" s="364"/>
      <c r="AI63" s="364"/>
      <c r="AJ63" s="364"/>
      <c r="AK63" s="364"/>
      <c r="AL63" s="364"/>
      <c r="AM63" s="364"/>
      <c r="AN63" s="364"/>
      <c r="AO63" s="364"/>
      <c r="AP63" s="364"/>
      <c r="AQ63" s="364"/>
    </row>
    <row r="64" spans="1:43" x14ac:dyDescent="0.25">
      <c r="A64" s="22"/>
      <c r="B64" s="352" t="s">
        <v>60</v>
      </c>
      <c r="C64" s="353">
        <v>0.4</v>
      </c>
      <c r="D64" s="353" t="s">
        <v>61</v>
      </c>
      <c r="E64" s="365" t="s">
        <v>496</v>
      </c>
      <c r="F64" s="365">
        <f>F63-C64</f>
        <v>0.25</v>
      </c>
      <c r="G64" s="365" t="s">
        <v>61</v>
      </c>
      <c r="H64" s="365" t="s">
        <v>495</v>
      </c>
      <c r="I64" s="369">
        <f>C63+2*(C67/TAN(C68))</f>
        <v>1.6040262258351567</v>
      </c>
      <c r="J64" s="364"/>
      <c r="K64" s="372" t="s">
        <v>494</v>
      </c>
      <c r="L64" s="353">
        <v>1.2</v>
      </c>
      <c r="M64" s="353" t="s">
        <v>61</v>
      </c>
      <c r="N64" s="365"/>
      <c r="O64" s="365"/>
      <c r="P64" s="365"/>
      <c r="Q64" s="365"/>
      <c r="R64" s="369"/>
      <c r="S64" s="365"/>
      <c r="T64" s="372" t="s">
        <v>494</v>
      </c>
      <c r="U64" s="353">
        <v>0.8</v>
      </c>
      <c r="V64" s="353" t="s">
        <v>61</v>
      </c>
      <c r="W64" s="365"/>
      <c r="X64" s="365"/>
      <c r="Y64" s="365"/>
      <c r="Z64" s="365"/>
      <c r="AA64" s="369"/>
      <c r="AB64" s="365"/>
      <c r="AE64" s="364"/>
      <c r="AF64" s="364"/>
      <c r="AG64" s="364"/>
      <c r="AH64" s="364"/>
      <c r="AI64" s="364"/>
      <c r="AJ64" s="364"/>
      <c r="AK64" s="364"/>
      <c r="AL64" s="364"/>
      <c r="AM64" s="364"/>
      <c r="AN64" s="364"/>
      <c r="AO64" s="364"/>
      <c r="AP64" s="364"/>
      <c r="AQ64" s="364"/>
    </row>
    <row r="65" spans="1:43" x14ac:dyDescent="0.25">
      <c r="A65" s="22"/>
      <c r="B65" s="352" t="s">
        <v>493</v>
      </c>
      <c r="C65" s="353">
        <v>0.18</v>
      </c>
      <c r="D65" s="353" t="s">
        <v>61</v>
      </c>
      <c r="E65" s="371" t="s">
        <v>484</v>
      </c>
      <c r="F65" s="365">
        <f>2*ASIN((C63/2)/F63)</f>
        <v>2.35201041419027</v>
      </c>
      <c r="G65" s="365" t="s">
        <v>464</v>
      </c>
      <c r="H65" s="365" t="s">
        <v>492</v>
      </c>
      <c r="I65" s="369">
        <f>(C66+2*C65)+2*(C67/TAN(C68))</f>
        <v>2.2640262258351567</v>
      </c>
      <c r="J65" s="364"/>
      <c r="K65" s="352" t="s">
        <v>488</v>
      </c>
      <c r="L65" s="353">
        <f>((L64/2)^2+L63^2)/(2*L63)</f>
        <v>0.61</v>
      </c>
      <c r="M65" s="353" t="s">
        <v>61</v>
      </c>
      <c r="N65" s="365"/>
      <c r="O65" s="365"/>
      <c r="P65" s="365"/>
      <c r="Q65" s="365"/>
      <c r="R65" s="369"/>
      <c r="S65" s="365"/>
      <c r="T65" s="352" t="s">
        <v>488</v>
      </c>
      <c r="U65" s="353">
        <f>((U64/2)^2+U63^2)/(2*U63)</f>
        <v>0.41666666666666669</v>
      </c>
      <c r="V65" s="353" t="s">
        <v>61</v>
      </c>
      <c r="W65" s="365"/>
      <c r="X65" s="365"/>
      <c r="Y65" s="365"/>
      <c r="Z65" s="365"/>
      <c r="AA65" s="369"/>
      <c r="AB65" s="365"/>
      <c r="AE65" s="364"/>
      <c r="AF65" s="364"/>
      <c r="AG65" s="364"/>
      <c r="AH65" s="364"/>
      <c r="AI65" s="364"/>
      <c r="AJ65" s="364"/>
      <c r="AK65" s="364"/>
      <c r="AL65" s="364"/>
      <c r="AM65" s="364"/>
      <c r="AN65" s="364"/>
      <c r="AO65" s="364"/>
      <c r="AP65" s="364"/>
      <c r="AQ65" s="364"/>
    </row>
    <row r="66" spans="1:43" x14ac:dyDescent="0.25">
      <c r="A66" s="22"/>
      <c r="B66" s="352" t="s">
        <v>463</v>
      </c>
      <c r="C66" s="353">
        <v>1.5</v>
      </c>
      <c r="D66" s="353" t="s">
        <v>61</v>
      </c>
      <c r="E66" s="371" t="s">
        <v>491</v>
      </c>
      <c r="F66" s="365">
        <f>F63*F65</f>
        <v>1.5288067692236755</v>
      </c>
      <c r="G66" s="365" t="s">
        <v>61</v>
      </c>
      <c r="H66" s="365" t="s">
        <v>490</v>
      </c>
      <c r="I66" s="369">
        <f>I65*I64</f>
        <v>3.6315574422181807</v>
      </c>
      <c r="J66" s="364"/>
      <c r="K66" s="370"/>
      <c r="L66" s="342"/>
      <c r="M66" s="342"/>
      <c r="N66" s="365"/>
      <c r="O66" s="353" t="s">
        <v>490</v>
      </c>
      <c r="P66" s="353">
        <f>PI()*(L64/2)^2</f>
        <v>1.1309733552923256</v>
      </c>
      <c r="Q66" s="365"/>
      <c r="R66" s="369"/>
      <c r="S66" s="365"/>
      <c r="T66" s="370"/>
      <c r="U66" s="342"/>
      <c r="V66" s="342"/>
      <c r="W66" s="365"/>
      <c r="X66" s="353" t="s">
        <v>490</v>
      </c>
      <c r="Y66" s="353">
        <f>PI()*(U64/2)^2</f>
        <v>0.50265482457436694</v>
      </c>
      <c r="Z66" s="365"/>
      <c r="AA66" s="369"/>
      <c r="AB66" s="365"/>
      <c r="AE66" s="364"/>
      <c r="AF66" s="364"/>
      <c r="AG66" s="364"/>
      <c r="AH66" s="364"/>
      <c r="AI66" s="364"/>
      <c r="AJ66" s="364"/>
      <c r="AK66" s="364"/>
      <c r="AL66" s="364"/>
      <c r="AM66" s="364"/>
      <c r="AN66" s="364"/>
      <c r="AO66" s="364"/>
      <c r="AP66" s="364"/>
      <c r="AQ66" s="364"/>
    </row>
    <row r="67" spans="1:43" x14ac:dyDescent="0.25">
      <c r="A67" s="22"/>
      <c r="B67" s="352" t="s">
        <v>487</v>
      </c>
      <c r="C67" s="353">
        <v>0.5</v>
      </c>
      <c r="D67" s="353" t="s">
        <v>61</v>
      </c>
      <c r="E67" s="371" t="s">
        <v>489</v>
      </c>
      <c r="F67" s="365">
        <f>F63^2*(F65)/2-(F63^2*SIN(F65)/2)</f>
        <v>0.34686219999769452</v>
      </c>
      <c r="G67" s="365" t="s">
        <v>451</v>
      </c>
      <c r="H67" s="365" t="s">
        <v>488</v>
      </c>
      <c r="I67" s="369">
        <f>((C63/2)^2+C65^2)/(2*C65)</f>
        <v>1.0899999999999999</v>
      </c>
      <c r="J67" s="364"/>
      <c r="K67" s="352" t="s">
        <v>487</v>
      </c>
      <c r="L67" s="353">
        <v>0.65</v>
      </c>
      <c r="M67" s="353" t="s">
        <v>61</v>
      </c>
      <c r="N67" s="365"/>
      <c r="O67" s="353" t="s">
        <v>486</v>
      </c>
      <c r="P67" s="353">
        <f>L64+2*(L67/TAN(L68))</f>
        <v>2.2316164921950121</v>
      </c>
      <c r="Q67" s="365"/>
      <c r="R67" s="369"/>
      <c r="S67" s="365"/>
      <c r="T67" s="352" t="s">
        <v>487</v>
      </c>
      <c r="U67" s="353">
        <v>0.35</v>
      </c>
      <c r="V67" s="353" t="s">
        <v>61</v>
      </c>
      <c r="W67" s="365"/>
      <c r="X67" s="353" t="s">
        <v>486</v>
      </c>
      <c r="Y67" s="353">
        <f>U64+2*(U67/TAN(U68))</f>
        <v>1.0828183580846098</v>
      </c>
      <c r="Z67" s="365"/>
      <c r="AA67" s="369"/>
      <c r="AB67" s="365"/>
      <c r="AE67" s="364"/>
      <c r="AF67" s="364"/>
      <c r="AG67" s="364"/>
      <c r="AH67" s="364"/>
      <c r="AI67" s="364"/>
      <c r="AJ67" s="364"/>
      <c r="AK67" s="364"/>
      <c r="AL67" s="364"/>
      <c r="AM67" s="364"/>
      <c r="AN67" s="364"/>
      <c r="AO67" s="364"/>
      <c r="AP67" s="364"/>
      <c r="AQ67" s="364"/>
    </row>
    <row r="68" spans="1:43" ht="15.75" x14ac:dyDescent="0.25">
      <c r="A68" s="22"/>
      <c r="B68" s="352" t="s">
        <v>465</v>
      </c>
      <c r="C68" s="353">
        <f>68*PI()/180</f>
        <v>1.1868238913561442</v>
      </c>
      <c r="D68" s="353" t="s">
        <v>464</v>
      </c>
      <c r="E68" s="371" t="s">
        <v>485</v>
      </c>
      <c r="F68" s="365">
        <f>F67*C66</f>
        <v>0.52029329999654172</v>
      </c>
      <c r="G68" s="365" t="s">
        <v>454</v>
      </c>
      <c r="H68" s="371" t="s">
        <v>484</v>
      </c>
      <c r="I68" s="369">
        <f>2*ASIN((C63/2)/I67)</f>
        <v>1.1658271779114684</v>
      </c>
      <c r="J68" s="364"/>
      <c r="K68" s="352" t="s">
        <v>465</v>
      </c>
      <c r="L68" s="353">
        <v>0.9</v>
      </c>
      <c r="M68" s="353" t="s">
        <v>464</v>
      </c>
      <c r="N68" s="365"/>
      <c r="O68" s="353" t="s">
        <v>479</v>
      </c>
      <c r="P68" s="353">
        <f>P67^2</f>
        <v>4.9801121682367704</v>
      </c>
      <c r="Q68" s="365"/>
      <c r="R68" s="369"/>
      <c r="S68" s="365"/>
      <c r="T68" s="352" t="s">
        <v>465</v>
      </c>
      <c r="U68" s="353">
        <f>68*PI()/180</f>
        <v>1.1868238913561442</v>
      </c>
      <c r="V68" s="353" t="s">
        <v>464</v>
      </c>
      <c r="W68" s="365"/>
      <c r="X68" s="353" t="s">
        <v>479</v>
      </c>
      <c r="Y68" s="353">
        <f>Y67^2</f>
        <v>1.1724955966050503</v>
      </c>
      <c r="Z68" s="365"/>
      <c r="AA68" s="369"/>
      <c r="AB68" s="365"/>
      <c r="AE68" s="364"/>
      <c r="AF68" s="364"/>
      <c r="AG68" s="364"/>
      <c r="AH68" s="364"/>
      <c r="AI68" s="364"/>
      <c r="AJ68" s="364"/>
      <c r="AK68" s="364"/>
      <c r="AL68" s="364"/>
      <c r="AM68" s="364"/>
      <c r="AN68" s="364"/>
      <c r="AO68" s="364"/>
      <c r="AP68" s="364"/>
      <c r="AQ68" s="364"/>
    </row>
    <row r="69" spans="1:43" x14ac:dyDescent="0.25">
      <c r="A69" s="22"/>
      <c r="B69" s="352" t="s">
        <v>100</v>
      </c>
      <c r="C69" s="353">
        <v>0</v>
      </c>
      <c r="D69" s="353" t="s">
        <v>44</v>
      </c>
      <c r="E69" s="371" t="s">
        <v>483</v>
      </c>
      <c r="F69" s="365">
        <f>F66*C66</f>
        <v>2.2932101538355134</v>
      </c>
      <c r="G69" s="365" t="s">
        <v>454</v>
      </c>
      <c r="H69" s="371" t="s">
        <v>482</v>
      </c>
      <c r="I69" s="369">
        <f>(I67^2*I68/2)-(I67^2*SIN(I68)/2)</f>
        <v>0.14655963503830771</v>
      </c>
      <c r="J69" s="364"/>
      <c r="K69" s="370"/>
      <c r="L69" s="342"/>
      <c r="M69" s="342"/>
      <c r="N69" s="365"/>
      <c r="O69" s="353" t="s">
        <v>477</v>
      </c>
      <c r="P69" s="353">
        <f>(L67*(P66+P68+SQRT(P66*P68)))/3</f>
        <v>1.8382753719915608</v>
      </c>
      <c r="Q69" s="365"/>
      <c r="R69" s="369"/>
      <c r="S69" s="365"/>
      <c r="T69" s="370"/>
      <c r="U69" s="342"/>
      <c r="V69" s="342"/>
      <c r="W69" s="365"/>
      <c r="X69" s="353" t="s">
        <v>477</v>
      </c>
      <c r="Y69" s="353">
        <f>(U67*(Y66+Y68+SQRT(Y66*Y68)))/3</f>
        <v>0.28499900900645053</v>
      </c>
      <c r="Z69" s="365"/>
      <c r="AA69" s="369"/>
      <c r="AB69" s="365"/>
      <c r="AE69" s="364"/>
      <c r="AF69" s="364"/>
      <c r="AG69" s="364"/>
      <c r="AH69" s="364"/>
      <c r="AI69" s="364"/>
      <c r="AJ69" s="364"/>
      <c r="AK69" s="364"/>
      <c r="AL69" s="364"/>
      <c r="AM69" s="364"/>
      <c r="AN69" s="364"/>
      <c r="AO69" s="364"/>
      <c r="AP69" s="364"/>
      <c r="AQ69" s="364"/>
    </row>
    <row r="70" spans="1:43" x14ac:dyDescent="0.25">
      <c r="A70" s="22"/>
      <c r="B70" s="352" t="s">
        <v>481</v>
      </c>
      <c r="C70" s="353">
        <v>0.1</v>
      </c>
      <c r="D70" s="353" t="s">
        <v>61</v>
      </c>
      <c r="E70" s="365" t="s">
        <v>480</v>
      </c>
      <c r="F70" s="365">
        <f>((F63)^2+C65^2)/(2*C65)</f>
        <v>1.2636111111111112</v>
      </c>
      <c r="G70" s="365" t="s">
        <v>61</v>
      </c>
      <c r="H70" s="371" t="s">
        <v>479</v>
      </c>
      <c r="I70" s="369">
        <f>C63*C66+2*I69</f>
        <v>2.093119270076615</v>
      </c>
      <c r="J70" s="364"/>
      <c r="K70" s="355" t="s">
        <v>476</v>
      </c>
      <c r="L70" s="354">
        <f>(PI()*L63^2*(3*L65-L63))/3</f>
        <v>0.34819318577286879</v>
      </c>
      <c r="M70" s="354" t="s">
        <v>454</v>
      </c>
      <c r="N70" s="365"/>
      <c r="O70" s="365"/>
      <c r="P70" s="365"/>
      <c r="Q70" s="365"/>
      <c r="R70" s="369"/>
      <c r="S70" s="365"/>
      <c r="T70" s="355" t="s">
        <v>476</v>
      </c>
      <c r="U70" s="354">
        <f>(PI()*U63^2*(3*U65-U63))/3</f>
        <v>8.95353906273091E-2</v>
      </c>
      <c r="V70" s="354" t="s">
        <v>454</v>
      </c>
      <c r="W70" s="365"/>
      <c r="X70" s="365"/>
      <c r="Y70" s="365"/>
      <c r="Z70" s="365"/>
      <c r="AA70" s="369"/>
      <c r="AB70" s="365"/>
      <c r="AE70" s="364"/>
      <c r="AF70" s="364"/>
      <c r="AG70" s="364"/>
      <c r="AH70" s="364"/>
      <c r="AI70" s="364"/>
      <c r="AJ70" s="364"/>
      <c r="AK70" s="364"/>
      <c r="AL70" s="364"/>
      <c r="AM70" s="364"/>
      <c r="AN70" s="364"/>
      <c r="AO70" s="364"/>
      <c r="AP70" s="364"/>
      <c r="AQ70" s="364"/>
    </row>
    <row r="71" spans="1:43" x14ac:dyDescent="0.25">
      <c r="A71" s="22"/>
      <c r="B71" s="352" t="s">
        <v>470</v>
      </c>
      <c r="C71" s="353">
        <f>F69+2*F74</f>
        <v>3.172662768061973</v>
      </c>
      <c r="D71" s="353" t="s">
        <v>451</v>
      </c>
      <c r="E71" s="365" t="s">
        <v>478</v>
      </c>
      <c r="F71" s="365">
        <f>(PI()*C65^2*(3*F70-C65)/3)</f>
        <v>0.12251268871204114</v>
      </c>
      <c r="G71" s="365" t="s">
        <v>454</v>
      </c>
      <c r="H71" s="371" t="s">
        <v>477</v>
      </c>
      <c r="I71" s="369">
        <f>(C67*(I66+I70+SQRT(I66*I70)))/3</f>
        <v>1.4136198540832947</v>
      </c>
      <c r="J71" s="364"/>
      <c r="K71" s="370"/>
      <c r="L71" s="342"/>
      <c r="M71" s="342"/>
      <c r="N71" s="365"/>
      <c r="O71" s="365"/>
      <c r="P71" s="365"/>
      <c r="Q71" s="365"/>
      <c r="R71" s="369"/>
      <c r="S71" s="365"/>
      <c r="T71" s="370"/>
      <c r="U71" s="342"/>
      <c r="V71" s="342"/>
      <c r="W71" s="365"/>
      <c r="X71" s="365"/>
      <c r="Y71" s="365"/>
      <c r="Z71" s="365"/>
      <c r="AA71" s="369"/>
      <c r="AB71" s="365"/>
      <c r="AE71" s="364"/>
      <c r="AF71" s="364"/>
      <c r="AG71" s="364"/>
      <c r="AH71" s="364"/>
      <c r="AI71" s="364"/>
      <c r="AJ71" s="364"/>
      <c r="AK71" s="364"/>
      <c r="AL71" s="364"/>
      <c r="AM71" s="364"/>
      <c r="AN71" s="364"/>
      <c r="AO71" s="364"/>
      <c r="AP71" s="364"/>
      <c r="AQ71" s="364"/>
    </row>
    <row r="72" spans="1:43" x14ac:dyDescent="0.25">
      <c r="A72" s="22"/>
      <c r="B72" s="355" t="s">
        <v>476</v>
      </c>
      <c r="C72" s="354">
        <f>F68+2*F72</f>
        <v>0.59568572381933627</v>
      </c>
      <c r="D72" s="354" t="s">
        <v>454</v>
      </c>
      <c r="E72" s="365" t="s">
        <v>475</v>
      </c>
      <c r="F72" s="365">
        <f>(C64/(F63*2))*F71</f>
        <v>3.7696211911397277E-2</v>
      </c>
      <c r="G72" s="365" t="s">
        <v>454</v>
      </c>
      <c r="H72" s="365"/>
      <c r="I72" s="369"/>
      <c r="J72" s="364"/>
      <c r="K72" s="352" t="s">
        <v>474</v>
      </c>
      <c r="L72" s="353">
        <f>P69</f>
        <v>1.8382753719915608</v>
      </c>
      <c r="M72" s="353" t="s">
        <v>454</v>
      </c>
      <c r="N72" s="365"/>
      <c r="O72" s="365"/>
      <c r="P72" s="365"/>
      <c r="Q72" s="365"/>
      <c r="R72" s="369"/>
      <c r="S72" s="365"/>
      <c r="T72" s="352" t="s">
        <v>474</v>
      </c>
      <c r="U72" s="353">
        <f>Y69</f>
        <v>0.28499900900645053</v>
      </c>
      <c r="V72" s="353" t="s">
        <v>454</v>
      </c>
      <c r="W72" s="365"/>
      <c r="X72" s="365"/>
      <c r="Y72" s="365"/>
      <c r="Z72" s="365"/>
      <c r="AA72" s="369"/>
      <c r="AB72" s="365"/>
      <c r="AE72" s="364"/>
      <c r="AF72" s="364"/>
      <c r="AG72" s="364"/>
      <c r="AH72" s="364"/>
      <c r="AI72" s="364"/>
      <c r="AJ72" s="364"/>
      <c r="AK72" s="364"/>
      <c r="AL72" s="364"/>
      <c r="AM72" s="364"/>
      <c r="AN72" s="364"/>
      <c r="AO72" s="364"/>
      <c r="AP72" s="364"/>
      <c r="AQ72" s="364"/>
    </row>
    <row r="73" spans="1:43" x14ac:dyDescent="0.25">
      <c r="A73" s="22"/>
      <c r="B73" s="352" t="s">
        <v>474</v>
      </c>
      <c r="C73" s="353">
        <f>I71</f>
        <v>1.4136198540832947</v>
      </c>
      <c r="D73" s="353" t="s">
        <v>454</v>
      </c>
      <c r="E73" s="365" t="s">
        <v>473</v>
      </c>
      <c r="F73" s="365">
        <f>2*PI()*F70*C65</f>
        <v>1.429110498117997</v>
      </c>
      <c r="G73" s="365" t="s">
        <v>451</v>
      </c>
      <c r="H73" s="365"/>
      <c r="I73" s="369"/>
      <c r="J73" s="364"/>
      <c r="K73" s="370"/>
      <c r="L73" s="342"/>
      <c r="M73" s="342"/>
      <c r="N73" s="365"/>
      <c r="O73" s="365"/>
      <c r="P73" s="365"/>
      <c r="Q73" s="365"/>
      <c r="R73" s="369"/>
      <c r="S73" s="365"/>
      <c r="T73" s="370"/>
      <c r="U73" s="342"/>
      <c r="V73" s="342"/>
      <c r="W73" s="365"/>
      <c r="X73" s="365"/>
      <c r="Y73" s="365"/>
      <c r="Z73" s="365"/>
      <c r="AA73" s="369"/>
      <c r="AB73" s="365"/>
      <c r="AE73" s="364"/>
      <c r="AF73" s="364"/>
      <c r="AG73" s="364"/>
      <c r="AH73" s="364"/>
      <c r="AI73" s="364"/>
      <c r="AJ73" s="364"/>
      <c r="AK73" s="364"/>
      <c r="AL73" s="364"/>
      <c r="AM73" s="364"/>
      <c r="AN73" s="364"/>
      <c r="AO73" s="364"/>
      <c r="AP73" s="364"/>
      <c r="AQ73" s="364"/>
    </row>
    <row r="74" spans="1:43" x14ac:dyDescent="0.25">
      <c r="A74" s="22"/>
      <c r="B74" s="352" t="s">
        <v>471</v>
      </c>
      <c r="C74" s="353">
        <f>C73+C72</f>
        <v>2.009305577902631</v>
      </c>
      <c r="D74" s="353" t="s">
        <v>454</v>
      </c>
      <c r="E74" s="365" t="s">
        <v>472</v>
      </c>
      <c r="F74" s="365">
        <f>F73*(C64/(F63*2))</f>
        <v>0.43972630711322985</v>
      </c>
      <c r="G74" s="365" t="s">
        <v>451</v>
      </c>
      <c r="H74" s="365"/>
      <c r="I74" s="369"/>
      <c r="J74" s="364"/>
      <c r="K74" s="352" t="s">
        <v>471</v>
      </c>
      <c r="L74" s="353">
        <f>L72+L70</f>
        <v>2.1864685577644294</v>
      </c>
      <c r="M74" s="353" t="s">
        <v>454</v>
      </c>
      <c r="N74" s="365"/>
      <c r="O74" s="342"/>
      <c r="P74" s="342"/>
      <c r="Q74" s="342"/>
      <c r="R74" s="369"/>
      <c r="S74" s="365"/>
      <c r="T74" s="352" t="s">
        <v>471</v>
      </c>
      <c r="U74" s="353">
        <f>U72+U70</f>
        <v>0.37453439963375962</v>
      </c>
      <c r="V74" s="353" t="s">
        <v>454</v>
      </c>
      <c r="W74" s="365"/>
      <c r="X74" s="342"/>
      <c r="Y74" s="342"/>
      <c r="Z74" s="342"/>
      <c r="AA74" s="369"/>
      <c r="AB74" s="365"/>
      <c r="AE74" s="364"/>
      <c r="AF74" s="364"/>
      <c r="AG74" s="364"/>
      <c r="AH74" s="364"/>
      <c r="AI74" s="364"/>
      <c r="AJ74" s="364"/>
      <c r="AK74" s="364"/>
      <c r="AL74" s="364"/>
      <c r="AM74" s="364"/>
      <c r="AN74" s="364"/>
      <c r="AO74" s="364"/>
      <c r="AP74" s="364"/>
      <c r="AQ74" s="364"/>
    </row>
    <row r="75" spans="1:43" x14ac:dyDescent="0.25">
      <c r="A75" s="22"/>
      <c r="B75" s="370"/>
      <c r="C75" s="342"/>
      <c r="D75" s="342"/>
      <c r="E75" s="365"/>
      <c r="F75" s="365"/>
      <c r="G75" s="365"/>
      <c r="H75" s="365"/>
      <c r="I75" s="369"/>
      <c r="J75" s="364"/>
      <c r="K75" s="370"/>
      <c r="L75" s="342"/>
      <c r="M75" s="342"/>
      <c r="N75" s="365"/>
      <c r="O75" s="342"/>
      <c r="P75" s="342"/>
      <c r="Q75" s="342"/>
      <c r="R75" s="369"/>
      <c r="S75" s="365"/>
      <c r="T75" s="370"/>
      <c r="U75" s="342"/>
      <c r="V75" s="342"/>
      <c r="W75" s="365"/>
      <c r="X75" s="342"/>
      <c r="Y75" s="342"/>
      <c r="Z75" s="342"/>
      <c r="AA75" s="369"/>
      <c r="AB75" s="365"/>
      <c r="AE75" s="364"/>
      <c r="AF75" s="364"/>
      <c r="AG75" s="364"/>
      <c r="AH75" s="364"/>
      <c r="AI75" s="364"/>
      <c r="AJ75" s="364"/>
      <c r="AK75" s="364"/>
      <c r="AL75" s="364"/>
      <c r="AM75" s="364"/>
      <c r="AN75" s="364"/>
      <c r="AO75" s="364"/>
      <c r="AP75" s="364"/>
      <c r="AQ75" s="364"/>
    </row>
    <row r="76" spans="1:43" ht="15.75" thickBot="1" x14ac:dyDescent="0.3">
      <c r="A76" s="22"/>
      <c r="B76" s="346" t="s">
        <v>452</v>
      </c>
      <c r="C76" s="345">
        <f>C66*C70*2*C69+C71</f>
        <v>3.172662768061973</v>
      </c>
      <c r="D76" s="345" t="s">
        <v>451</v>
      </c>
      <c r="E76" s="367"/>
      <c r="F76" s="367"/>
      <c r="G76" s="367"/>
      <c r="H76" s="367"/>
      <c r="I76" s="366"/>
      <c r="J76" s="364"/>
      <c r="K76" s="368" t="s">
        <v>470</v>
      </c>
      <c r="L76" s="345">
        <f>2*PI()*L65*L63</f>
        <v>1.9163715186897738</v>
      </c>
      <c r="M76" s="345" t="s">
        <v>451</v>
      </c>
      <c r="N76" s="367"/>
      <c r="O76" s="367"/>
      <c r="P76" s="367"/>
      <c r="Q76" s="367"/>
      <c r="R76" s="366"/>
      <c r="S76" s="365"/>
      <c r="T76" s="368" t="s">
        <v>470</v>
      </c>
      <c r="U76" s="345">
        <f>2*PI()*U65*U63</f>
        <v>0.78539816339744828</v>
      </c>
      <c r="V76" s="345" t="s">
        <v>451</v>
      </c>
      <c r="W76" s="367"/>
      <c r="X76" s="367"/>
      <c r="Y76" s="367"/>
      <c r="Z76" s="367"/>
      <c r="AA76" s="366"/>
      <c r="AB76" s="365"/>
      <c r="AE76" s="364"/>
      <c r="AF76" s="364"/>
      <c r="AG76" s="364"/>
      <c r="AH76" s="364"/>
      <c r="AI76" s="364"/>
      <c r="AJ76" s="364"/>
      <c r="AK76" s="364"/>
      <c r="AL76" s="364"/>
      <c r="AM76" s="364"/>
      <c r="AN76" s="364"/>
      <c r="AO76" s="364"/>
      <c r="AP76" s="364"/>
      <c r="AQ76" s="364"/>
    </row>
    <row r="77" spans="1:43" ht="15.75" thickBot="1" x14ac:dyDescent="0.3">
      <c r="A77" s="22"/>
      <c r="B77" s="20"/>
      <c r="C77" s="20"/>
      <c r="D77" s="20"/>
      <c r="E77" s="20"/>
      <c r="F77" s="20"/>
      <c r="G77" s="20"/>
      <c r="H77" s="20"/>
      <c r="I77" s="20"/>
      <c r="J77" s="20"/>
      <c r="K77" s="22"/>
      <c r="L77" s="20"/>
      <c r="M77" s="20"/>
      <c r="N77" s="20"/>
      <c r="O77" s="20"/>
      <c r="P77" s="20"/>
      <c r="Q77" s="20"/>
      <c r="R77" s="20"/>
      <c r="S77" s="24"/>
      <c r="T77" s="20"/>
      <c r="U77" s="22"/>
      <c r="V77" s="20"/>
      <c r="W77" s="20"/>
      <c r="X77" s="20"/>
      <c r="Y77" s="20"/>
      <c r="Z77" s="20"/>
      <c r="AA77" s="20"/>
      <c r="AB77" s="24"/>
      <c r="AE77" s="364"/>
      <c r="AF77" s="364"/>
      <c r="AG77" s="364"/>
      <c r="AH77" s="364"/>
      <c r="AI77" s="364"/>
      <c r="AJ77" s="364"/>
      <c r="AK77" s="364"/>
      <c r="AL77" s="364"/>
      <c r="AM77" s="364"/>
      <c r="AN77" s="364"/>
      <c r="AO77" s="364"/>
      <c r="AP77" s="364"/>
      <c r="AQ77" s="364"/>
    </row>
    <row r="78" spans="1:43" ht="15.75" thickBot="1" x14ac:dyDescent="0.3">
      <c r="A78" s="22"/>
      <c r="B78" s="667" t="s">
        <v>468</v>
      </c>
      <c r="C78" s="668"/>
      <c r="D78" s="668"/>
      <c r="E78" s="668"/>
      <c r="F78" s="668"/>
      <c r="G78" s="668"/>
      <c r="H78" s="668"/>
      <c r="I78" s="669"/>
      <c r="J78" s="364"/>
      <c r="K78" s="667" t="s">
        <v>193</v>
      </c>
      <c r="L78" s="668"/>
      <c r="M78" s="668"/>
      <c r="N78" s="668"/>
      <c r="O78" s="668"/>
      <c r="P78" s="668"/>
      <c r="Q78" s="668"/>
      <c r="R78" s="669"/>
      <c r="S78" s="342"/>
      <c r="T78" s="20"/>
      <c r="U78" s="20"/>
      <c r="V78" s="20"/>
      <c r="W78" s="20"/>
      <c r="X78" s="20"/>
      <c r="Y78" s="20"/>
      <c r="Z78" s="20"/>
      <c r="AA78" s="20"/>
      <c r="AB78" s="364"/>
      <c r="AC78" s="374"/>
      <c r="AD78" s="22"/>
      <c r="AE78" s="364"/>
      <c r="AF78" s="364"/>
      <c r="AG78" s="364"/>
      <c r="AH78" s="364"/>
      <c r="AI78" s="364"/>
      <c r="AJ78" s="364"/>
      <c r="AK78" s="364"/>
      <c r="AL78" s="364"/>
      <c r="AM78" s="364"/>
      <c r="AN78" s="364"/>
      <c r="AO78" s="364"/>
      <c r="AP78" s="364"/>
      <c r="AQ78" s="364"/>
    </row>
    <row r="79" spans="1:43" x14ac:dyDescent="0.25">
      <c r="A79" s="20"/>
      <c r="B79" s="363" t="s">
        <v>467</v>
      </c>
      <c r="C79" s="362">
        <v>0.8</v>
      </c>
      <c r="D79" s="362" t="s">
        <v>61</v>
      </c>
      <c r="E79" s="361"/>
      <c r="F79" s="361"/>
      <c r="G79" s="361"/>
      <c r="H79" s="361"/>
      <c r="I79" s="360"/>
      <c r="J79" s="342"/>
      <c r="K79" s="359" t="s">
        <v>467</v>
      </c>
      <c r="L79" s="358">
        <v>0.4</v>
      </c>
      <c r="M79" s="358" t="s">
        <v>61</v>
      </c>
      <c r="N79" s="342"/>
      <c r="O79" s="342"/>
      <c r="P79" s="342"/>
      <c r="Q79" s="342"/>
      <c r="R79" s="347"/>
      <c r="S79" s="342"/>
      <c r="T79" s="20"/>
      <c r="U79" s="20"/>
      <c r="V79" s="20"/>
      <c r="W79" s="20"/>
      <c r="X79" s="20"/>
      <c r="Y79" s="20"/>
      <c r="Z79" s="20"/>
      <c r="AA79" s="20"/>
      <c r="AB79" s="342"/>
      <c r="AE79" s="364"/>
      <c r="AF79" s="364"/>
      <c r="AG79" s="364"/>
      <c r="AH79" s="364"/>
      <c r="AI79" s="364"/>
      <c r="AJ79" s="364"/>
      <c r="AK79" s="364"/>
      <c r="AL79" s="364"/>
      <c r="AM79" s="364"/>
      <c r="AN79" s="364"/>
      <c r="AO79" s="364"/>
      <c r="AP79" s="364"/>
      <c r="AQ79" s="364"/>
    </row>
    <row r="80" spans="1:43" x14ac:dyDescent="0.25">
      <c r="A80" s="20"/>
      <c r="B80" s="352" t="s">
        <v>466</v>
      </c>
      <c r="C80" s="353">
        <v>0.2</v>
      </c>
      <c r="D80" s="353" t="s">
        <v>61</v>
      </c>
      <c r="E80" s="342"/>
      <c r="F80" s="342"/>
      <c r="G80" s="342"/>
      <c r="H80" s="342"/>
      <c r="I80" s="347"/>
      <c r="J80" s="342"/>
      <c r="K80" s="352" t="s">
        <v>466</v>
      </c>
      <c r="L80" s="353">
        <v>0.2</v>
      </c>
      <c r="M80" s="353" t="s">
        <v>61</v>
      </c>
      <c r="N80" s="342"/>
      <c r="O80" s="342"/>
      <c r="P80" s="342"/>
      <c r="Q80" s="342"/>
      <c r="R80" s="347"/>
      <c r="S80" s="342"/>
      <c r="T80" s="20"/>
      <c r="U80" s="20"/>
      <c r="V80" s="20"/>
      <c r="W80" s="20"/>
      <c r="X80" s="20"/>
      <c r="Y80" s="20"/>
      <c r="Z80" s="20"/>
      <c r="AA80" s="20"/>
      <c r="AB80" s="342"/>
      <c r="AE80" s="364"/>
      <c r="AF80" s="364"/>
      <c r="AG80" s="364"/>
      <c r="AH80" s="364"/>
      <c r="AI80" s="364"/>
      <c r="AJ80" s="364"/>
      <c r="AK80" s="364"/>
      <c r="AL80" s="364"/>
      <c r="AM80" s="364"/>
      <c r="AN80" s="364"/>
      <c r="AO80" s="364"/>
      <c r="AP80" s="364"/>
      <c r="AQ80" s="364"/>
    </row>
    <row r="81" spans="1:43" ht="15.75" x14ac:dyDescent="0.25">
      <c r="A81" s="20"/>
      <c r="B81" s="352" t="s">
        <v>465</v>
      </c>
      <c r="C81" s="353">
        <f>68*PI()/180</f>
        <v>1.1868238913561442</v>
      </c>
      <c r="D81" s="353" t="s">
        <v>464</v>
      </c>
      <c r="E81" s="342"/>
      <c r="F81" s="342"/>
      <c r="G81" s="342"/>
      <c r="H81" s="342"/>
      <c r="I81" s="347"/>
      <c r="J81" s="342"/>
      <c r="K81" s="352" t="s">
        <v>465</v>
      </c>
      <c r="L81" s="353">
        <f>68*PI()/180</f>
        <v>1.1868238913561442</v>
      </c>
      <c r="M81" s="353" t="s">
        <v>464</v>
      </c>
      <c r="N81" s="342"/>
      <c r="O81" s="342"/>
      <c r="P81" s="342"/>
      <c r="Q81" s="342"/>
      <c r="R81" s="347"/>
      <c r="S81" s="342"/>
      <c r="T81" s="20"/>
      <c r="U81" s="20"/>
      <c r="V81" s="20"/>
      <c r="W81" s="20"/>
      <c r="X81" s="20"/>
      <c r="Y81" s="20"/>
      <c r="Z81" s="20"/>
      <c r="AA81" s="20"/>
      <c r="AB81" s="342"/>
      <c r="AE81" s="364"/>
      <c r="AF81" s="364"/>
      <c r="AG81" s="364"/>
      <c r="AH81" s="364"/>
      <c r="AI81" s="364"/>
      <c r="AJ81" s="364"/>
      <c r="AK81" s="364"/>
      <c r="AL81" s="364"/>
      <c r="AM81" s="364"/>
      <c r="AN81" s="364"/>
      <c r="AO81" s="364"/>
      <c r="AP81" s="364"/>
      <c r="AQ81" s="364"/>
    </row>
    <row r="82" spans="1:43" x14ac:dyDescent="0.25">
      <c r="A82" s="20"/>
      <c r="B82" s="352" t="s">
        <v>110</v>
      </c>
      <c r="C82" s="353">
        <v>1.8</v>
      </c>
      <c r="D82" s="353" t="s">
        <v>61</v>
      </c>
      <c r="E82" s="342"/>
      <c r="F82" s="342"/>
      <c r="G82" s="342"/>
      <c r="H82" s="342"/>
      <c r="I82" s="347"/>
      <c r="J82" s="342"/>
      <c r="K82" s="352" t="s">
        <v>110</v>
      </c>
      <c r="L82" s="353">
        <v>1.8</v>
      </c>
      <c r="M82" s="353" t="s">
        <v>61</v>
      </c>
      <c r="N82" s="342"/>
      <c r="O82" s="342"/>
      <c r="P82" s="342"/>
      <c r="Q82" s="342"/>
      <c r="R82" s="347"/>
      <c r="S82" s="342"/>
      <c r="T82" s="20"/>
      <c r="U82" s="20"/>
      <c r="V82" s="20"/>
      <c r="W82" s="20"/>
      <c r="X82" s="20"/>
      <c r="Y82" s="20"/>
      <c r="Z82" s="20"/>
      <c r="AA82" s="20"/>
      <c r="AB82" s="342"/>
      <c r="AE82" s="364"/>
      <c r="AF82" s="364"/>
      <c r="AG82" s="364"/>
      <c r="AH82" s="364"/>
      <c r="AI82" s="364"/>
      <c r="AJ82" s="364"/>
      <c r="AK82" s="364"/>
      <c r="AL82" s="364"/>
      <c r="AM82" s="364"/>
      <c r="AN82" s="364"/>
      <c r="AO82" s="364"/>
      <c r="AP82" s="364"/>
      <c r="AQ82" s="364"/>
    </row>
    <row r="83" spans="1:43" x14ac:dyDescent="0.25">
      <c r="A83" s="20"/>
      <c r="B83" s="352" t="s">
        <v>463</v>
      </c>
      <c r="C83" s="353">
        <v>4</v>
      </c>
      <c r="D83" s="353" t="s">
        <v>61</v>
      </c>
      <c r="E83" s="342"/>
      <c r="F83" s="342"/>
      <c r="G83" s="342"/>
      <c r="H83" s="342"/>
      <c r="I83" s="347"/>
      <c r="J83" s="342"/>
      <c r="K83" s="352" t="s">
        <v>463</v>
      </c>
      <c r="L83" s="353">
        <v>2</v>
      </c>
      <c r="M83" s="353" t="s">
        <v>61</v>
      </c>
      <c r="N83" s="342"/>
      <c r="O83" s="342"/>
      <c r="P83" s="342"/>
      <c r="Q83" s="342"/>
      <c r="R83" s="347"/>
      <c r="S83" s="342"/>
      <c r="T83" s="20"/>
      <c r="U83" s="20"/>
      <c r="V83" s="20"/>
      <c r="W83" s="20"/>
      <c r="X83" s="20"/>
      <c r="Y83" s="20"/>
      <c r="Z83" s="20"/>
      <c r="AA83" s="20"/>
      <c r="AB83" s="342"/>
      <c r="AE83" s="364"/>
      <c r="AF83" s="364"/>
      <c r="AG83" s="364"/>
      <c r="AH83" s="364"/>
      <c r="AI83" s="364"/>
      <c r="AJ83" s="364"/>
      <c r="AK83" s="364"/>
      <c r="AL83" s="364"/>
      <c r="AM83" s="364"/>
      <c r="AN83" s="364"/>
      <c r="AO83" s="364"/>
      <c r="AP83" s="364"/>
      <c r="AQ83" s="364"/>
    </row>
    <row r="84" spans="1:43" x14ac:dyDescent="0.25">
      <c r="A84" s="20"/>
      <c r="B84" s="352" t="s">
        <v>100</v>
      </c>
      <c r="C84" s="353">
        <v>30</v>
      </c>
      <c r="D84" s="353" t="s">
        <v>44</v>
      </c>
      <c r="E84" s="342"/>
      <c r="F84" s="342"/>
      <c r="G84" s="342"/>
      <c r="H84" s="342"/>
      <c r="I84" s="347"/>
      <c r="J84" s="342"/>
      <c r="K84" s="352" t="s">
        <v>100</v>
      </c>
      <c r="L84" s="353">
        <v>30</v>
      </c>
      <c r="M84" s="353" t="s">
        <v>44</v>
      </c>
      <c r="N84" s="342"/>
      <c r="O84" s="342"/>
      <c r="P84" s="342"/>
      <c r="Q84" s="342"/>
      <c r="R84" s="347"/>
      <c r="S84" s="342"/>
      <c r="T84" s="20"/>
      <c r="U84" s="20"/>
      <c r="V84" s="20"/>
      <c r="W84" s="20"/>
      <c r="X84" s="20"/>
      <c r="Y84" s="20"/>
      <c r="Z84" s="20"/>
      <c r="AA84" s="20"/>
      <c r="AB84" s="342"/>
      <c r="AE84" s="364"/>
      <c r="AF84" s="364"/>
      <c r="AG84" s="364"/>
      <c r="AH84" s="364"/>
      <c r="AI84" s="364"/>
      <c r="AJ84" s="364"/>
      <c r="AK84" s="364"/>
      <c r="AL84" s="364"/>
      <c r="AM84" s="364"/>
      <c r="AN84" s="364"/>
      <c r="AO84" s="364"/>
      <c r="AP84" s="364"/>
      <c r="AQ84" s="364"/>
    </row>
    <row r="85" spans="1:43" x14ac:dyDescent="0.25">
      <c r="A85" s="20"/>
      <c r="B85" s="352" t="s">
        <v>461</v>
      </c>
      <c r="C85" s="353">
        <v>0.1</v>
      </c>
      <c r="D85" s="353" t="s">
        <v>61</v>
      </c>
      <c r="E85" s="342"/>
      <c r="F85" s="342"/>
      <c r="G85" s="342"/>
      <c r="H85" s="342"/>
      <c r="I85" s="347"/>
      <c r="J85" s="342"/>
      <c r="K85" s="352" t="s">
        <v>461</v>
      </c>
      <c r="L85" s="353">
        <v>0.1</v>
      </c>
      <c r="M85" s="353" t="s">
        <v>61</v>
      </c>
      <c r="N85" s="342"/>
      <c r="O85" s="342"/>
      <c r="P85" s="342"/>
      <c r="Q85" s="342"/>
      <c r="R85" s="347"/>
      <c r="S85" s="342"/>
      <c r="T85" s="20"/>
      <c r="U85" s="20"/>
      <c r="V85" s="20"/>
      <c r="W85" s="20"/>
      <c r="X85" s="20"/>
      <c r="Y85" s="20"/>
      <c r="Z85" s="20"/>
      <c r="AA85" s="20"/>
      <c r="AB85" s="342"/>
      <c r="AE85" s="364"/>
      <c r="AF85" s="364"/>
      <c r="AG85" s="364"/>
      <c r="AH85" s="364"/>
      <c r="AI85" s="364"/>
      <c r="AJ85" s="364"/>
      <c r="AK85" s="364"/>
      <c r="AL85" s="364"/>
      <c r="AM85" s="364"/>
      <c r="AN85" s="364"/>
      <c r="AO85" s="364"/>
      <c r="AP85" s="364"/>
      <c r="AQ85" s="364"/>
    </row>
    <row r="86" spans="1:43" x14ac:dyDescent="0.25">
      <c r="A86" s="20"/>
      <c r="B86" s="352" t="s">
        <v>458</v>
      </c>
      <c r="C86" s="353">
        <f>(C82*C83+2*C82*C80+2*C80*C83)</f>
        <v>9.52</v>
      </c>
      <c r="D86" s="353" t="s">
        <v>451</v>
      </c>
      <c r="E86" s="342"/>
      <c r="F86" s="342"/>
      <c r="G86" s="342"/>
      <c r="H86" s="342"/>
      <c r="I86" s="347"/>
      <c r="J86" s="342"/>
      <c r="K86" s="352" t="s">
        <v>458</v>
      </c>
      <c r="L86" s="353">
        <f>(L82*L83+2*L82*L80+2*L80*L83)</f>
        <v>5.12</v>
      </c>
      <c r="M86" s="353" t="s">
        <v>451</v>
      </c>
      <c r="N86" s="342"/>
      <c r="O86" s="342"/>
      <c r="P86" s="342"/>
      <c r="Q86" s="342"/>
      <c r="R86" s="347"/>
      <c r="S86" s="342"/>
      <c r="T86" s="20"/>
      <c r="U86" s="20"/>
      <c r="V86" s="20"/>
      <c r="W86" s="20"/>
      <c r="X86" s="20"/>
      <c r="Y86" s="20"/>
      <c r="Z86" s="20"/>
      <c r="AA86" s="20"/>
      <c r="AB86" s="342"/>
      <c r="AE86" s="364"/>
      <c r="AF86" s="364"/>
      <c r="AG86" s="364"/>
      <c r="AH86" s="364"/>
      <c r="AI86" s="364"/>
      <c r="AJ86" s="364"/>
      <c r="AK86" s="364"/>
      <c r="AL86" s="364"/>
      <c r="AM86" s="364"/>
      <c r="AN86" s="364"/>
      <c r="AO86" s="364"/>
      <c r="AP86" s="364"/>
      <c r="AQ86" s="364"/>
    </row>
    <row r="87" spans="1:43" x14ac:dyDescent="0.25">
      <c r="A87" s="20"/>
      <c r="B87" s="355" t="s">
        <v>456</v>
      </c>
      <c r="C87" s="354">
        <f>C80*C82*C83</f>
        <v>1.4400000000000002</v>
      </c>
      <c r="D87" s="354" t="s">
        <v>454</v>
      </c>
      <c r="E87" s="342"/>
      <c r="F87" s="342"/>
      <c r="G87" s="342"/>
      <c r="H87" s="342"/>
      <c r="I87" s="347"/>
      <c r="J87" s="342"/>
      <c r="K87" s="355" t="s">
        <v>456</v>
      </c>
      <c r="L87" s="354">
        <f>L80*L82*L83</f>
        <v>0.72000000000000008</v>
      </c>
      <c r="M87" s="354" t="s">
        <v>454</v>
      </c>
      <c r="N87" s="342"/>
      <c r="O87" s="342"/>
      <c r="P87" s="342"/>
      <c r="Q87" s="342"/>
      <c r="R87" s="347"/>
      <c r="S87" s="342"/>
      <c r="T87" s="20"/>
      <c r="U87" s="20"/>
      <c r="V87" s="20"/>
      <c r="W87" s="20"/>
      <c r="X87" s="20"/>
      <c r="Y87" s="20"/>
      <c r="Z87" s="20"/>
      <c r="AA87" s="20"/>
      <c r="AB87" s="342"/>
    </row>
    <row r="88" spans="1:43" x14ac:dyDescent="0.25">
      <c r="A88" s="20"/>
      <c r="B88" s="352" t="s">
        <v>457</v>
      </c>
      <c r="C88" s="353">
        <f>(C82*C80*C83)+(C82+C79/TAN(C81))*C79*C83</f>
        <v>8.2343071381380017</v>
      </c>
      <c r="D88" s="353" t="s">
        <v>454</v>
      </c>
      <c r="E88" s="342"/>
      <c r="F88" s="342"/>
      <c r="G88" s="342"/>
      <c r="H88" s="342"/>
      <c r="I88" s="347"/>
      <c r="J88" s="342"/>
      <c r="K88" s="352" t="s">
        <v>457</v>
      </c>
      <c r="L88" s="353">
        <f>(L82*L80*L83)+(L82+L79/TAN(L81))*L79*L83</f>
        <v>2.2892883922672502</v>
      </c>
      <c r="M88" s="353" t="s">
        <v>454</v>
      </c>
      <c r="N88" s="342"/>
      <c r="O88" s="342"/>
      <c r="P88" s="342"/>
      <c r="Q88" s="342"/>
      <c r="R88" s="347"/>
      <c r="S88" s="342"/>
      <c r="T88" s="20"/>
      <c r="U88" s="20"/>
      <c r="V88" s="20"/>
      <c r="W88" s="20"/>
      <c r="X88" s="20"/>
      <c r="Y88" s="20"/>
      <c r="Z88" s="20"/>
      <c r="AA88" s="20"/>
      <c r="AB88" s="342"/>
    </row>
    <row r="89" spans="1:43" x14ac:dyDescent="0.25">
      <c r="A89" s="20"/>
      <c r="B89" s="349"/>
      <c r="C89" s="348"/>
      <c r="D89" s="348"/>
      <c r="E89" s="342"/>
      <c r="F89" s="342"/>
      <c r="G89" s="342"/>
      <c r="H89" s="342"/>
      <c r="I89" s="347"/>
      <c r="J89" s="342"/>
      <c r="K89" s="349"/>
      <c r="L89" s="348"/>
      <c r="M89" s="348"/>
      <c r="N89" s="342"/>
      <c r="O89" s="342"/>
      <c r="P89" s="342"/>
      <c r="Q89" s="342"/>
      <c r="R89" s="347"/>
      <c r="S89" s="342"/>
      <c r="T89" s="20"/>
      <c r="U89" s="20"/>
      <c r="V89" s="20"/>
      <c r="W89" s="20"/>
      <c r="X89" s="20"/>
      <c r="Y89" s="20"/>
      <c r="Z89" s="20"/>
      <c r="AA89" s="20"/>
      <c r="AB89" s="342"/>
    </row>
    <row r="90" spans="1:43" x14ac:dyDescent="0.25">
      <c r="A90" s="20"/>
      <c r="B90" s="352" t="s">
        <v>453</v>
      </c>
      <c r="C90" s="351">
        <f>C87/C88</f>
        <v>0.1748781015624859</v>
      </c>
      <c r="D90" s="353" t="s">
        <v>6</v>
      </c>
      <c r="E90" s="342"/>
      <c r="F90" s="342"/>
      <c r="G90" s="342"/>
      <c r="H90" s="342"/>
      <c r="I90" s="347"/>
      <c r="J90" s="342"/>
      <c r="K90" s="352" t="s">
        <v>453</v>
      </c>
      <c r="L90" s="351">
        <f>L87/L88</f>
        <v>0.31450821243492666</v>
      </c>
      <c r="M90" s="353" t="s">
        <v>6</v>
      </c>
      <c r="N90" s="342"/>
      <c r="O90" s="342"/>
      <c r="P90" s="342"/>
      <c r="Q90" s="342"/>
      <c r="R90" s="347"/>
      <c r="S90" s="342"/>
      <c r="T90" s="20"/>
      <c r="U90" s="20"/>
      <c r="V90" s="20"/>
      <c r="W90" s="20"/>
      <c r="X90" s="20"/>
      <c r="Y90" s="20"/>
      <c r="Z90" s="20"/>
      <c r="AA90" s="20"/>
      <c r="AB90" s="342"/>
    </row>
    <row r="91" spans="1:43" x14ac:dyDescent="0.25">
      <c r="A91" s="20"/>
      <c r="B91" s="349"/>
      <c r="C91" s="348"/>
      <c r="D91" s="348"/>
      <c r="E91" s="342"/>
      <c r="F91" s="342"/>
      <c r="G91" s="342"/>
      <c r="H91" s="342"/>
      <c r="I91" s="347"/>
      <c r="J91" s="342"/>
      <c r="K91" s="349"/>
      <c r="L91" s="348"/>
      <c r="M91" s="348"/>
      <c r="N91" s="342"/>
      <c r="O91" s="342"/>
      <c r="P91" s="342"/>
      <c r="Q91" s="342"/>
      <c r="R91" s="347"/>
      <c r="S91" s="342"/>
      <c r="T91" s="20"/>
      <c r="U91" s="20"/>
      <c r="V91" s="20"/>
      <c r="W91" s="20"/>
      <c r="X91" s="20"/>
      <c r="Y91" s="20"/>
      <c r="Z91" s="20"/>
      <c r="AA91" s="20"/>
      <c r="AB91" s="342"/>
    </row>
    <row r="92" spans="1:43" ht="15.75" thickBot="1" x14ac:dyDescent="0.3">
      <c r="A92" s="20"/>
      <c r="B92" s="346" t="s">
        <v>452</v>
      </c>
      <c r="C92" s="345">
        <f>C85*C83*C84*2+C86</f>
        <v>33.519999999999996</v>
      </c>
      <c r="D92" s="345" t="s">
        <v>451</v>
      </c>
      <c r="E92" s="344"/>
      <c r="F92" s="344"/>
      <c r="G92" s="344"/>
      <c r="H92" s="344"/>
      <c r="I92" s="343"/>
      <c r="J92" s="342"/>
      <c r="K92" s="346" t="s">
        <v>452</v>
      </c>
      <c r="L92" s="345">
        <f>L85*L83*L84*2+L86</f>
        <v>17.12</v>
      </c>
      <c r="M92" s="345" t="s">
        <v>451</v>
      </c>
      <c r="N92" s="344"/>
      <c r="O92" s="344"/>
      <c r="P92" s="344"/>
      <c r="Q92" s="344"/>
      <c r="R92" s="343"/>
      <c r="S92" s="342"/>
      <c r="T92" s="20"/>
      <c r="U92" s="20"/>
      <c r="V92" s="20"/>
      <c r="W92" s="20"/>
      <c r="X92" s="20"/>
      <c r="Y92" s="20"/>
      <c r="Z92" s="20"/>
      <c r="AA92" s="20"/>
      <c r="AB92" s="342"/>
    </row>
    <row r="93" spans="1:43" ht="15.75" thickBot="1" x14ac:dyDescent="0.3">
      <c r="A93" s="20"/>
      <c r="B93" s="20"/>
      <c r="C93" s="20"/>
      <c r="D93" s="20"/>
      <c r="E93" s="20"/>
      <c r="F93" s="20"/>
      <c r="G93" s="20"/>
      <c r="H93" s="20"/>
      <c r="I93" s="20"/>
      <c r="J93" s="42"/>
      <c r="S93" s="24"/>
      <c r="T93" s="20"/>
      <c r="U93" s="20"/>
      <c r="V93" s="20"/>
      <c r="W93" s="20"/>
      <c r="X93" s="20"/>
      <c r="Y93" s="20"/>
      <c r="Z93" s="20"/>
      <c r="AA93" s="20"/>
      <c r="AB93" s="24"/>
    </row>
    <row r="94" spans="1:43" ht="15.75" thickBot="1" x14ac:dyDescent="0.3">
      <c r="A94" s="664"/>
      <c r="B94" s="665"/>
      <c r="C94" s="665"/>
      <c r="D94" s="665"/>
      <c r="E94" s="665"/>
      <c r="F94" s="665"/>
      <c r="G94" s="665"/>
      <c r="H94" s="665"/>
      <c r="I94" s="665"/>
      <c r="J94" s="665"/>
      <c r="K94" s="665"/>
      <c r="L94" s="665"/>
      <c r="M94" s="665"/>
      <c r="N94" s="665"/>
      <c r="O94" s="665"/>
      <c r="P94" s="665"/>
      <c r="Q94" s="665"/>
      <c r="R94" s="665"/>
      <c r="S94" s="665"/>
      <c r="T94" s="665"/>
      <c r="U94" s="665"/>
      <c r="V94" s="665"/>
      <c r="W94" s="665"/>
      <c r="X94" s="665"/>
      <c r="Y94" s="665"/>
      <c r="Z94" s="665"/>
      <c r="AA94" s="665"/>
      <c r="AB94" s="666"/>
    </row>
    <row r="95" spans="1:43" ht="15.75" thickBot="1" x14ac:dyDescent="0.3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0"/>
      <c r="N95" s="20"/>
      <c r="O95" s="20"/>
      <c r="P95" s="20"/>
      <c r="Q95" s="20"/>
      <c r="R95" s="20"/>
      <c r="S95" s="24"/>
      <c r="T95" s="20"/>
      <c r="U95" s="20"/>
      <c r="V95" s="20"/>
      <c r="W95" s="20"/>
      <c r="X95" s="20"/>
      <c r="Y95" s="20"/>
      <c r="Z95" s="20"/>
      <c r="AA95" s="20"/>
      <c r="AB95" s="24"/>
    </row>
    <row r="96" spans="1:43" ht="15.75" thickBot="1" x14ac:dyDescent="0.3">
      <c r="A96" s="670" t="s">
        <v>501</v>
      </c>
      <c r="B96" s="671"/>
      <c r="C96" s="671"/>
      <c r="D96" s="671"/>
      <c r="E96" s="671"/>
      <c r="F96" s="671"/>
      <c r="G96" s="671"/>
      <c r="H96" s="671"/>
      <c r="I96" s="671"/>
      <c r="J96" s="671"/>
      <c r="K96" s="671"/>
      <c r="L96" s="671"/>
      <c r="M96" s="671"/>
      <c r="N96" s="671"/>
      <c r="O96" s="671"/>
      <c r="P96" s="671"/>
      <c r="Q96" s="671"/>
      <c r="R96" s="671"/>
      <c r="S96" s="671"/>
      <c r="T96" s="671"/>
      <c r="U96" s="671"/>
      <c r="V96" s="671"/>
      <c r="W96" s="671"/>
      <c r="X96" s="671"/>
      <c r="Y96" s="671"/>
      <c r="Z96" s="671"/>
      <c r="AA96" s="671"/>
      <c r="AB96" s="672"/>
    </row>
    <row r="97" spans="1:28" ht="15.75" thickBot="1" x14ac:dyDescent="0.3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</row>
    <row r="98" spans="1:28" ht="15.75" thickBot="1" x14ac:dyDescent="0.3">
      <c r="A98" s="22"/>
      <c r="B98" s="667" t="s">
        <v>500</v>
      </c>
      <c r="C98" s="668"/>
      <c r="D98" s="668"/>
      <c r="E98" s="668"/>
      <c r="F98" s="668"/>
      <c r="G98" s="668"/>
      <c r="H98" s="668"/>
      <c r="I98" s="669"/>
      <c r="J98" s="364"/>
      <c r="K98" s="667" t="s">
        <v>499</v>
      </c>
      <c r="L98" s="668"/>
      <c r="M98" s="668"/>
      <c r="N98" s="668"/>
      <c r="O98" s="668"/>
      <c r="P98" s="668"/>
      <c r="Q98" s="668"/>
      <c r="R98" s="669"/>
      <c r="S98" s="342"/>
      <c r="T98" s="667" t="s">
        <v>498</v>
      </c>
      <c r="U98" s="668"/>
      <c r="V98" s="668"/>
      <c r="W98" s="668"/>
      <c r="X98" s="668"/>
      <c r="Y98" s="668"/>
      <c r="Z98" s="668"/>
      <c r="AA98" s="669"/>
      <c r="AB98" s="342"/>
    </row>
    <row r="99" spans="1:28" x14ac:dyDescent="0.25">
      <c r="A99" s="22"/>
      <c r="B99" s="359" t="s">
        <v>110</v>
      </c>
      <c r="C99" s="358">
        <v>1.2</v>
      </c>
      <c r="D99" s="358" t="s">
        <v>61</v>
      </c>
      <c r="E99" s="365" t="s">
        <v>488</v>
      </c>
      <c r="F99" s="365">
        <f>((C99/2)^2+C100^2)/(2*C100)</f>
        <v>0.65</v>
      </c>
      <c r="G99" s="365" t="s">
        <v>61</v>
      </c>
      <c r="H99" s="365"/>
      <c r="I99" s="369"/>
      <c r="J99" s="364"/>
      <c r="K99" s="373" t="s">
        <v>497</v>
      </c>
      <c r="L99" s="358">
        <v>0.5</v>
      </c>
      <c r="M99" s="358" t="s">
        <v>61</v>
      </c>
      <c r="N99" s="365"/>
      <c r="O99" s="365"/>
      <c r="P99" s="365"/>
      <c r="Q99" s="365"/>
      <c r="R99" s="369"/>
      <c r="S99" s="365"/>
      <c r="T99" s="373" t="s">
        <v>497</v>
      </c>
      <c r="U99" s="358">
        <v>0.3</v>
      </c>
      <c r="V99" s="358" t="s">
        <v>61</v>
      </c>
      <c r="W99" s="365"/>
      <c r="X99" s="365"/>
      <c r="Y99" s="365"/>
      <c r="Z99" s="365"/>
      <c r="AA99" s="369"/>
      <c r="AB99" s="365"/>
    </row>
    <row r="100" spans="1:28" x14ac:dyDescent="0.25">
      <c r="A100" s="22"/>
      <c r="B100" s="352" t="s">
        <v>60</v>
      </c>
      <c r="C100" s="353">
        <v>0.4</v>
      </c>
      <c r="D100" s="353" t="s">
        <v>61</v>
      </c>
      <c r="E100" s="365" t="s">
        <v>496</v>
      </c>
      <c r="F100" s="365">
        <f>F99-C100</f>
        <v>0.25</v>
      </c>
      <c r="G100" s="365" t="s">
        <v>61</v>
      </c>
      <c r="H100" s="365" t="s">
        <v>495</v>
      </c>
      <c r="I100" s="369">
        <f>C99+2*(C103/TAN(C104))</f>
        <v>1.7252340935857036</v>
      </c>
      <c r="J100" s="364"/>
      <c r="K100" s="372" t="s">
        <v>494</v>
      </c>
      <c r="L100" s="353">
        <v>1.2</v>
      </c>
      <c r="M100" s="353" t="s">
        <v>61</v>
      </c>
      <c r="N100" s="365"/>
      <c r="O100" s="365"/>
      <c r="P100" s="365"/>
      <c r="Q100" s="365"/>
      <c r="R100" s="369"/>
      <c r="S100" s="365"/>
      <c r="T100" s="372" t="s">
        <v>494</v>
      </c>
      <c r="U100" s="353">
        <v>0.8</v>
      </c>
      <c r="V100" s="353" t="s">
        <v>61</v>
      </c>
      <c r="W100" s="365"/>
      <c r="X100" s="365"/>
      <c r="Y100" s="365"/>
      <c r="Z100" s="365"/>
      <c r="AA100" s="369"/>
      <c r="AB100" s="365"/>
    </row>
    <row r="101" spans="1:28" x14ac:dyDescent="0.25">
      <c r="A101" s="22"/>
      <c r="B101" s="352" t="s">
        <v>493</v>
      </c>
      <c r="C101" s="353">
        <v>0.18</v>
      </c>
      <c r="D101" s="353" t="s">
        <v>61</v>
      </c>
      <c r="E101" s="371" t="s">
        <v>484</v>
      </c>
      <c r="F101" s="365">
        <f>2*ASIN((C99/2)/F99)</f>
        <v>2.35201041419027</v>
      </c>
      <c r="G101" s="365" t="s">
        <v>464</v>
      </c>
      <c r="H101" s="365" t="s">
        <v>492</v>
      </c>
      <c r="I101" s="369">
        <f>(C102+2*C101)+2*(C103/TAN(C104))</f>
        <v>2.3852340935857037</v>
      </c>
      <c r="J101" s="364"/>
      <c r="K101" s="352" t="s">
        <v>488</v>
      </c>
      <c r="L101" s="353">
        <f>((L100/2)^2+L99^2)/(2*L99)</f>
        <v>0.61</v>
      </c>
      <c r="M101" s="353" t="s">
        <v>61</v>
      </c>
      <c r="N101" s="365"/>
      <c r="O101" s="365"/>
      <c r="P101" s="365"/>
      <c r="Q101" s="365"/>
      <c r="R101" s="369"/>
      <c r="S101" s="365"/>
      <c r="T101" s="352" t="s">
        <v>488</v>
      </c>
      <c r="U101" s="353">
        <f>((U100/2)^2+U99^2)/(2*U99)</f>
        <v>0.41666666666666669</v>
      </c>
      <c r="V101" s="353" t="s">
        <v>61</v>
      </c>
      <c r="W101" s="365"/>
      <c r="X101" s="365"/>
      <c r="Y101" s="365"/>
      <c r="Z101" s="365"/>
      <c r="AA101" s="369"/>
      <c r="AB101" s="365"/>
    </row>
    <row r="102" spans="1:28" x14ac:dyDescent="0.25">
      <c r="A102" s="22"/>
      <c r="B102" s="352" t="s">
        <v>463</v>
      </c>
      <c r="C102" s="353">
        <v>1.5</v>
      </c>
      <c r="D102" s="353" t="s">
        <v>61</v>
      </c>
      <c r="E102" s="371" t="s">
        <v>491</v>
      </c>
      <c r="F102" s="365">
        <f>F99*F101</f>
        <v>1.5288067692236755</v>
      </c>
      <c r="G102" s="365" t="s">
        <v>61</v>
      </c>
      <c r="H102" s="365" t="s">
        <v>490</v>
      </c>
      <c r="I102" s="369">
        <f>I101*I100</f>
        <v>4.1150871794370492</v>
      </c>
      <c r="J102" s="364"/>
      <c r="K102" s="370"/>
      <c r="L102" s="342"/>
      <c r="M102" s="342"/>
      <c r="N102" s="365"/>
      <c r="O102" s="353" t="s">
        <v>490</v>
      </c>
      <c r="P102" s="353">
        <f>PI()*(L100/2)^2</f>
        <v>1.1309733552923256</v>
      </c>
      <c r="Q102" s="365"/>
      <c r="R102" s="369"/>
      <c r="S102" s="365"/>
      <c r="T102" s="370"/>
      <c r="U102" s="342"/>
      <c r="V102" s="342"/>
      <c r="W102" s="365"/>
      <c r="X102" s="353" t="s">
        <v>490</v>
      </c>
      <c r="Y102" s="353">
        <f>PI()*(U100/2)^2</f>
        <v>0.50265482457436694</v>
      </c>
      <c r="Z102" s="365"/>
      <c r="AA102" s="369"/>
      <c r="AB102" s="365"/>
    </row>
    <row r="103" spans="1:28" x14ac:dyDescent="0.25">
      <c r="A103" s="22"/>
      <c r="B103" s="352" t="s">
        <v>487</v>
      </c>
      <c r="C103" s="353">
        <v>0.65</v>
      </c>
      <c r="D103" s="353" t="s">
        <v>61</v>
      </c>
      <c r="E103" s="371" t="s">
        <v>489</v>
      </c>
      <c r="F103" s="365">
        <f>F99^2*(F101)/2-(F99^2*SIN(F101)/2)</f>
        <v>0.34686219999769452</v>
      </c>
      <c r="G103" s="365" t="s">
        <v>451</v>
      </c>
      <c r="H103" s="365" t="s">
        <v>488</v>
      </c>
      <c r="I103" s="369">
        <f>((C99/2)^2+C101^2)/(2*C101)</f>
        <v>1.0899999999999999</v>
      </c>
      <c r="J103" s="364"/>
      <c r="K103" s="352" t="s">
        <v>487</v>
      </c>
      <c r="L103" s="353">
        <v>0.65</v>
      </c>
      <c r="M103" s="353" t="s">
        <v>61</v>
      </c>
      <c r="N103" s="365"/>
      <c r="O103" s="353" t="s">
        <v>486</v>
      </c>
      <c r="P103" s="353">
        <f>L100+2*(L103/TAN(L104))</f>
        <v>1.7252340935857036</v>
      </c>
      <c r="Q103" s="365"/>
      <c r="R103" s="369"/>
      <c r="S103" s="365"/>
      <c r="T103" s="352" t="s">
        <v>487</v>
      </c>
      <c r="U103" s="353">
        <v>0.35</v>
      </c>
      <c r="V103" s="353" t="s">
        <v>61</v>
      </c>
      <c r="W103" s="365"/>
      <c r="X103" s="353" t="s">
        <v>486</v>
      </c>
      <c r="Y103" s="353">
        <f>U100+2*(U103/TAN(U104))</f>
        <v>1.0828183580846098</v>
      </c>
      <c r="Z103" s="365"/>
      <c r="AA103" s="369"/>
      <c r="AB103" s="365"/>
    </row>
    <row r="104" spans="1:28" ht="15.75" x14ac:dyDescent="0.25">
      <c r="A104" s="22"/>
      <c r="B104" s="352" t="s">
        <v>465</v>
      </c>
      <c r="C104" s="353">
        <f>68*PI()/180</f>
        <v>1.1868238913561442</v>
      </c>
      <c r="D104" s="353" t="s">
        <v>464</v>
      </c>
      <c r="E104" s="371" t="s">
        <v>485</v>
      </c>
      <c r="F104" s="365">
        <f>F103*C102</f>
        <v>0.52029329999654172</v>
      </c>
      <c r="G104" s="365" t="s">
        <v>454</v>
      </c>
      <c r="H104" s="371" t="s">
        <v>484</v>
      </c>
      <c r="I104" s="369">
        <f>2*ASIN((C99/2)/I103)</f>
        <v>1.1658271779114684</v>
      </c>
      <c r="J104" s="364"/>
      <c r="K104" s="352" t="s">
        <v>465</v>
      </c>
      <c r="L104" s="353">
        <f>68*PI()/180</f>
        <v>1.1868238913561442</v>
      </c>
      <c r="M104" s="353" t="s">
        <v>464</v>
      </c>
      <c r="N104" s="365"/>
      <c r="O104" s="353" t="s">
        <v>479</v>
      </c>
      <c r="P104" s="353">
        <f>P103^2</f>
        <v>2.9764326776704841</v>
      </c>
      <c r="Q104" s="365"/>
      <c r="R104" s="369"/>
      <c r="S104" s="365"/>
      <c r="T104" s="352" t="s">
        <v>465</v>
      </c>
      <c r="U104" s="353">
        <f>68*PI()/180</f>
        <v>1.1868238913561442</v>
      </c>
      <c r="V104" s="353" t="s">
        <v>464</v>
      </c>
      <c r="W104" s="365"/>
      <c r="X104" s="353" t="s">
        <v>479</v>
      </c>
      <c r="Y104" s="353">
        <f>Y103^2</f>
        <v>1.1724955966050503</v>
      </c>
      <c r="Z104" s="365"/>
      <c r="AA104" s="369"/>
      <c r="AB104" s="365"/>
    </row>
    <row r="105" spans="1:28" x14ac:dyDescent="0.25">
      <c r="A105" s="22"/>
      <c r="B105" s="352" t="s">
        <v>100</v>
      </c>
      <c r="C105" s="353">
        <v>0</v>
      </c>
      <c r="D105" s="353" t="s">
        <v>44</v>
      </c>
      <c r="E105" s="371" t="s">
        <v>483</v>
      </c>
      <c r="F105" s="365">
        <f>F102*C102</f>
        <v>2.2932101538355134</v>
      </c>
      <c r="G105" s="365" t="s">
        <v>454</v>
      </c>
      <c r="H105" s="371" t="s">
        <v>482</v>
      </c>
      <c r="I105" s="369">
        <f>(I103^2*I104/2)-(I103^2*SIN(I104)/2)</f>
        <v>0.14655963503830771</v>
      </c>
      <c r="J105" s="364"/>
      <c r="K105" s="370"/>
      <c r="L105" s="342"/>
      <c r="M105" s="342"/>
      <c r="N105" s="365"/>
      <c r="O105" s="353" t="s">
        <v>477</v>
      </c>
      <c r="P105" s="353">
        <f>(L103*(P102+P104+SQRT(P102*P104)))/3</f>
        <v>1.2874646894842396</v>
      </c>
      <c r="Q105" s="365"/>
      <c r="R105" s="369"/>
      <c r="S105" s="365"/>
      <c r="T105" s="370"/>
      <c r="U105" s="342"/>
      <c r="V105" s="342"/>
      <c r="W105" s="365"/>
      <c r="X105" s="353" t="s">
        <v>477</v>
      </c>
      <c r="Y105" s="353">
        <f>(U103*(Y102+Y104+SQRT(Y102*Y104)))/3</f>
        <v>0.28499900900645053</v>
      </c>
      <c r="Z105" s="365"/>
      <c r="AA105" s="369"/>
      <c r="AB105" s="365"/>
    </row>
    <row r="106" spans="1:28" x14ac:dyDescent="0.25">
      <c r="A106" s="22"/>
      <c r="B106" s="352" t="s">
        <v>481</v>
      </c>
      <c r="C106" s="353">
        <v>0.1</v>
      </c>
      <c r="D106" s="353" t="s">
        <v>61</v>
      </c>
      <c r="E106" s="365" t="s">
        <v>480</v>
      </c>
      <c r="F106" s="365">
        <f>((F99)^2+C101^2)/(2*C101)</f>
        <v>1.2636111111111112</v>
      </c>
      <c r="G106" s="365" t="s">
        <v>61</v>
      </c>
      <c r="H106" s="371" t="s">
        <v>479</v>
      </c>
      <c r="I106" s="369">
        <f>C99*C102+2*I105</f>
        <v>2.093119270076615</v>
      </c>
      <c r="J106" s="364"/>
      <c r="K106" s="355" t="s">
        <v>476</v>
      </c>
      <c r="L106" s="354">
        <f>(PI()*L99^2*(3*L101-L99))/3</f>
        <v>0.34819318577286879</v>
      </c>
      <c r="M106" s="354" t="s">
        <v>454</v>
      </c>
      <c r="N106" s="365"/>
      <c r="O106" s="365"/>
      <c r="P106" s="365"/>
      <c r="Q106" s="365"/>
      <c r="R106" s="369"/>
      <c r="S106" s="365"/>
      <c r="T106" s="355" t="s">
        <v>476</v>
      </c>
      <c r="U106" s="354">
        <f>(PI()*U99^2*(3*U101-U99))/3</f>
        <v>8.95353906273091E-2</v>
      </c>
      <c r="V106" s="354" t="s">
        <v>454</v>
      </c>
      <c r="W106" s="365"/>
      <c r="X106" s="365"/>
      <c r="Y106" s="365"/>
      <c r="Z106" s="365"/>
      <c r="AA106" s="369"/>
      <c r="AB106" s="365"/>
    </row>
    <row r="107" spans="1:28" x14ac:dyDescent="0.25">
      <c r="A107" s="22"/>
      <c r="B107" s="352" t="s">
        <v>470</v>
      </c>
      <c r="C107" s="353">
        <f>F105+2*F110</f>
        <v>3.172662768061973</v>
      </c>
      <c r="D107" s="353" t="s">
        <v>451</v>
      </c>
      <c r="E107" s="365" t="s">
        <v>478</v>
      </c>
      <c r="F107" s="365">
        <f>(PI()*C101^2*(3*F106-C101)/3)</f>
        <v>0.12251268871204114</v>
      </c>
      <c r="G107" s="365" t="s">
        <v>454</v>
      </c>
      <c r="H107" s="371" t="s">
        <v>477</v>
      </c>
      <c r="I107" s="369">
        <f>(C103*(I102+I106+SQRT(I102*I106)))/3</f>
        <v>1.9809964407685392</v>
      </c>
      <c r="J107" s="364"/>
      <c r="K107" s="370"/>
      <c r="L107" s="342"/>
      <c r="M107" s="342"/>
      <c r="N107" s="365"/>
      <c r="O107" s="365"/>
      <c r="P107" s="365"/>
      <c r="Q107" s="365"/>
      <c r="R107" s="369"/>
      <c r="S107" s="365"/>
      <c r="T107" s="370"/>
      <c r="U107" s="342"/>
      <c r="V107" s="342"/>
      <c r="W107" s="365"/>
      <c r="X107" s="365"/>
      <c r="Y107" s="365"/>
      <c r="Z107" s="365"/>
      <c r="AA107" s="369"/>
      <c r="AB107" s="365"/>
    </row>
    <row r="108" spans="1:28" x14ac:dyDescent="0.25">
      <c r="A108" s="22"/>
      <c r="B108" s="355" t="s">
        <v>476</v>
      </c>
      <c r="C108" s="354">
        <f>F104+2*F108</f>
        <v>0.59568572381933627</v>
      </c>
      <c r="D108" s="354" t="s">
        <v>454</v>
      </c>
      <c r="E108" s="365" t="s">
        <v>475</v>
      </c>
      <c r="F108" s="365">
        <f>(C100/(F99*2))*F107</f>
        <v>3.7696211911397277E-2</v>
      </c>
      <c r="G108" s="365" t="s">
        <v>454</v>
      </c>
      <c r="H108" s="365"/>
      <c r="I108" s="369"/>
      <c r="J108" s="364"/>
      <c r="K108" s="352" t="s">
        <v>474</v>
      </c>
      <c r="L108" s="353">
        <f>P105</f>
        <v>1.2874646894842396</v>
      </c>
      <c r="M108" s="353" t="s">
        <v>454</v>
      </c>
      <c r="N108" s="365"/>
      <c r="O108" s="365"/>
      <c r="P108" s="365"/>
      <c r="Q108" s="365"/>
      <c r="R108" s="369"/>
      <c r="S108" s="365"/>
      <c r="T108" s="352" t="s">
        <v>474</v>
      </c>
      <c r="U108" s="353">
        <f>Y105</f>
        <v>0.28499900900645053</v>
      </c>
      <c r="V108" s="353" t="s">
        <v>454</v>
      </c>
      <c r="W108" s="365"/>
      <c r="X108" s="365"/>
      <c r="Y108" s="365"/>
      <c r="Z108" s="365"/>
      <c r="AA108" s="369"/>
      <c r="AB108" s="365"/>
    </row>
    <row r="109" spans="1:28" x14ac:dyDescent="0.25">
      <c r="A109" s="22"/>
      <c r="B109" s="352" t="s">
        <v>474</v>
      </c>
      <c r="C109" s="353">
        <f>I107</f>
        <v>1.9809964407685392</v>
      </c>
      <c r="D109" s="353" t="s">
        <v>454</v>
      </c>
      <c r="E109" s="365" t="s">
        <v>473</v>
      </c>
      <c r="F109" s="365">
        <f>2*PI()*F106*C101</f>
        <v>1.429110498117997</v>
      </c>
      <c r="G109" s="365" t="s">
        <v>451</v>
      </c>
      <c r="H109" s="365"/>
      <c r="I109" s="369"/>
      <c r="J109" s="364"/>
      <c r="K109" s="370"/>
      <c r="L109" s="342"/>
      <c r="M109" s="342"/>
      <c r="N109" s="365"/>
      <c r="O109" s="365"/>
      <c r="P109" s="365"/>
      <c r="Q109" s="365"/>
      <c r="R109" s="369"/>
      <c r="S109" s="365"/>
      <c r="T109" s="370"/>
      <c r="U109" s="342"/>
      <c r="V109" s="342"/>
      <c r="W109" s="365"/>
      <c r="X109" s="365"/>
      <c r="Y109" s="365"/>
      <c r="Z109" s="365"/>
      <c r="AA109" s="369"/>
      <c r="AB109" s="365"/>
    </row>
    <row r="110" spans="1:28" x14ac:dyDescent="0.25">
      <c r="A110" s="22"/>
      <c r="B110" s="352" t="s">
        <v>471</v>
      </c>
      <c r="C110" s="353">
        <f>C109+C108</f>
        <v>2.5766821645878757</v>
      </c>
      <c r="D110" s="353" t="s">
        <v>454</v>
      </c>
      <c r="E110" s="365" t="s">
        <v>472</v>
      </c>
      <c r="F110" s="365">
        <f>F109*(C100/(F99*2))</f>
        <v>0.43972630711322985</v>
      </c>
      <c r="G110" s="365" t="s">
        <v>451</v>
      </c>
      <c r="H110" s="365"/>
      <c r="I110" s="369"/>
      <c r="J110" s="364"/>
      <c r="K110" s="352" t="s">
        <v>471</v>
      </c>
      <c r="L110" s="353">
        <f>L108+L106</f>
        <v>1.6356578752571085</v>
      </c>
      <c r="M110" s="353" t="s">
        <v>454</v>
      </c>
      <c r="N110" s="365"/>
      <c r="O110" s="342"/>
      <c r="P110" s="342"/>
      <c r="Q110" s="342"/>
      <c r="R110" s="369"/>
      <c r="S110" s="365"/>
      <c r="T110" s="352" t="s">
        <v>471</v>
      </c>
      <c r="U110" s="353">
        <f>U108+U106</f>
        <v>0.37453439963375962</v>
      </c>
      <c r="V110" s="353" t="s">
        <v>454</v>
      </c>
      <c r="W110" s="365"/>
      <c r="X110" s="342"/>
      <c r="Y110" s="342"/>
      <c r="Z110" s="342"/>
      <c r="AA110" s="369"/>
      <c r="AB110" s="365"/>
    </row>
    <row r="111" spans="1:28" x14ac:dyDescent="0.25">
      <c r="A111" s="22"/>
      <c r="B111" s="370"/>
      <c r="C111" s="342"/>
      <c r="D111" s="342"/>
      <c r="E111" s="365"/>
      <c r="F111" s="365"/>
      <c r="G111" s="365"/>
      <c r="H111" s="365"/>
      <c r="I111" s="369"/>
      <c r="J111" s="364"/>
      <c r="K111" s="370"/>
      <c r="L111" s="342"/>
      <c r="M111" s="342"/>
      <c r="N111" s="365"/>
      <c r="O111" s="342"/>
      <c r="P111" s="342"/>
      <c r="Q111" s="342"/>
      <c r="R111" s="369"/>
      <c r="S111" s="365"/>
      <c r="T111" s="370"/>
      <c r="U111" s="342"/>
      <c r="V111" s="342"/>
      <c r="W111" s="365"/>
      <c r="X111" s="342"/>
      <c r="Y111" s="342"/>
      <c r="Z111" s="342"/>
      <c r="AA111" s="369"/>
      <c r="AB111" s="365"/>
    </row>
    <row r="112" spans="1:28" ht="15.75" thickBot="1" x14ac:dyDescent="0.3">
      <c r="A112" s="22"/>
      <c r="B112" s="346" t="s">
        <v>452</v>
      </c>
      <c r="C112" s="345">
        <f>C102*C106*2*C105+C107</f>
        <v>3.172662768061973</v>
      </c>
      <c r="D112" s="345" t="s">
        <v>451</v>
      </c>
      <c r="E112" s="367"/>
      <c r="F112" s="367"/>
      <c r="G112" s="367"/>
      <c r="H112" s="367"/>
      <c r="I112" s="366"/>
      <c r="J112" s="364"/>
      <c r="K112" s="368" t="s">
        <v>470</v>
      </c>
      <c r="L112" s="345">
        <f>2*PI()*L101*L99</f>
        <v>1.9163715186897738</v>
      </c>
      <c r="M112" s="345" t="s">
        <v>451</v>
      </c>
      <c r="N112" s="367"/>
      <c r="O112" s="367"/>
      <c r="P112" s="367"/>
      <c r="Q112" s="367"/>
      <c r="R112" s="366"/>
      <c r="S112" s="365"/>
      <c r="T112" s="368" t="s">
        <v>470</v>
      </c>
      <c r="U112" s="345">
        <f>2*PI()*U101*U99</f>
        <v>0.78539816339744828</v>
      </c>
      <c r="V112" s="345" t="s">
        <v>451</v>
      </c>
      <c r="W112" s="367"/>
      <c r="X112" s="367"/>
      <c r="Y112" s="367"/>
      <c r="Z112" s="367"/>
      <c r="AA112" s="366"/>
      <c r="AB112" s="365"/>
    </row>
    <row r="113" spans="1:28" ht="15.75" thickBot="1" x14ac:dyDescent="0.3">
      <c r="A113" s="22"/>
      <c r="B113" s="20"/>
      <c r="C113" s="20"/>
      <c r="D113" s="20"/>
      <c r="E113" s="20"/>
      <c r="F113" s="20"/>
      <c r="G113" s="20"/>
      <c r="H113" s="20"/>
      <c r="I113" s="20"/>
      <c r="J113" s="20"/>
      <c r="K113" s="22"/>
      <c r="L113" s="20"/>
      <c r="M113" s="20"/>
      <c r="N113" s="20"/>
      <c r="O113" s="20"/>
      <c r="P113" s="20"/>
      <c r="Q113" s="20"/>
      <c r="R113" s="20"/>
      <c r="S113" s="24"/>
      <c r="T113" s="20"/>
      <c r="U113" s="22"/>
      <c r="V113" s="20"/>
      <c r="W113" s="20"/>
      <c r="X113" s="20"/>
      <c r="Y113" s="20"/>
      <c r="Z113" s="20"/>
      <c r="AA113" s="20"/>
      <c r="AB113" s="24"/>
    </row>
    <row r="114" spans="1:28" ht="15.75" thickBot="1" x14ac:dyDescent="0.3">
      <c r="A114" s="22"/>
      <c r="B114" s="667" t="s">
        <v>469</v>
      </c>
      <c r="C114" s="668"/>
      <c r="D114" s="668"/>
      <c r="E114" s="668"/>
      <c r="F114" s="668"/>
      <c r="G114" s="668"/>
      <c r="H114" s="668"/>
      <c r="I114" s="669"/>
      <c r="J114" s="364"/>
      <c r="K114" s="667" t="s">
        <v>468</v>
      </c>
      <c r="L114" s="668"/>
      <c r="M114" s="668"/>
      <c r="N114" s="668"/>
      <c r="O114" s="668"/>
      <c r="P114" s="668"/>
      <c r="Q114" s="668"/>
      <c r="R114" s="669"/>
      <c r="S114" s="342"/>
      <c r="T114" s="667" t="s">
        <v>193</v>
      </c>
      <c r="U114" s="668"/>
      <c r="V114" s="668"/>
      <c r="W114" s="668"/>
      <c r="X114" s="668"/>
      <c r="Y114" s="668"/>
      <c r="Z114" s="668"/>
      <c r="AA114" s="669"/>
      <c r="AB114" s="364"/>
    </row>
    <row r="115" spans="1:28" x14ac:dyDescent="0.25">
      <c r="A115" s="20"/>
      <c r="B115" s="359" t="s">
        <v>467</v>
      </c>
      <c r="C115" s="358">
        <v>0.4</v>
      </c>
      <c r="D115" s="358" t="s">
        <v>61</v>
      </c>
      <c r="E115" s="342"/>
      <c r="F115" s="342"/>
      <c r="G115" s="342"/>
      <c r="H115" s="342"/>
      <c r="I115" s="347"/>
      <c r="J115" s="342"/>
      <c r="K115" s="363" t="s">
        <v>467</v>
      </c>
      <c r="L115" s="362">
        <v>0.8</v>
      </c>
      <c r="M115" s="362" t="s">
        <v>61</v>
      </c>
      <c r="N115" s="361"/>
      <c r="O115" s="361"/>
      <c r="P115" s="361"/>
      <c r="Q115" s="361"/>
      <c r="R115" s="360"/>
      <c r="S115" s="342"/>
      <c r="T115" s="359" t="s">
        <v>467</v>
      </c>
      <c r="U115" s="358">
        <v>0.3</v>
      </c>
      <c r="V115" s="358" t="s">
        <v>61</v>
      </c>
      <c r="W115" s="342"/>
      <c r="X115" s="342"/>
      <c r="Y115" s="342"/>
      <c r="Z115" s="342"/>
      <c r="AA115" s="347"/>
      <c r="AB115" s="342"/>
    </row>
    <row r="116" spans="1:28" x14ac:dyDescent="0.25">
      <c r="A116" s="20"/>
      <c r="B116" s="352" t="s">
        <v>466</v>
      </c>
      <c r="C116" s="353">
        <v>0.3</v>
      </c>
      <c r="D116" s="353" t="s">
        <v>61</v>
      </c>
      <c r="E116" s="342"/>
      <c r="F116" s="342"/>
      <c r="G116" s="342"/>
      <c r="H116" s="342"/>
      <c r="I116" s="347"/>
      <c r="J116" s="342"/>
      <c r="K116" s="352" t="s">
        <v>466</v>
      </c>
      <c r="L116" s="353">
        <v>0.1</v>
      </c>
      <c r="M116" s="353" t="s">
        <v>61</v>
      </c>
      <c r="N116" s="342"/>
      <c r="O116" s="342"/>
      <c r="P116" s="342"/>
      <c r="Q116" s="342"/>
      <c r="R116" s="347"/>
      <c r="S116" s="342"/>
      <c r="T116" s="352" t="s">
        <v>466</v>
      </c>
      <c r="U116" s="353">
        <v>0.2</v>
      </c>
      <c r="V116" s="353" t="s">
        <v>61</v>
      </c>
      <c r="W116" s="342"/>
      <c r="X116" s="342"/>
      <c r="Y116" s="342"/>
      <c r="Z116" s="342"/>
      <c r="AA116" s="347"/>
      <c r="AB116" s="342"/>
    </row>
    <row r="117" spans="1:28" ht="15.75" x14ac:dyDescent="0.25">
      <c r="A117" s="20"/>
      <c r="B117" s="352" t="s">
        <v>465</v>
      </c>
      <c r="C117" s="353">
        <f>68*PI()/180</f>
        <v>1.1868238913561442</v>
      </c>
      <c r="D117" s="353" t="s">
        <v>464</v>
      </c>
      <c r="E117" s="342"/>
      <c r="F117" s="342"/>
      <c r="G117" s="342"/>
      <c r="H117" s="342"/>
      <c r="I117" s="347"/>
      <c r="J117" s="342"/>
      <c r="K117" s="352" t="s">
        <v>465</v>
      </c>
      <c r="L117" s="353">
        <f>68*PI()/180</f>
        <v>1.1868238913561442</v>
      </c>
      <c r="M117" s="353" t="s">
        <v>464</v>
      </c>
      <c r="N117" s="342"/>
      <c r="O117" s="342"/>
      <c r="P117" s="342"/>
      <c r="Q117" s="342"/>
      <c r="R117" s="347"/>
      <c r="S117" s="342"/>
      <c r="T117" s="352" t="s">
        <v>465</v>
      </c>
      <c r="U117" s="353">
        <f>68*PI()/180</f>
        <v>1.1868238913561442</v>
      </c>
      <c r="V117" s="353" t="s">
        <v>464</v>
      </c>
      <c r="W117" s="342"/>
      <c r="X117" s="342"/>
      <c r="Y117" s="342"/>
      <c r="Z117" s="342"/>
      <c r="AA117" s="347"/>
      <c r="AB117" s="342"/>
    </row>
    <row r="118" spans="1:28" x14ac:dyDescent="0.25">
      <c r="A118" s="20"/>
      <c r="B118" s="352" t="s">
        <v>110</v>
      </c>
      <c r="C118" s="353">
        <v>1.8</v>
      </c>
      <c r="D118" s="353" t="s">
        <v>61</v>
      </c>
      <c r="E118" s="342"/>
      <c r="F118" s="342"/>
      <c r="G118" s="342"/>
      <c r="H118" s="342"/>
      <c r="I118" s="347"/>
      <c r="J118" s="342"/>
      <c r="K118" s="352" t="s">
        <v>110</v>
      </c>
      <c r="L118" s="353">
        <v>1.8</v>
      </c>
      <c r="M118" s="353" t="s">
        <v>61</v>
      </c>
      <c r="N118" s="342"/>
      <c r="O118" s="342"/>
      <c r="P118" s="342"/>
      <c r="Q118" s="342"/>
      <c r="R118" s="347"/>
      <c r="S118" s="342"/>
      <c r="T118" s="352" t="s">
        <v>110</v>
      </c>
      <c r="U118" s="353">
        <v>1.8</v>
      </c>
      <c r="V118" s="353" t="s">
        <v>61</v>
      </c>
      <c r="W118" s="342"/>
      <c r="X118" s="342"/>
      <c r="Y118" s="342"/>
      <c r="Z118" s="342"/>
      <c r="AA118" s="347"/>
      <c r="AB118" s="342"/>
    </row>
    <row r="119" spans="1:28" x14ac:dyDescent="0.25">
      <c r="A119" s="20"/>
      <c r="B119" s="352" t="s">
        <v>463</v>
      </c>
      <c r="C119" s="353">
        <v>3</v>
      </c>
      <c r="D119" s="353" t="s">
        <v>61</v>
      </c>
      <c r="E119" s="342"/>
      <c r="F119" s="342"/>
      <c r="G119" s="342"/>
      <c r="H119" s="342"/>
      <c r="I119" s="347"/>
      <c r="J119" s="342"/>
      <c r="K119" s="352" t="s">
        <v>463</v>
      </c>
      <c r="L119" s="353">
        <v>4</v>
      </c>
      <c r="M119" s="353" t="s">
        <v>61</v>
      </c>
      <c r="N119" s="342"/>
      <c r="O119" s="342"/>
      <c r="P119" s="342"/>
      <c r="Q119" s="342"/>
      <c r="R119" s="347"/>
      <c r="S119" s="342"/>
      <c r="T119" s="352" t="s">
        <v>463</v>
      </c>
      <c r="U119" s="353">
        <v>1</v>
      </c>
      <c r="V119" s="353" t="s">
        <v>61</v>
      </c>
      <c r="W119" s="342"/>
      <c r="X119" s="342"/>
      <c r="Y119" s="342"/>
      <c r="Z119" s="342"/>
      <c r="AA119" s="347"/>
      <c r="AB119" s="342"/>
    </row>
    <row r="120" spans="1:28" x14ac:dyDescent="0.25">
      <c r="A120" s="20"/>
      <c r="B120" s="352" t="s">
        <v>100</v>
      </c>
      <c r="C120" s="353">
        <v>0</v>
      </c>
      <c r="D120" s="353" t="s">
        <v>44</v>
      </c>
      <c r="E120" s="342"/>
      <c r="F120" s="342"/>
      <c r="G120" s="342"/>
      <c r="H120" s="342"/>
      <c r="I120" s="347"/>
      <c r="J120" s="342"/>
      <c r="K120" s="352" t="s">
        <v>100</v>
      </c>
      <c r="L120" s="353">
        <v>0</v>
      </c>
      <c r="M120" s="353" t="s">
        <v>44</v>
      </c>
      <c r="N120" s="342"/>
      <c r="O120" s="342"/>
      <c r="P120" s="342"/>
      <c r="Q120" s="342"/>
      <c r="R120" s="347"/>
      <c r="S120" s="342"/>
      <c r="T120" s="352" t="s">
        <v>100</v>
      </c>
      <c r="U120" s="353">
        <v>20</v>
      </c>
      <c r="V120" s="353" t="s">
        <v>44</v>
      </c>
      <c r="W120" s="342"/>
      <c r="X120" s="342"/>
      <c r="Y120" s="342"/>
      <c r="Z120" s="342"/>
      <c r="AA120" s="347"/>
      <c r="AB120" s="342"/>
    </row>
    <row r="121" spans="1:28" x14ac:dyDescent="0.25">
      <c r="A121" s="20"/>
      <c r="B121" s="352" t="s">
        <v>462</v>
      </c>
      <c r="C121" s="353">
        <v>0.1</v>
      </c>
      <c r="D121" s="353" t="s">
        <v>61</v>
      </c>
      <c r="E121" s="342"/>
      <c r="F121" s="342"/>
      <c r="G121" s="342"/>
      <c r="H121" s="342"/>
      <c r="I121" s="347"/>
      <c r="J121" s="342"/>
      <c r="K121" s="352" t="s">
        <v>461</v>
      </c>
      <c r="L121" s="353">
        <v>0.1</v>
      </c>
      <c r="M121" s="353" t="s">
        <v>61</v>
      </c>
      <c r="N121" s="342"/>
      <c r="O121" s="342"/>
      <c r="P121" s="342"/>
      <c r="Q121" s="342"/>
      <c r="R121" s="347"/>
      <c r="S121" s="342"/>
      <c r="T121" s="352" t="s">
        <v>461</v>
      </c>
      <c r="U121" s="353">
        <v>0.1</v>
      </c>
      <c r="V121" s="353" t="s">
        <v>61</v>
      </c>
      <c r="W121" s="342"/>
      <c r="X121" s="342"/>
      <c r="Y121" s="342"/>
      <c r="Z121" s="342"/>
      <c r="AA121" s="347"/>
      <c r="AB121" s="342"/>
    </row>
    <row r="122" spans="1:28" x14ac:dyDescent="0.25">
      <c r="A122" s="20"/>
      <c r="B122" s="357" t="s">
        <v>460</v>
      </c>
      <c r="C122" s="356">
        <f>C116/2</f>
        <v>0.15</v>
      </c>
      <c r="D122" s="356" t="s">
        <v>61</v>
      </c>
      <c r="E122" s="342"/>
      <c r="F122" s="342"/>
      <c r="G122" s="342"/>
      <c r="H122" s="342"/>
      <c r="I122" s="347"/>
      <c r="J122" s="342"/>
      <c r="K122" s="352" t="s">
        <v>458</v>
      </c>
      <c r="L122" s="353">
        <f>(L118*L119+2*L118*L116+2*L116*L119)</f>
        <v>8.3600000000000012</v>
      </c>
      <c r="M122" s="353" t="s">
        <v>451</v>
      </c>
      <c r="N122" s="342"/>
      <c r="O122" s="342"/>
      <c r="P122" s="342"/>
      <c r="Q122" s="342"/>
      <c r="R122" s="347"/>
      <c r="S122" s="342"/>
      <c r="T122" s="352" t="s">
        <v>458</v>
      </c>
      <c r="U122" s="353">
        <f>(U118*U119+2*U118*U116+2*U116*U119)</f>
        <v>2.92</v>
      </c>
      <c r="V122" s="353" t="s">
        <v>451</v>
      </c>
      <c r="W122" s="342"/>
      <c r="X122" s="342"/>
      <c r="Y122" s="342"/>
      <c r="Z122" s="342"/>
      <c r="AA122" s="347"/>
      <c r="AB122" s="342"/>
    </row>
    <row r="123" spans="1:28" x14ac:dyDescent="0.25">
      <c r="A123" s="20"/>
      <c r="B123" s="357" t="s">
        <v>459</v>
      </c>
      <c r="C123" s="356">
        <f>INT(C118/(C122*2))</f>
        <v>6</v>
      </c>
      <c r="D123" s="356" t="s">
        <v>44</v>
      </c>
      <c r="E123" s="342"/>
      <c r="F123" s="342"/>
      <c r="G123" s="342"/>
      <c r="H123" s="342"/>
      <c r="I123" s="347"/>
      <c r="J123" s="342"/>
      <c r="K123" s="355" t="s">
        <v>456</v>
      </c>
      <c r="L123" s="354">
        <f>L116*L118*L119</f>
        <v>0.72000000000000008</v>
      </c>
      <c r="M123" s="354" t="s">
        <v>454</v>
      </c>
      <c r="N123" s="342"/>
      <c r="O123" s="342"/>
      <c r="P123" s="342"/>
      <c r="Q123" s="342"/>
      <c r="R123" s="347"/>
      <c r="S123" s="342"/>
      <c r="T123" s="355" t="s">
        <v>456</v>
      </c>
      <c r="U123" s="354">
        <f>U116*U118*U119</f>
        <v>0.36000000000000004</v>
      </c>
      <c r="V123" s="354" t="s">
        <v>454</v>
      </c>
      <c r="W123" s="342"/>
      <c r="X123" s="342"/>
      <c r="Y123" s="342"/>
      <c r="Z123" s="342"/>
      <c r="AA123" s="347"/>
      <c r="AB123" s="342"/>
    </row>
    <row r="124" spans="1:28" x14ac:dyDescent="0.25">
      <c r="A124" s="20"/>
      <c r="B124" s="352" t="s">
        <v>458</v>
      </c>
      <c r="C124" s="353">
        <f>(C118*C119+2*C119*C116+2*C118*C116)-2*C123*C122^2</f>
        <v>8.0100000000000016</v>
      </c>
      <c r="D124" s="353" t="s">
        <v>451</v>
      </c>
      <c r="E124" s="342"/>
      <c r="F124" s="342"/>
      <c r="G124" s="342"/>
      <c r="H124" s="342"/>
      <c r="I124" s="347"/>
      <c r="J124" s="342"/>
      <c r="K124" s="352" t="s">
        <v>457</v>
      </c>
      <c r="L124" s="353">
        <f>(L118*L116*L119)+(L118+L115/TAN(L117))*L115*L119</f>
        <v>7.5143071381380011</v>
      </c>
      <c r="M124" s="353" t="s">
        <v>454</v>
      </c>
      <c r="N124" s="342"/>
      <c r="O124" s="342"/>
      <c r="P124" s="342"/>
      <c r="Q124" s="342"/>
      <c r="R124" s="347"/>
      <c r="S124" s="342"/>
      <c r="T124" s="352" t="s">
        <v>457</v>
      </c>
      <c r="U124" s="353">
        <f>(U118*U116*U119)+(U118+U115/TAN(U117))*U115*U119</f>
        <v>0.93636236032516407</v>
      </c>
      <c r="V124" s="353" t="s">
        <v>454</v>
      </c>
      <c r="W124" s="342"/>
      <c r="X124" s="342"/>
      <c r="Y124" s="342"/>
      <c r="Z124" s="342"/>
      <c r="AA124" s="347"/>
      <c r="AB124" s="342"/>
    </row>
    <row r="125" spans="1:28" x14ac:dyDescent="0.25">
      <c r="A125" s="20"/>
      <c r="B125" s="355" t="s">
        <v>456</v>
      </c>
      <c r="C125" s="354">
        <f>(C118*C116-C123*C122^2)*C119</f>
        <v>1.2150000000000001</v>
      </c>
      <c r="D125" s="354" t="s">
        <v>454</v>
      </c>
      <c r="E125" s="342"/>
      <c r="F125" s="342"/>
      <c r="G125" s="342"/>
      <c r="H125" s="342"/>
      <c r="I125" s="347"/>
      <c r="J125" s="342"/>
      <c r="K125" s="349"/>
      <c r="L125" s="348"/>
      <c r="M125" s="348"/>
      <c r="N125" s="342"/>
      <c r="O125" s="342"/>
      <c r="P125" s="342"/>
      <c r="Q125" s="342"/>
      <c r="R125" s="347"/>
      <c r="S125" s="342"/>
      <c r="T125" s="349"/>
      <c r="U125" s="348"/>
      <c r="V125" s="348"/>
      <c r="W125" s="342"/>
      <c r="X125" s="342"/>
      <c r="Y125" s="342"/>
      <c r="Z125" s="342"/>
      <c r="AA125" s="347"/>
      <c r="AB125" s="342"/>
    </row>
    <row r="126" spans="1:28" x14ac:dyDescent="0.25">
      <c r="A126" s="20"/>
      <c r="B126" s="352" t="s">
        <v>455</v>
      </c>
      <c r="C126" s="353">
        <f>C125+(C119*C115*(C118+C115/TAN(C117)))</f>
        <v>3.5689325884008758</v>
      </c>
      <c r="D126" s="353" t="s">
        <v>454</v>
      </c>
      <c r="E126" s="342"/>
      <c r="F126" s="342"/>
      <c r="G126" s="342"/>
      <c r="H126" s="342"/>
      <c r="I126" s="347"/>
      <c r="J126" s="342"/>
      <c r="K126" s="352" t="s">
        <v>453</v>
      </c>
      <c r="L126" s="351">
        <f>L123/L124</f>
        <v>9.5817217311456829E-2</v>
      </c>
      <c r="M126" s="353" t="s">
        <v>6</v>
      </c>
      <c r="N126" s="342"/>
      <c r="O126" s="342"/>
      <c r="P126" s="342"/>
      <c r="Q126" s="342"/>
      <c r="R126" s="347"/>
      <c r="S126" s="342"/>
      <c r="T126" s="352" t="s">
        <v>453</v>
      </c>
      <c r="U126" s="351">
        <f>U123/U124</f>
        <v>0.38446654335292307</v>
      </c>
      <c r="V126" s="353" t="s">
        <v>6</v>
      </c>
      <c r="W126" s="342"/>
      <c r="X126" s="342"/>
      <c r="Y126" s="342"/>
      <c r="Z126" s="342"/>
      <c r="AA126" s="347"/>
      <c r="AB126" s="342"/>
    </row>
    <row r="127" spans="1:28" x14ac:dyDescent="0.25">
      <c r="A127" s="20"/>
      <c r="B127" s="352" t="s">
        <v>453</v>
      </c>
      <c r="C127" s="351">
        <f>C125/C126</f>
        <v>0.34043792363822784</v>
      </c>
      <c r="D127" s="350" t="s">
        <v>6</v>
      </c>
      <c r="E127" s="342"/>
      <c r="F127" s="342"/>
      <c r="G127" s="342"/>
      <c r="H127" s="342"/>
      <c r="I127" s="347"/>
      <c r="J127" s="342"/>
      <c r="K127" s="349"/>
      <c r="L127" s="348"/>
      <c r="M127" s="348"/>
      <c r="N127" s="342"/>
      <c r="O127" s="342"/>
      <c r="P127" s="342"/>
      <c r="Q127" s="342"/>
      <c r="R127" s="347"/>
      <c r="S127" s="342"/>
      <c r="T127" s="349"/>
      <c r="U127" s="348"/>
      <c r="V127" s="348"/>
      <c r="W127" s="342"/>
      <c r="X127" s="342"/>
      <c r="Y127" s="342"/>
      <c r="Z127" s="342"/>
      <c r="AA127" s="347"/>
      <c r="AB127" s="342"/>
    </row>
    <row r="128" spans="1:28" ht="15.75" thickBot="1" x14ac:dyDescent="0.3">
      <c r="A128" s="20"/>
      <c r="B128" s="346" t="s">
        <v>452</v>
      </c>
      <c r="C128" s="345">
        <f>C121*C119*C120*2+C124</f>
        <v>8.0100000000000016</v>
      </c>
      <c r="D128" s="345" t="s">
        <v>451</v>
      </c>
      <c r="E128" s="344"/>
      <c r="F128" s="344"/>
      <c r="G128" s="344"/>
      <c r="H128" s="344"/>
      <c r="I128" s="343"/>
      <c r="J128" s="342"/>
      <c r="K128" s="346" t="s">
        <v>452</v>
      </c>
      <c r="L128" s="345">
        <f>L121*L119*L120*2+L122</f>
        <v>8.3600000000000012</v>
      </c>
      <c r="M128" s="345" t="s">
        <v>451</v>
      </c>
      <c r="N128" s="344"/>
      <c r="O128" s="344"/>
      <c r="P128" s="344"/>
      <c r="Q128" s="344"/>
      <c r="R128" s="343"/>
      <c r="S128" s="342"/>
      <c r="T128" s="346" t="s">
        <v>452</v>
      </c>
      <c r="U128" s="345">
        <f>U121*U119*U120*2+U122</f>
        <v>6.92</v>
      </c>
      <c r="V128" s="345" t="s">
        <v>451</v>
      </c>
      <c r="W128" s="344"/>
      <c r="X128" s="344"/>
      <c r="Y128" s="344"/>
      <c r="Z128" s="344"/>
      <c r="AA128" s="343"/>
      <c r="AB128" s="342"/>
    </row>
    <row r="129" spans="1:28" ht="15.75" thickBot="1" x14ac:dyDescent="0.3">
      <c r="A129" s="20"/>
      <c r="B129" s="23"/>
      <c r="C129" s="23"/>
      <c r="D129" s="23"/>
      <c r="E129" s="23"/>
      <c r="F129" s="23"/>
      <c r="G129" s="23"/>
      <c r="H129" s="23"/>
      <c r="I129" s="23"/>
      <c r="J129" s="42"/>
      <c r="K129" s="20"/>
      <c r="L129" s="20"/>
      <c r="M129" s="20"/>
      <c r="N129" s="20"/>
      <c r="O129" s="20"/>
      <c r="P129" s="20"/>
      <c r="Q129" s="20"/>
      <c r="R129" s="20"/>
      <c r="S129" s="24"/>
      <c r="T129" s="20"/>
      <c r="U129" s="20"/>
      <c r="V129" s="20"/>
      <c r="W129" s="20"/>
      <c r="X129" s="20"/>
      <c r="Y129" s="20"/>
      <c r="Z129" s="20"/>
      <c r="AA129" s="20"/>
      <c r="AB129" s="24"/>
    </row>
    <row r="130" spans="1:28" ht="15.75" thickBot="1" x14ac:dyDescent="0.3">
      <c r="A130" s="664"/>
      <c r="B130" s="665"/>
      <c r="C130" s="665"/>
      <c r="D130" s="665"/>
      <c r="E130" s="665"/>
      <c r="F130" s="665"/>
      <c r="G130" s="665"/>
      <c r="H130" s="665"/>
      <c r="I130" s="665"/>
      <c r="J130" s="665"/>
      <c r="K130" s="665"/>
      <c r="L130" s="665"/>
      <c r="M130" s="665"/>
      <c r="N130" s="665"/>
      <c r="O130" s="665"/>
      <c r="P130" s="665"/>
      <c r="Q130" s="665"/>
      <c r="R130" s="665"/>
      <c r="S130" s="665"/>
      <c r="T130" s="665"/>
      <c r="U130" s="665"/>
      <c r="V130" s="665"/>
      <c r="W130" s="665"/>
      <c r="X130" s="665"/>
      <c r="Y130" s="665"/>
      <c r="Z130" s="665"/>
      <c r="AA130" s="665"/>
      <c r="AB130" s="666"/>
    </row>
  </sheetData>
  <mergeCells count="97">
    <mergeCell ref="K3:L3"/>
    <mergeCell ref="K4:L4"/>
    <mergeCell ref="K5:L5"/>
    <mergeCell ref="K6:L6"/>
    <mergeCell ref="H12:J12"/>
    <mergeCell ref="H2:J2"/>
    <mergeCell ref="H3:J3"/>
    <mergeCell ref="H4:J4"/>
    <mergeCell ref="H5:J5"/>
    <mergeCell ref="H6:J6"/>
    <mergeCell ref="O35:P35"/>
    <mergeCell ref="H36:I36"/>
    <mergeCell ref="O36:P36"/>
    <mergeCell ref="H29:I29"/>
    <mergeCell ref="O29:P29"/>
    <mergeCell ref="H30:I30"/>
    <mergeCell ref="H13:J13"/>
    <mergeCell ref="H14:J14"/>
    <mergeCell ref="H8:J8"/>
    <mergeCell ref="H37:I37"/>
    <mergeCell ref="O37:P37"/>
    <mergeCell ref="H9:J9"/>
    <mergeCell ref="H33:I33"/>
    <mergeCell ref="O33:P33"/>
    <mergeCell ref="H34:I34"/>
    <mergeCell ref="H35:I35"/>
    <mergeCell ref="O30:S30"/>
    <mergeCell ref="O31:P31"/>
    <mergeCell ref="H32:L32"/>
    <mergeCell ref="O32:P32"/>
    <mergeCell ref="H26:I26"/>
    <mergeCell ref="O26:S26"/>
    <mergeCell ref="B17:E17"/>
    <mergeCell ref="C2:E2"/>
    <mergeCell ref="C3:E3"/>
    <mergeCell ref="C5:E5"/>
    <mergeCell ref="C6:E6"/>
    <mergeCell ref="B4:E4"/>
    <mergeCell ref="H22:I22"/>
    <mergeCell ref="O22:S22"/>
    <mergeCell ref="H27:I27"/>
    <mergeCell ref="O27:P27"/>
    <mergeCell ref="H28:I28"/>
    <mergeCell ref="O28:P28"/>
    <mergeCell ref="H23:I23"/>
    <mergeCell ref="O23:P23"/>
    <mergeCell ref="H24:I24"/>
    <mergeCell ref="O24:P24"/>
    <mergeCell ref="H25:I25"/>
    <mergeCell ref="O25:P25"/>
    <mergeCell ref="M46:N46"/>
    <mergeCell ref="M47:N47"/>
    <mergeCell ref="O8:P8"/>
    <mergeCell ref="B41:K41"/>
    <mergeCell ref="H10:J10"/>
    <mergeCell ref="H11:J11"/>
    <mergeCell ref="H17:L17"/>
    <mergeCell ref="O17:S17"/>
    <mergeCell ref="H18:I18"/>
    <mergeCell ref="O18:S18"/>
    <mergeCell ref="H19:I19"/>
    <mergeCell ref="O19:P19"/>
    <mergeCell ref="H20:I20"/>
    <mergeCell ref="O20:P20"/>
    <mergeCell ref="H21:I21"/>
    <mergeCell ref="O21:P21"/>
    <mergeCell ref="M41:X41"/>
    <mergeCell ref="A60:AB60"/>
    <mergeCell ref="A39:AB39"/>
    <mergeCell ref="M53:N53"/>
    <mergeCell ref="M54:N54"/>
    <mergeCell ref="M55:N55"/>
    <mergeCell ref="M56:N56"/>
    <mergeCell ref="M57:N57"/>
    <mergeCell ref="M48:N48"/>
    <mergeCell ref="M49:N49"/>
    <mergeCell ref="M50:N50"/>
    <mergeCell ref="M51:N51"/>
    <mergeCell ref="M52:N52"/>
    <mergeCell ref="M43:N43"/>
    <mergeCell ref="M44:N44"/>
    <mergeCell ref="M45:N45"/>
    <mergeCell ref="K62:R62"/>
    <mergeCell ref="T62:AA62"/>
    <mergeCell ref="K78:R78"/>
    <mergeCell ref="B62:I62"/>
    <mergeCell ref="M58:N58"/>
    <mergeCell ref="A130:AB130"/>
    <mergeCell ref="B78:I78"/>
    <mergeCell ref="A96:AB96"/>
    <mergeCell ref="B98:I98"/>
    <mergeCell ref="K98:R98"/>
    <mergeCell ref="A94:AB94"/>
    <mergeCell ref="T98:AA98"/>
    <mergeCell ref="B114:I114"/>
    <mergeCell ref="K114:R114"/>
    <mergeCell ref="T114:AA114"/>
  </mergeCells>
  <pageMargins left="0.7" right="0.7" top="0.75" bottom="0.75" header="0.3" footer="0.3"/>
  <ignoredErrors>
    <ignoredError sqref="G49 S49" formula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ECCEA-65E4-40F5-B818-0B670FC74DFC}">
  <sheetPr codeName="Hoja2">
    <tabColor theme="4" tint="0.59999389629810485"/>
  </sheetPr>
  <dimension ref="A1:EI295"/>
  <sheetViews>
    <sheetView tabSelected="1" topLeftCell="A124" zoomScale="90" zoomScaleNormal="90" workbookViewId="0">
      <selection activeCell="D3" sqref="D3"/>
    </sheetView>
  </sheetViews>
  <sheetFormatPr baseColWidth="10" defaultColWidth="8.7109375" defaultRowHeight="15" x14ac:dyDescent="0.25"/>
  <cols>
    <col min="2" max="2" width="36.7109375" bestFit="1" customWidth="1"/>
    <col min="3" max="3" width="9.7109375" bestFit="1" customWidth="1"/>
    <col min="4" max="4" width="10" style="38" customWidth="1"/>
    <col min="5" max="5" width="10" customWidth="1"/>
    <col min="6" max="6" width="10" style="150" customWidth="1"/>
    <col min="7" max="9" width="10" customWidth="1"/>
    <col min="10" max="10" width="10" style="150" customWidth="1"/>
    <col min="11" max="16" width="10" customWidth="1"/>
    <col min="17" max="17" width="10" style="464" customWidth="1"/>
    <col min="18" max="21" width="10" customWidth="1"/>
    <col min="22" max="22" width="9.140625" style="630" bestFit="1" customWidth="1"/>
    <col min="32" max="32" width="16.140625" bestFit="1" customWidth="1"/>
  </cols>
  <sheetData>
    <row r="1" spans="1:139" ht="15.75" thickBot="1" x14ac:dyDescent="0.3">
      <c r="A1" s="20"/>
      <c r="B1" s="20"/>
      <c r="C1" s="20"/>
      <c r="D1" s="36"/>
      <c r="E1" s="20"/>
      <c r="F1" s="43"/>
      <c r="G1" s="20"/>
      <c r="H1" s="20"/>
      <c r="I1" s="20"/>
      <c r="J1" s="43"/>
      <c r="K1" s="20"/>
      <c r="L1" s="20"/>
      <c r="M1" s="20"/>
      <c r="N1" s="20"/>
      <c r="O1" s="20"/>
      <c r="P1" s="20"/>
      <c r="R1" s="20"/>
      <c r="S1" s="20"/>
      <c r="T1" s="20"/>
      <c r="U1" s="20"/>
      <c r="V1" s="629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  <c r="DJ1" s="20"/>
      <c r="DK1" s="20"/>
      <c r="DL1" s="20"/>
      <c r="DM1" s="20"/>
      <c r="DN1" s="20"/>
      <c r="DO1" s="20"/>
      <c r="DP1" s="20"/>
      <c r="DQ1" s="20"/>
      <c r="DR1" s="20"/>
      <c r="DS1" s="20"/>
      <c r="DT1" s="20"/>
      <c r="DU1" s="20"/>
      <c r="DV1" s="20"/>
      <c r="DW1" s="20"/>
      <c r="DX1" s="20"/>
      <c r="DY1" s="20"/>
      <c r="DZ1" s="20"/>
      <c r="EA1" s="20"/>
      <c r="EB1" s="20"/>
      <c r="EC1" s="20"/>
      <c r="ED1" s="20"/>
      <c r="EE1" s="20"/>
      <c r="EF1" s="20"/>
      <c r="EG1" s="20"/>
      <c r="EH1" s="20"/>
      <c r="EI1" s="20"/>
    </row>
    <row r="2" spans="1:139" ht="15.75" thickBot="1" x14ac:dyDescent="0.3">
      <c r="A2" s="20"/>
      <c r="B2" s="441" t="s">
        <v>0</v>
      </c>
      <c r="C2" s="442"/>
      <c r="D2" s="442"/>
      <c r="E2" s="443"/>
      <c r="F2" s="21"/>
      <c r="G2" s="20"/>
      <c r="H2" s="696" t="s">
        <v>1</v>
      </c>
      <c r="I2" s="697"/>
      <c r="J2" s="697"/>
      <c r="K2" s="697"/>
      <c r="L2" s="698"/>
      <c r="M2" s="20"/>
      <c r="N2" s="699" t="s">
        <v>425</v>
      </c>
      <c r="O2" s="700"/>
      <c r="P2" s="700"/>
      <c r="Q2" s="700"/>
      <c r="R2" s="701"/>
      <c r="S2" s="20"/>
      <c r="T2" s="20"/>
      <c r="U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  <c r="DR2" s="20"/>
      <c r="DS2" s="20"/>
      <c r="DT2" s="20"/>
      <c r="DU2" s="20"/>
      <c r="DV2" s="20"/>
      <c r="DW2" s="20"/>
      <c r="DX2" s="20"/>
      <c r="DY2" s="20"/>
      <c r="DZ2" s="20"/>
      <c r="EA2" s="20"/>
      <c r="EB2" s="20"/>
      <c r="EC2" s="20"/>
      <c r="ED2" s="20"/>
      <c r="EE2" s="20"/>
      <c r="EF2" s="20"/>
      <c r="EG2" s="20"/>
      <c r="EH2" s="20"/>
      <c r="EI2" s="20"/>
    </row>
    <row r="3" spans="1:139" ht="15.75" thickBot="1" x14ac:dyDescent="0.3">
      <c r="A3" s="20"/>
      <c r="B3" s="1" t="s">
        <v>2</v>
      </c>
      <c r="C3" s="2" t="s">
        <v>3</v>
      </c>
      <c r="D3" s="2">
        <v>149.83297644539613</v>
      </c>
      <c r="E3" s="3" t="s">
        <v>4</v>
      </c>
      <c r="F3" s="21" t="s">
        <v>439</v>
      </c>
      <c r="G3" s="20"/>
      <c r="H3" s="702" t="s">
        <v>400</v>
      </c>
      <c r="I3" s="703"/>
      <c r="J3" s="438" t="s">
        <v>432</v>
      </c>
      <c r="K3" s="312">
        <f>K4/D16</f>
        <v>1458.3333333333335</v>
      </c>
      <c r="L3" s="300" t="s">
        <v>4</v>
      </c>
      <c r="M3" s="20"/>
      <c r="N3" s="704" t="s">
        <v>201</v>
      </c>
      <c r="O3" s="705"/>
      <c r="P3" s="705"/>
      <c r="Q3" s="705"/>
      <c r="R3" s="706"/>
      <c r="S3" s="20"/>
      <c r="T3" s="20"/>
      <c r="U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S3" s="20"/>
      <c r="BT3" s="20"/>
      <c r="BU3" s="20"/>
      <c r="BV3" s="20"/>
      <c r="BW3" s="20"/>
      <c r="BX3" s="20"/>
      <c r="BY3" s="20"/>
      <c r="BZ3" s="20"/>
      <c r="CA3" s="20"/>
      <c r="CB3" s="20"/>
      <c r="CC3" s="20"/>
      <c r="CD3" s="20"/>
      <c r="CE3" s="20"/>
      <c r="CF3" s="20"/>
      <c r="CG3" s="20"/>
      <c r="CH3" s="20"/>
      <c r="CI3" s="20"/>
      <c r="CJ3" s="20"/>
      <c r="CK3" s="20"/>
      <c r="CL3" s="20"/>
      <c r="CM3" s="20"/>
      <c r="CN3" s="20"/>
      <c r="CO3" s="20"/>
      <c r="CP3" s="20"/>
      <c r="CQ3" s="20"/>
      <c r="CR3" s="20"/>
      <c r="CS3" s="20"/>
      <c r="CT3" s="20"/>
      <c r="CU3" s="20"/>
      <c r="CV3" s="20"/>
      <c r="CW3" s="20"/>
      <c r="CX3" s="20"/>
      <c r="CY3" s="20"/>
      <c r="CZ3" s="20"/>
      <c r="DA3" s="20"/>
      <c r="DB3" s="20"/>
      <c r="DC3" s="20"/>
      <c r="DD3" s="20"/>
      <c r="DE3" s="20"/>
      <c r="DF3" s="20"/>
      <c r="DG3" s="20"/>
      <c r="DH3" s="20"/>
      <c r="DI3" s="20"/>
      <c r="DJ3" s="20"/>
      <c r="DK3" s="20"/>
      <c r="DL3" s="20"/>
      <c r="DM3" s="20"/>
      <c r="DN3" s="20"/>
      <c r="DO3" s="20"/>
      <c r="DP3" s="20"/>
      <c r="DQ3" s="20"/>
      <c r="DR3" s="20"/>
      <c r="DS3" s="20"/>
      <c r="DT3" s="20"/>
      <c r="DU3" s="20"/>
      <c r="DV3" s="20"/>
      <c r="DW3" s="20"/>
      <c r="DX3" s="20"/>
      <c r="DY3" s="20"/>
      <c r="DZ3" s="20"/>
      <c r="EA3" s="20"/>
      <c r="EB3" s="20"/>
      <c r="EC3" s="20"/>
      <c r="ED3" s="20"/>
      <c r="EE3" s="20"/>
      <c r="EF3" s="20"/>
      <c r="EG3" s="20"/>
      <c r="EH3" s="20"/>
      <c r="EI3" s="20"/>
    </row>
    <row r="4" spans="1:139" ht="15.75" thickBot="1" x14ac:dyDescent="0.3">
      <c r="A4" s="20"/>
      <c r="B4" s="4" t="s">
        <v>75</v>
      </c>
      <c r="C4" s="459" t="s">
        <v>76</v>
      </c>
      <c r="D4" s="292">
        <v>3.5797887727135165</v>
      </c>
      <c r="E4" s="7" t="s">
        <v>77</v>
      </c>
      <c r="F4" s="294">
        <f>K15/D3</f>
        <v>3.7350617330265456</v>
      </c>
      <c r="G4" s="20"/>
      <c r="H4" s="707" t="s">
        <v>399</v>
      </c>
      <c r="I4" s="708"/>
      <c r="J4" s="434" t="s">
        <v>433</v>
      </c>
      <c r="K4" s="313">
        <f>+K6/(1-D7)</f>
        <v>875</v>
      </c>
      <c r="L4" s="298" t="s">
        <v>4</v>
      </c>
      <c r="M4" s="20"/>
      <c r="N4" s="709" t="s">
        <v>418</v>
      </c>
      <c r="O4" s="710"/>
      <c r="P4" s="299" t="s">
        <v>51</v>
      </c>
      <c r="Q4" s="438">
        <f>997.39+4.46*D9</f>
        <v>1073.21</v>
      </c>
      <c r="R4" s="300" t="s">
        <v>52</v>
      </c>
      <c r="S4" s="20"/>
      <c r="T4" s="20"/>
      <c r="U4" s="20"/>
      <c r="W4" s="20"/>
      <c r="X4" s="20"/>
      <c r="Y4" s="20"/>
      <c r="Z4" s="364"/>
      <c r="AA4" s="364"/>
      <c r="AB4" s="364"/>
      <c r="AC4" s="364"/>
      <c r="AD4" s="364"/>
      <c r="AE4" s="22"/>
      <c r="AF4" s="516" t="s">
        <v>366</v>
      </c>
      <c r="AG4" s="555">
        <v>0.155</v>
      </c>
      <c r="AH4" s="555" t="s">
        <v>367</v>
      </c>
      <c r="AI4" s="555">
        <f>+Q22</f>
        <v>1.0828722547414502</v>
      </c>
      <c r="AJ4" s="556"/>
      <c r="AK4" s="668" t="s">
        <v>368</v>
      </c>
      <c r="AL4" s="669"/>
      <c r="AM4" s="517"/>
      <c r="AN4" s="517"/>
      <c r="AO4" s="517"/>
      <c r="AP4" s="517"/>
      <c r="AQ4" s="517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  <c r="DR4" s="20"/>
      <c r="DS4" s="20"/>
      <c r="DT4" s="20"/>
      <c r="DU4" s="20"/>
      <c r="DV4" s="20"/>
      <c r="DW4" s="20"/>
      <c r="DX4" s="20"/>
      <c r="DY4" s="20"/>
      <c r="DZ4" s="20"/>
      <c r="EA4" s="20"/>
      <c r="EB4" s="20"/>
      <c r="EC4" s="20"/>
      <c r="ED4" s="20"/>
      <c r="EE4" s="20"/>
      <c r="EF4" s="20"/>
      <c r="EG4" s="20"/>
      <c r="EH4" s="20"/>
      <c r="EI4" s="20"/>
    </row>
    <row r="5" spans="1:139" x14ac:dyDescent="0.25">
      <c r="A5" s="20"/>
      <c r="B5" s="8" t="s">
        <v>78</v>
      </c>
      <c r="C5" s="9" t="s">
        <v>42</v>
      </c>
      <c r="D5" s="661">
        <v>6</v>
      </c>
      <c r="E5" s="10" t="s">
        <v>44</v>
      </c>
      <c r="F5" s="21"/>
      <c r="G5" s="20"/>
      <c r="H5" s="711" t="s">
        <v>416</v>
      </c>
      <c r="I5" s="712"/>
      <c r="J5" s="447" t="s">
        <v>434</v>
      </c>
      <c r="K5" s="315">
        <f>+K4*D7</f>
        <v>17.5</v>
      </c>
      <c r="L5" s="298" t="s">
        <v>4</v>
      </c>
      <c r="M5" s="20"/>
      <c r="N5" s="713" t="s">
        <v>419</v>
      </c>
      <c r="O5" s="714"/>
      <c r="P5" s="301" t="s">
        <v>55</v>
      </c>
      <c r="Q5" s="434">
        <f>997.39+4.46*D10</f>
        <v>1095.51</v>
      </c>
      <c r="R5" s="298" t="s">
        <v>52</v>
      </c>
      <c r="S5" s="20"/>
      <c r="T5" s="20"/>
      <c r="U5" s="20"/>
      <c r="W5" s="20"/>
      <c r="X5" s="20"/>
      <c r="Y5" s="20"/>
      <c r="Z5" s="364"/>
      <c r="AA5" s="364"/>
      <c r="AB5" s="364"/>
      <c r="AC5" s="364"/>
      <c r="AD5" s="364"/>
      <c r="AE5" s="22"/>
      <c r="AF5" s="518" t="s">
        <v>370</v>
      </c>
      <c r="AG5" s="554">
        <v>0.75</v>
      </c>
      <c r="AH5" s="554">
        <v>1</v>
      </c>
      <c r="AI5" s="554">
        <v>1.25</v>
      </c>
      <c r="AJ5" s="557">
        <v>1.5</v>
      </c>
      <c r="AK5" s="37">
        <f>IF($D$3&lt;40,AL5,IF($AK$11=$AG$11,AG5,IF($AK$11=$AH$11,AH5,IF($AK$11=$AI$11,AI5,AJ5))))</f>
        <v>1</v>
      </c>
      <c r="AL5" s="552">
        <v>0.5</v>
      </c>
      <c r="AM5" s="517"/>
      <c r="AN5" s="517"/>
      <c r="AO5" s="517"/>
      <c r="AP5" s="517"/>
      <c r="AQ5" s="517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  <c r="DR5" s="20"/>
      <c r="DS5" s="20"/>
      <c r="DT5" s="20"/>
      <c r="DU5" s="20"/>
      <c r="DV5" s="20"/>
      <c r="DW5" s="20"/>
      <c r="DX5" s="20"/>
      <c r="DY5" s="20"/>
      <c r="DZ5" s="20"/>
      <c r="EA5" s="20"/>
      <c r="EB5" s="20"/>
      <c r="EC5" s="20"/>
      <c r="ED5" s="20"/>
      <c r="EE5" s="20"/>
      <c r="EF5" s="20"/>
      <c r="EG5" s="20"/>
      <c r="EH5" s="20"/>
      <c r="EI5" s="20"/>
    </row>
    <row r="6" spans="1:139" ht="15.75" thickBot="1" x14ac:dyDescent="0.3">
      <c r="A6" s="20"/>
      <c r="B6" s="17" t="s">
        <v>329</v>
      </c>
      <c r="C6" s="18" t="s">
        <v>5</v>
      </c>
      <c r="D6" s="45">
        <f>+K21/Q21</f>
        <v>0.48041708718074705</v>
      </c>
      <c r="E6" s="19" t="s">
        <v>6</v>
      </c>
      <c r="F6" s="21"/>
      <c r="G6" s="20"/>
      <c r="H6" s="711" t="s">
        <v>415</v>
      </c>
      <c r="I6" s="712"/>
      <c r="J6" s="434" t="s">
        <v>435</v>
      </c>
      <c r="K6" s="315">
        <f>+K8/(1-D8)</f>
        <v>857.5</v>
      </c>
      <c r="L6" s="298" t="s">
        <v>4</v>
      </c>
      <c r="M6" s="20"/>
      <c r="N6" s="715" t="s">
        <v>420</v>
      </c>
      <c r="O6" s="716"/>
      <c r="P6" s="302" t="s">
        <v>58</v>
      </c>
      <c r="Q6" s="436">
        <f>997.39+4.46*D11</f>
        <v>1331.8899999999999</v>
      </c>
      <c r="R6" s="303" t="s">
        <v>52</v>
      </c>
      <c r="S6" s="20"/>
      <c r="T6" s="20"/>
      <c r="U6" s="20"/>
      <c r="W6" s="20"/>
      <c r="X6" s="20"/>
      <c r="Y6" s="20"/>
      <c r="Z6" s="364"/>
      <c r="AA6" s="364"/>
      <c r="AB6" s="364"/>
      <c r="AC6" s="364"/>
      <c r="AD6" s="364"/>
      <c r="AE6" s="22"/>
      <c r="AF6" s="518" t="s">
        <v>373</v>
      </c>
      <c r="AG6" s="554">
        <f>ROUNDUP(($AI$4/($AG$4*AG5)),0.001)</f>
        <v>10</v>
      </c>
      <c r="AH6" s="554">
        <f t="shared" ref="AH6:AJ6" si="0">ROUNDUP(($AI$4/($AG$4*AH5)),0.001)</f>
        <v>7</v>
      </c>
      <c r="AI6" s="554">
        <f t="shared" si="0"/>
        <v>6</v>
      </c>
      <c r="AJ6" s="557">
        <f t="shared" si="0"/>
        <v>5</v>
      </c>
      <c r="AK6" s="37">
        <f>IF($D$3&lt;40,AL6,IF($AK$11=$AG$11,AG6,IF($AK$11=$AH$11,AH6,IF($AK$11=$AI$11,AI6,AJ6))))</f>
        <v>7</v>
      </c>
      <c r="AL6" s="520">
        <f>ROUNDUP(($AI$4/($AG$4*AL5)),0.001)</f>
        <v>14</v>
      </c>
      <c r="AM6" s="517"/>
      <c r="AN6" s="517"/>
      <c r="AO6" s="517"/>
      <c r="AP6" s="517"/>
      <c r="AQ6" s="517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</row>
    <row r="7" spans="1:139" ht="15.75" thickBot="1" x14ac:dyDescent="0.3">
      <c r="A7" s="20"/>
      <c r="B7" s="4" t="s">
        <v>10</v>
      </c>
      <c r="C7" s="459" t="s">
        <v>11</v>
      </c>
      <c r="D7" s="6">
        <v>0.02</v>
      </c>
      <c r="E7" s="7" t="s">
        <v>6</v>
      </c>
      <c r="F7" s="21"/>
      <c r="G7" s="20"/>
      <c r="H7" s="711" t="s">
        <v>14</v>
      </c>
      <c r="I7" s="712"/>
      <c r="J7" s="447" t="s">
        <v>436</v>
      </c>
      <c r="K7" s="315">
        <f>+K6*D8</f>
        <v>34.300000000000004</v>
      </c>
      <c r="L7" s="298" t="s">
        <v>4</v>
      </c>
      <c r="M7" s="20"/>
      <c r="N7" s="717" t="s">
        <v>405</v>
      </c>
      <c r="O7" s="718"/>
      <c r="P7" s="718"/>
      <c r="Q7" s="718"/>
      <c r="R7" s="719"/>
      <c r="S7" s="20"/>
      <c r="T7" s="20"/>
      <c r="U7" s="20"/>
      <c r="W7" s="20"/>
      <c r="X7" s="20"/>
      <c r="Y7" s="20"/>
      <c r="Z7" s="364"/>
      <c r="AA7" s="364"/>
      <c r="AB7" s="364"/>
      <c r="AC7" s="364"/>
      <c r="AD7" s="364"/>
      <c r="AE7" s="22"/>
      <c r="AF7" s="518" t="s">
        <v>375</v>
      </c>
      <c r="AG7" s="554">
        <f>IF(AG6&gt;7,ROUNDUP(AG6/2,0.1),AG6)</f>
        <v>5</v>
      </c>
      <c r="AH7" s="554">
        <f>IF(AH6&gt;7,ROUNDUP(AH6/2,0.1),AH6)</f>
        <v>7</v>
      </c>
      <c r="AI7" s="554">
        <f>IF(AI6&gt;7,ROUNDUP(AI6/2,0.1),AI6)</f>
        <v>6</v>
      </c>
      <c r="AJ7" s="557">
        <f>IF(AJ6&gt;7,ROUNDUP(AJ6/2,0.1),AJ6)</f>
        <v>5</v>
      </c>
      <c r="AK7" s="37">
        <f>IF($D$3&lt;40,AL7,IF($AK$11=$AG$11,AG7,IF($AK$11=$AH$11,AH7,IF($AK$11=$AI$11,AI7,AJ7))))</f>
        <v>7</v>
      </c>
      <c r="AL7" s="520">
        <f>IF(AL6&gt;7,ROUNDUP(AL6/2,0.1),AL6)</f>
        <v>7</v>
      </c>
      <c r="AM7" s="517"/>
      <c r="AN7" s="517"/>
      <c r="AO7" s="517"/>
      <c r="AP7" s="517"/>
      <c r="AQ7" s="517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</row>
    <row r="8" spans="1:139" x14ac:dyDescent="0.25">
      <c r="A8" s="20"/>
      <c r="B8" s="4" t="s">
        <v>14</v>
      </c>
      <c r="C8" s="459" t="s">
        <v>15</v>
      </c>
      <c r="D8" s="6">
        <v>0.04</v>
      </c>
      <c r="E8" s="7" t="s">
        <v>6</v>
      </c>
      <c r="F8" s="21"/>
      <c r="G8" s="20"/>
      <c r="H8" s="711" t="s">
        <v>414</v>
      </c>
      <c r="I8" s="712"/>
      <c r="J8" s="434" t="s">
        <v>437</v>
      </c>
      <c r="K8" s="315">
        <f>+D3*D13/D9</f>
        <v>823.19999999999993</v>
      </c>
      <c r="L8" s="298" t="s">
        <v>4</v>
      </c>
      <c r="M8" s="20"/>
      <c r="N8" s="709" t="s">
        <v>421</v>
      </c>
      <c r="O8" s="710"/>
      <c r="P8" s="438" t="s">
        <v>12</v>
      </c>
      <c r="Q8" s="438">
        <f>D22+0.2209*EXP(0.0557*D10)</f>
        <v>97.331960342879725</v>
      </c>
      <c r="R8" s="300" t="s">
        <v>13</v>
      </c>
      <c r="S8" s="20"/>
      <c r="T8" s="20"/>
      <c r="U8" s="20"/>
      <c r="W8" s="20"/>
      <c r="X8" s="20"/>
      <c r="Y8" s="20"/>
      <c r="Z8" s="364"/>
      <c r="AA8" s="364"/>
      <c r="AB8" s="364"/>
      <c r="AC8" s="364"/>
      <c r="AD8" s="364"/>
      <c r="AE8" s="22"/>
      <c r="AF8" s="518" t="s">
        <v>379</v>
      </c>
      <c r="AG8" s="554">
        <f>IF(AG6&lt;7,1,ROUNDUP(AG6/AG7,0.1))</f>
        <v>2</v>
      </c>
      <c r="AH8" s="554">
        <f>IF(AH6&lt;7,1,ROUNDUP(AH6/AH7,0.1))</f>
        <v>1</v>
      </c>
      <c r="AI8" s="554">
        <f>IF(AI6&lt;7,1,ROUNDUP(AI6/AI7,0.1))</f>
        <v>1</v>
      </c>
      <c r="AJ8" s="557">
        <f>IF(AJ6&lt;7,1,ROUNDUP(AJ6/AJ7,0.1))</f>
        <v>1</v>
      </c>
      <c r="AK8" s="37">
        <f>IF($D$3&lt;40,AL8,IF($AK$11=$AG$11,AG8,IF($AK$11=$AH$11,AH8,IF($AK$11=$AI$11,AI8,AJ8))))</f>
        <v>1</v>
      </c>
      <c r="AL8" s="520">
        <f>IF(AL6&lt;7,1,ROUNDUP(AL6/AL7,0.1))</f>
        <v>2</v>
      </c>
      <c r="AM8" s="517"/>
      <c r="AN8" s="517"/>
      <c r="AO8" s="517"/>
      <c r="AP8" s="517"/>
      <c r="AQ8" s="517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20"/>
      <c r="DV8" s="20"/>
      <c r="DW8" s="20"/>
      <c r="DX8" s="20"/>
      <c r="DY8" s="20"/>
      <c r="DZ8" s="20"/>
      <c r="EA8" s="20"/>
      <c r="EB8" s="20"/>
      <c r="EC8" s="20"/>
      <c r="ED8" s="20"/>
      <c r="EE8" s="20"/>
      <c r="EF8" s="20"/>
      <c r="EG8" s="20"/>
      <c r="EH8" s="20"/>
      <c r="EI8" s="20"/>
    </row>
    <row r="9" spans="1:139" x14ac:dyDescent="0.25">
      <c r="A9" s="20"/>
      <c r="B9" s="1" t="s">
        <v>20</v>
      </c>
      <c r="C9" s="2" t="s">
        <v>21</v>
      </c>
      <c r="D9" s="2">
        <v>17</v>
      </c>
      <c r="E9" s="3" t="s">
        <v>22</v>
      </c>
      <c r="F9" s="21"/>
      <c r="G9" s="20"/>
      <c r="H9" s="707" t="s">
        <v>401</v>
      </c>
      <c r="I9" s="708"/>
      <c r="J9" s="434" t="s">
        <v>438</v>
      </c>
      <c r="K9" s="313">
        <f>K6-D3</f>
        <v>707.66702355460393</v>
      </c>
      <c r="L9" s="298" t="s">
        <v>4</v>
      </c>
      <c r="M9" s="20"/>
      <c r="N9" s="713" t="s">
        <v>422</v>
      </c>
      <c r="O9" s="714"/>
      <c r="P9" s="434" t="s">
        <v>16</v>
      </c>
      <c r="Q9" s="434">
        <f>D22+0.2209*EXP(0.0557*D11)</f>
        <v>110.98294297073372</v>
      </c>
      <c r="R9" s="298" t="s">
        <v>13</v>
      </c>
      <c r="S9" s="20"/>
      <c r="T9" s="20"/>
      <c r="U9" s="20"/>
      <c r="W9" s="20"/>
      <c r="X9" s="20"/>
      <c r="Y9" s="20"/>
      <c r="Z9" s="364"/>
      <c r="AA9" s="364"/>
      <c r="AB9" s="364"/>
      <c r="AC9" s="364"/>
      <c r="AD9" s="364"/>
      <c r="AE9" s="22"/>
      <c r="AF9" s="518" t="s">
        <v>382</v>
      </c>
      <c r="AG9" s="554">
        <f>AG7*AG8</f>
        <v>10</v>
      </c>
      <c r="AH9" s="554">
        <f>AH7*AH8</f>
        <v>7</v>
      </c>
      <c r="AI9" s="554">
        <f>AI7*AI8</f>
        <v>6</v>
      </c>
      <c r="AJ9" s="557">
        <f>AJ7*AJ8</f>
        <v>5</v>
      </c>
      <c r="AK9" s="37">
        <f>IF($D$3&lt;40,AL9,IF($AK$11=$AG$11,AG9,IF($AK$11=$AH$11,AH9,IF($AK$11=$AI$11,AI9,AJ9))))</f>
        <v>7</v>
      </c>
      <c r="AL9" s="520">
        <f>AL7*AL8</f>
        <v>14</v>
      </c>
      <c r="AM9" s="517"/>
      <c r="AN9" s="517"/>
      <c r="AO9" s="517"/>
      <c r="AP9" s="517"/>
      <c r="AQ9" s="517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  <c r="DR9" s="20"/>
      <c r="DS9" s="20"/>
      <c r="DT9" s="20"/>
      <c r="DU9" s="20"/>
      <c r="DV9" s="20"/>
      <c r="DW9" s="20"/>
      <c r="DX9" s="20"/>
      <c r="DY9" s="20"/>
      <c r="DZ9" s="20"/>
      <c r="EA9" s="20"/>
      <c r="EB9" s="20"/>
      <c r="EC9" s="20"/>
      <c r="ED9" s="20"/>
      <c r="EE9" s="20"/>
      <c r="EF9" s="20"/>
      <c r="EG9" s="20"/>
      <c r="EH9" s="20"/>
      <c r="EI9" s="20"/>
    </row>
    <row r="10" spans="1:139" ht="15.75" thickBot="1" x14ac:dyDescent="0.3">
      <c r="A10" s="20"/>
      <c r="B10" s="1" t="s">
        <v>24</v>
      </c>
      <c r="C10" s="2" t="s">
        <v>25</v>
      </c>
      <c r="D10" s="2">
        <v>22</v>
      </c>
      <c r="E10" s="3" t="s">
        <v>22</v>
      </c>
      <c r="F10" s="21"/>
      <c r="G10" s="20"/>
      <c r="H10" s="707" t="s">
        <v>404</v>
      </c>
      <c r="I10" s="708"/>
      <c r="J10" s="434" t="s">
        <v>435</v>
      </c>
      <c r="K10" s="313">
        <f>+K6</f>
        <v>857.5</v>
      </c>
      <c r="L10" s="298" t="s">
        <v>4</v>
      </c>
      <c r="M10" s="20"/>
      <c r="N10" s="715" t="s">
        <v>423</v>
      </c>
      <c r="O10" s="716"/>
      <c r="P10" s="436" t="s">
        <v>23</v>
      </c>
      <c r="Q10" s="436">
        <f>D22+0.2209*EXP(0.0557*D12)</f>
        <v>136.71813336403685</v>
      </c>
      <c r="R10" s="303" t="s">
        <v>13</v>
      </c>
      <c r="S10" s="20"/>
      <c r="T10" s="20"/>
      <c r="U10" s="20"/>
      <c r="W10" s="20"/>
      <c r="AB10" s="364"/>
      <c r="AC10" s="364"/>
      <c r="AD10" s="364"/>
      <c r="AE10" s="22"/>
      <c r="AF10" s="518" t="s">
        <v>383</v>
      </c>
      <c r="AG10" s="554">
        <f>IF($AG$4*AG7&lt;0.62,5,$AG$4*AG7)</f>
        <v>0.77500000000000002</v>
      </c>
      <c r="AH10" s="554">
        <f t="shared" ref="AH10:AJ10" si="1">IF($AG$4*AH7&lt;0.62,5,$AG$4*AH7)</f>
        <v>1.085</v>
      </c>
      <c r="AI10" s="554">
        <f t="shared" si="1"/>
        <v>0.92999999999999994</v>
      </c>
      <c r="AJ10" s="557">
        <f t="shared" si="1"/>
        <v>0.77500000000000002</v>
      </c>
      <c r="AK10" s="37">
        <f>IF($D$3&lt;40,AL10,IF($AK$11=$AG$11,AG10,IF($AK$11=AH11,AH10,IF($AK$11=$AI$11,AI10,AJ10))))</f>
        <v>1.085</v>
      </c>
      <c r="AL10" s="520">
        <f>$AG$4*AL7</f>
        <v>1.085</v>
      </c>
      <c r="AM10" s="517"/>
      <c r="AN10" s="517"/>
      <c r="AO10" s="517"/>
      <c r="AP10" s="517"/>
      <c r="AQ10" s="517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</row>
    <row r="11" spans="1:139" ht="15.75" thickBot="1" x14ac:dyDescent="0.3">
      <c r="A11" s="20"/>
      <c r="B11" s="1" t="s">
        <v>29</v>
      </c>
      <c r="C11" s="2" t="s">
        <v>30</v>
      </c>
      <c r="D11" s="2">
        <v>75</v>
      </c>
      <c r="E11" s="3" t="s">
        <v>22</v>
      </c>
      <c r="F11" s="21"/>
      <c r="G11" s="20"/>
      <c r="H11" s="707" t="s">
        <v>402</v>
      </c>
      <c r="I11" s="708"/>
      <c r="J11" s="434" t="s">
        <v>36</v>
      </c>
      <c r="K11" s="313">
        <f>+K8</f>
        <v>823.19999999999993</v>
      </c>
      <c r="L11" s="298" t="s">
        <v>4</v>
      </c>
      <c r="M11" s="20"/>
      <c r="N11" s="696" t="s">
        <v>424</v>
      </c>
      <c r="O11" s="697"/>
      <c r="P11" s="697"/>
      <c r="Q11" s="697"/>
      <c r="R11" s="698"/>
      <c r="S11" s="20"/>
      <c r="T11" s="20"/>
      <c r="U11" s="20"/>
      <c r="W11" s="20"/>
      <c r="X11" s="20"/>
      <c r="Y11" s="20"/>
      <c r="Z11" s="364"/>
      <c r="AA11" s="364"/>
      <c r="AB11" s="364"/>
      <c r="AC11" s="364"/>
      <c r="AD11" s="364"/>
      <c r="AE11" s="22"/>
      <c r="AF11" s="521" t="s">
        <v>367</v>
      </c>
      <c r="AG11" s="558">
        <f>AG5*AG8*AG10</f>
        <v>1.1625000000000001</v>
      </c>
      <c r="AH11" s="558">
        <f>AH5*AH8*AH10</f>
        <v>1.085</v>
      </c>
      <c r="AI11" s="558">
        <f>AI5*AI8*AI10</f>
        <v>1.1624999999999999</v>
      </c>
      <c r="AJ11" s="559">
        <f>AJ5*AJ8*AJ10</f>
        <v>1.1625000000000001</v>
      </c>
      <c r="AK11" s="553">
        <f>IF(D3&lt;40,AL11,MIN(AG11:AJ11))</f>
        <v>1.085</v>
      </c>
      <c r="AL11" s="522">
        <f>(AL5*AL8)*($AG$4*AL7)</f>
        <v>1.085</v>
      </c>
      <c r="AM11" s="517"/>
      <c r="AN11" s="517"/>
      <c r="AO11" s="517"/>
      <c r="AP11" s="517"/>
      <c r="AQ11" s="517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</row>
    <row r="12" spans="1:139" x14ac:dyDescent="0.25">
      <c r="A12" s="20"/>
      <c r="B12" s="1" t="s">
        <v>34</v>
      </c>
      <c r="C12" s="2" t="s">
        <v>35</v>
      </c>
      <c r="D12" s="2">
        <v>93.4</v>
      </c>
      <c r="E12" s="3" t="s">
        <v>22</v>
      </c>
      <c r="F12" s="21"/>
      <c r="G12" s="20"/>
      <c r="H12" s="707" t="s">
        <v>403</v>
      </c>
      <c r="I12" s="708"/>
      <c r="J12" s="434" t="s">
        <v>40</v>
      </c>
      <c r="K12" s="313">
        <f>K11*D10/D11</f>
        <v>241.47199999999998</v>
      </c>
      <c r="L12" s="298" t="s">
        <v>4</v>
      </c>
      <c r="M12" s="20"/>
      <c r="N12" s="713" t="s">
        <v>421</v>
      </c>
      <c r="O12" s="714"/>
      <c r="P12" s="301" t="s">
        <v>32</v>
      </c>
      <c r="Q12" s="434">
        <f>2492.9-2.0523*((D22+Q8)/2)-0.0030752*((D22+Q8)/2)^2</f>
        <v>2265.0093657063012</v>
      </c>
      <c r="R12" s="298" t="s">
        <v>33</v>
      </c>
      <c r="S12" s="20"/>
      <c r="T12" s="20"/>
      <c r="U12" s="20"/>
      <c r="W12" s="20"/>
      <c r="X12" s="20"/>
      <c r="Y12" s="20"/>
      <c r="Z12" s="364"/>
      <c r="AA12" s="364"/>
      <c r="AB12" s="364"/>
      <c r="AC12" s="364"/>
      <c r="AD12" s="364"/>
      <c r="AE12" s="22"/>
      <c r="AF12" s="518"/>
      <c r="AG12" s="519"/>
      <c r="AH12" s="20"/>
      <c r="AI12" s="20"/>
      <c r="AJ12" s="20"/>
      <c r="AK12" s="20"/>
      <c r="AL12" s="20"/>
      <c r="AM12" s="517"/>
      <c r="AN12" s="517"/>
      <c r="AO12" s="517"/>
      <c r="AP12" s="517"/>
      <c r="AQ12" s="517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  <c r="EA12" s="20"/>
      <c r="EB12" s="20"/>
      <c r="EC12" s="20"/>
      <c r="ED12" s="20"/>
      <c r="EE12" s="20"/>
      <c r="EF12" s="20"/>
      <c r="EG12" s="20"/>
      <c r="EH12" s="20"/>
      <c r="EI12" s="20"/>
    </row>
    <row r="13" spans="1:139" ht="15.75" thickBot="1" x14ac:dyDescent="0.3">
      <c r="A13" s="20"/>
      <c r="B13" s="1" t="s">
        <v>39</v>
      </c>
      <c r="C13" s="459" t="s">
        <v>35</v>
      </c>
      <c r="D13" s="2">
        <f>D12</f>
        <v>93.4</v>
      </c>
      <c r="E13" s="3" t="s">
        <v>22</v>
      </c>
      <c r="F13" s="21"/>
      <c r="G13" s="20"/>
      <c r="H13" s="720" t="s">
        <v>426</v>
      </c>
      <c r="I13" s="721"/>
      <c r="J13" s="297" t="s">
        <v>409</v>
      </c>
      <c r="K13" s="315">
        <f>D3*D4</f>
        <v>536.37040686147782</v>
      </c>
      <c r="L13" s="298" t="s">
        <v>4</v>
      </c>
      <c r="M13" s="20"/>
      <c r="N13" s="713" t="s">
        <v>422</v>
      </c>
      <c r="O13" s="714"/>
      <c r="P13" s="301" t="s">
        <v>32</v>
      </c>
      <c r="Q13" s="434">
        <f>2492.9-2.0523*((Q8+Q9)/2)-0.0030752*((Q8+Q9)/2)^2</f>
        <v>2245.7755098976954</v>
      </c>
      <c r="R13" s="298" t="s">
        <v>33</v>
      </c>
      <c r="S13" s="125"/>
      <c r="T13" s="20"/>
      <c r="U13" s="20"/>
      <c r="W13" s="20"/>
      <c r="X13" s="20"/>
      <c r="Y13" s="20"/>
      <c r="Z13" s="364"/>
      <c r="AA13" s="364"/>
      <c r="AB13" s="364"/>
      <c r="AC13" s="364"/>
      <c r="AD13" s="364"/>
      <c r="AE13" s="22"/>
      <c r="AF13" s="521"/>
      <c r="AG13" s="524"/>
      <c r="AH13" s="20"/>
      <c r="AI13" s="20"/>
      <c r="AJ13" s="20"/>
      <c r="AK13" s="20"/>
      <c r="AL13" s="20"/>
      <c r="AM13" s="517"/>
      <c r="AN13" s="517"/>
      <c r="AO13" s="517"/>
      <c r="AP13" s="517"/>
      <c r="AQ13" s="517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  <c r="DR13" s="20"/>
      <c r="DS13" s="20"/>
      <c r="DT13" s="20"/>
      <c r="DU13" s="20"/>
      <c r="DV13" s="20"/>
      <c r="DW13" s="20"/>
      <c r="DX13" s="20"/>
      <c r="DY13" s="20"/>
      <c r="DZ13" s="20"/>
      <c r="EA13" s="20"/>
      <c r="EB13" s="20"/>
      <c r="EC13" s="20"/>
      <c r="ED13" s="20"/>
      <c r="EE13" s="20"/>
      <c r="EF13" s="20"/>
      <c r="EG13" s="20"/>
      <c r="EH13" s="20"/>
      <c r="EI13" s="20"/>
    </row>
    <row r="14" spans="1:139" ht="15.75" thickBot="1" x14ac:dyDescent="0.3">
      <c r="A14" s="20"/>
      <c r="B14" s="4" t="s">
        <v>45</v>
      </c>
      <c r="C14" s="459" t="s">
        <v>46</v>
      </c>
      <c r="D14" s="6">
        <v>0.52</v>
      </c>
      <c r="E14" s="7" t="s">
        <v>6</v>
      </c>
      <c r="F14" s="21"/>
      <c r="G14" s="20"/>
      <c r="H14" s="707" t="s">
        <v>427</v>
      </c>
      <c r="I14" s="708"/>
      <c r="J14" s="434" t="s">
        <v>37</v>
      </c>
      <c r="K14" s="313">
        <f>K3-K4</f>
        <v>583.33333333333348</v>
      </c>
      <c r="L14" s="298" t="s">
        <v>4</v>
      </c>
      <c r="M14" s="20"/>
      <c r="N14" s="715" t="s">
        <v>423</v>
      </c>
      <c r="O14" s="716"/>
      <c r="P14" s="302" t="s">
        <v>32</v>
      </c>
      <c r="Q14" s="436">
        <f>2492.9-2.0523*((Q9+Q10)/2)-0.0030752*((Q9+Q10)/2)^2</f>
        <v>2191.5511836295354</v>
      </c>
      <c r="R14" s="303" t="s">
        <v>33</v>
      </c>
      <c r="S14" s="22"/>
      <c r="T14" s="20"/>
      <c r="U14" s="20"/>
      <c r="W14" s="20"/>
      <c r="X14" s="20"/>
      <c r="Y14" s="20"/>
      <c r="Z14" s="364"/>
      <c r="AA14" s="364"/>
      <c r="AB14" s="364"/>
      <c r="AC14" s="364"/>
      <c r="AD14" s="364"/>
      <c r="AE14" s="22"/>
      <c r="AF14" s="22"/>
      <c r="AG14" s="22"/>
      <c r="AH14" s="22"/>
      <c r="AI14" s="22"/>
      <c r="AJ14" s="22"/>
      <c r="AK14" s="22"/>
      <c r="AL14" s="22"/>
      <c r="AM14" s="517"/>
      <c r="AN14" s="517"/>
      <c r="AO14" s="517"/>
      <c r="AP14" s="517"/>
      <c r="AQ14" s="517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</row>
    <row r="15" spans="1:139" ht="15.75" thickBot="1" x14ac:dyDescent="0.3">
      <c r="A15" s="20"/>
      <c r="B15" s="4" t="s">
        <v>49</v>
      </c>
      <c r="C15" s="11" t="s">
        <v>50</v>
      </c>
      <c r="D15" s="12">
        <v>1.8</v>
      </c>
      <c r="E15" s="7"/>
      <c r="F15" s="21"/>
      <c r="G15" s="20"/>
      <c r="H15" s="743" t="s">
        <v>428</v>
      </c>
      <c r="I15" s="744"/>
      <c r="J15" s="437" t="s">
        <v>408</v>
      </c>
      <c r="K15" s="314">
        <f>K14*((100%-D20)/(100%-D14))</f>
        <v>559.63541666666686</v>
      </c>
      <c r="L15" s="303" t="s">
        <v>4</v>
      </c>
      <c r="M15" s="20"/>
      <c r="N15" s="696" t="s">
        <v>406</v>
      </c>
      <c r="O15" s="697"/>
      <c r="P15" s="697"/>
      <c r="Q15" s="697"/>
      <c r="R15" s="698"/>
      <c r="S15" s="22"/>
      <c r="T15" s="20"/>
      <c r="U15" s="20"/>
      <c r="W15" s="20"/>
      <c r="X15" s="20"/>
      <c r="Y15" s="20"/>
      <c r="Z15" s="364"/>
      <c r="AA15" s="364"/>
      <c r="AB15" s="364"/>
      <c r="AC15" s="364"/>
      <c r="AD15" s="364"/>
      <c r="AE15" s="22"/>
      <c r="AF15" s="22"/>
      <c r="AG15" s="22"/>
      <c r="AH15" s="22"/>
      <c r="AI15" s="22"/>
      <c r="AJ15" s="22"/>
      <c r="AK15" s="22"/>
      <c r="AL15" s="22"/>
      <c r="AM15" s="517"/>
      <c r="AN15" s="517"/>
      <c r="AO15" s="517"/>
      <c r="AP15" s="517"/>
      <c r="AQ15" s="517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20"/>
      <c r="DT15" s="20"/>
      <c r="DU15" s="20"/>
      <c r="DV15" s="20"/>
      <c r="DW15" s="20"/>
      <c r="DX15" s="20"/>
      <c r="DY15" s="20"/>
      <c r="DZ15" s="20"/>
      <c r="EA15" s="20"/>
      <c r="EB15" s="20"/>
      <c r="EC15" s="20"/>
      <c r="ED15" s="20"/>
      <c r="EE15" s="20"/>
      <c r="EF15" s="20"/>
      <c r="EG15" s="20"/>
      <c r="EH15" s="20"/>
      <c r="EI15" s="20"/>
    </row>
    <row r="16" spans="1:139" ht="15.75" thickBot="1" x14ac:dyDescent="0.3">
      <c r="A16" s="20"/>
      <c r="B16" s="1" t="s">
        <v>53</v>
      </c>
      <c r="C16" s="2" t="s">
        <v>54</v>
      </c>
      <c r="D16" s="13">
        <v>0.6</v>
      </c>
      <c r="E16" s="3" t="s">
        <v>6</v>
      </c>
      <c r="F16" s="21"/>
      <c r="G16" s="20"/>
      <c r="H16" s="24"/>
      <c r="I16" s="24"/>
      <c r="J16" s="24"/>
      <c r="K16" s="145"/>
      <c r="L16" s="145"/>
      <c r="M16" s="20"/>
      <c r="N16" s="713" t="s">
        <v>429</v>
      </c>
      <c r="O16" s="714"/>
      <c r="P16" s="434" t="s">
        <v>47</v>
      </c>
      <c r="Q16" s="434">
        <f>4.18*(1-0.006*D9)</f>
        <v>3.7536399999999999</v>
      </c>
      <c r="R16" s="298" t="s">
        <v>48</v>
      </c>
      <c r="S16" s="22"/>
      <c r="T16" s="364"/>
      <c r="U16" s="20"/>
      <c r="W16" s="20"/>
      <c r="X16" s="20"/>
      <c r="Y16" s="20"/>
      <c r="Z16" s="364"/>
      <c r="AA16" s="364"/>
      <c r="AB16" s="364"/>
      <c r="AC16" s="364"/>
      <c r="AD16" s="364"/>
      <c r="AE16" s="22"/>
      <c r="AF16" s="22"/>
      <c r="AG16" s="22"/>
      <c r="AH16" s="22"/>
      <c r="AI16" s="22"/>
      <c r="AJ16" s="22">
        <f>Q102^(1/3)</f>
        <v>1.5339763262461616</v>
      </c>
      <c r="AK16" s="22"/>
      <c r="AL16" s="22"/>
      <c r="AM16" s="517"/>
      <c r="AN16" s="517"/>
      <c r="AO16" s="517"/>
      <c r="AP16" s="517"/>
      <c r="AQ16" s="517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</row>
    <row r="17" spans="1:139" ht="15.75" thickBot="1" x14ac:dyDescent="0.3">
      <c r="A17" s="20"/>
      <c r="B17" s="1" t="s">
        <v>56</v>
      </c>
      <c r="C17" s="2" t="s">
        <v>57</v>
      </c>
      <c r="D17" s="13">
        <v>0.14000000000000001</v>
      </c>
      <c r="E17" s="3" t="s">
        <v>6</v>
      </c>
      <c r="F17" s="21"/>
      <c r="G17" s="20"/>
      <c r="H17" s="717" t="s">
        <v>417</v>
      </c>
      <c r="I17" s="718"/>
      <c r="J17" s="718"/>
      <c r="K17" s="718"/>
      <c r="L17" s="719"/>
      <c r="M17" s="20"/>
      <c r="N17" s="713" t="s">
        <v>430</v>
      </c>
      <c r="O17" s="714"/>
      <c r="P17" s="434" t="s">
        <v>47</v>
      </c>
      <c r="Q17" s="434">
        <f>4.18*(1-0.006*D10)</f>
        <v>3.6282399999999999</v>
      </c>
      <c r="R17" s="298" t="s">
        <v>48</v>
      </c>
      <c r="S17" s="21"/>
      <c r="T17" s="20"/>
      <c r="U17" s="20"/>
      <c r="W17" s="20"/>
      <c r="X17" s="20"/>
      <c r="Y17" s="20"/>
      <c r="Z17" s="20"/>
      <c r="AA17" s="20"/>
      <c r="AB17" s="20"/>
      <c r="AC17" s="364"/>
      <c r="AD17" s="364"/>
      <c r="AE17" s="22"/>
      <c r="AF17" s="22"/>
      <c r="AG17" s="22"/>
      <c r="AH17" s="22"/>
      <c r="AI17" s="22"/>
      <c r="AJ17" s="22"/>
      <c r="AK17" s="22"/>
      <c r="AL17" s="22"/>
      <c r="AM17" s="517"/>
      <c r="AN17" s="517"/>
      <c r="AO17" s="517"/>
      <c r="AP17" s="517"/>
      <c r="AQ17" s="517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</row>
    <row r="18" spans="1:139" ht="15.75" thickBot="1" x14ac:dyDescent="0.3">
      <c r="A18" s="20"/>
      <c r="B18" s="1" t="s">
        <v>59</v>
      </c>
      <c r="C18" s="2" t="s">
        <v>60</v>
      </c>
      <c r="D18" s="2">
        <v>1062</v>
      </c>
      <c r="E18" s="3" t="s">
        <v>61</v>
      </c>
      <c r="F18" s="21"/>
      <c r="G18" s="20"/>
      <c r="H18" s="709" t="s">
        <v>407</v>
      </c>
      <c r="I18" s="710"/>
      <c r="J18" s="438" t="s">
        <v>62</v>
      </c>
      <c r="K18" s="438">
        <f>(K10*Q16*(Q8-D19)+(K10-K11)*Q12)/3600</f>
        <v>86.252236380310308</v>
      </c>
      <c r="L18" s="300" t="s">
        <v>19</v>
      </c>
      <c r="M18" s="20"/>
      <c r="N18" s="715" t="s">
        <v>431</v>
      </c>
      <c r="O18" s="716"/>
      <c r="P18" s="436" t="s">
        <v>47</v>
      </c>
      <c r="Q18" s="436">
        <f>4.18*(1-0.006*D11)</f>
        <v>2.2989999999999999</v>
      </c>
      <c r="R18" s="303" t="s">
        <v>48</v>
      </c>
      <c r="S18" s="125"/>
      <c r="T18" s="20"/>
      <c r="U18" s="20"/>
      <c r="W18" s="20"/>
      <c r="X18" s="20"/>
      <c r="Y18" s="20"/>
      <c r="Z18" s="20"/>
      <c r="AA18" s="20"/>
      <c r="AB18" s="20"/>
      <c r="AC18" s="364"/>
      <c r="AD18" s="364"/>
      <c r="AE18" s="22"/>
      <c r="AF18" s="22"/>
      <c r="AG18" s="22"/>
      <c r="AH18" s="22"/>
      <c r="AI18" s="22"/>
      <c r="AJ18" s="22"/>
      <c r="AK18" s="22"/>
      <c r="AL18" s="22"/>
      <c r="AM18" s="517"/>
      <c r="AN18" s="517"/>
      <c r="AO18" s="517"/>
      <c r="AP18" s="517"/>
      <c r="AQ18" s="517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0"/>
      <c r="CR18" s="20"/>
      <c r="CS18" s="20"/>
      <c r="CT18" s="20"/>
      <c r="CU18" s="20"/>
      <c r="CV18" s="20"/>
      <c r="CW18" s="20"/>
      <c r="CX18" s="20"/>
      <c r="CY18" s="20"/>
      <c r="CZ18" s="20"/>
      <c r="DA18" s="20"/>
      <c r="DB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20"/>
      <c r="EI18" s="20"/>
    </row>
    <row r="19" spans="1:139" ht="15.75" thickBot="1" x14ac:dyDescent="0.3">
      <c r="A19" s="20"/>
      <c r="B19" s="14" t="s">
        <v>63</v>
      </c>
      <c r="C19" s="15" t="s">
        <v>64</v>
      </c>
      <c r="D19" s="15">
        <v>25</v>
      </c>
      <c r="E19" s="16" t="s">
        <v>13</v>
      </c>
      <c r="F19" s="21"/>
      <c r="G19" s="20"/>
      <c r="H19" s="713" t="s">
        <v>410</v>
      </c>
      <c r="I19" s="714"/>
      <c r="J19" s="434" t="s">
        <v>65</v>
      </c>
      <c r="K19" s="434">
        <f>(K11*Q17*(Q9-Q8)+(K11-K12)*Q13)/3600</f>
        <v>374.22300070710531</v>
      </c>
      <c r="L19" s="298" t="s">
        <v>19</v>
      </c>
      <c r="M19" s="20"/>
      <c r="N19" s="145"/>
      <c r="O19" s="24"/>
      <c r="P19" s="24"/>
      <c r="Q19" s="24"/>
      <c r="R19" s="24"/>
      <c r="S19" s="125"/>
      <c r="T19" s="20"/>
      <c r="U19" s="20"/>
      <c r="W19" s="20"/>
      <c r="X19" s="20"/>
      <c r="Y19" s="20"/>
      <c r="Z19" s="20"/>
      <c r="AA19" s="20"/>
      <c r="AB19" s="20"/>
      <c r="AC19" s="517"/>
      <c r="AD19" s="517"/>
      <c r="AE19" s="517"/>
      <c r="AF19" s="517"/>
      <c r="AG19" s="517"/>
      <c r="AH19" s="517"/>
      <c r="AI19" s="517"/>
      <c r="AJ19" s="517"/>
      <c r="AK19" s="517"/>
      <c r="AL19" s="517"/>
      <c r="AM19" s="517"/>
      <c r="AN19" s="517"/>
      <c r="AO19" s="517"/>
      <c r="AP19" s="517"/>
      <c r="AQ19" s="517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0"/>
      <c r="CD19" s="20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20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20"/>
      <c r="EI19" s="20"/>
    </row>
    <row r="20" spans="1:139" x14ac:dyDescent="0.25">
      <c r="A20" s="20"/>
      <c r="B20" s="304" t="s">
        <v>66</v>
      </c>
      <c r="C20" s="305" t="s">
        <v>67</v>
      </c>
      <c r="D20" s="306">
        <f>((K4-K4*(D16+D17))-(K4-K4*(D16+D17))*(D9/100))/(K4*(1-D16))</f>
        <v>0.53949999999999998</v>
      </c>
      <c r="E20" s="307" t="s">
        <v>6</v>
      </c>
      <c r="F20" s="21"/>
      <c r="G20" s="20"/>
      <c r="H20" s="713" t="s">
        <v>411</v>
      </c>
      <c r="I20" s="714"/>
      <c r="J20" s="434" t="s">
        <v>68</v>
      </c>
      <c r="K20" s="434">
        <f>(K12*Q18*(Q10-Q9)+(K12-D3)*Q14)/3600</f>
        <v>59.755097324319777</v>
      </c>
      <c r="L20" s="298" t="s">
        <v>19</v>
      </c>
      <c r="M20" s="20"/>
      <c r="N20" s="704" t="s">
        <v>7</v>
      </c>
      <c r="O20" s="705"/>
      <c r="P20" s="433" t="s">
        <v>8</v>
      </c>
      <c r="Q20" s="433">
        <f>17.85-20.35*D14</f>
        <v>7.2680000000000007</v>
      </c>
      <c r="R20" s="450" t="s">
        <v>9</v>
      </c>
      <c r="S20" s="21"/>
      <c r="T20" s="20"/>
      <c r="U20" s="20"/>
      <c r="W20" s="20"/>
      <c r="X20" s="20"/>
      <c r="Y20" s="20"/>
      <c r="Z20" s="20"/>
      <c r="AA20" s="20"/>
      <c r="AB20" s="20"/>
      <c r="AC20" s="517"/>
      <c r="AD20" s="517"/>
      <c r="AE20" s="517"/>
      <c r="AF20" s="517"/>
      <c r="AG20" s="517"/>
      <c r="AH20" s="517"/>
      <c r="AI20" s="517"/>
      <c r="AJ20" s="517"/>
      <c r="AK20" s="517"/>
      <c r="AL20" s="517"/>
      <c r="AM20" s="517"/>
      <c r="AN20" s="517"/>
      <c r="AO20" s="517"/>
      <c r="AP20" s="517"/>
      <c r="AQ20" s="517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</row>
    <row r="21" spans="1:139" x14ac:dyDescent="0.25">
      <c r="A21" s="20"/>
      <c r="B21" s="304" t="s">
        <v>70</v>
      </c>
      <c r="C21" s="305" t="s">
        <v>71</v>
      </c>
      <c r="D21" s="308">
        <f>760*EXP(-0.0001158*D18)</f>
        <v>672.05409330988732</v>
      </c>
      <c r="E21" s="307" t="s">
        <v>72</v>
      </c>
      <c r="F21" s="21"/>
      <c r="G21" s="20"/>
      <c r="H21" s="713" t="s">
        <v>412</v>
      </c>
      <c r="I21" s="714"/>
      <c r="J21" s="434" t="s">
        <v>69</v>
      </c>
      <c r="K21" s="434">
        <f>SUM(K18:K20)</f>
        <v>520.23033441173538</v>
      </c>
      <c r="L21" s="298" t="s">
        <v>19</v>
      </c>
      <c r="M21" s="20"/>
      <c r="N21" s="741" t="s">
        <v>17</v>
      </c>
      <c r="O21" s="742"/>
      <c r="P21" s="435" t="s">
        <v>18</v>
      </c>
      <c r="Q21" s="435">
        <f>(D4*D3)*Q20/3.6</f>
        <v>1082.8722547414502</v>
      </c>
      <c r="R21" s="316" t="s">
        <v>19</v>
      </c>
      <c r="S21" s="21"/>
      <c r="T21" s="20"/>
      <c r="U21" s="20"/>
      <c r="W21" s="20"/>
      <c r="X21" s="20"/>
      <c r="Y21" s="20"/>
      <c r="Z21" s="20"/>
      <c r="AA21" s="20"/>
      <c r="AB21" s="20"/>
      <c r="AC21" s="517"/>
      <c r="AD21" s="517"/>
      <c r="AE21" s="517"/>
      <c r="AF21" s="517"/>
      <c r="AG21" s="517"/>
      <c r="AH21" s="517"/>
      <c r="AI21" s="517"/>
      <c r="AJ21" s="517"/>
      <c r="AK21" s="517"/>
      <c r="AL21" s="517"/>
      <c r="AM21" s="517"/>
      <c r="AN21" s="517"/>
      <c r="AO21" s="517"/>
      <c r="AP21" s="517"/>
      <c r="AQ21" s="517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0"/>
      <c r="CD21" s="20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0"/>
      <c r="CR21" s="20"/>
      <c r="CS21" s="20"/>
      <c r="CT21" s="20"/>
      <c r="CU21" s="20"/>
      <c r="CV21" s="20"/>
      <c r="CW21" s="20"/>
      <c r="CX21" s="20"/>
      <c r="CY21" s="20"/>
      <c r="CZ21" s="20"/>
      <c r="DA21" s="20"/>
      <c r="DB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20"/>
      <c r="EG21" s="20"/>
      <c r="EH21" s="20"/>
      <c r="EI21" s="20"/>
    </row>
    <row r="22" spans="1:139" ht="15.75" thickBot="1" x14ac:dyDescent="0.3">
      <c r="A22" s="20"/>
      <c r="B22" s="309" t="s">
        <v>73</v>
      </c>
      <c r="C22" s="310" t="s">
        <v>74</v>
      </c>
      <c r="D22" s="310">
        <f>-227.03+3816.44/(18.3036-LN(7.5*(D21*133.3224/1000)))</f>
        <v>96.579679202909716</v>
      </c>
      <c r="E22" s="311" t="s">
        <v>13</v>
      </c>
      <c r="F22" s="21"/>
      <c r="G22" s="20"/>
      <c r="H22" s="715" t="s">
        <v>413</v>
      </c>
      <c r="I22" s="716"/>
      <c r="J22" s="436" t="s">
        <v>69</v>
      </c>
      <c r="K22" s="436">
        <f>(K8*(Q10-D19)*Q16+K9*((Q12+Q14)/2))/3600</f>
        <v>533.91364024770689</v>
      </c>
      <c r="L22" s="303" t="s">
        <v>19</v>
      </c>
      <c r="M22" s="20"/>
      <c r="N22" s="739" t="s">
        <v>26</v>
      </c>
      <c r="O22" s="740"/>
      <c r="P22" s="437" t="s">
        <v>27</v>
      </c>
      <c r="Q22" s="437">
        <f>Q21/1000</f>
        <v>1.0828722547414502</v>
      </c>
      <c r="R22" s="317" t="s">
        <v>28</v>
      </c>
      <c r="S22" s="21"/>
      <c r="T22" s="20"/>
      <c r="U22" s="20"/>
      <c r="W22" s="20"/>
      <c r="X22" s="20"/>
      <c r="Y22" s="20"/>
      <c r="Z22" s="20"/>
      <c r="AA22" s="20"/>
      <c r="AB22" s="20"/>
      <c r="AC22" s="517"/>
      <c r="AD22" s="517"/>
      <c r="AE22" s="517"/>
      <c r="AF22" s="517"/>
      <c r="AG22" s="517"/>
      <c r="AH22" s="517"/>
      <c r="AI22" s="517"/>
      <c r="AJ22" s="517"/>
      <c r="AK22" s="517"/>
      <c r="AL22" s="517"/>
      <c r="AM22" s="517"/>
      <c r="AN22" s="517"/>
      <c r="AO22" s="517"/>
      <c r="AP22" s="517"/>
      <c r="AQ22" s="517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20"/>
      <c r="EH22" s="20"/>
      <c r="EI22" s="20"/>
    </row>
    <row r="23" spans="1:139" ht="15.75" thickBot="1" x14ac:dyDescent="0.3">
      <c r="A23" s="20"/>
      <c r="B23" s="293"/>
      <c r="C23" s="293"/>
      <c r="D23" s="293"/>
      <c r="E23" s="293"/>
      <c r="F23" s="21"/>
      <c r="G23" s="20"/>
      <c r="H23" s="20"/>
      <c r="I23" s="20"/>
      <c r="J23" s="43"/>
      <c r="K23" s="20"/>
      <c r="L23" s="22"/>
      <c r="M23" s="22"/>
      <c r="N23" s="22"/>
      <c r="O23" s="22"/>
      <c r="P23" s="22"/>
      <c r="R23" s="22"/>
      <c r="S23" s="22"/>
      <c r="T23" s="20"/>
      <c r="U23" s="20"/>
      <c r="W23" s="20"/>
      <c r="X23" s="20"/>
      <c r="Y23" s="20"/>
      <c r="Z23" s="20"/>
      <c r="AA23" s="20"/>
      <c r="AB23" s="20"/>
      <c r="AC23" s="517"/>
      <c r="AD23" s="517"/>
      <c r="AE23" s="517"/>
      <c r="AF23" s="517"/>
      <c r="AG23" s="517"/>
      <c r="AH23" s="517"/>
      <c r="AI23" s="517"/>
      <c r="AJ23" s="517"/>
      <c r="AK23" s="517"/>
      <c r="AL23" s="517"/>
      <c r="AM23" s="517"/>
      <c r="AN23" s="517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20"/>
      <c r="EG23" s="20"/>
      <c r="EH23" s="20"/>
      <c r="EI23" s="20"/>
    </row>
    <row r="24" spans="1:139" ht="15.75" thickBot="1" x14ac:dyDescent="0.3">
      <c r="A24" s="758" t="s">
        <v>565</v>
      </c>
      <c r="B24" s="759"/>
      <c r="C24" s="759"/>
      <c r="D24" s="759"/>
      <c r="E24" s="759"/>
      <c r="F24" s="759"/>
      <c r="G24" s="759"/>
      <c r="H24" s="759"/>
      <c r="I24" s="759"/>
      <c r="J24" s="759"/>
      <c r="K24" s="759"/>
      <c r="L24" s="759"/>
      <c r="M24" s="759"/>
      <c r="N24" s="759"/>
      <c r="O24" s="759"/>
      <c r="P24" s="759"/>
      <c r="Q24" s="759"/>
      <c r="R24" s="759"/>
      <c r="S24" s="759"/>
      <c r="T24" s="759"/>
      <c r="U24" s="760"/>
      <c r="W24" s="20"/>
      <c r="X24" s="20"/>
      <c r="Y24" s="20"/>
      <c r="Z24" s="20"/>
      <c r="AA24" s="20"/>
      <c r="AB24" s="20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20"/>
      <c r="EI24" s="20"/>
    </row>
    <row r="25" spans="1:139" ht="15.75" thickBot="1" x14ac:dyDescent="0.3">
      <c r="A25" s="124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W25" s="20"/>
      <c r="X25" s="20"/>
      <c r="Y25" s="20"/>
      <c r="Z25" s="20"/>
      <c r="AA25" s="20"/>
      <c r="AB25" s="20"/>
      <c r="AC25" s="517"/>
      <c r="AD25" s="517"/>
      <c r="AE25" s="517"/>
      <c r="AF25" s="517"/>
      <c r="AG25" s="517"/>
      <c r="AH25" s="517"/>
      <c r="AI25" s="517"/>
      <c r="AJ25" s="517"/>
      <c r="AK25" s="517"/>
      <c r="AL25" s="517"/>
      <c r="AM25" s="517"/>
      <c r="AN25" s="517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</row>
    <row r="26" spans="1:139" x14ac:dyDescent="0.25">
      <c r="A26" s="42"/>
      <c r="B26" s="79" t="s">
        <v>514</v>
      </c>
      <c r="C26" s="215" t="s">
        <v>513</v>
      </c>
      <c r="D26" s="201" t="s">
        <v>44</v>
      </c>
      <c r="E26" s="201">
        <v>1</v>
      </c>
      <c r="F26" s="201">
        <v>2</v>
      </c>
      <c r="G26" s="201">
        <v>3</v>
      </c>
      <c r="H26" s="201">
        <v>4</v>
      </c>
      <c r="I26" s="201">
        <v>5</v>
      </c>
      <c r="J26" s="201">
        <v>6</v>
      </c>
      <c r="K26" s="469">
        <v>7</v>
      </c>
      <c r="L26" s="42"/>
      <c r="M26" s="42"/>
      <c r="N26" s="20"/>
      <c r="O26" s="20"/>
      <c r="P26" s="20"/>
      <c r="Q26" s="42"/>
      <c r="R26" s="42"/>
      <c r="S26" s="42"/>
      <c r="T26" s="42"/>
      <c r="U26" s="42"/>
      <c r="W26" s="20"/>
      <c r="X26" s="20"/>
      <c r="Y26" s="20"/>
      <c r="Z26" s="20"/>
      <c r="AA26" s="20"/>
      <c r="AB26" s="20"/>
      <c r="AC26" s="517"/>
      <c r="AD26" s="517"/>
      <c r="AE26" s="517"/>
      <c r="AF26" s="517"/>
      <c r="AG26" s="517"/>
      <c r="AH26" s="517"/>
      <c r="AI26" s="517"/>
      <c r="AJ26" s="517"/>
      <c r="AK26" s="517"/>
      <c r="AL26" s="517"/>
      <c r="AM26" s="517"/>
      <c r="AN26" s="517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</row>
    <row r="27" spans="1:139" ht="15.75" thickBot="1" x14ac:dyDescent="0.3">
      <c r="A27" s="42"/>
      <c r="B27" s="420" t="s">
        <v>83</v>
      </c>
      <c r="C27" s="418" t="s">
        <v>512</v>
      </c>
      <c r="D27" s="216" t="s">
        <v>44</v>
      </c>
      <c r="E27" s="470" t="s">
        <v>511</v>
      </c>
      <c r="F27" s="470" t="s">
        <v>510</v>
      </c>
      <c r="G27" s="470" t="s">
        <v>510</v>
      </c>
      <c r="H27" s="470" t="s">
        <v>510</v>
      </c>
      <c r="I27" s="470" t="s">
        <v>43</v>
      </c>
      <c r="J27" s="470" t="s">
        <v>43</v>
      </c>
      <c r="K27" s="471" t="s">
        <v>43</v>
      </c>
      <c r="L27" s="42"/>
      <c r="M27" s="20"/>
      <c r="N27" s="20"/>
      <c r="O27" s="20"/>
      <c r="P27" s="20"/>
      <c r="Q27" s="42"/>
      <c r="R27" s="42"/>
      <c r="S27" s="42"/>
      <c r="T27" s="42"/>
      <c r="U27" s="42"/>
      <c r="W27" s="20"/>
      <c r="X27" s="20"/>
      <c r="Y27" s="20"/>
      <c r="Z27" s="20"/>
      <c r="AA27" s="20"/>
      <c r="AB27" s="20"/>
      <c r="AC27" s="517"/>
      <c r="AD27" s="517"/>
      <c r="AE27" s="517"/>
      <c r="AF27" s="517"/>
      <c r="AG27" s="517"/>
      <c r="AH27" s="517"/>
      <c r="AI27" s="517"/>
      <c r="AJ27" s="517"/>
      <c r="AK27" s="517"/>
      <c r="AL27" s="517"/>
      <c r="AM27" s="517"/>
      <c r="AN27" s="517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</row>
    <row r="28" spans="1:139" ht="15" customHeight="1" x14ac:dyDescent="0.25">
      <c r="A28" s="42"/>
      <c r="B28" s="80" t="s">
        <v>123</v>
      </c>
      <c r="C28" s="81" t="s">
        <v>124</v>
      </c>
      <c r="D28" s="81" t="s">
        <v>44</v>
      </c>
      <c r="E28" s="81">
        <v>3</v>
      </c>
      <c r="F28" s="449">
        <v>4</v>
      </c>
      <c r="G28" s="81">
        <v>5</v>
      </c>
      <c r="H28" s="81">
        <v>5</v>
      </c>
      <c r="I28" s="81">
        <v>2</v>
      </c>
      <c r="J28" s="217">
        <v>1</v>
      </c>
      <c r="K28" s="396" t="s">
        <v>193</v>
      </c>
      <c r="L28" s="42"/>
      <c r="M28" s="20"/>
      <c r="N28" s="761" t="s">
        <v>568</v>
      </c>
      <c r="O28" s="762"/>
      <c r="P28" s="762"/>
      <c r="Q28" s="762"/>
      <c r="R28" s="763"/>
      <c r="S28" s="42"/>
      <c r="T28" s="42"/>
      <c r="U28" s="42"/>
      <c r="W28" s="20"/>
      <c r="X28" s="20"/>
      <c r="Y28" s="20"/>
      <c r="Z28" s="20"/>
      <c r="AA28" s="20"/>
      <c r="AB28" s="20"/>
      <c r="AC28" s="517"/>
      <c r="AD28" s="517"/>
      <c r="AE28" s="517"/>
      <c r="AF28" s="517"/>
      <c r="AG28" s="517"/>
      <c r="AH28" s="517"/>
      <c r="AI28" s="517"/>
      <c r="AJ28" s="517"/>
      <c r="AK28" s="517"/>
      <c r="AL28" s="517"/>
      <c r="AM28" s="517"/>
      <c r="AN28" s="517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</row>
    <row r="29" spans="1:139" ht="15.75" customHeight="1" thickBot="1" x14ac:dyDescent="0.3">
      <c r="A29" s="42"/>
      <c r="B29" s="394" t="s">
        <v>125</v>
      </c>
      <c r="C29" s="393" t="s">
        <v>140</v>
      </c>
      <c r="D29" s="393" t="s">
        <v>126</v>
      </c>
      <c r="E29" s="391">
        <f>+I30</f>
        <v>40</v>
      </c>
      <c r="F29" s="392">
        <f>+E30</f>
        <v>55</v>
      </c>
      <c r="G29" s="391">
        <f>+F30</f>
        <v>65</v>
      </c>
      <c r="H29" s="391">
        <f>+G29</f>
        <v>65</v>
      </c>
      <c r="I29" s="391">
        <f>+J30</f>
        <v>22</v>
      </c>
      <c r="J29" s="390">
        <f>+D9</f>
        <v>17</v>
      </c>
      <c r="K29" s="395">
        <f>+J29</f>
        <v>17</v>
      </c>
      <c r="L29" s="42"/>
      <c r="M29" s="20"/>
      <c r="N29" s="764"/>
      <c r="O29" s="765"/>
      <c r="P29" s="765"/>
      <c r="Q29" s="765"/>
      <c r="R29" s="766"/>
      <c r="S29" s="42"/>
      <c r="T29" s="42"/>
      <c r="U29" s="42"/>
      <c r="W29" s="20"/>
      <c r="X29" s="20"/>
      <c r="Y29" s="20"/>
      <c r="Z29" s="20"/>
      <c r="AA29" s="20"/>
      <c r="AB29" s="20"/>
      <c r="AC29" s="517"/>
      <c r="AD29" s="517"/>
      <c r="AE29" s="517"/>
      <c r="AF29" s="517"/>
      <c r="AG29" s="517"/>
      <c r="AH29" s="517"/>
      <c r="AI29" s="517"/>
      <c r="AJ29" s="517"/>
      <c r="AK29" s="517"/>
      <c r="AL29" s="517"/>
      <c r="AM29" s="517"/>
      <c r="AN29" s="517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</row>
    <row r="30" spans="1:139" ht="15.75" customHeight="1" x14ac:dyDescent="0.25">
      <c r="A30" s="42"/>
      <c r="B30" s="394" t="s">
        <v>127</v>
      </c>
      <c r="C30" s="393" t="s">
        <v>141</v>
      </c>
      <c r="D30" s="393" t="s">
        <v>126</v>
      </c>
      <c r="E30" s="391">
        <v>55</v>
      </c>
      <c r="F30" s="392">
        <v>65</v>
      </c>
      <c r="G30" s="391">
        <f>+D12</f>
        <v>93.4</v>
      </c>
      <c r="H30" s="391">
        <f>+G30</f>
        <v>93.4</v>
      </c>
      <c r="I30" s="391">
        <v>40</v>
      </c>
      <c r="J30" s="390">
        <f>+D10</f>
        <v>22</v>
      </c>
      <c r="K30" s="465">
        <f>+G29</f>
        <v>65</v>
      </c>
      <c r="L30" s="42"/>
      <c r="M30" s="20"/>
      <c r="N30" s="767" t="s">
        <v>567</v>
      </c>
      <c r="O30" s="768"/>
      <c r="P30" s="768"/>
      <c r="Q30" s="768"/>
      <c r="R30" s="769"/>
      <c r="S30" s="42"/>
      <c r="T30" s="42"/>
      <c r="U30" s="42"/>
      <c r="W30" s="20"/>
      <c r="X30" s="20"/>
      <c r="Y30" s="20"/>
      <c r="Z30" s="20"/>
      <c r="AA30" s="20"/>
      <c r="AB30" s="20"/>
      <c r="AC30" s="517"/>
      <c r="AD30" s="517"/>
      <c r="AE30" s="517"/>
      <c r="AF30" s="517"/>
      <c r="AG30" s="517"/>
      <c r="AH30" s="517"/>
      <c r="AI30" s="517"/>
      <c r="AJ30" s="517"/>
      <c r="AK30" s="517"/>
      <c r="AL30" s="517"/>
      <c r="AM30" s="517"/>
      <c r="AN30" s="517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</row>
    <row r="31" spans="1:139" x14ac:dyDescent="0.25">
      <c r="A31" s="42"/>
      <c r="B31" s="448" t="s">
        <v>128</v>
      </c>
      <c r="C31" s="81" t="s">
        <v>142</v>
      </c>
      <c r="D31" s="81" t="s">
        <v>126</v>
      </c>
      <c r="E31" s="81">
        <f t="shared" ref="E31:K31" si="2">(E29+E30)/2</f>
        <v>47.5</v>
      </c>
      <c r="F31" s="449">
        <f t="shared" si="2"/>
        <v>60</v>
      </c>
      <c r="G31" s="81">
        <f t="shared" si="2"/>
        <v>79.2</v>
      </c>
      <c r="H31" s="81">
        <f t="shared" si="2"/>
        <v>79.2</v>
      </c>
      <c r="I31" s="81">
        <f t="shared" si="2"/>
        <v>31</v>
      </c>
      <c r="J31" s="81">
        <f t="shared" si="2"/>
        <v>19.5</v>
      </c>
      <c r="K31" s="82">
        <f t="shared" si="2"/>
        <v>41</v>
      </c>
      <c r="L31" s="42"/>
      <c r="M31" s="20"/>
      <c r="N31" s="770"/>
      <c r="O31" s="771"/>
      <c r="P31" s="771"/>
      <c r="Q31" s="771"/>
      <c r="R31" s="772"/>
      <c r="S31" s="42"/>
      <c r="T31" s="42"/>
      <c r="U31" s="42"/>
      <c r="W31" s="20"/>
      <c r="X31" s="20"/>
      <c r="Y31" s="20"/>
      <c r="Z31" s="20"/>
      <c r="AA31" s="20"/>
      <c r="AB31" s="20"/>
      <c r="AC31" s="517"/>
      <c r="AD31" s="517"/>
      <c r="AE31" s="517"/>
      <c r="AF31" s="517"/>
      <c r="AG31" s="517"/>
      <c r="AH31" s="517"/>
      <c r="AI31" s="517"/>
      <c r="AJ31" s="517"/>
      <c r="AK31" s="517"/>
      <c r="AL31" s="517"/>
      <c r="AM31" s="517"/>
      <c r="AN31" s="517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</row>
    <row r="32" spans="1:139" ht="15.75" thickBot="1" x14ac:dyDescent="0.3">
      <c r="A32" s="42"/>
      <c r="B32" s="80" t="s">
        <v>322</v>
      </c>
      <c r="C32" s="81" t="s">
        <v>129</v>
      </c>
      <c r="D32" s="81" t="s">
        <v>38</v>
      </c>
      <c r="E32" s="81">
        <f>+I32*I29/I30</f>
        <v>349.86</v>
      </c>
      <c r="F32" s="386">
        <f>+(E32*E29)/E30</f>
        <v>254.44363636363639</v>
      </c>
      <c r="G32" s="386">
        <f>+(F32/2*F29)/F30</f>
        <v>107.64923076923078</v>
      </c>
      <c r="H32" s="386">
        <f>+(F32/2*F29)/F30</f>
        <v>107.64923076923078</v>
      </c>
      <c r="I32" s="83">
        <f>+(J32-K32)*J29/J30</f>
        <v>636.10909090909092</v>
      </c>
      <c r="J32" s="83">
        <f>+K6</f>
        <v>857.5</v>
      </c>
      <c r="K32" s="84">
        <f>+K7</f>
        <v>34.300000000000004</v>
      </c>
      <c r="L32" s="42"/>
      <c r="M32" s="42"/>
      <c r="N32" s="773"/>
      <c r="O32" s="774"/>
      <c r="P32" s="774"/>
      <c r="Q32" s="774"/>
      <c r="R32" s="775"/>
      <c r="S32" s="42"/>
      <c r="T32" s="42"/>
      <c r="U32" s="42"/>
      <c r="W32" s="20"/>
      <c r="X32" s="20"/>
      <c r="Y32" s="20"/>
      <c r="Z32" s="20"/>
      <c r="AA32" s="20"/>
      <c r="AB32" s="20"/>
      <c r="AC32" s="517"/>
      <c r="AD32" s="517"/>
      <c r="AE32" s="517"/>
      <c r="AF32" s="517"/>
      <c r="AG32" s="517"/>
      <c r="AH32" s="517"/>
      <c r="AI32" s="517"/>
      <c r="AJ32" s="517"/>
      <c r="AK32" s="517"/>
      <c r="AL32" s="517"/>
      <c r="AM32" s="517"/>
      <c r="AN32" s="517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</row>
    <row r="33" spans="1:139" x14ac:dyDescent="0.25">
      <c r="A33" s="42"/>
      <c r="B33" s="80" t="s">
        <v>130</v>
      </c>
      <c r="C33" s="81" t="s">
        <v>131</v>
      </c>
      <c r="D33" s="81" t="s">
        <v>48</v>
      </c>
      <c r="E33" s="179">
        <f t="shared" ref="E33:K33" si="3">4.18*(1-0.006*E31)</f>
        <v>2.9886999999999997</v>
      </c>
      <c r="F33" s="386">
        <f t="shared" si="3"/>
        <v>2.6751999999999998</v>
      </c>
      <c r="G33" s="179">
        <f t="shared" si="3"/>
        <v>2.1936639999999996</v>
      </c>
      <c r="H33" s="179">
        <f t="shared" si="3"/>
        <v>2.1936639999999996</v>
      </c>
      <c r="I33" s="179">
        <f t="shared" si="3"/>
        <v>3.40252</v>
      </c>
      <c r="J33" s="179">
        <f t="shared" si="3"/>
        <v>3.6909399999999999</v>
      </c>
      <c r="K33" s="180">
        <f t="shared" si="3"/>
        <v>3.1517199999999996</v>
      </c>
      <c r="L33" s="42"/>
      <c r="M33" s="42"/>
      <c r="N33" s="20"/>
      <c r="O33" s="20"/>
      <c r="P33" s="20"/>
      <c r="Q33" s="42"/>
      <c r="R33" s="42"/>
      <c r="S33" s="42"/>
      <c r="T33" s="42"/>
      <c r="U33" s="42"/>
      <c r="W33" s="20"/>
      <c r="X33" s="20"/>
      <c r="Y33" s="20"/>
      <c r="Z33" s="20"/>
      <c r="AA33" s="20"/>
      <c r="AB33" s="20"/>
      <c r="AC33" s="517"/>
      <c r="AD33" s="517"/>
      <c r="AE33" s="517"/>
      <c r="AF33" s="517"/>
      <c r="AG33" s="517"/>
      <c r="AH33" s="517"/>
      <c r="AI33" s="517"/>
      <c r="AJ33" s="517"/>
      <c r="AK33" s="517"/>
      <c r="AL33" s="517"/>
      <c r="AM33" s="517"/>
      <c r="AN33" s="517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</row>
    <row r="34" spans="1:139" x14ac:dyDescent="0.25">
      <c r="A34" s="42"/>
      <c r="B34" s="80" t="s">
        <v>508</v>
      </c>
      <c r="C34" s="385" t="s">
        <v>507</v>
      </c>
      <c r="D34" s="376" t="s">
        <v>52</v>
      </c>
      <c r="E34" s="194">
        <f t="shared" ref="E34:K34" si="4">997.39+4.46*E31</f>
        <v>1209.24</v>
      </c>
      <c r="F34" s="194">
        <f t="shared" si="4"/>
        <v>1264.99</v>
      </c>
      <c r="G34" s="194">
        <f t="shared" si="4"/>
        <v>1350.6220000000001</v>
      </c>
      <c r="H34" s="194">
        <f t="shared" si="4"/>
        <v>1350.6220000000001</v>
      </c>
      <c r="I34" s="194">
        <f t="shared" si="4"/>
        <v>1135.6500000000001</v>
      </c>
      <c r="J34" s="194">
        <f t="shared" si="4"/>
        <v>1084.3599999999999</v>
      </c>
      <c r="K34" s="384">
        <f t="shared" si="4"/>
        <v>1180.25</v>
      </c>
      <c r="L34" s="42"/>
      <c r="M34" s="42"/>
      <c r="N34" s="20"/>
      <c r="O34" s="20"/>
      <c r="P34" s="20"/>
      <c r="Q34" s="42"/>
      <c r="R34" s="42"/>
      <c r="S34" s="42"/>
      <c r="T34" s="42"/>
      <c r="U34" s="42"/>
      <c r="W34" s="20"/>
      <c r="X34" s="20"/>
      <c r="Y34" s="20"/>
      <c r="Z34" s="296"/>
      <c r="AA34" s="20"/>
      <c r="AB34" s="20"/>
      <c r="AC34" s="517"/>
      <c r="AD34" s="517"/>
      <c r="AE34" s="517"/>
      <c r="AF34" s="517"/>
      <c r="AG34" s="517"/>
      <c r="AH34" s="517"/>
      <c r="AI34" s="517"/>
      <c r="AJ34" s="517"/>
      <c r="AK34" s="517"/>
      <c r="AL34" s="517"/>
      <c r="AM34" s="517"/>
      <c r="AN34" s="517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</row>
    <row r="35" spans="1:139" ht="15.75" thickBot="1" x14ac:dyDescent="0.3">
      <c r="A35" s="42"/>
      <c r="B35" s="383" t="s">
        <v>457</v>
      </c>
      <c r="C35" s="382" t="s">
        <v>506</v>
      </c>
      <c r="D35" s="382" t="s">
        <v>505</v>
      </c>
      <c r="E35" s="192">
        <f t="shared" ref="E35:K35" si="5">+E32/E34</f>
        <v>0.28932221891435944</v>
      </c>
      <c r="F35" s="192">
        <f t="shared" si="5"/>
        <v>0.20114280457840489</v>
      </c>
      <c r="G35" s="192">
        <f t="shared" si="5"/>
        <v>7.9703448314354997E-2</v>
      </c>
      <c r="H35" s="192">
        <f t="shared" si="5"/>
        <v>7.9703448314354997E-2</v>
      </c>
      <c r="I35" s="192">
        <f t="shared" si="5"/>
        <v>0.56012776023342659</v>
      </c>
      <c r="J35" s="192">
        <f t="shared" si="5"/>
        <v>0.79078903685123025</v>
      </c>
      <c r="K35" s="193">
        <f t="shared" si="5"/>
        <v>2.9061639483160352E-2</v>
      </c>
      <c r="L35" s="42"/>
      <c r="M35" s="42"/>
      <c r="N35" s="20"/>
      <c r="O35" s="20"/>
      <c r="P35" s="20"/>
      <c r="Q35" s="42"/>
      <c r="R35" s="42"/>
      <c r="S35" s="42"/>
      <c r="T35" s="42"/>
      <c r="U35" s="42"/>
      <c r="W35" s="20"/>
      <c r="X35" s="20"/>
      <c r="Y35" s="20"/>
      <c r="Z35" s="296"/>
      <c r="AA35" s="20"/>
      <c r="AB35" s="20"/>
      <c r="AC35" s="517"/>
      <c r="AD35" s="517"/>
      <c r="AE35" s="517"/>
      <c r="AF35" s="517"/>
      <c r="AG35" s="517"/>
      <c r="AH35" s="517"/>
      <c r="AI35" s="517"/>
      <c r="AJ35" s="517"/>
      <c r="AK35" s="517"/>
      <c r="AL35" s="517"/>
      <c r="AM35" s="517"/>
      <c r="AN35" s="517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20"/>
      <c r="DM35" s="20"/>
      <c r="DN35" s="20"/>
      <c r="DO35" s="20"/>
      <c r="DP35" s="20"/>
      <c r="DQ35" s="20"/>
      <c r="DR35" s="20"/>
      <c r="DS35" s="20"/>
      <c r="DT35" s="20"/>
      <c r="DU35" s="20"/>
      <c r="DV35" s="20"/>
      <c r="DW35" s="20"/>
      <c r="DX35" s="20"/>
      <c r="DY35" s="20"/>
      <c r="DZ35" s="20"/>
      <c r="EA35" s="20"/>
      <c r="EB35" s="20"/>
      <c r="EC35" s="20"/>
      <c r="ED35" s="20"/>
      <c r="EE35" s="20"/>
      <c r="EF35" s="20"/>
      <c r="EG35" s="20"/>
      <c r="EH35" s="20"/>
      <c r="EI35" s="20"/>
    </row>
    <row r="36" spans="1:139" ht="15.75" thickBot="1" x14ac:dyDescent="0.3">
      <c r="A36" s="42"/>
      <c r="B36" s="88" t="s">
        <v>457</v>
      </c>
      <c r="C36" s="89" t="s">
        <v>504</v>
      </c>
      <c r="D36" s="89" t="s">
        <v>463</v>
      </c>
      <c r="E36" s="482">
        <f t="shared" ref="E36:K36" si="6">+E35*1000</f>
        <v>289.32221891435944</v>
      </c>
      <c r="F36" s="482">
        <f t="shared" si="6"/>
        <v>201.14280457840488</v>
      </c>
      <c r="G36" s="482">
        <f t="shared" si="6"/>
        <v>79.703448314355001</v>
      </c>
      <c r="H36" s="482">
        <f t="shared" si="6"/>
        <v>79.703448314355001</v>
      </c>
      <c r="I36" s="482">
        <f t="shared" si="6"/>
        <v>560.12776023342656</v>
      </c>
      <c r="J36" s="482">
        <f t="shared" si="6"/>
        <v>790.78903685123021</v>
      </c>
      <c r="K36" s="483">
        <f t="shared" si="6"/>
        <v>29.061639483160352</v>
      </c>
      <c r="L36" s="42"/>
      <c r="M36" s="42"/>
      <c r="N36" s="696" t="s">
        <v>569</v>
      </c>
      <c r="O36" s="697"/>
      <c r="P36" s="439" t="s">
        <v>69</v>
      </c>
      <c r="Q36" s="466">
        <f>+SUM(E41:J41)</f>
        <v>502.03228732279678</v>
      </c>
      <c r="R36" s="440" t="s">
        <v>19</v>
      </c>
      <c r="S36" s="42"/>
      <c r="T36" s="42"/>
      <c r="U36" s="42"/>
      <c r="W36" s="20"/>
      <c r="X36" s="20"/>
      <c r="Y36" s="20"/>
      <c r="Z36" s="296"/>
      <c r="AA36" s="20"/>
      <c r="AB36" s="20"/>
      <c r="AC36" s="517"/>
      <c r="AD36" s="517"/>
      <c r="AE36" s="517"/>
      <c r="AF36" s="517"/>
      <c r="AG36" s="517"/>
      <c r="AH36" s="517"/>
      <c r="AI36" s="517"/>
      <c r="AJ36" s="517"/>
      <c r="AK36" s="517"/>
      <c r="AL36" s="517"/>
      <c r="AM36" s="517"/>
      <c r="AN36" s="517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20"/>
      <c r="DT36" s="20"/>
      <c r="DU36" s="20"/>
      <c r="DV36" s="20"/>
      <c r="DW36" s="20"/>
      <c r="DX36" s="20"/>
      <c r="DY36" s="20"/>
      <c r="DZ36" s="20"/>
      <c r="EA36" s="20"/>
      <c r="EB36" s="20"/>
      <c r="EC36" s="20"/>
      <c r="ED36" s="20"/>
      <c r="EE36" s="20"/>
      <c r="EF36" s="20"/>
      <c r="EG36" s="20"/>
      <c r="EH36" s="20"/>
      <c r="EI36" s="20"/>
    </row>
    <row r="37" spans="1:139" x14ac:dyDescent="0.25">
      <c r="A37" s="42"/>
      <c r="B37" s="80" t="s">
        <v>503</v>
      </c>
      <c r="C37" s="81" t="s">
        <v>132</v>
      </c>
      <c r="D37" s="81" t="s">
        <v>133</v>
      </c>
      <c r="E37" s="179">
        <f t="shared" ref="E37:H38" si="7">$D$22+0.2209*EXP(0.0557*E29)</f>
        <v>98.629915044976812</v>
      </c>
      <c r="F37" s="179">
        <f t="shared" si="7"/>
        <v>101.30745487096806</v>
      </c>
      <c r="G37" s="179">
        <f t="shared" si="7"/>
        <v>104.83167290032276</v>
      </c>
      <c r="H37" s="179">
        <f t="shared" si="7"/>
        <v>104.83167290032276</v>
      </c>
      <c r="I37" s="179">
        <f>$D$22+0.2209*EXP(0.0557*I29)</f>
        <v>97.331960342879725</v>
      </c>
      <c r="J37" s="179">
        <f>+D19</f>
        <v>25</v>
      </c>
      <c r="K37" s="179">
        <f>$D$22+0.2209*EXP(0.0557*K29)</f>
        <v>97.149094540236746</v>
      </c>
      <c r="L37" s="42"/>
      <c r="M37" s="42"/>
      <c r="N37" s="20"/>
      <c r="O37" s="20"/>
      <c r="P37" s="20"/>
      <c r="Q37" s="42"/>
      <c r="R37" s="42"/>
      <c r="S37" s="42"/>
      <c r="T37" s="42"/>
      <c r="U37" s="42"/>
      <c r="W37" s="20"/>
      <c r="X37" s="20"/>
      <c r="Y37" s="20"/>
      <c r="Z37" s="296"/>
      <c r="AA37" s="20"/>
      <c r="AB37" s="20"/>
      <c r="AC37" s="517"/>
      <c r="AD37" s="517"/>
      <c r="AE37" s="517"/>
      <c r="AF37" s="517"/>
      <c r="AG37" s="517"/>
      <c r="AH37" s="517"/>
      <c r="AI37" s="517"/>
      <c r="AJ37" s="517"/>
      <c r="AK37" s="517"/>
      <c r="AL37" s="517"/>
      <c r="AM37" s="517"/>
      <c r="AN37" s="517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20"/>
      <c r="DT37" s="20"/>
      <c r="DU37" s="20"/>
      <c r="DV37" s="20"/>
      <c r="DW37" s="20"/>
      <c r="DX37" s="20"/>
      <c r="DY37" s="20"/>
      <c r="DZ37" s="20"/>
      <c r="EA37" s="20"/>
      <c r="EB37" s="20"/>
      <c r="EC37" s="20"/>
      <c r="ED37" s="20"/>
      <c r="EE37" s="20"/>
      <c r="EF37" s="20"/>
      <c r="EG37" s="20"/>
      <c r="EH37" s="20"/>
      <c r="EI37" s="20"/>
    </row>
    <row r="38" spans="1:139" x14ac:dyDescent="0.25">
      <c r="A38" s="42"/>
      <c r="B38" s="80" t="s">
        <v>502</v>
      </c>
      <c r="C38" s="81" t="s">
        <v>132</v>
      </c>
      <c r="D38" s="81" t="s">
        <v>133</v>
      </c>
      <c r="E38" s="179">
        <f t="shared" si="7"/>
        <v>101.30745487096806</v>
      </c>
      <c r="F38" s="179">
        <f t="shared" si="7"/>
        <v>104.83167290032276</v>
      </c>
      <c r="G38" s="179">
        <f t="shared" si="7"/>
        <v>136.71813336403685</v>
      </c>
      <c r="H38" s="179">
        <f t="shared" si="7"/>
        <v>136.71813336403685</v>
      </c>
      <c r="I38" s="179">
        <f>$D$22+0.2209*EXP(0.0557*I30)</f>
        <v>98.629915044976812</v>
      </c>
      <c r="J38" s="179">
        <f>$D$22+0.2209*EXP(0.0557*J30)</f>
        <v>97.331960342879725</v>
      </c>
      <c r="K38" s="179">
        <f>$D$22+0.2209*EXP(0.0557*K30)</f>
        <v>104.83167290032276</v>
      </c>
      <c r="L38" s="42"/>
      <c r="M38" s="42"/>
      <c r="N38" s="20"/>
      <c r="O38" s="20"/>
      <c r="P38" s="20"/>
      <c r="Q38" s="42"/>
      <c r="R38" s="42"/>
      <c r="S38" s="42"/>
      <c r="T38" s="42"/>
      <c r="U38" s="42"/>
      <c r="W38" s="20"/>
      <c r="X38" s="20"/>
      <c r="Y38" s="20"/>
      <c r="Z38" s="296"/>
      <c r="AA38" s="20"/>
      <c r="AB38" s="20"/>
      <c r="AC38" s="517"/>
      <c r="AD38" s="517"/>
      <c r="AE38" s="517"/>
      <c r="AF38" s="517"/>
      <c r="AG38" s="517"/>
      <c r="AH38" s="517"/>
      <c r="AI38" s="517"/>
      <c r="AJ38" s="517"/>
      <c r="AK38" s="517"/>
      <c r="AL38" s="517"/>
      <c r="AM38" s="517"/>
      <c r="AN38" s="517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  <c r="DK38" s="20"/>
      <c r="DL38" s="20"/>
      <c r="DM38" s="20"/>
      <c r="DN38" s="20"/>
      <c r="DO38" s="20"/>
      <c r="DP38" s="20"/>
      <c r="DQ38" s="20"/>
      <c r="DR38" s="20"/>
      <c r="DS38" s="20"/>
      <c r="DT38" s="20"/>
      <c r="DU38" s="20"/>
      <c r="DV38" s="20"/>
      <c r="DW38" s="20"/>
      <c r="DX38" s="20"/>
      <c r="DY38" s="20"/>
      <c r="DZ38" s="20"/>
      <c r="EA38" s="20"/>
      <c r="EB38" s="20"/>
      <c r="EC38" s="20"/>
      <c r="ED38" s="20"/>
      <c r="EE38" s="20"/>
      <c r="EF38" s="20"/>
      <c r="EG38" s="20"/>
      <c r="EH38" s="20"/>
      <c r="EI38" s="20"/>
    </row>
    <row r="39" spans="1:139" x14ac:dyDescent="0.25">
      <c r="A39" s="42"/>
      <c r="B39" s="80" t="s">
        <v>134</v>
      </c>
      <c r="C39" s="85" t="s">
        <v>135</v>
      </c>
      <c r="D39" s="81" t="s">
        <v>33</v>
      </c>
      <c r="E39" s="179">
        <f t="shared" ref="E39:K39" si="8">2492.9-2.0523*E37-0.0030752*E37^2</f>
        <v>2260.5667098451945</v>
      </c>
      <c r="F39" s="179">
        <f t="shared" si="8"/>
        <v>2253.4253164599977</v>
      </c>
      <c r="G39" s="179">
        <f t="shared" si="8"/>
        <v>2243.9584948682673</v>
      </c>
      <c r="H39" s="179">
        <f t="shared" si="8"/>
        <v>2243.9584948682673</v>
      </c>
      <c r="I39" s="179">
        <f t="shared" si="8"/>
        <v>2264.0126782858292</v>
      </c>
      <c r="J39" s="179">
        <f t="shared" si="8"/>
        <v>2439.6705000000002</v>
      </c>
      <c r="K39" s="180">
        <f t="shared" si="8"/>
        <v>2264.4973399830455</v>
      </c>
      <c r="L39" s="42"/>
      <c r="M39" s="42"/>
      <c r="N39" s="20"/>
      <c r="O39" s="20"/>
      <c r="P39" s="20"/>
      <c r="Q39" s="42"/>
      <c r="R39" s="20"/>
      <c r="S39" s="42"/>
      <c r="T39" s="42"/>
      <c r="U39" s="42"/>
      <c r="W39" s="20"/>
      <c r="X39" s="20"/>
      <c r="Y39" s="20"/>
      <c r="Z39" s="296"/>
      <c r="AA39" s="20"/>
      <c r="AB39" s="20"/>
      <c r="AC39" s="517"/>
      <c r="AD39" s="517"/>
      <c r="AE39" s="517"/>
      <c r="AF39" s="517"/>
      <c r="AG39" s="517"/>
      <c r="AH39" s="517"/>
      <c r="AI39" s="517"/>
      <c r="AJ39" s="517"/>
      <c r="AK39" s="517"/>
      <c r="AL39" s="517"/>
      <c r="AM39" s="517"/>
      <c r="AN39" s="517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0"/>
      <c r="DK39" s="20"/>
      <c r="DL39" s="20"/>
      <c r="DM39" s="20"/>
      <c r="DN39" s="20"/>
      <c r="DO39" s="20"/>
      <c r="DP39" s="20"/>
      <c r="DQ39" s="20"/>
      <c r="DR39" s="20"/>
      <c r="DS39" s="20"/>
      <c r="DT39" s="20"/>
      <c r="DU39" s="20"/>
      <c r="DV39" s="20"/>
      <c r="DW39" s="20"/>
      <c r="DX39" s="20"/>
      <c r="DY39" s="20"/>
      <c r="DZ39" s="20"/>
      <c r="EA39" s="20"/>
      <c r="EB39" s="20"/>
      <c r="EC39" s="20"/>
      <c r="ED39" s="20"/>
      <c r="EE39" s="20"/>
      <c r="EF39" s="20"/>
      <c r="EG39" s="20"/>
      <c r="EH39" s="20"/>
      <c r="EI39" s="20"/>
    </row>
    <row r="40" spans="1:139" ht="15.75" thickBot="1" x14ac:dyDescent="0.3">
      <c r="A40" s="42"/>
      <c r="B40" s="86" t="s">
        <v>136</v>
      </c>
      <c r="C40" s="87" t="s">
        <v>137</v>
      </c>
      <c r="D40" s="87" t="s">
        <v>38</v>
      </c>
      <c r="E40" s="148">
        <f t="shared" ref="E40:K40" si="9">+E32-(E32*E29/E30)</f>
        <v>95.416363636363627</v>
      </c>
      <c r="F40" s="148">
        <f t="shared" si="9"/>
        <v>39.14517482517482</v>
      </c>
      <c r="G40" s="148">
        <f t="shared" si="9"/>
        <v>32.732742546532705</v>
      </c>
      <c r="H40" s="148">
        <f t="shared" si="9"/>
        <v>32.732742546532705</v>
      </c>
      <c r="I40" s="148">
        <f t="shared" si="9"/>
        <v>286.24909090909091</v>
      </c>
      <c r="J40" s="148">
        <f>+J32-K32-((J32-K32)*J29/J30)</f>
        <v>187.09090909090912</v>
      </c>
      <c r="K40" s="377">
        <f t="shared" si="9"/>
        <v>25.329230769230772</v>
      </c>
      <c r="L40" s="467"/>
      <c r="M40" s="468"/>
      <c r="N40" s="467"/>
      <c r="O40" s="42"/>
      <c r="P40" s="42"/>
      <c r="Q40" s="42"/>
      <c r="R40" s="42"/>
      <c r="S40" s="42"/>
      <c r="T40" s="42"/>
      <c r="U40" s="42"/>
      <c r="W40" s="20"/>
      <c r="X40" s="20"/>
      <c r="Y40" s="20"/>
      <c r="Z40" s="296"/>
      <c r="AA40" s="20"/>
      <c r="AB40" s="20"/>
      <c r="AC40" s="517"/>
      <c r="AD40" s="517"/>
      <c r="AE40" s="517"/>
      <c r="AF40" s="517"/>
      <c r="AG40" s="517"/>
      <c r="AH40" s="517"/>
      <c r="AI40" s="517"/>
      <c r="AJ40" s="517"/>
      <c r="AK40" s="517"/>
      <c r="AL40" s="517"/>
      <c r="AM40" s="517"/>
      <c r="AN40" s="517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20"/>
      <c r="DT40" s="20"/>
      <c r="DU40" s="20"/>
      <c r="DV40" s="20"/>
      <c r="DW40" s="20"/>
      <c r="DX40" s="20"/>
      <c r="DY40" s="20"/>
      <c r="DZ40" s="20"/>
      <c r="EA40" s="20"/>
      <c r="EB40" s="20"/>
      <c r="EC40" s="20"/>
      <c r="ED40" s="20"/>
      <c r="EE40" s="20"/>
      <c r="EF40" s="20"/>
      <c r="EG40" s="20"/>
      <c r="EH40" s="20"/>
      <c r="EI40" s="20"/>
    </row>
    <row r="41" spans="1:139" ht="15.75" thickBot="1" x14ac:dyDescent="0.3">
      <c r="A41" s="42"/>
      <c r="B41" s="88" t="s">
        <v>138</v>
      </c>
      <c r="C41" s="89" t="s">
        <v>139</v>
      </c>
      <c r="D41" s="89" t="s">
        <v>19</v>
      </c>
      <c r="E41" s="89">
        <f t="shared" ref="E41:K41" si="10">(E32*E33*(E38- E37)+E40*E39)/3600</f>
        <v>60.692989452018686</v>
      </c>
      <c r="F41" s="89">
        <f t="shared" si="10"/>
        <v>25.169338760268658</v>
      </c>
      <c r="G41" s="89">
        <f t="shared" si="10"/>
        <v>22.494662086698259</v>
      </c>
      <c r="H41" s="89">
        <f t="shared" si="10"/>
        <v>22.494662086698259</v>
      </c>
      <c r="I41" s="89">
        <f t="shared" si="10"/>
        <v>180.80023062549105</v>
      </c>
      <c r="J41" s="89">
        <f t="shared" si="10"/>
        <v>190.38040431162187</v>
      </c>
      <c r="K41" s="90">
        <f t="shared" si="10"/>
        <v>16.163470311402282</v>
      </c>
      <c r="L41" s="42"/>
      <c r="M41" s="20"/>
      <c r="N41" s="20"/>
      <c r="O41" s="20"/>
      <c r="P41" s="20"/>
      <c r="Q41" s="42"/>
      <c r="R41" s="20"/>
      <c r="S41" s="42"/>
      <c r="T41" s="42"/>
      <c r="U41" s="42"/>
      <c r="W41" s="20"/>
      <c r="X41" s="20"/>
      <c r="Y41" s="20"/>
      <c r="Z41" s="296"/>
      <c r="AA41" s="20"/>
      <c r="AB41" s="20"/>
      <c r="AC41" s="517"/>
      <c r="AD41" s="517"/>
      <c r="AE41" s="517"/>
      <c r="AF41" s="517"/>
      <c r="AG41" s="517"/>
      <c r="AH41" s="517"/>
      <c r="AI41" s="517"/>
      <c r="AJ41" s="517"/>
      <c r="AK41" s="517"/>
      <c r="AL41" s="517"/>
      <c r="AM41" s="517"/>
      <c r="AN41" s="517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0"/>
      <c r="DK41" s="20"/>
      <c r="DL41" s="20"/>
      <c r="DM41" s="20"/>
      <c r="DN41" s="20"/>
      <c r="DO41" s="20"/>
      <c r="DP41" s="20"/>
      <c r="DQ41" s="20"/>
      <c r="DR41" s="20"/>
      <c r="DS41" s="20"/>
      <c r="DT41" s="20"/>
      <c r="DU41" s="20"/>
      <c r="DV41" s="20"/>
      <c r="DW41" s="20"/>
      <c r="DX41" s="20"/>
      <c r="DY41" s="20"/>
      <c r="DZ41" s="20"/>
      <c r="EA41" s="20"/>
      <c r="EB41" s="20"/>
      <c r="EC41" s="20"/>
      <c r="ED41" s="20"/>
      <c r="EE41" s="20"/>
      <c r="EF41" s="20"/>
      <c r="EG41" s="20"/>
      <c r="EH41" s="20"/>
      <c r="EI41" s="20"/>
    </row>
    <row r="42" spans="1:139" ht="15.75" thickBot="1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W42" s="20"/>
      <c r="X42" s="20"/>
      <c r="Y42" s="20"/>
      <c r="Z42" s="296"/>
      <c r="AA42" s="20"/>
      <c r="AB42" s="20"/>
      <c r="AC42" s="517"/>
      <c r="AD42" s="517"/>
      <c r="AE42" s="517"/>
      <c r="AF42" s="517"/>
      <c r="AG42" s="517"/>
      <c r="AH42" s="517"/>
      <c r="AI42" s="517"/>
      <c r="AJ42" s="517"/>
      <c r="AK42" s="517"/>
      <c r="AL42" s="517"/>
      <c r="AM42" s="517"/>
      <c r="AN42" s="517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0"/>
      <c r="CD42" s="20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0"/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0"/>
      <c r="DK42" s="20"/>
      <c r="DL42" s="20"/>
      <c r="DM42" s="20"/>
      <c r="DN42" s="20"/>
      <c r="DO42" s="20"/>
      <c r="DP42" s="20"/>
      <c r="DQ42" s="20"/>
      <c r="DR42" s="20"/>
      <c r="DS42" s="20"/>
      <c r="DT42" s="20"/>
      <c r="DU42" s="20"/>
      <c r="DV42" s="20"/>
      <c r="DW42" s="20"/>
      <c r="DX42" s="20"/>
      <c r="DY42" s="20"/>
      <c r="DZ42" s="20"/>
      <c r="EA42" s="20"/>
      <c r="EB42" s="20"/>
      <c r="EC42" s="20"/>
      <c r="ED42" s="20"/>
      <c r="EE42" s="20"/>
      <c r="EF42" s="20"/>
      <c r="EG42" s="20"/>
      <c r="EH42" s="20"/>
      <c r="EI42" s="20"/>
    </row>
    <row r="43" spans="1:139" ht="15.75" thickBot="1" x14ac:dyDescent="0.3">
      <c r="A43" s="758" t="s">
        <v>566</v>
      </c>
      <c r="B43" s="759"/>
      <c r="C43" s="759"/>
      <c r="D43" s="759"/>
      <c r="E43" s="759"/>
      <c r="F43" s="759"/>
      <c r="G43" s="759"/>
      <c r="H43" s="759"/>
      <c r="I43" s="759"/>
      <c r="J43" s="759"/>
      <c r="K43" s="759"/>
      <c r="L43" s="759"/>
      <c r="M43" s="759"/>
      <c r="N43" s="759"/>
      <c r="O43" s="759"/>
      <c r="P43" s="759"/>
      <c r="Q43" s="759"/>
      <c r="R43" s="759"/>
      <c r="S43" s="759"/>
      <c r="T43" s="759"/>
      <c r="U43" s="760"/>
      <c r="W43" s="20"/>
      <c r="X43" s="20"/>
      <c r="Y43" s="20"/>
      <c r="Z43" s="296"/>
      <c r="AA43" s="20"/>
      <c r="AB43" s="20"/>
      <c r="AC43" s="517"/>
      <c r="AD43" s="517"/>
      <c r="AE43" s="517"/>
      <c r="AF43" s="517"/>
      <c r="AG43" s="517"/>
      <c r="AH43" s="517"/>
      <c r="AI43" s="517"/>
      <c r="AJ43" s="517"/>
      <c r="AK43" s="517"/>
      <c r="AL43" s="517"/>
      <c r="AM43" s="517"/>
      <c r="AN43" s="517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0"/>
      <c r="CD43" s="20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0"/>
      <c r="CR43" s="20"/>
      <c r="CS43" s="20"/>
      <c r="CT43" s="20"/>
      <c r="CU43" s="20"/>
      <c r="CV43" s="20"/>
      <c r="CW43" s="20"/>
      <c r="CX43" s="20"/>
      <c r="CY43" s="20"/>
      <c r="CZ43" s="20"/>
      <c r="DA43" s="20"/>
      <c r="DB43" s="20"/>
      <c r="DC43" s="20"/>
      <c r="DD43" s="20"/>
      <c r="DE43" s="20"/>
      <c r="DF43" s="20"/>
      <c r="DG43" s="20"/>
      <c r="DH43" s="20"/>
      <c r="DI43" s="20"/>
      <c r="DJ43" s="20"/>
      <c r="DK43" s="20"/>
      <c r="DL43" s="20"/>
      <c r="DM43" s="20"/>
      <c r="DN43" s="20"/>
      <c r="DO43" s="20"/>
      <c r="DP43" s="20"/>
      <c r="DQ43" s="20"/>
      <c r="DR43" s="20"/>
      <c r="DS43" s="20"/>
      <c r="DT43" s="20"/>
      <c r="DU43" s="20"/>
      <c r="DV43" s="20"/>
      <c r="DW43" s="20"/>
      <c r="DX43" s="20"/>
      <c r="DY43" s="20"/>
      <c r="DZ43" s="20"/>
      <c r="EA43" s="20"/>
      <c r="EB43" s="20"/>
      <c r="EC43" s="20"/>
      <c r="ED43" s="20"/>
      <c r="EE43" s="20"/>
      <c r="EF43" s="20"/>
      <c r="EG43" s="20"/>
      <c r="EH43" s="20"/>
      <c r="EI43" s="20"/>
    </row>
    <row r="44" spans="1:139" ht="15.75" thickBot="1" x14ac:dyDescent="0.3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W44" s="20"/>
      <c r="X44" s="20"/>
      <c r="Y44" s="20"/>
      <c r="Z44" s="296"/>
      <c r="AA44" s="20"/>
      <c r="AB44" s="20"/>
      <c r="AC44" s="517"/>
      <c r="AD44" s="517"/>
      <c r="AE44" s="517"/>
      <c r="AF44" s="517"/>
      <c r="AG44" s="517"/>
      <c r="AH44" s="517"/>
      <c r="AI44" s="517"/>
      <c r="AJ44" s="517"/>
      <c r="AK44" s="517"/>
      <c r="AL44" s="517"/>
      <c r="AM44" s="517"/>
      <c r="AN44" s="517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20"/>
      <c r="DT44" s="20"/>
      <c r="DU44" s="20"/>
      <c r="DV44" s="20"/>
      <c r="DW44" s="20"/>
      <c r="DX44" s="20"/>
      <c r="DY44" s="20"/>
      <c r="DZ44" s="20"/>
      <c r="EA44" s="20"/>
      <c r="EB44" s="20"/>
      <c r="EC44" s="20"/>
      <c r="ED44" s="20"/>
      <c r="EE44" s="20"/>
      <c r="EF44" s="20"/>
      <c r="EG44" s="20"/>
      <c r="EH44" s="20"/>
      <c r="EI44" s="20"/>
    </row>
    <row r="45" spans="1:139" ht="15" customHeight="1" x14ac:dyDescent="0.25">
      <c r="A45" s="42"/>
      <c r="B45" s="472" t="s">
        <v>79</v>
      </c>
      <c r="C45" s="444" t="s">
        <v>80</v>
      </c>
      <c r="D45" s="473" t="s">
        <v>44</v>
      </c>
      <c r="E45" s="472">
        <f>+E26</f>
        <v>1</v>
      </c>
      <c r="F45" s="444">
        <f t="shared" ref="F45:K45" si="11">+F26</f>
        <v>2</v>
      </c>
      <c r="G45" s="444">
        <f t="shared" si="11"/>
        <v>3</v>
      </c>
      <c r="H45" s="444">
        <f t="shared" si="11"/>
        <v>4</v>
      </c>
      <c r="I45" s="444">
        <f t="shared" si="11"/>
        <v>5</v>
      </c>
      <c r="J45" s="444">
        <f t="shared" si="11"/>
        <v>6</v>
      </c>
      <c r="K45" s="445">
        <f t="shared" si="11"/>
        <v>7</v>
      </c>
      <c r="L45" s="42"/>
      <c r="M45" s="42"/>
      <c r="N45" s="42"/>
      <c r="O45" s="42"/>
      <c r="P45" s="42"/>
      <c r="Q45" s="42"/>
      <c r="R45" s="42"/>
      <c r="S45" s="42"/>
      <c r="T45" s="42"/>
      <c r="U45" s="42"/>
      <c r="W45" s="20"/>
      <c r="X45" s="20"/>
      <c r="Y45" s="20"/>
      <c r="Z45" s="296"/>
      <c r="AA45" s="20"/>
      <c r="AB45" s="20"/>
      <c r="AC45" s="517"/>
      <c r="AD45" s="517"/>
      <c r="AE45" s="517"/>
      <c r="AF45" s="517"/>
      <c r="AG45" s="517"/>
      <c r="AH45" s="517"/>
      <c r="AI45" s="517"/>
      <c r="AJ45" s="517"/>
      <c r="AK45" s="517"/>
      <c r="AL45" s="517"/>
      <c r="AM45" s="517"/>
      <c r="AN45" s="517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0"/>
      <c r="CD45" s="20"/>
      <c r="CE45" s="20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0"/>
      <c r="CR45" s="20"/>
      <c r="CS45" s="20"/>
      <c r="CT45" s="20"/>
      <c r="CU45" s="20"/>
      <c r="CV45" s="20"/>
      <c r="CW45" s="20"/>
      <c r="CX45" s="20"/>
      <c r="CY45" s="20"/>
      <c r="CZ45" s="20"/>
      <c r="DA45" s="20"/>
      <c r="DB45" s="20"/>
      <c r="DC45" s="20"/>
      <c r="DD45" s="20"/>
      <c r="DE45" s="20"/>
      <c r="DF45" s="20"/>
      <c r="DG45" s="20"/>
      <c r="DH45" s="20"/>
      <c r="DI45" s="20"/>
      <c r="DJ45" s="20"/>
      <c r="DK45" s="20"/>
      <c r="DL45" s="20"/>
      <c r="DM45" s="20"/>
      <c r="DN45" s="20"/>
      <c r="DO45" s="20"/>
      <c r="DP45" s="20"/>
      <c r="DQ45" s="20"/>
      <c r="DR45" s="20"/>
      <c r="DS45" s="20"/>
      <c r="DT45" s="20"/>
      <c r="DU45" s="20"/>
      <c r="DV45" s="20"/>
      <c r="DW45" s="20"/>
      <c r="DX45" s="20"/>
      <c r="DY45" s="20"/>
      <c r="DZ45" s="20"/>
      <c r="EA45" s="20"/>
      <c r="EB45" s="20"/>
      <c r="EC45" s="20"/>
      <c r="ED45" s="20"/>
      <c r="EE45" s="20"/>
      <c r="EF45" s="20"/>
      <c r="EG45" s="20"/>
      <c r="EH45" s="20"/>
      <c r="EI45" s="20"/>
    </row>
    <row r="46" spans="1:139" ht="15" customHeight="1" x14ac:dyDescent="0.25">
      <c r="A46" s="42"/>
      <c r="B46" s="446" t="s">
        <v>81</v>
      </c>
      <c r="C46" s="430" t="s">
        <v>82</v>
      </c>
      <c r="D46" s="474" t="s">
        <v>44</v>
      </c>
      <c r="E46" s="446">
        <f>+E28</f>
        <v>3</v>
      </c>
      <c r="F46" s="430">
        <f t="shared" ref="F46:K46" si="12">+F28</f>
        <v>4</v>
      </c>
      <c r="G46" s="430">
        <f t="shared" si="12"/>
        <v>5</v>
      </c>
      <c r="H46" s="430">
        <f t="shared" si="12"/>
        <v>5</v>
      </c>
      <c r="I46" s="430">
        <f t="shared" si="12"/>
        <v>2</v>
      </c>
      <c r="J46" s="430">
        <f t="shared" si="12"/>
        <v>1</v>
      </c>
      <c r="K46" s="431" t="str">
        <f t="shared" si="12"/>
        <v>Melotera</v>
      </c>
      <c r="L46" s="42"/>
      <c r="M46" s="42"/>
      <c r="N46" s="42"/>
      <c r="O46" s="42"/>
      <c r="P46" s="42"/>
      <c r="Q46" s="42"/>
      <c r="R46" s="42"/>
      <c r="S46" s="42"/>
      <c r="T46" s="42"/>
      <c r="U46" s="42"/>
      <c r="W46" s="20"/>
      <c r="X46" s="20"/>
      <c r="Y46" s="20"/>
      <c r="Z46" s="296"/>
      <c r="AA46" s="20"/>
      <c r="AB46" s="20"/>
      <c r="AC46" s="517"/>
      <c r="AD46" s="517"/>
      <c r="AE46" s="517"/>
      <c r="AF46" s="517"/>
      <c r="AG46" s="517"/>
      <c r="AH46" s="517"/>
      <c r="AI46" s="517"/>
      <c r="AJ46" s="517"/>
      <c r="AK46" s="517"/>
      <c r="AL46" s="517"/>
      <c r="AM46" s="517"/>
      <c r="AN46" s="517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0"/>
      <c r="CD46" s="20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0"/>
      <c r="DD46" s="20"/>
      <c r="DE46" s="20"/>
      <c r="DF46" s="20"/>
      <c r="DG46" s="20"/>
      <c r="DH46" s="20"/>
      <c r="DI46" s="20"/>
      <c r="DJ46" s="20"/>
      <c r="DK46" s="20"/>
      <c r="DL46" s="20"/>
      <c r="DM46" s="20"/>
      <c r="DN46" s="20"/>
      <c r="DO46" s="20"/>
      <c r="DP46" s="20"/>
      <c r="DQ46" s="20"/>
      <c r="DR46" s="20"/>
      <c r="DS46" s="20"/>
      <c r="DT46" s="20"/>
      <c r="DU46" s="20"/>
      <c r="DV46" s="20"/>
      <c r="DW46" s="20"/>
      <c r="DX46" s="20"/>
      <c r="DY46" s="20"/>
      <c r="DZ46" s="20"/>
      <c r="EA46" s="20"/>
      <c r="EB46" s="20"/>
      <c r="EC46" s="20"/>
      <c r="ED46" s="20"/>
      <c r="EE46" s="20"/>
      <c r="EF46" s="20"/>
      <c r="EG46" s="20"/>
      <c r="EH46" s="20"/>
      <c r="EI46" s="20"/>
    </row>
    <row r="47" spans="1:139" ht="15" customHeight="1" thickBot="1" x14ac:dyDescent="0.3">
      <c r="A47" s="42"/>
      <c r="B47" s="475" t="s">
        <v>83</v>
      </c>
      <c r="C47" s="432" t="s">
        <v>84</v>
      </c>
      <c r="D47" s="476" t="s">
        <v>44</v>
      </c>
      <c r="E47" s="269" t="str">
        <f>+E27</f>
        <v>Semicilindrica</v>
      </c>
      <c r="F47" s="480" t="str">
        <f t="shared" ref="F47:K47" si="13">+F27</f>
        <v>Semiesferica</v>
      </c>
      <c r="G47" s="480" t="str">
        <f t="shared" si="13"/>
        <v>Semiesferica</v>
      </c>
      <c r="H47" s="480" t="str">
        <f t="shared" si="13"/>
        <v>Semiesferica</v>
      </c>
      <c r="I47" s="480" t="str">
        <f t="shared" si="13"/>
        <v>Plana</v>
      </c>
      <c r="J47" s="480" t="str">
        <f t="shared" si="13"/>
        <v>Plana</v>
      </c>
      <c r="K47" s="481" t="str">
        <f t="shared" si="13"/>
        <v>Plana</v>
      </c>
      <c r="L47" s="42"/>
      <c r="M47" s="42"/>
      <c r="N47" s="42"/>
      <c r="O47" s="42"/>
      <c r="P47" s="42"/>
      <c r="Q47" s="42"/>
      <c r="R47" s="42"/>
      <c r="S47" s="42"/>
      <c r="T47" s="42"/>
      <c r="U47" s="42"/>
      <c r="W47" s="296"/>
      <c r="X47" s="296"/>
      <c r="Y47" s="296"/>
      <c r="Z47" s="296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0"/>
      <c r="CD47" s="20"/>
      <c r="CE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0"/>
      <c r="CR47" s="20"/>
      <c r="CS47" s="20"/>
      <c r="CT47" s="20"/>
      <c r="CU47" s="20"/>
      <c r="CV47" s="20"/>
      <c r="CW47" s="20"/>
      <c r="CX47" s="20"/>
      <c r="CY47" s="20"/>
      <c r="CZ47" s="20"/>
      <c r="DA47" s="20"/>
      <c r="DB47" s="20"/>
      <c r="DC47" s="20"/>
      <c r="DD47" s="20"/>
      <c r="DE47" s="20"/>
      <c r="DF47" s="20"/>
      <c r="DG47" s="20"/>
      <c r="DH47" s="20"/>
      <c r="DI47" s="20"/>
      <c r="DJ47" s="20"/>
      <c r="DK47" s="20"/>
      <c r="DL47" s="20"/>
      <c r="DM47" s="20"/>
      <c r="DN47" s="20"/>
      <c r="DO47" s="20"/>
      <c r="DP47" s="20"/>
      <c r="DQ47" s="20"/>
      <c r="DR47" s="20"/>
      <c r="DS47" s="20"/>
      <c r="DT47" s="20"/>
      <c r="DU47" s="20"/>
      <c r="DV47" s="20"/>
      <c r="DW47" s="20"/>
      <c r="DX47" s="20"/>
      <c r="DY47" s="20"/>
      <c r="DZ47" s="20"/>
      <c r="EA47" s="20"/>
      <c r="EB47" s="20"/>
      <c r="EC47" s="20"/>
      <c r="ED47" s="20"/>
      <c r="EE47" s="20"/>
      <c r="EF47" s="20"/>
      <c r="EG47" s="20"/>
      <c r="EH47" s="20"/>
      <c r="EI47" s="20"/>
    </row>
    <row r="48" spans="1:139" ht="15" customHeight="1" x14ac:dyDescent="0.25">
      <c r="A48" s="42"/>
      <c r="B48" s="477" t="s">
        <v>85</v>
      </c>
      <c r="C48" s="478" t="s">
        <v>86</v>
      </c>
      <c r="D48" s="479" t="s">
        <v>61</v>
      </c>
      <c r="E48" s="588">
        <v>0.4</v>
      </c>
      <c r="F48" s="589">
        <v>0.5</v>
      </c>
      <c r="G48" s="590">
        <v>0.3</v>
      </c>
      <c r="H48" s="590">
        <v>0.3</v>
      </c>
      <c r="I48" s="590">
        <v>0.2</v>
      </c>
      <c r="J48" s="597">
        <v>0.2</v>
      </c>
      <c r="K48" s="598">
        <v>0.2</v>
      </c>
      <c r="L48" s="42"/>
      <c r="M48" s="42"/>
      <c r="N48" s="42"/>
      <c r="O48" s="42"/>
      <c r="P48" s="42"/>
      <c r="Q48" s="42"/>
      <c r="R48" s="42"/>
      <c r="S48" s="42"/>
      <c r="T48" s="42"/>
      <c r="U48" s="42"/>
      <c r="W48" s="296"/>
      <c r="X48" s="296"/>
      <c r="Y48" s="296"/>
      <c r="Z48" s="296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0"/>
      <c r="CD48" s="20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0"/>
      <c r="CR48" s="20"/>
      <c r="CS48" s="20"/>
      <c r="CT48" s="20"/>
      <c r="CU48" s="20"/>
      <c r="CV48" s="20"/>
      <c r="CW48" s="20"/>
      <c r="CX48" s="20"/>
      <c r="CY48" s="20"/>
      <c r="CZ48" s="20"/>
      <c r="DA48" s="20"/>
      <c r="DB48" s="20"/>
      <c r="DC48" s="20"/>
      <c r="DD48" s="20"/>
      <c r="DE48" s="20"/>
      <c r="DF48" s="20"/>
      <c r="DG48" s="20"/>
      <c r="DH48" s="20"/>
      <c r="DI48" s="20"/>
      <c r="DJ48" s="20"/>
      <c r="DK48" s="20"/>
      <c r="DL48" s="20"/>
      <c r="DM48" s="20"/>
      <c r="DN48" s="20"/>
      <c r="DO48" s="20"/>
      <c r="DP48" s="20"/>
      <c r="DQ48" s="20"/>
      <c r="DR48" s="20"/>
      <c r="DS48" s="20"/>
      <c r="DT48" s="20"/>
      <c r="DU48" s="20"/>
      <c r="DV48" s="20"/>
      <c r="DW48" s="20"/>
      <c r="DX48" s="20"/>
      <c r="DY48" s="20"/>
      <c r="DZ48" s="20"/>
      <c r="EA48" s="20"/>
      <c r="EB48" s="20"/>
      <c r="EC48" s="20"/>
      <c r="ED48" s="20"/>
      <c r="EE48" s="20"/>
      <c r="EF48" s="20"/>
      <c r="EG48" s="20"/>
      <c r="EH48" s="20"/>
      <c r="EI48" s="20"/>
    </row>
    <row r="49" spans="1:139" ht="15" customHeight="1" x14ac:dyDescent="0.25">
      <c r="A49" s="42"/>
      <c r="B49" s="446" t="s">
        <v>87</v>
      </c>
      <c r="C49" s="430" t="s">
        <v>88</v>
      </c>
      <c r="D49" s="474" t="s">
        <v>61</v>
      </c>
      <c r="E49" s="591">
        <v>1.2</v>
      </c>
      <c r="F49" s="592">
        <v>1.2</v>
      </c>
      <c r="G49" s="593">
        <v>0.8</v>
      </c>
      <c r="H49" s="593">
        <v>0.8</v>
      </c>
      <c r="I49" s="593">
        <v>1.8</v>
      </c>
      <c r="J49" s="599">
        <v>1.8</v>
      </c>
      <c r="K49" s="600">
        <v>1.8</v>
      </c>
      <c r="L49" s="42"/>
      <c r="M49" s="42"/>
      <c r="N49" s="42"/>
      <c r="O49" s="42"/>
      <c r="P49" s="42"/>
      <c r="Q49" s="42"/>
      <c r="R49" s="42"/>
      <c r="S49" s="42"/>
      <c r="T49" s="42"/>
      <c r="U49" s="42"/>
      <c r="W49" s="296"/>
      <c r="X49" s="296"/>
      <c r="Y49" s="296"/>
      <c r="Z49" s="296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20"/>
      <c r="CE49" s="20"/>
      <c r="CF49" s="20"/>
      <c r="CG49" s="20"/>
      <c r="CH49" s="20"/>
      <c r="CI49" s="20"/>
      <c r="CJ49" s="20"/>
      <c r="CK49" s="20"/>
      <c r="CL49" s="20"/>
      <c r="CM49" s="20"/>
      <c r="CN49" s="20"/>
      <c r="CO49" s="20"/>
      <c r="CP49" s="20"/>
      <c r="CQ49" s="20"/>
      <c r="CR49" s="20"/>
      <c r="CS49" s="20"/>
      <c r="CT49" s="20"/>
      <c r="CU49" s="20"/>
      <c r="CV49" s="20"/>
      <c r="CW49" s="20"/>
      <c r="CX49" s="20"/>
      <c r="CY49" s="20"/>
      <c r="CZ49" s="20"/>
      <c r="DA49" s="20"/>
      <c r="DB49" s="20"/>
      <c r="DC49" s="20"/>
      <c r="DD49" s="20"/>
      <c r="DE49" s="20"/>
      <c r="DF49" s="20"/>
      <c r="DG49" s="20"/>
      <c r="DH49" s="20"/>
      <c r="DI49" s="20"/>
      <c r="DJ49" s="20"/>
      <c r="DK49" s="20"/>
      <c r="DL49" s="20"/>
      <c r="DM49" s="20"/>
      <c r="DN49" s="20"/>
      <c r="DO49" s="20"/>
      <c r="DP49" s="20"/>
      <c r="DQ49" s="20"/>
      <c r="DR49" s="20"/>
      <c r="DS49" s="20"/>
      <c r="DT49" s="20"/>
      <c r="DU49" s="20"/>
      <c r="DV49" s="20"/>
      <c r="DW49" s="20"/>
      <c r="DX49" s="20"/>
      <c r="DY49" s="20"/>
      <c r="DZ49" s="20"/>
      <c r="EA49" s="20"/>
      <c r="EB49" s="20"/>
      <c r="EC49" s="20"/>
      <c r="ED49" s="20"/>
      <c r="EE49" s="20"/>
      <c r="EF49" s="20"/>
      <c r="EG49" s="20"/>
      <c r="EH49" s="20"/>
      <c r="EI49" s="20"/>
    </row>
    <row r="50" spans="1:139" ht="15" customHeight="1" x14ac:dyDescent="0.25">
      <c r="A50" s="42"/>
      <c r="B50" s="446" t="s">
        <v>89</v>
      </c>
      <c r="C50" s="430" t="s">
        <v>90</v>
      </c>
      <c r="D50" s="474" t="s">
        <v>61</v>
      </c>
      <c r="E50" s="591">
        <v>0.5</v>
      </c>
      <c r="F50" s="592">
        <v>0.5</v>
      </c>
      <c r="G50" s="593">
        <v>0.3</v>
      </c>
      <c r="H50" s="593">
        <v>0.3</v>
      </c>
      <c r="I50" s="593">
        <v>0.8</v>
      </c>
      <c r="J50" s="599">
        <v>0.8</v>
      </c>
      <c r="K50" s="600">
        <v>0.4</v>
      </c>
      <c r="L50" s="42"/>
      <c r="M50" s="42"/>
      <c r="N50" s="42"/>
      <c r="O50" s="42"/>
      <c r="P50" s="42"/>
      <c r="Q50" s="42"/>
      <c r="R50" s="42"/>
      <c r="S50" s="42"/>
      <c r="T50" s="42"/>
      <c r="U50" s="42"/>
      <c r="W50" s="296"/>
      <c r="X50" s="296"/>
      <c r="Y50" s="296"/>
      <c r="Z50" s="296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0"/>
      <c r="CR50" s="20"/>
      <c r="CS50" s="20"/>
      <c r="CT50" s="20"/>
      <c r="CU50" s="20"/>
      <c r="CV50" s="20"/>
      <c r="CW50" s="20"/>
      <c r="CX50" s="20"/>
      <c r="CY50" s="20"/>
      <c r="CZ50" s="20"/>
      <c r="DA50" s="20"/>
      <c r="DB50" s="20"/>
      <c r="DC50" s="20"/>
      <c r="DD50" s="20"/>
      <c r="DE50" s="20"/>
      <c r="DF50" s="20"/>
      <c r="DG50" s="20"/>
      <c r="DH50" s="20"/>
      <c r="DI50" s="20"/>
      <c r="DJ50" s="20"/>
      <c r="DK50" s="20"/>
      <c r="DL50" s="20"/>
      <c r="DM50" s="20"/>
      <c r="DN50" s="20"/>
      <c r="DO50" s="20"/>
      <c r="DP50" s="20"/>
      <c r="DQ50" s="20"/>
      <c r="DR50" s="20"/>
      <c r="DS50" s="20"/>
      <c r="DT50" s="20"/>
      <c r="DU50" s="20"/>
      <c r="DV50" s="20"/>
      <c r="DW50" s="20"/>
      <c r="DX50" s="20"/>
      <c r="DY50" s="20"/>
      <c r="DZ50" s="20"/>
      <c r="EA50" s="20"/>
      <c r="EB50" s="20"/>
      <c r="EC50" s="20"/>
      <c r="ED50" s="20"/>
      <c r="EE50" s="20"/>
      <c r="EF50" s="20"/>
      <c r="EG50" s="20"/>
      <c r="EH50" s="20"/>
      <c r="EI50" s="20"/>
    </row>
    <row r="51" spans="1:139" ht="15" customHeight="1" x14ac:dyDescent="0.25">
      <c r="A51" s="42"/>
      <c r="B51" s="446" t="s">
        <v>91</v>
      </c>
      <c r="C51" s="430" t="s">
        <v>92</v>
      </c>
      <c r="D51" s="474" t="s">
        <v>121</v>
      </c>
      <c r="E51" s="591">
        <v>68</v>
      </c>
      <c r="F51" s="592">
        <v>68</v>
      </c>
      <c r="G51" s="592">
        <v>68</v>
      </c>
      <c r="H51" s="592">
        <v>68</v>
      </c>
      <c r="I51" s="592">
        <v>68</v>
      </c>
      <c r="J51" s="592">
        <v>68</v>
      </c>
      <c r="K51" s="600">
        <v>68</v>
      </c>
      <c r="L51" s="42"/>
      <c r="M51" s="42"/>
      <c r="N51" s="42"/>
      <c r="O51" s="42"/>
      <c r="P51" s="42"/>
      <c r="Q51" s="42"/>
      <c r="R51" s="42"/>
      <c r="S51" s="42"/>
      <c r="T51" s="42"/>
      <c r="U51" s="42"/>
      <c r="W51" s="296"/>
      <c r="X51" s="296"/>
      <c r="Y51" s="296"/>
      <c r="Z51" s="296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0"/>
      <c r="CD51" s="20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0"/>
      <c r="CR51" s="20"/>
      <c r="CS51" s="20"/>
      <c r="CT51" s="20"/>
      <c r="CU51" s="20"/>
      <c r="CV51" s="20"/>
      <c r="CW51" s="20"/>
      <c r="CX51" s="20"/>
      <c r="CY51" s="20"/>
      <c r="CZ51" s="20"/>
      <c r="DA51" s="20"/>
      <c r="DB51" s="20"/>
      <c r="DC51" s="20"/>
      <c r="DD51" s="20"/>
      <c r="DE51" s="20"/>
      <c r="DF51" s="20"/>
      <c r="DG51" s="20"/>
      <c r="DH51" s="20"/>
      <c r="DI51" s="20"/>
      <c r="DJ51" s="20"/>
      <c r="DK51" s="20"/>
      <c r="DL51" s="20"/>
      <c r="DM51" s="20"/>
      <c r="DN51" s="20"/>
      <c r="DO51" s="20"/>
      <c r="DP51" s="20"/>
      <c r="DQ51" s="20"/>
      <c r="DR51" s="20"/>
      <c r="DS51" s="20"/>
      <c r="DT51" s="20"/>
      <c r="DU51" s="20"/>
      <c r="DV51" s="20"/>
      <c r="DW51" s="20"/>
      <c r="DX51" s="20"/>
      <c r="DY51" s="20"/>
      <c r="DZ51" s="20"/>
      <c r="EA51" s="20"/>
      <c r="EB51" s="20"/>
      <c r="EC51" s="20"/>
      <c r="ED51" s="20"/>
      <c r="EE51" s="20"/>
      <c r="EF51" s="20"/>
      <c r="EG51" s="20"/>
      <c r="EH51" s="20"/>
      <c r="EI51" s="20"/>
    </row>
    <row r="52" spans="1:139" x14ac:dyDescent="0.25">
      <c r="A52" s="42"/>
      <c r="B52" s="446" t="s">
        <v>93</v>
      </c>
      <c r="C52" s="430" t="s">
        <v>94</v>
      </c>
      <c r="D52" s="474" t="s">
        <v>61</v>
      </c>
      <c r="E52" s="591">
        <v>1.5</v>
      </c>
      <c r="F52" s="592">
        <v>1.2</v>
      </c>
      <c r="G52" s="593">
        <v>0.8</v>
      </c>
      <c r="H52" s="593">
        <v>0.8</v>
      </c>
      <c r="I52" s="593">
        <v>4</v>
      </c>
      <c r="J52" s="599">
        <v>4</v>
      </c>
      <c r="K52" s="600">
        <v>2</v>
      </c>
      <c r="L52" s="42"/>
      <c r="M52" s="42"/>
      <c r="N52" s="42"/>
      <c r="O52" s="42"/>
      <c r="P52" s="42"/>
      <c r="Q52" s="42"/>
      <c r="R52" s="42"/>
      <c r="S52" s="42"/>
      <c r="T52" s="42"/>
      <c r="U52" s="42"/>
      <c r="W52" s="296"/>
      <c r="X52" s="296"/>
      <c r="Y52" s="296"/>
      <c r="Z52" s="296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20"/>
      <c r="DS52" s="20"/>
      <c r="DT52" s="20"/>
      <c r="DU52" s="20"/>
      <c r="DV52" s="20"/>
      <c r="DW52" s="20"/>
      <c r="DX52" s="20"/>
      <c r="DY52" s="20"/>
      <c r="DZ52" s="20"/>
      <c r="EA52" s="20"/>
      <c r="EB52" s="20"/>
      <c r="EC52" s="20"/>
      <c r="ED52" s="20"/>
      <c r="EE52" s="20"/>
      <c r="EF52" s="20"/>
      <c r="EG52" s="20"/>
      <c r="EH52" s="20"/>
      <c r="EI52" s="20"/>
    </row>
    <row r="53" spans="1:139" x14ac:dyDescent="0.25">
      <c r="A53" s="42"/>
      <c r="B53" s="446" t="s">
        <v>95</v>
      </c>
      <c r="C53" s="430" t="s">
        <v>96</v>
      </c>
      <c r="D53" s="474" t="s">
        <v>122</v>
      </c>
      <c r="E53" s="591" t="s">
        <v>97</v>
      </c>
      <c r="F53" s="592" t="s">
        <v>97</v>
      </c>
      <c r="G53" s="592" t="s">
        <v>97</v>
      </c>
      <c r="H53" s="592" t="s">
        <v>97</v>
      </c>
      <c r="I53" s="593" t="s">
        <v>98</v>
      </c>
      <c r="J53" s="599" t="s">
        <v>98</v>
      </c>
      <c r="K53" s="600" t="s">
        <v>98</v>
      </c>
      <c r="L53" s="42"/>
      <c r="M53" s="42"/>
      <c r="N53" s="42"/>
      <c r="O53" s="42"/>
      <c r="P53" s="42"/>
      <c r="Q53" s="42"/>
      <c r="R53" s="42"/>
      <c r="S53" s="42"/>
      <c r="T53" s="42"/>
      <c r="U53" s="42"/>
      <c r="W53" s="296"/>
      <c r="X53" s="515"/>
      <c r="Y53" s="515"/>
      <c r="Z53" s="515"/>
      <c r="AA53" s="515" t="s">
        <v>574</v>
      </c>
      <c r="AB53" s="515" t="s">
        <v>452</v>
      </c>
      <c r="AC53" t="s">
        <v>576</v>
      </c>
      <c r="AD53" s="515" t="s">
        <v>575</v>
      </c>
      <c r="AE53" s="515"/>
      <c r="AF53" s="515"/>
      <c r="AG53" s="515"/>
      <c r="AH53" s="515"/>
      <c r="AI53" s="515"/>
      <c r="AJ53" s="515"/>
      <c r="AK53" s="515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0"/>
      <c r="BP53" s="20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0"/>
      <c r="CD53" s="20"/>
      <c r="CE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20"/>
      <c r="CR53" s="20"/>
      <c r="CS53" s="20"/>
      <c r="CT53" s="20"/>
      <c r="CU53" s="20"/>
      <c r="CV53" s="20"/>
      <c r="CW53" s="20"/>
      <c r="CX53" s="20"/>
      <c r="CY53" s="20"/>
      <c r="CZ53" s="20"/>
      <c r="DA53" s="20"/>
      <c r="DB53" s="20"/>
      <c r="DC53" s="20"/>
      <c r="DD53" s="20"/>
      <c r="DE53" s="20"/>
      <c r="DF53" s="20"/>
      <c r="DG53" s="20"/>
      <c r="DH53" s="20"/>
      <c r="DI53" s="20"/>
      <c r="DJ53" s="20"/>
      <c r="DK53" s="20"/>
      <c r="DL53" s="20"/>
      <c r="DM53" s="20"/>
      <c r="DN53" s="20"/>
      <c r="DO53" s="20"/>
      <c r="DP53" s="20"/>
      <c r="DQ53" s="20"/>
      <c r="DR53" s="20"/>
      <c r="DS53" s="20"/>
      <c r="DT53" s="20"/>
      <c r="DU53" s="20"/>
      <c r="DV53" s="20"/>
      <c r="DW53" s="20"/>
      <c r="DX53" s="20"/>
      <c r="DY53" s="20"/>
      <c r="DZ53" s="20"/>
      <c r="EA53" s="20"/>
      <c r="EB53" s="20"/>
      <c r="EC53" s="20"/>
      <c r="ED53" s="20"/>
      <c r="EE53" s="20"/>
      <c r="EF53" s="20"/>
      <c r="EG53" s="20"/>
      <c r="EH53" s="20"/>
      <c r="EI53" s="20"/>
    </row>
    <row r="54" spans="1:139" x14ac:dyDescent="0.25">
      <c r="A54" s="42"/>
      <c r="B54" s="446" t="s">
        <v>99</v>
      </c>
      <c r="C54" s="430" t="s">
        <v>100</v>
      </c>
      <c r="D54" s="474" t="s">
        <v>122</v>
      </c>
      <c r="E54" s="591" t="s">
        <v>572</v>
      </c>
      <c r="F54" s="592" t="s">
        <v>572</v>
      </c>
      <c r="G54" s="592" t="s">
        <v>572</v>
      </c>
      <c r="H54" s="592" t="s">
        <v>572</v>
      </c>
      <c r="I54" s="593">
        <v>30</v>
      </c>
      <c r="J54" s="599">
        <v>30</v>
      </c>
      <c r="K54" s="600">
        <v>30</v>
      </c>
      <c r="L54" s="42"/>
      <c r="M54" s="42"/>
      <c r="N54" s="42"/>
      <c r="O54" s="42"/>
      <c r="P54" s="42"/>
      <c r="Q54" s="42"/>
      <c r="R54" s="42"/>
      <c r="S54" s="42"/>
      <c r="T54" s="42"/>
      <c r="U54" s="42"/>
      <c r="W54" s="20"/>
      <c r="X54" s="515"/>
      <c r="Y54" s="515"/>
      <c r="Z54" s="515">
        <v>1</v>
      </c>
      <c r="AA54" s="515">
        <v>4.5350000000000001</v>
      </c>
      <c r="AB54" s="515">
        <f>+AA54-AC54-AD54</f>
        <v>2.2929999999999997</v>
      </c>
      <c r="AC54" s="515">
        <v>0.126</v>
      </c>
      <c r="AD54" s="515">
        <f>0.193*2+1.73</f>
        <v>2.1160000000000001</v>
      </c>
      <c r="AE54" s="515"/>
      <c r="AF54" s="515"/>
      <c r="AG54" s="515"/>
      <c r="AH54" s="515"/>
      <c r="AI54" s="515"/>
      <c r="AJ54" s="515"/>
      <c r="AK54" s="515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0"/>
      <c r="CD54" s="20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0"/>
      <c r="CR54" s="20"/>
      <c r="CS54" s="20"/>
      <c r="CT54" s="20"/>
      <c r="CU54" s="20"/>
      <c r="CV54" s="20"/>
      <c r="CW54" s="20"/>
      <c r="CX54" s="20"/>
      <c r="CY54" s="20"/>
      <c r="CZ54" s="20"/>
      <c r="DA54" s="20"/>
      <c r="DB54" s="20"/>
      <c r="DC54" s="20"/>
      <c r="DD54" s="20"/>
      <c r="DE54" s="20"/>
      <c r="DF54" s="20"/>
      <c r="DG54" s="20"/>
      <c r="DH54" s="20"/>
      <c r="DI54" s="20"/>
      <c r="DJ54" s="20"/>
      <c r="DK54" s="20"/>
      <c r="DL54" s="20"/>
      <c r="DM54" s="20"/>
      <c r="DN54" s="20"/>
      <c r="DO54" s="20"/>
      <c r="DP54" s="20"/>
      <c r="DQ54" s="20"/>
      <c r="DR54" s="20"/>
      <c r="DS54" s="20"/>
      <c r="DT54" s="20"/>
      <c r="DU54" s="20"/>
      <c r="DV54" s="20"/>
      <c r="DW54" s="20"/>
      <c r="DX54" s="20"/>
      <c r="DY54" s="20"/>
      <c r="DZ54" s="20"/>
      <c r="EA54" s="20"/>
      <c r="EB54" s="20"/>
      <c r="EC54" s="20"/>
      <c r="ED54" s="20"/>
      <c r="EE54" s="20"/>
      <c r="EF54" s="20"/>
      <c r="EG54" s="20"/>
      <c r="EH54" s="20"/>
      <c r="EI54" s="20"/>
    </row>
    <row r="55" spans="1:139" x14ac:dyDescent="0.25">
      <c r="A55" s="42"/>
      <c r="B55" s="446" t="s">
        <v>101</v>
      </c>
      <c r="C55" s="430" t="s">
        <v>102</v>
      </c>
      <c r="D55" s="474" t="s">
        <v>61</v>
      </c>
      <c r="E55" s="591">
        <v>0</v>
      </c>
      <c r="F55" s="592">
        <v>0</v>
      </c>
      <c r="G55" s="593">
        <v>0</v>
      </c>
      <c r="H55" s="593">
        <v>0</v>
      </c>
      <c r="I55" s="593">
        <v>0.1</v>
      </c>
      <c r="J55" s="599">
        <v>0.1</v>
      </c>
      <c r="K55" s="600">
        <v>0.1</v>
      </c>
      <c r="L55" s="42"/>
      <c r="M55" s="42"/>
      <c r="N55" s="42"/>
      <c r="O55" s="42"/>
      <c r="P55" s="42"/>
      <c r="Q55" s="42"/>
      <c r="R55" s="42"/>
      <c r="S55" s="42"/>
      <c r="T55" s="42"/>
      <c r="U55" s="42"/>
      <c r="W55" s="20"/>
      <c r="X55" s="515"/>
      <c r="Y55" s="515"/>
      <c r="Z55" s="515">
        <v>2</v>
      </c>
      <c r="AA55" s="515">
        <v>3.33</v>
      </c>
      <c r="AB55" s="515">
        <f t="shared" ref="AB55:AB60" si="14">+AA55-AC55-AD55</f>
        <v>1.6870000000000001</v>
      </c>
      <c r="AC55" s="515">
        <v>0.06</v>
      </c>
      <c r="AD55" s="515">
        <v>1.583</v>
      </c>
      <c r="AE55" s="515"/>
      <c r="AF55" s="515"/>
      <c r="AG55" s="515"/>
      <c r="AH55" s="515"/>
      <c r="AI55" s="515"/>
      <c r="AJ55" s="515"/>
      <c r="AK55" s="515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0"/>
      <c r="BP55" s="20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0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20"/>
      <c r="CY55" s="20"/>
      <c r="CZ55" s="20"/>
      <c r="DA55" s="20"/>
      <c r="DB55" s="20"/>
      <c r="DC55" s="20"/>
      <c r="DD55" s="20"/>
      <c r="DE55" s="20"/>
      <c r="DF55" s="20"/>
      <c r="DG55" s="20"/>
      <c r="DH55" s="20"/>
      <c r="DI55" s="20"/>
      <c r="DJ55" s="20"/>
      <c r="DK55" s="20"/>
      <c r="DL55" s="20"/>
      <c r="DM55" s="20"/>
      <c r="DN55" s="20"/>
      <c r="DO55" s="20"/>
      <c r="DP55" s="20"/>
      <c r="DQ55" s="20"/>
      <c r="DR55" s="20"/>
      <c r="DS55" s="20"/>
      <c r="DT55" s="20"/>
      <c r="DU55" s="20"/>
      <c r="DV55" s="20"/>
      <c r="DW55" s="20"/>
      <c r="DX55" s="20"/>
      <c r="DY55" s="20"/>
      <c r="DZ55" s="20"/>
      <c r="EA55" s="20"/>
      <c r="EB55" s="20"/>
      <c r="EC55" s="20"/>
      <c r="ED55" s="20"/>
      <c r="EE55" s="20"/>
      <c r="EF55" s="20"/>
      <c r="EG55" s="20"/>
      <c r="EH55" s="20"/>
      <c r="EI55" s="20"/>
    </row>
    <row r="56" spans="1:139" x14ac:dyDescent="0.25">
      <c r="A56" s="42"/>
      <c r="B56" s="446" t="s">
        <v>103</v>
      </c>
      <c r="C56" s="430" t="s">
        <v>104</v>
      </c>
      <c r="D56" s="474" t="s">
        <v>61</v>
      </c>
      <c r="E56" s="591">
        <v>0.18</v>
      </c>
      <c r="F56" s="592">
        <v>0</v>
      </c>
      <c r="G56" s="593">
        <v>0</v>
      </c>
      <c r="H56" s="593">
        <v>0</v>
      </c>
      <c r="I56" s="593">
        <v>0</v>
      </c>
      <c r="J56" s="599">
        <v>0</v>
      </c>
      <c r="K56" s="600">
        <v>0</v>
      </c>
      <c r="L56" s="42"/>
      <c r="M56" s="42"/>
      <c r="N56" s="42"/>
      <c r="O56" s="42"/>
      <c r="P56" s="42"/>
      <c r="Q56" s="42"/>
      <c r="R56" s="42"/>
      <c r="S56" s="42"/>
      <c r="T56" s="42"/>
      <c r="U56" s="42"/>
      <c r="W56" s="20"/>
      <c r="X56" s="515"/>
      <c r="Y56" s="515"/>
      <c r="Z56" s="515">
        <v>3</v>
      </c>
      <c r="AA56" s="515">
        <v>1.238</v>
      </c>
      <c r="AB56" s="515">
        <f t="shared" si="14"/>
        <v>0.62800000000000011</v>
      </c>
      <c r="AC56" s="515">
        <v>3.3000000000000002E-2</v>
      </c>
      <c r="AD56" s="515">
        <v>0.57699999999999996</v>
      </c>
      <c r="AE56" s="515"/>
      <c r="AF56" s="515"/>
      <c r="AG56" s="515"/>
      <c r="AH56" s="515"/>
      <c r="AI56" s="515"/>
      <c r="AJ56" s="515"/>
      <c r="AK56" s="515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0"/>
      <c r="BP56" s="20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0"/>
      <c r="CR56" s="20"/>
      <c r="CS56" s="20"/>
      <c r="CT56" s="20"/>
      <c r="CU56" s="20"/>
      <c r="CV56" s="20"/>
      <c r="CW56" s="20"/>
      <c r="CX56" s="20"/>
      <c r="CY56" s="20"/>
      <c r="CZ56" s="20"/>
      <c r="DA56" s="20"/>
      <c r="DB56" s="20"/>
      <c r="DC56" s="20"/>
      <c r="DD56" s="20"/>
      <c r="DE56" s="20"/>
      <c r="DF56" s="20"/>
      <c r="DG56" s="20"/>
      <c r="DH56" s="20"/>
      <c r="DI56" s="20"/>
      <c r="DJ56" s="20"/>
      <c r="DK56" s="20"/>
      <c r="DL56" s="20"/>
      <c r="DM56" s="20"/>
      <c r="DN56" s="20"/>
      <c r="DO56" s="20"/>
      <c r="DP56" s="20"/>
      <c r="DQ56" s="20"/>
      <c r="DR56" s="20"/>
      <c r="DS56" s="20"/>
      <c r="DT56" s="20"/>
      <c r="DU56" s="20"/>
      <c r="DV56" s="20"/>
      <c r="DW56" s="20"/>
      <c r="DX56" s="20"/>
      <c r="DY56" s="20"/>
      <c r="DZ56" s="20"/>
      <c r="EA56" s="20"/>
      <c r="EB56" s="20"/>
      <c r="EC56" s="20"/>
      <c r="ED56" s="20"/>
      <c r="EE56" s="20"/>
      <c r="EF56" s="20"/>
      <c r="EG56" s="20"/>
      <c r="EH56" s="20"/>
      <c r="EI56" s="20"/>
    </row>
    <row r="57" spans="1:139" x14ac:dyDescent="0.25">
      <c r="A57" s="42"/>
      <c r="B57" s="446" t="s">
        <v>105</v>
      </c>
      <c r="C57" s="430" t="s">
        <v>106</v>
      </c>
      <c r="D57" s="474" t="s">
        <v>61</v>
      </c>
      <c r="E57" s="591">
        <v>0</v>
      </c>
      <c r="F57" s="592">
        <v>0</v>
      </c>
      <c r="G57" s="593">
        <v>0</v>
      </c>
      <c r="H57" s="593">
        <v>0</v>
      </c>
      <c r="I57" s="593">
        <v>0</v>
      </c>
      <c r="J57" s="599">
        <v>0</v>
      </c>
      <c r="K57" s="600">
        <v>0</v>
      </c>
      <c r="L57" s="42"/>
      <c r="M57" s="42"/>
      <c r="N57" s="42"/>
      <c r="O57" s="42"/>
      <c r="P57" s="42"/>
      <c r="Q57" s="42"/>
      <c r="R57" s="42"/>
      <c r="S57" s="42"/>
      <c r="T57" s="42"/>
      <c r="U57" s="42"/>
      <c r="W57" s="20"/>
      <c r="X57" s="515"/>
      <c r="Y57" s="515"/>
      <c r="Z57" s="515">
        <v>4</v>
      </c>
      <c r="AA57" s="515">
        <v>1.238</v>
      </c>
      <c r="AB57" s="515">
        <f t="shared" si="14"/>
        <v>0.62800000000000011</v>
      </c>
      <c r="AC57" s="515">
        <v>3.3000000000000002E-2</v>
      </c>
      <c r="AD57" s="515">
        <v>0.57699999999999996</v>
      </c>
      <c r="AE57" s="515"/>
      <c r="AF57" s="515"/>
      <c r="AG57" s="515"/>
      <c r="AH57" s="515"/>
      <c r="AI57" s="515"/>
      <c r="AJ57" s="515"/>
      <c r="AK57" s="515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0"/>
      <c r="CR57" s="20"/>
      <c r="CS57" s="20"/>
      <c r="CT57" s="20"/>
      <c r="CU57" s="20"/>
      <c r="CV57" s="20"/>
      <c r="CW57" s="20"/>
      <c r="CX57" s="20"/>
      <c r="CY57" s="20"/>
      <c r="CZ57" s="20"/>
      <c r="DA57" s="20"/>
      <c r="DB57" s="20"/>
      <c r="DC57" s="20"/>
      <c r="DD57" s="20"/>
      <c r="DE57" s="20"/>
      <c r="DF57" s="20"/>
      <c r="DG57" s="20"/>
      <c r="DH57" s="20"/>
      <c r="DI57" s="20"/>
      <c r="DJ57" s="20"/>
      <c r="DK57" s="20"/>
      <c r="DL57" s="20"/>
      <c r="DM57" s="20"/>
      <c r="DN57" s="20"/>
      <c r="DO57" s="20"/>
      <c r="DP57" s="20"/>
      <c r="DQ57" s="20"/>
      <c r="DR57" s="20"/>
      <c r="DS57" s="20"/>
      <c r="DT57" s="20"/>
      <c r="DU57" s="20"/>
      <c r="DV57" s="20"/>
      <c r="DW57" s="20"/>
      <c r="DX57" s="20"/>
      <c r="DY57" s="20"/>
      <c r="DZ57" s="20"/>
      <c r="EA57" s="20"/>
      <c r="EB57" s="20"/>
      <c r="EC57" s="20"/>
      <c r="ED57" s="20"/>
      <c r="EE57" s="20"/>
      <c r="EF57" s="20"/>
      <c r="EG57" s="20"/>
      <c r="EH57" s="20"/>
      <c r="EI57" s="20"/>
    </row>
    <row r="58" spans="1:139" x14ac:dyDescent="0.25">
      <c r="A58" s="42"/>
      <c r="B58" s="446" t="s">
        <v>107</v>
      </c>
      <c r="C58" s="430" t="s">
        <v>108</v>
      </c>
      <c r="D58" s="474" t="s">
        <v>61</v>
      </c>
      <c r="E58" s="591">
        <v>0</v>
      </c>
      <c r="F58" s="592">
        <v>0</v>
      </c>
      <c r="G58" s="593">
        <v>0</v>
      </c>
      <c r="H58" s="593">
        <v>0</v>
      </c>
      <c r="I58" s="593">
        <v>0</v>
      </c>
      <c r="J58" s="599">
        <v>0</v>
      </c>
      <c r="K58" s="600">
        <v>0</v>
      </c>
      <c r="L58" s="42"/>
      <c r="M58" s="42"/>
      <c r="N58" s="42"/>
      <c r="O58" s="42"/>
      <c r="P58" s="42"/>
      <c r="Q58" s="42"/>
      <c r="R58" s="42"/>
      <c r="S58" s="42"/>
      <c r="T58" s="42"/>
      <c r="U58" s="42"/>
      <c r="W58" s="20"/>
      <c r="X58" s="515"/>
      <c r="Y58" s="515"/>
      <c r="Z58" s="515">
        <v>5</v>
      </c>
      <c r="AA58" s="515">
        <v>39.570999999999998</v>
      </c>
      <c r="AB58" s="515">
        <f t="shared" si="14"/>
        <v>31.852999999999998</v>
      </c>
      <c r="AC58" s="515">
        <v>7.2999999999999995E-2</v>
      </c>
      <c r="AD58" s="515">
        <f>7.127+2*0.179+2*0.08</f>
        <v>7.6449999999999996</v>
      </c>
      <c r="AE58" s="515"/>
      <c r="AF58" s="515"/>
      <c r="AG58" s="515"/>
      <c r="AH58" s="515"/>
      <c r="AI58" s="515"/>
      <c r="AJ58" s="515"/>
      <c r="AK58" s="515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  <c r="CZ58" s="20"/>
      <c r="DA58" s="20"/>
      <c r="DB58" s="20"/>
      <c r="DC58" s="20"/>
      <c r="DD58" s="20"/>
      <c r="DE58" s="20"/>
      <c r="DF58" s="20"/>
      <c r="DG58" s="20"/>
      <c r="DH58" s="20"/>
      <c r="DI58" s="20"/>
      <c r="DJ58" s="20"/>
      <c r="DK58" s="20"/>
      <c r="DL58" s="20"/>
      <c r="DM58" s="20"/>
      <c r="DN58" s="20"/>
      <c r="DO58" s="20"/>
      <c r="DP58" s="20"/>
      <c r="DQ58" s="20"/>
      <c r="DR58" s="20"/>
      <c r="DS58" s="20"/>
      <c r="DT58" s="20"/>
      <c r="DU58" s="20"/>
      <c r="DV58" s="20"/>
      <c r="DW58" s="20"/>
      <c r="DX58" s="20"/>
      <c r="DY58" s="20"/>
      <c r="DZ58" s="20"/>
      <c r="EA58" s="20"/>
      <c r="EB58" s="20"/>
      <c r="EC58" s="20"/>
      <c r="ED58" s="20"/>
      <c r="EE58" s="20"/>
      <c r="EF58" s="20"/>
      <c r="EG58" s="20"/>
      <c r="EH58" s="20"/>
      <c r="EI58" s="20"/>
    </row>
    <row r="59" spans="1:139" ht="15.75" thickBot="1" x14ac:dyDescent="0.3">
      <c r="A59" s="42"/>
      <c r="B59" s="475" t="s">
        <v>292</v>
      </c>
      <c r="C59" s="432" t="s">
        <v>293</v>
      </c>
      <c r="D59" s="476" t="s">
        <v>61</v>
      </c>
      <c r="E59" s="594">
        <f>+(3/4*25.4)/1000</f>
        <v>1.9049999999999997E-2</v>
      </c>
      <c r="F59" s="595">
        <f>+(5/8*25.4)/1000</f>
        <v>1.5875E-2</v>
      </c>
      <c r="G59" s="596">
        <f>+(1/2*25.4)/1000</f>
        <v>1.2699999999999999E-2</v>
      </c>
      <c r="H59" s="596">
        <f>+(1/2*25.4)/1000</f>
        <v>1.2699999999999999E-2</v>
      </c>
      <c r="I59" s="596">
        <f>+(1/4*25.4)/1000</f>
        <v>6.3499999999999997E-3</v>
      </c>
      <c r="J59" s="601">
        <f>+(1/4*25.4)/1000</f>
        <v>6.3499999999999997E-3</v>
      </c>
      <c r="K59" s="602">
        <f>+(1/4*25.4)/1000</f>
        <v>6.3499999999999997E-3</v>
      </c>
      <c r="L59" s="42"/>
      <c r="M59" s="42"/>
      <c r="N59" s="42"/>
      <c r="O59" s="42"/>
      <c r="P59" s="42"/>
      <c r="Q59" s="42"/>
      <c r="R59" s="42"/>
      <c r="S59" s="42"/>
      <c r="T59" s="42"/>
      <c r="U59" s="42"/>
      <c r="W59" s="20"/>
      <c r="X59" s="515"/>
      <c r="Y59" s="515"/>
      <c r="Z59" s="515">
        <v>6</v>
      </c>
      <c r="AA59" s="515">
        <v>39.570999999999998</v>
      </c>
      <c r="AB59" s="515">
        <f t="shared" si="14"/>
        <v>31.852999999999998</v>
      </c>
      <c r="AC59" s="515">
        <v>7.2999999999999995E-2</v>
      </c>
      <c r="AD59" s="515">
        <f>7.127+2*0.179+2*0.08</f>
        <v>7.6449999999999996</v>
      </c>
      <c r="AE59" s="515"/>
      <c r="AF59" s="515"/>
      <c r="AG59" s="515"/>
      <c r="AH59" s="515"/>
      <c r="AI59" s="515"/>
      <c r="AJ59" s="515"/>
      <c r="AK59" s="515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0"/>
      <c r="BP59" s="20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0"/>
      <c r="CD59" s="20"/>
      <c r="CE59" s="20"/>
      <c r="CF59" s="20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0"/>
      <c r="CR59" s="20"/>
      <c r="CS59" s="20"/>
      <c r="CT59" s="20"/>
      <c r="CU59" s="20"/>
      <c r="CV59" s="20"/>
      <c r="CW59" s="20"/>
      <c r="CX59" s="20"/>
      <c r="CY59" s="20"/>
      <c r="CZ59" s="20"/>
      <c r="DA59" s="20"/>
      <c r="DB59" s="20"/>
      <c r="DC59" s="20"/>
      <c r="DD59" s="20"/>
      <c r="DE59" s="20"/>
      <c r="DF59" s="20"/>
      <c r="DG59" s="20"/>
      <c r="DH59" s="20"/>
      <c r="DI59" s="20"/>
      <c r="DJ59" s="20"/>
      <c r="DK59" s="20"/>
      <c r="DL59" s="20"/>
      <c r="DM59" s="20"/>
      <c r="DN59" s="20"/>
      <c r="DO59" s="20"/>
      <c r="DP59" s="20"/>
      <c r="DQ59" s="20"/>
      <c r="DR59" s="20"/>
      <c r="DS59" s="20"/>
      <c r="DT59" s="20"/>
      <c r="DU59" s="20"/>
      <c r="DV59" s="20"/>
      <c r="DW59" s="20"/>
      <c r="DX59" s="20"/>
      <c r="DY59" s="20"/>
      <c r="DZ59" s="20"/>
      <c r="EA59" s="20"/>
      <c r="EB59" s="20"/>
      <c r="EC59" s="20"/>
      <c r="ED59" s="20"/>
      <c r="EE59" s="20"/>
      <c r="EF59" s="20"/>
      <c r="EG59" s="20"/>
      <c r="EH59" s="20"/>
      <c r="EI59" s="20"/>
    </row>
    <row r="60" spans="1:139" ht="15.75" thickBot="1" x14ac:dyDescent="0.3">
      <c r="A60" s="42"/>
      <c r="B60" s="20"/>
      <c r="C60" s="20"/>
      <c r="D60" s="36"/>
      <c r="E60" s="20"/>
      <c r="F60" s="43"/>
      <c r="G60" s="20"/>
      <c r="H60" s="20"/>
      <c r="I60" s="20"/>
      <c r="J60" s="43"/>
      <c r="K60" s="20"/>
      <c r="L60" s="42"/>
      <c r="M60" s="42"/>
      <c r="N60" s="42"/>
      <c r="O60" s="42"/>
      <c r="P60" s="42"/>
      <c r="Q60" s="42"/>
      <c r="R60" s="42"/>
      <c r="S60" s="42"/>
      <c r="T60" s="42"/>
      <c r="U60" s="42"/>
      <c r="W60" s="20"/>
      <c r="X60" s="515"/>
      <c r="Y60" s="515"/>
      <c r="Z60" s="515">
        <v>7</v>
      </c>
      <c r="AA60" s="515">
        <v>19.986999999999998</v>
      </c>
      <c r="AB60" s="515">
        <f t="shared" si="14"/>
        <v>16.048999999999999</v>
      </c>
      <c r="AC60" s="515">
        <v>4.8000000000000001E-2</v>
      </c>
      <c r="AD60" s="515">
        <f>3.552+2*0.089+2*0.08</f>
        <v>3.89</v>
      </c>
      <c r="AE60" s="515"/>
      <c r="AF60" s="515"/>
      <c r="AG60" s="515"/>
      <c r="AH60" s="515"/>
      <c r="AI60" s="515"/>
      <c r="AJ60" s="515"/>
      <c r="AK60" s="515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0"/>
      <c r="BP60" s="20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0"/>
      <c r="CD60" s="20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0"/>
      <c r="CR60" s="20"/>
      <c r="CS60" s="20"/>
      <c r="CT60" s="20"/>
      <c r="CU60" s="20"/>
      <c r="CV60" s="20"/>
      <c r="CW60" s="20"/>
      <c r="CX60" s="20"/>
      <c r="CY60" s="20"/>
      <c r="CZ60" s="20"/>
      <c r="DA60" s="20"/>
      <c r="DB60" s="20"/>
      <c r="DC60" s="20"/>
      <c r="DD60" s="20"/>
      <c r="DE60" s="20"/>
      <c r="DF60" s="20"/>
      <c r="DG60" s="20"/>
      <c r="DH60" s="20"/>
      <c r="DI60" s="20"/>
      <c r="DJ60" s="20"/>
      <c r="DK60" s="20"/>
      <c r="DL60" s="20"/>
      <c r="DM60" s="20"/>
      <c r="DN60" s="20"/>
      <c r="DO60" s="20"/>
      <c r="DP60" s="20"/>
      <c r="DQ60" s="20"/>
      <c r="DR60" s="20"/>
      <c r="DS60" s="20"/>
      <c r="DT60" s="20"/>
      <c r="DU60" s="20"/>
      <c r="DV60" s="20"/>
      <c r="DW60" s="20"/>
      <c r="DX60" s="20"/>
      <c r="DY60" s="20"/>
      <c r="DZ60" s="20"/>
      <c r="EA60" s="20"/>
      <c r="EB60" s="20"/>
      <c r="EC60" s="20"/>
      <c r="ED60" s="20"/>
      <c r="EE60" s="20"/>
      <c r="EF60" s="20"/>
      <c r="EG60" s="20"/>
      <c r="EH60" s="20"/>
      <c r="EI60" s="20"/>
    </row>
    <row r="61" spans="1:139" x14ac:dyDescent="0.25">
      <c r="A61" s="42"/>
      <c r="B61" s="457" t="s">
        <v>109</v>
      </c>
      <c r="C61" s="130" t="s">
        <v>110</v>
      </c>
      <c r="D61" s="131" t="s">
        <v>573</v>
      </c>
      <c r="E61" s="487">
        <v>1.456</v>
      </c>
      <c r="F61" s="488">
        <v>1.1499999999999999</v>
      </c>
      <c r="G61" s="489">
        <v>0.86899999999999999</v>
      </c>
      <c r="H61" s="489">
        <v>0.82399999999999995</v>
      </c>
      <c r="I61" s="489">
        <v>0.627</v>
      </c>
      <c r="J61" s="489">
        <v>0.49199999999999999</v>
      </c>
      <c r="K61" s="490">
        <v>0.49199999999999999</v>
      </c>
      <c r="L61" s="42"/>
      <c r="M61" s="42"/>
      <c r="N61" s="42"/>
      <c r="O61" s="42"/>
      <c r="P61" s="42"/>
      <c r="Q61" s="42"/>
      <c r="R61" s="42"/>
      <c r="S61" s="42"/>
      <c r="T61" s="42"/>
      <c r="U61" s="42"/>
      <c r="W61" s="20"/>
      <c r="X61" s="515"/>
      <c r="Y61" s="515"/>
      <c r="Z61" s="515"/>
      <c r="AA61" s="515"/>
      <c r="AB61" s="515"/>
      <c r="AC61" s="515"/>
      <c r="AD61" s="515"/>
      <c r="AE61" s="515"/>
      <c r="AF61" s="515"/>
      <c r="AG61" s="515"/>
      <c r="AH61" s="515"/>
      <c r="AI61" s="515"/>
      <c r="AJ61" s="515"/>
      <c r="AK61" s="515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0"/>
      <c r="BP61" s="20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0"/>
      <c r="CD61" s="20"/>
      <c r="CE61" s="20"/>
      <c r="CF61" s="20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0"/>
      <c r="CR61" s="20"/>
      <c r="CS61" s="20"/>
      <c r="CT61" s="20"/>
      <c r="CU61" s="20"/>
      <c r="CV61" s="20"/>
      <c r="CW61" s="20"/>
      <c r="CX61" s="20"/>
      <c r="CY61" s="20"/>
      <c r="CZ61" s="20"/>
      <c r="DA61" s="20"/>
      <c r="DB61" s="20"/>
      <c r="DC61" s="20"/>
      <c r="DD61" s="20"/>
      <c r="DE61" s="20"/>
      <c r="DF61" s="20"/>
      <c r="DG61" s="20"/>
      <c r="DH61" s="20"/>
      <c r="DI61" s="20"/>
      <c r="DJ61" s="20"/>
      <c r="DK61" s="20"/>
      <c r="DL61" s="20"/>
      <c r="DM61" s="20"/>
      <c r="DN61" s="20"/>
      <c r="DO61" s="20"/>
      <c r="DP61" s="20"/>
      <c r="DQ61" s="20"/>
      <c r="DR61" s="20"/>
      <c r="DS61" s="20"/>
      <c r="DT61" s="20"/>
      <c r="DU61" s="20"/>
      <c r="DV61" s="20"/>
      <c r="DW61" s="20"/>
      <c r="DX61" s="20"/>
      <c r="DY61" s="20"/>
      <c r="DZ61" s="20"/>
      <c r="EA61" s="20"/>
      <c r="EB61" s="20"/>
      <c r="EC61" s="20"/>
      <c r="ED61" s="20"/>
      <c r="EE61" s="20"/>
      <c r="EF61" s="20"/>
      <c r="EG61" s="20"/>
      <c r="EH61" s="20"/>
      <c r="EI61" s="20"/>
    </row>
    <row r="62" spans="1:139" x14ac:dyDescent="0.25">
      <c r="A62" s="42"/>
      <c r="B62" s="137" t="s">
        <v>111</v>
      </c>
      <c r="C62" s="100" t="s">
        <v>112</v>
      </c>
      <c r="D62" s="99" t="s">
        <v>61</v>
      </c>
      <c r="E62" s="491">
        <v>4.944</v>
      </c>
      <c r="F62" s="492">
        <v>5.085</v>
      </c>
      <c r="G62" s="493">
        <v>3.9790000000000001</v>
      </c>
      <c r="H62" s="493">
        <v>3.8889999999999998</v>
      </c>
      <c r="I62" s="493">
        <v>10.722</v>
      </c>
      <c r="J62" s="493">
        <v>10.582000000000001</v>
      </c>
      <c r="K62" s="494">
        <v>10.582000000000001</v>
      </c>
      <c r="L62" s="42"/>
      <c r="M62" s="42"/>
      <c r="N62" s="42"/>
      <c r="O62" s="42"/>
      <c r="P62" s="42"/>
      <c r="Q62" s="42"/>
      <c r="R62" s="42"/>
      <c r="S62" s="42"/>
      <c r="T62" s="42"/>
      <c r="U62" s="42"/>
      <c r="W62" s="20"/>
      <c r="X62" s="515"/>
      <c r="Y62" s="515"/>
      <c r="Z62" s="515"/>
      <c r="AA62" s="515"/>
      <c r="AB62" s="515"/>
      <c r="AC62" s="515"/>
      <c r="AD62" s="515"/>
      <c r="AE62" s="515"/>
      <c r="AF62" s="515"/>
      <c r="AG62" s="515"/>
      <c r="AH62" s="515"/>
      <c r="AI62" s="515"/>
      <c r="AJ62" s="515"/>
      <c r="AK62" s="515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0"/>
      <c r="BP62" s="20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0"/>
      <c r="CR62" s="20"/>
      <c r="CS62" s="20"/>
      <c r="CT62" s="20"/>
      <c r="CU62" s="20"/>
      <c r="CV62" s="20"/>
      <c r="CW62" s="20"/>
      <c r="CX62" s="20"/>
      <c r="CY62" s="20"/>
      <c r="CZ62" s="20"/>
      <c r="DA62" s="20"/>
      <c r="DB62" s="20"/>
      <c r="DC62" s="20"/>
      <c r="DD62" s="20"/>
      <c r="DE62" s="20"/>
      <c r="DF62" s="20"/>
      <c r="DG62" s="20"/>
      <c r="DH62" s="20"/>
      <c r="DI62" s="20"/>
      <c r="DJ62" s="20"/>
      <c r="DK62" s="20"/>
      <c r="DL62" s="20"/>
      <c r="DM62" s="20"/>
      <c r="DN62" s="20"/>
      <c r="DO62" s="20"/>
      <c r="DP62" s="20"/>
      <c r="DQ62" s="20"/>
      <c r="DR62" s="20"/>
      <c r="DS62" s="20"/>
      <c r="DT62" s="20"/>
      <c r="DU62" s="20"/>
      <c r="DV62" s="20"/>
      <c r="DW62" s="20"/>
      <c r="DX62" s="20"/>
      <c r="DY62" s="20"/>
      <c r="DZ62" s="20"/>
      <c r="EA62" s="20"/>
      <c r="EB62" s="20"/>
      <c r="EC62" s="20"/>
      <c r="ED62" s="20"/>
      <c r="EE62" s="20"/>
      <c r="EF62" s="20"/>
      <c r="EG62" s="20"/>
      <c r="EH62" s="20"/>
      <c r="EI62" s="20"/>
    </row>
    <row r="63" spans="1:139" x14ac:dyDescent="0.25">
      <c r="A63" s="42"/>
      <c r="B63" s="137" t="s">
        <v>115</v>
      </c>
      <c r="C63" s="100" t="s">
        <v>116</v>
      </c>
      <c r="D63" s="99" t="s">
        <v>61</v>
      </c>
      <c r="E63" s="495">
        <v>0.77</v>
      </c>
      <c r="F63" s="496">
        <v>0.56599999999999995</v>
      </c>
      <c r="G63" s="497">
        <v>0.71499999999999997</v>
      </c>
      <c r="H63" s="497">
        <v>0.67400000000000004</v>
      </c>
      <c r="I63" s="497">
        <v>0.33900000000000002</v>
      </c>
      <c r="J63" s="497">
        <v>0.26900000000000002</v>
      </c>
      <c r="K63" s="498">
        <v>0.26900000000000002</v>
      </c>
      <c r="L63" s="42"/>
      <c r="M63" s="42"/>
      <c r="N63" s="42"/>
      <c r="O63" s="42"/>
      <c r="P63" s="42"/>
      <c r="Q63" s="42"/>
      <c r="R63" s="42"/>
      <c r="S63" s="42"/>
      <c r="T63" s="42"/>
      <c r="U63" s="42"/>
      <c r="W63" s="20"/>
      <c r="X63" s="515"/>
      <c r="Y63" s="515"/>
      <c r="Z63" s="515"/>
      <c r="AA63" s="515"/>
      <c r="AB63" s="515"/>
      <c r="AC63" s="515"/>
      <c r="AD63" s="515"/>
      <c r="AE63" s="515"/>
      <c r="AF63" s="515"/>
      <c r="AG63" s="515"/>
      <c r="AH63" s="515"/>
      <c r="AI63" s="515"/>
      <c r="AJ63" s="515"/>
      <c r="AK63" s="515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  <c r="BO63" s="20"/>
      <c r="BP63" s="20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0"/>
      <c r="CD63" s="20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0"/>
      <c r="CR63" s="20"/>
      <c r="CS63" s="20"/>
      <c r="CT63" s="20"/>
      <c r="CU63" s="20"/>
      <c r="CV63" s="20"/>
      <c r="CW63" s="20"/>
      <c r="CX63" s="20"/>
      <c r="CY63" s="20"/>
      <c r="CZ63" s="20"/>
      <c r="DA63" s="20"/>
      <c r="DB63" s="20"/>
      <c r="DC63" s="20"/>
      <c r="DD63" s="20"/>
      <c r="DE63" s="20"/>
      <c r="DF63" s="20"/>
      <c r="DG63" s="20"/>
      <c r="DH63" s="20"/>
      <c r="DI63" s="20"/>
      <c r="DJ63" s="20"/>
      <c r="DK63" s="20"/>
      <c r="DL63" s="20"/>
      <c r="DM63" s="20"/>
      <c r="DN63" s="20"/>
      <c r="DO63" s="20"/>
      <c r="DP63" s="20"/>
      <c r="DQ63" s="20"/>
      <c r="DR63" s="20"/>
      <c r="DS63" s="20"/>
      <c r="DT63" s="20"/>
      <c r="DU63" s="20"/>
      <c r="DV63" s="20"/>
      <c r="DW63" s="20"/>
      <c r="DX63" s="20"/>
      <c r="DY63" s="20"/>
      <c r="DZ63" s="20"/>
      <c r="EA63" s="20"/>
      <c r="EB63" s="20"/>
      <c r="EC63" s="20"/>
      <c r="ED63" s="20"/>
      <c r="EE63" s="20"/>
      <c r="EF63" s="20"/>
      <c r="EG63" s="20"/>
      <c r="EH63" s="20"/>
      <c r="EI63" s="20"/>
    </row>
    <row r="64" spans="1:139" x14ac:dyDescent="0.25">
      <c r="A64" s="42"/>
      <c r="B64" s="80" t="s">
        <v>570</v>
      </c>
      <c r="C64" s="81" t="s">
        <v>117</v>
      </c>
      <c r="D64" s="485" t="s">
        <v>28</v>
      </c>
      <c r="E64" s="495">
        <f>2.279+0.426+0.446</f>
        <v>3.1510000000000002</v>
      </c>
      <c r="F64" s="496">
        <f>0.029+0.08+1.614+0.064</f>
        <v>1.7870000000000001</v>
      </c>
      <c r="G64" s="497">
        <f>0.425+0.527</f>
        <v>0.95199999999999996</v>
      </c>
      <c r="H64" s="497">
        <f>0.287+0.076+0.496</f>
        <v>0.85899999999999999</v>
      </c>
      <c r="I64" s="497">
        <f>0.095+1.507</f>
        <v>1.6019999999999999</v>
      </c>
      <c r="J64" s="497">
        <v>1.359</v>
      </c>
      <c r="K64" s="498">
        <v>0.70399999999999996</v>
      </c>
      <c r="L64" s="42"/>
      <c r="M64" s="42"/>
      <c r="N64" s="42"/>
      <c r="O64" s="42"/>
      <c r="P64" s="42"/>
      <c r="Q64" s="42"/>
      <c r="R64" s="42"/>
      <c r="S64" s="42"/>
      <c r="T64" s="42"/>
      <c r="U64" s="42"/>
      <c r="W64" s="20"/>
      <c r="X64" s="515"/>
      <c r="Y64" s="515"/>
      <c r="Z64" s="515"/>
      <c r="AA64" s="515"/>
      <c r="AB64" s="515"/>
      <c r="AC64" s="515"/>
      <c r="AD64" s="515"/>
      <c r="AE64" s="515"/>
      <c r="AF64" s="515"/>
      <c r="AG64" s="515"/>
      <c r="AH64" s="515"/>
      <c r="AI64" s="515"/>
      <c r="AJ64" s="515"/>
      <c r="AK64" s="515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0"/>
      <c r="BP64" s="20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0"/>
      <c r="CD64" s="20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0"/>
      <c r="CR64" s="20"/>
      <c r="CS64" s="20"/>
      <c r="CT64" s="20"/>
      <c r="CU64" s="20"/>
      <c r="CV64" s="20"/>
      <c r="CW64" s="20"/>
      <c r="CX64" s="20"/>
      <c r="CY64" s="20"/>
      <c r="CZ64" s="20"/>
      <c r="DA64" s="20"/>
      <c r="DB64" s="20"/>
      <c r="DC64" s="20"/>
      <c r="DD64" s="20"/>
      <c r="DE64" s="20"/>
      <c r="DF64" s="20"/>
      <c r="DG64" s="20"/>
      <c r="DH64" s="20"/>
      <c r="DI64" s="20"/>
      <c r="DJ64" s="20"/>
      <c r="DK64" s="20"/>
      <c r="DL64" s="20"/>
      <c r="DM64" s="20"/>
      <c r="DN64" s="20"/>
      <c r="DO64" s="20"/>
      <c r="DP64" s="20"/>
      <c r="DQ64" s="20"/>
      <c r="DR64" s="20"/>
      <c r="DS64" s="20"/>
      <c r="DT64" s="20"/>
      <c r="DU64" s="20"/>
      <c r="DV64" s="20"/>
      <c r="DW64" s="20"/>
      <c r="DX64" s="20"/>
      <c r="DY64" s="20"/>
      <c r="DZ64" s="20"/>
      <c r="EA64" s="20"/>
      <c r="EB64" s="20"/>
      <c r="EC64" s="20"/>
      <c r="ED64" s="20"/>
      <c r="EE64" s="20"/>
      <c r="EF64" s="20"/>
      <c r="EG64" s="20"/>
      <c r="EH64" s="20"/>
      <c r="EI64" s="20"/>
    </row>
    <row r="65" spans="1:139" x14ac:dyDescent="0.25">
      <c r="A65" s="42"/>
      <c r="B65" s="80" t="s">
        <v>571</v>
      </c>
      <c r="C65" s="81" t="s">
        <v>118</v>
      </c>
      <c r="D65" s="485" t="s">
        <v>28</v>
      </c>
      <c r="E65" s="495">
        <f>0.421+1.817</f>
        <v>2.238</v>
      </c>
      <c r="F65" s="496">
        <v>1.3029999999999999</v>
      </c>
      <c r="G65" s="497">
        <v>0.86099999999999999</v>
      </c>
      <c r="H65" s="497">
        <f>0.43+0.507</f>
        <v>0.93700000000000006</v>
      </c>
      <c r="I65" s="497">
        <f>7.123+0.641</f>
        <v>7.7640000000000002</v>
      </c>
      <c r="J65" s="497">
        <f>1.033+6.913</f>
        <v>7.9459999999999997</v>
      </c>
      <c r="K65" s="498">
        <v>4.2190000000000003</v>
      </c>
      <c r="L65" s="42"/>
      <c r="M65" s="42"/>
      <c r="N65" s="42"/>
      <c r="O65" s="42"/>
      <c r="P65" s="42"/>
      <c r="Q65" s="42"/>
      <c r="R65" s="42"/>
      <c r="S65" s="42"/>
      <c r="T65" s="42"/>
      <c r="U65" s="42"/>
      <c r="W65" s="20"/>
      <c r="X65" s="515"/>
      <c r="Y65" s="515"/>
      <c r="Z65" s="515"/>
      <c r="AA65" s="515">
        <v>2.2929999999999997</v>
      </c>
      <c r="AB65" s="515">
        <v>2.1160000000000001</v>
      </c>
      <c r="AC65" s="515"/>
      <c r="AD65" s="515"/>
      <c r="AE65" s="515"/>
      <c r="AF65" s="515"/>
      <c r="AG65" s="515"/>
      <c r="AH65" s="515"/>
      <c r="AI65" s="515"/>
      <c r="AJ65" s="515"/>
      <c r="AK65" s="515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  <c r="BO65" s="20"/>
      <c r="BP65" s="20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0"/>
      <c r="CD65" s="20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0"/>
      <c r="CR65" s="20"/>
      <c r="CS65" s="20"/>
      <c r="CT65" s="20"/>
      <c r="CU65" s="20"/>
      <c r="CV65" s="20"/>
      <c r="CW65" s="20"/>
      <c r="CX65" s="20"/>
      <c r="CY65" s="20"/>
      <c r="CZ65" s="20"/>
      <c r="DA65" s="20"/>
      <c r="DB65" s="20"/>
      <c r="DC65" s="20"/>
      <c r="DD65" s="20"/>
      <c r="DE65" s="20"/>
      <c r="DF65" s="20"/>
      <c r="DG65" s="20"/>
      <c r="DH65" s="20"/>
      <c r="DI65" s="20"/>
      <c r="DJ65" s="20"/>
      <c r="DK65" s="20"/>
      <c r="DL65" s="20"/>
      <c r="DM65" s="20"/>
      <c r="DN65" s="20"/>
      <c r="DO65" s="20"/>
      <c r="DP65" s="20"/>
      <c r="DQ65" s="20"/>
      <c r="DR65" s="20"/>
      <c r="DS65" s="20"/>
      <c r="DT65" s="20"/>
      <c r="DU65" s="20"/>
      <c r="DV65" s="20"/>
      <c r="DW65" s="20"/>
      <c r="DX65" s="20"/>
      <c r="DY65" s="20"/>
      <c r="DZ65" s="20"/>
      <c r="EA65" s="20"/>
      <c r="EB65" s="20"/>
      <c r="EC65" s="20"/>
      <c r="ED65" s="20"/>
      <c r="EE65" s="20"/>
      <c r="EF65" s="20"/>
      <c r="EG65" s="20"/>
      <c r="EH65" s="20"/>
      <c r="EI65" s="20"/>
    </row>
    <row r="66" spans="1:139" x14ac:dyDescent="0.25">
      <c r="A66" s="42"/>
      <c r="B66" s="603" t="s">
        <v>577</v>
      </c>
      <c r="C66" s="81" t="s">
        <v>117</v>
      </c>
      <c r="D66" s="485" t="s">
        <v>28</v>
      </c>
      <c r="E66" s="495">
        <v>14.161999999999999</v>
      </c>
      <c r="F66" s="496">
        <v>8.2910000000000004</v>
      </c>
      <c r="G66" s="497">
        <v>5.88</v>
      </c>
      <c r="H66" s="497">
        <v>6.6819999999999995</v>
      </c>
      <c r="I66" s="497">
        <v>17.55</v>
      </c>
      <c r="J66" s="497">
        <v>15.943999999999999</v>
      </c>
      <c r="K66" s="498">
        <v>10.991</v>
      </c>
      <c r="L66" s="42"/>
      <c r="M66" s="42"/>
      <c r="N66" s="42"/>
      <c r="O66" s="42"/>
      <c r="P66" s="42"/>
      <c r="Q66" s="42"/>
      <c r="R66" s="42"/>
      <c r="S66" s="42"/>
      <c r="T66" s="42"/>
      <c r="U66" s="42"/>
      <c r="W66" s="20"/>
      <c r="X66" s="515"/>
      <c r="Y66" s="515"/>
      <c r="Z66" s="515"/>
      <c r="AA66" s="515">
        <v>1.6870000000000001</v>
      </c>
      <c r="AB66" s="515">
        <v>1.583</v>
      </c>
      <c r="AC66" s="515"/>
      <c r="AD66" s="515"/>
      <c r="AE66" s="515"/>
      <c r="AF66" s="515"/>
      <c r="AG66" s="515"/>
      <c r="AH66" s="515"/>
      <c r="AI66" s="515"/>
      <c r="AJ66" s="515"/>
      <c r="AK66" s="515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0"/>
      <c r="CR66" s="20"/>
      <c r="CS66" s="20"/>
      <c r="CT66" s="20"/>
      <c r="CU66" s="20"/>
      <c r="CV66" s="20"/>
      <c r="CW66" s="20"/>
      <c r="CX66" s="20"/>
      <c r="CY66" s="20"/>
      <c r="CZ66" s="20"/>
      <c r="DA66" s="20"/>
      <c r="DB66" s="20"/>
      <c r="DC66" s="20"/>
      <c r="DD66" s="20"/>
      <c r="DE66" s="20"/>
      <c r="DF66" s="20"/>
      <c r="DG66" s="20"/>
      <c r="DH66" s="20"/>
      <c r="DI66" s="20"/>
      <c r="DJ66" s="20"/>
      <c r="DK66" s="20"/>
      <c r="DL66" s="20"/>
      <c r="DM66" s="20"/>
      <c r="DN66" s="20"/>
      <c r="DO66" s="20"/>
      <c r="DP66" s="20"/>
      <c r="DQ66" s="20"/>
      <c r="DR66" s="20"/>
      <c r="DS66" s="20"/>
      <c r="DT66" s="20"/>
      <c r="DU66" s="20"/>
      <c r="DV66" s="20"/>
      <c r="DW66" s="20"/>
      <c r="DX66" s="20"/>
      <c r="DY66" s="20"/>
      <c r="DZ66" s="20"/>
      <c r="EA66" s="20"/>
      <c r="EB66" s="20"/>
      <c r="EC66" s="20"/>
      <c r="ED66" s="20"/>
      <c r="EE66" s="20"/>
      <c r="EF66" s="20"/>
      <c r="EG66" s="20"/>
      <c r="EH66" s="20"/>
      <c r="EI66" s="20"/>
    </row>
    <row r="67" spans="1:139" x14ac:dyDescent="0.25">
      <c r="A67" s="42"/>
      <c r="B67" s="615"/>
      <c r="C67" s="616"/>
      <c r="D67" s="616"/>
      <c r="E67" s="616"/>
      <c r="F67" s="616"/>
      <c r="G67" s="616"/>
      <c r="H67" s="616"/>
      <c r="I67" s="616"/>
      <c r="J67" s="616"/>
      <c r="K67" s="617"/>
      <c r="L67" s="42"/>
      <c r="M67" s="42"/>
      <c r="N67" s="42"/>
      <c r="O67" s="42"/>
      <c r="P67" s="42"/>
      <c r="Q67" s="42"/>
      <c r="R67" s="42"/>
      <c r="S67" s="42"/>
      <c r="T67" s="42"/>
      <c r="U67" s="42"/>
      <c r="W67" s="20"/>
      <c r="X67" s="515"/>
      <c r="Y67" s="515"/>
      <c r="Z67" s="515"/>
      <c r="AA67" s="515">
        <v>0.62800000000000011</v>
      </c>
      <c r="AB67" s="515">
        <v>0.57699999999999996</v>
      </c>
      <c r="AC67" s="515"/>
      <c r="AD67" s="515"/>
      <c r="AE67" s="515"/>
      <c r="AF67" s="515"/>
      <c r="AG67" s="515"/>
      <c r="AH67" s="515"/>
      <c r="AI67" s="515"/>
      <c r="AJ67" s="515"/>
      <c r="AK67" s="515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0"/>
      <c r="BK67" s="20"/>
      <c r="BL67" s="20"/>
      <c r="BM67" s="20"/>
      <c r="BN67" s="20"/>
      <c r="BO67" s="20"/>
      <c r="BP67" s="20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0"/>
      <c r="CD67" s="20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0"/>
      <c r="CR67" s="20"/>
      <c r="CS67" s="20"/>
      <c r="CT67" s="20"/>
      <c r="CU67" s="20"/>
      <c r="CV67" s="20"/>
      <c r="CW67" s="20"/>
      <c r="CX67" s="20"/>
      <c r="CY67" s="20"/>
      <c r="CZ67" s="20"/>
      <c r="DA67" s="20"/>
      <c r="DB67" s="20"/>
      <c r="DC67" s="20"/>
      <c r="DD67" s="20"/>
      <c r="DE67" s="20"/>
      <c r="DF67" s="20"/>
      <c r="DG67" s="20"/>
      <c r="DH67" s="20"/>
      <c r="DI67" s="20"/>
      <c r="DJ67" s="20"/>
      <c r="DK67" s="20"/>
      <c r="DL67" s="20"/>
      <c r="DM67" s="20"/>
      <c r="DN67" s="20"/>
      <c r="DO67" s="20"/>
      <c r="DP67" s="20"/>
      <c r="DQ67" s="20"/>
      <c r="DR67" s="20"/>
      <c r="DS67" s="20"/>
      <c r="DT67" s="20"/>
      <c r="DU67" s="20"/>
      <c r="DV67" s="20"/>
      <c r="DW67" s="20"/>
      <c r="DX67" s="20"/>
      <c r="DY67" s="20"/>
      <c r="DZ67" s="20"/>
      <c r="EA67" s="20"/>
      <c r="EB67" s="20"/>
      <c r="EC67" s="20"/>
      <c r="ED67" s="20"/>
      <c r="EE67" s="20"/>
      <c r="EF67" s="20"/>
      <c r="EG67" s="20"/>
      <c r="EH67" s="20"/>
      <c r="EI67" s="20"/>
    </row>
    <row r="68" spans="1:139" x14ac:dyDescent="0.25">
      <c r="A68" s="42"/>
      <c r="B68" s="137" t="s">
        <v>348</v>
      </c>
      <c r="C68" s="100" t="s">
        <v>348</v>
      </c>
      <c r="D68" s="485" t="s">
        <v>28</v>
      </c>
      <c r="E68" s="560">
        <v>2.1160000000000001</v>
      </c>
      <c r="F68" s="561">
        <v>1.583</v>
      </c>
      <c r="G68" s="562">
        <v>0.57699999999999996</v>
      </c>
      <c r="H68" s="562">
        <v>0.57699999999999996</v>
      </c>
      <c r="I68" s="562">
        <v>7.6449999999999996</v>
      </c>
      <c r="J68" s="562">
        <v>7.6449999999999996</v>
      </c>
      <c r="K68" s="563">
        <v>3.89</v>
      </c>
      <c r="L68" s="42"/>
      <c r="M68" s="42"/>
      <c r="N68" s="42"/>
      <c r="O68" s="42"/>
      <c r="P68" s="42"/>
      <c r="Q68" s="42"/>
      <c r="R68" s="42"/>
      <c r="S68" s="42"/>
      <c r="T68" s="42"/>
      <c r="U68" s="42"/>
      <c r="W68" s="20"/>
      <c r="X68" s="515"/>
      <c r="Y68" s="515"/>
      <c r="Z68" s="515"/>
      <c r="AA68" s="515">
        <v>0.62800000000000011</v>
      </c>
      <c r="AB68" s="515">
        <v>0.57699999999999996</v>
      </c>
      <c r="AC68" s="515"/>
      <c r="AD68" s="515"/>
      <c r="AE68" s="515"/>
      <c r="AF68" s="515"/>
      <c r="AG68" s="515"/>
      <c r="AH68" s="515"/>
      <c r="AI68" s="515"/>
      <c r="AJ68" s="515"/>
      <c r="AK68" s="515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0"/>
      <c r="BP68" s="20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0"/>
      <c r="CD68" s="20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0"/>
      <c r="CR68" s="20"/>
      <c r="CS68" s="20"/>
      <c r="CT68" s="20"/>
      <c r="CU68" s="20"/>
      <c r="CV68" s="20"/>
      <c r="CW68" s="20"/>
      <c r="CX68" s="20"/>
      <c r="CY68" s="20"/>
      <c r="CZ68" s="20"/>
      <c r="DA68" s="20"/>
      <c r="DB68" s="20"/>
      <c r="DC68" s="20"/>
      <c r="DD68" s="20"/>
      <c r="DE68" s="20"/>
      <c r="DF68" s="20"/>
      <c r="DG68" s="20"/>
      <c r="DH68" s="20"/>
      <c r="DI68" s="20"/>
      <c r="DJ68" s="20"/>
      <c r="DK68" s="20"/>
      <c r="DL68" s="20"/>
      <c r="DM68" s="20"/>
      <c r="DN68" s="20"/>
      <c r="DO68" s="20"/>
      <c r="DP68" s="20"/>
      <c r="DQ68" s="20"/>
      <c r="DR68" s="20"/>
      <c r="DS68" s="20"/>
      <c r="DT68" s="20"/>
      <c r="DU68" s="20"/>
      <c r="DV68" s="20"/>
      <c r="DW68" s="20"/>
      <c r="DX68" s="20"/>
      <c r="DY68" s="20"/>
      <c r="DZ68" s="20"/>
      <c r="EA68" s="20"/>
      <c r="EB68" s="20"/>
      <c r="EC68" s="20"/>
      <c r="ED68" s="20"/>
      <c r="EE68" s="20"/>
      <c r="EF68" s="20"/>
      <c r="EG68" s="20"/>
      <c r="EH68" s="20"/>
      <c r="EI68" s="20"/>
    </row>
    <row r="69" spans="1:139" ht="15.75" thickBot="1" x14ac:dyDescent="0.3">
      <c r="A69" s="42"/>
      <c r="B69" s="86" t="s">
        <v>347</v>
      </c>
      <c r="C69" s="484" t="s">
        <v>120</v>
      </c>
      <c r="D69" s="486" t="s">
        <v>28</v>
      </c>
      <c r="E69" s="499">
        <v>2.2929999999999997</v>
      </c>
      <c r="F69" s="500">
        <v>1.6870000000000001</v>
      </c>
      <c r="G69" s="501">
        <v>0.62800000000000011</v>
      </c>
      <c r="H69" s="501">
        <v>0.62800000000000011</v>
      </c>
      <c r="I69" s="501">
        <v>31.852999999999998</v>
      </c>
      <c r="J69" s="501">
        <v>31.852999999999998</v>
      </c>
      <c r="K69" s="502">
        <v>16.048999999999999</v>
      </c>
      <c r="L69" s="20"/>
      <c r="M69" s="42"/>
      <c r="N69" s="42"/>
      <c r="O69" s="42"/>
      <c r="P69" s="42"/>
      <c r="Q69" s="42"/>
      <c r="R69" s="42"/>
      <c r="S69" s="42"/>
      <c r="T69" s="42"/>
      <c r="U69" s="42"/>
      <c r="W69" s="20"/>
      <c r="X69" s="515"/>
      <c r="Y69" s="515"/>
      <c r="Z69" s="515"/>
      <c r="AA69" s="515">
        <v>31.852999999999998</v>
      </c>
      <c r="AB69" s="515">
        <v>7.6449999999999996</v>
      </c>
      <c r="AC69" s="515"/>
      <c r="AD69" s="515"/>
      <c r="AE69" s="515"/>
      <c r="AF69" s="515"/>
      <c r="AG69" s="515"/>
      <c r="AH69" s="515"/>
      <c r="AI69" s="515"/>
      <c r="AJ69" s="515"/>
      <c r="AK69" s="515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20"/>
      <c r="BI69" s="20"/>
      <c r="BJ69" s="20"/>
      <c r="BK69" s="20"/>
      <c r="BL69" s="20"/>
      <c r="BM69" s="20"/>
      <c r="BN69" s="20"/>
      <c r="BO69" s="20"/>
      <c r="BP69" s="20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0"/>
      <c r="CD69" s="20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0"/>
      <c r="CR69" s="20"/>
      <c r="CS69" s="20"/>
      <c r="CT69" s="20"/>
      <c r="CU69" s="20"/>
      <c r="CV69" s="20"/>
      <c r="CW69" s="20"/>
      <c r="CX69" s="20"/>
      <c r="CY69" s="20"/>
      <c r="CZ69" s="20"/>
      <c r="DA69" s="20"/>
      <c r="DB69" s="20"/>
      <c r="DC69" s="20"/>
      <c r="DD69" s="20"/>
      <c r="DE69" s="20"/>
      <c r="DF69" s="20"/>
      <c r="DG69" s="20"/>
      <c r="DH69" s="20"/>
      <c r="DI69" s="20"/>
      <c r="DJ69" s="20"/>
      <c r="DK69" s="20"/>
      <c r="DL69" s="20"/>
      <c r="DM69" s="20"/>
      <c r="DN69" s="20"/>
      <c r="DO69" s="20"/>
      <c r="DP69" s="20"/>
      <c r="DQ69" s="20"/>
      <c r="DR69" s="20"/>
      <c r="DS69" s="20"/>
      <c r="DT69" s="20"/>
      <c r="DU69" s="20"/>
      <c r="DV69" s="20"/>
      <c r="DW69" s="20"/>
      <c r="DX69" s="20"/>
      <c r="DY69" s="20"/>
      <c r="DZ69" s="20"/>
      <c r="EA69" s="20"/>
      <c r="EB69" s="20"/>
      <c r="EC69" s="20"/>
      <c r="ED69" s="20"/>
      <c r="EE69" s="20"/>
      <c r="EF69" s="20"/>
      <c r="EG69" s="20"/>
      <c r="EH69" s="20"/>
      <c r="EI69" s="20"/>
    </row>
    <row r="70" spans="1:139" ht="15.75" thickBot="1" x14ac:dyDescent="0.3">
      <c r="A70" s="318"/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W70" s="20"/>
      <c r="X70" s="515"/>
      <c r="Y70" s="515"/>
      <c r="Z70" s="515"/>
      <c r="AA70" s="515">
        <v>31.852999999999998</v>
      </c>
      <c r="AB70" s="515">
        <v>7.6449999999999996</v>
      </c>
      <c r="AC70" s="515"/>
      <c r="AD70" s="515"/>
      <c r="AE70" s="515"/>
      <c r="AF70" s="515"/>
      <c r="AG70" s="515"/>
      <c r="AH70" s="515"/>
      <c r="AI70" s="515"/>
      <c r="AJ70" s="515"/>
      <c r="AK70" s="515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0"/>
      <c r="BP70" s="20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0"/>
      <c r="CD70" s="20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0"/>
      <c r="CR70" s="20"/>
      <c r="CS70" s="20"/>
      <c r="CT70" s="20"/>
      <c r="CU70" s="20"/>
      <c r="CV70" s="20"/>
      <c r="CW70" s="20"/>
      <c r="CX70" s="20"/>
      <c r="CY70" s="20"/>
      <c r="CZ70" s="20"/>
      <c r="DA70" s="20"/>
      <c r="DB70" s="20"/>
      <c r="DC70" s="20"/>
      <c r="DD70" s="20"/>
      <c r="DE70" s="20"/>
      <c r="DF70" s="20"/>
      <c r="DG70" s="20"/>
      <c r="DH70" s="20"/>
      <c r="DI70" s="20"/>
      <c r="DJ70" s="20"/>
      <c r="DK70" s="20"/>
      <c r="DL70" s="20"/>
      <c r="DM70" s="20"/>
      <c r="DN70" s="20"/>
      <c r="DO70" s="20"/>
      <c r="DP70" s="20"/>
      <c r="DQ70" s="20"/>
      <c r="DR70" s="20"/>
      <c r="DS70" s="20"/>
      <c r="DT70" s="20"/>
      <c r="DU70" s="20"/>
      <c r="DV70" s="20"/>
      <c r="DW70" s="20"/>
      <c r="DX70" s="20"/>
      <c r="DY70" s="20"/>
      <c r="DZ70" s="20"/>
      <c r="EA70" s="20"/>
      <c r="EB70" s="20"/>
      <c r="EC70" s="20"/>
      <c r="ED70" s="20"/>
      <c r="EE70" s="20"/>
      <c r="EF70" s="20"/>
      <c r="EG70" s="20"/>
      <c r="EH70" s="20"/>
      <c r="EI70" s="20"/>
    </row>
    <row r="71" spans="1:139" ht="15.75" thickBot="1" x14ac:dyDescent="0.3">
      <c r="A71" s="664" t="s">
        <v>321</v>
      </c>
      <c r="B71" s="665"/>
      <c r="C71" s="665"/>
      <c r="D71" s="665"/>
      <c r="E71" s="665"/>
      <c r="F71" s="665"/>
      <c r="G71" s="665"/>
      <c r="H71" s="665"/>
      <c r="I71" s="665"/>
      <c r="J71" s="665"/>
      <c r="K71" s="665"/>
      <c r="L71" s="665"/>
      <c r="M71" s="665"/>
      <c r="N71" s="665"/>
      <c r="O71" s="665"/>
      <c r="P71" s="665"/>
      <c r="Q71" s="665"/>
      <c r="R71" s="665"/>
      <c r="S71" s="665"/>
      <c r="T71" s="665"/>
      <c r="U71" s="666"/>
      <c r="W71" s="20"/>
      <c r="X71" s="515"/>
      <c r="Y71" s="515"/>
      <c r="Z71" s="515"/>
      <c r="AA71" s="515">
        <v>16.048999999999999</v>
      </c>
      <c r="AB71" s="515">
        <v>3.89</v>
      </c>
      <c r="AC71" s="515"/>
      <c r="AD71" s="515"/>
      <c r="AE71" s="515"/>
      <c r="AF71" s="515"/>
      <c r="AG71" s="515"/>
      <c r="AH71" s="515"/>
      <c r="AI71" s="515"/>
      <c r="AJ71" s="515"/>
      <c r="AK71" s="515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0"/>
      <c r="BP71" s="20"/>
      <c r="BQ71" s="20"/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B71" s="20"/>
      <c r="CC71" s="20"/>
      <c r="CD71" s="20"/>
      <c r="CE71" s="20"/>
      <c r="CF71" s="20"/>
      <c r="CG71" s="20"/>
      <c r="CH71" s="20"/>
      <c r="CI71" s="20"/>
      <c r="CJ71" s="20"/>
      <c r="CK71" s="20"/>
      <c r="CL71" s="20"/>
      <c r="CM71" s="20"/>
      <c r="CN71" s="20"/>
      <c r="CO71" s="20"/>
      <c r="CP71" s="20"/>
      <c r="CQ71" s="20"/>
      <c r="CR71" s="20"/>
      <c r="CS71" s="20"/>
      <c r="CT71" s="20"/>
      <c r="CU71" s="20"/>
      <c r="CV71" s="20"/>
      <c r="CW71" s="20"/>
      <c r="CX71" s="20"/>
      <c r="CY71" s="20"/>
      <c r="CZ71" s="20"/>
      <c r="DA71" s="20"/>
      <c r="DB71" s="20"/>
      <c r="DC71" s="20"/>
      <c r="DD71" s="20"/>
      <c r="DE71" s="20"/>
      <c r="DF71" s="20"/>
      <c r="DG71" s="20"/>
      <c r="DH71" s="20"/>
      <c r="DI71" s="20"/>
      <c r="DJ71" s="20"/>
      <c r="DK71" s="20"/>
      <c r="DL71" s="20"/>
      <c r="DM71" s="20"/>
      <c r="DN71" s="20"/>
      <c r="DO71" s="20"/>
      <c r="DP71" s="20"/>
      <c r="DQ71" s="20"/>
      <c r="DR71" s="20"/>
      <c r="DS71" s="20"/>
      <c r="DT71" s="20"/>
      <c r="DU71" s="20"/>
      <c r="DV71" s="20"/>
      <c r="DW71" s="20"/>
      <c r="DX71" s="20"/>
      <c r="DY71" s="20"/>
      <c r="DZ71" s="20"/>
      <c r="EA71" s="20"/>
      <c r="EB71" s="20"/>
      <c r="EC71" s="20"/>
      <c r="ED71" s="20"/>
      <c r="EE71" s="20"/>
      <c r="EF71" s="20"/>
      <c r="EG71" s="20"/>
      <c r="EH71" s="20"/>
      <c r="EI71" s="20"/>
    </row>
    <row r="72" spans="1:139" ht="15.75" thickBot="1" x14ac:dyDescent="0.3">
      <c r="A72" s="37"/>
      <c r="B72" s="20"/>
      <c r="C72" s="20"/>
      <c r="D72" s="36"/>
      <c r="E72" s="20"/>
      <c r="F72" s="43"/>
      <c r="G72" s="20"/>
      <c r="H72" s="20"/>
      <c r="I72" s="20"/>
      <c r="J72" s="146"/>
      <c r="K72" s="37"/>
      <c r="L72" s="37"/>
      <c r="M72" s="37"/>
      <c r="N72" s="37"/>
      <c r="O72" s="37"/>
      <c r="P72" s="37"/>
      <c r="Q72" s="42"/>
      <c r="R72" s="20"/>
      <c r="S72" s="20"/>
      <c r="T72" s="20"/>
      <c r="U72" s="630">
        <f>CalorCl(U79,U76,0,U76,D21/760,V85,U77)/3600</f>
        <v>176.80762809614652</v>
      </c>
      <c r="V72" s="630">
        <f>CalorCl(V79,V76,D8,V76,D21/760,D19,V77)/3600</f>
        <v>110.33620078093861</v>
      </c>
      <c r="W72" s="20"/>
      <c r="X72" s="515"/>
      <c r="Y72" s="515"/>
      <c r="Z72" s="515"/>
      <c r="AA72" s="515"/>
      <c r="AB72" s="515"/>
      <c r="AC72" s="515"/>
      <c r="AD72" s="515"/>
      <c r="AE72" s="515"/>
      <c r="AF72" s="515"/>
      <c r="AG72" s="515"/>
      <c r="AH72" s="515"/>
      <c r="AI72" s="515"/>
      <c r="AJ72" s="515"/>
      <c r="AK72" s="515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0"/>
      <c r="CD72" s="20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0"/>
      <c r="CR72" s="20"/>
      <c r="CS72" s="20"/>
      <c r="CT72" s="20"/>
      <c r="CU72" s="20"/>
      <c r="CV72" s="20"/>
      <c r="CW72" s="20"/>
      <c r="CX72" s="20"/>
      <c r="CY72" s="20"/>
      <c r="CZ72" s="20"/>
      <c r="DA72" s="20"/>
      <c r="DB72" s="20"/>
      <c r="DC72" s="20"/>
      <c r="DD72" s="20"/>
      <c r="DE72" s="20"/>
      <c r="DF72" s="20"/>
      <c r="DG72" s="20"/>
      <c r="DH72" s="20"/>
      <c r="DI72" s="20"/>
      <c r="DJ72" s="20"/>
      <c r="DK72" s="20"/>
      <c r="DL72" s="20"/>
      <c r="DM72" s="20"/>
      <c r="DN72" s="20"/>
      <c r="DO72" s="20"/>
      <c r="DP72" s="20"/>
      <c r="DQ72" s="20"/>
      <c r="DR72" s="20"/>
      <c r="DS72" s="20"/>
      <c r="DT72" s="20"/>
      <c r="DU72" s="20"/>
      <c r="DV72" s="20"/>
      <c r="DW72" s="20"/>
      <c r="DX72" s="20"/>
      <c r="DY72" s="20"/>
      <c r="DZ72" s="20"/>
      <c r="EA72" s="20"/>
      <c r="EB72" s="20"/>
      <c r="EC72" s="20"/>
      <c r="ED72" s="20"/>
      <c r="EE72" s="20"/>
      <c r="EF72" s="20"/>
      <c r="EG72" s="20"/>
      <c r="EH72" s="20"/>
      <c r="EI72" s="20"/>
    </row>
    <row r="73" spans="1:139" x14ac:dyDescent="0.25">
      <c r="A73" s="20"/>
      <c r="B73" s="229" t="s">
        <v>123</v>
      </c>
      <c r="C73" s="230" t="s">
        <v>124</v>
      </c>
      <c r="D73" s="620" t="s">
        <v>44</v>
      </c>
      <c r="E73" s="229">
        <f>+E46</f>
        <v>3</v>
      </c>
      <c r="F73" s="238">
        <f t="shared" ref="F73:K73" si="15">+F46</f>
        <v>4</v>
      </c>
      <c r="G73" s="238">
        <f t="shared" si="15"/>
        <v>5</v>
      </c>
      <c r="H73" s="238">
        <f t="shared" si="15"/>
        <v>5</v>
      </c>
      <c r="I73" s="238">
        <f t="shared" si="15"/>
        <v>2</v>
      </c>
      <c r="J73" s="238">
        <f t="shared" si="15"/>
        <v>1</v>
      </c>
      <c r="K73" s="564" t="str">
        <f t="shared" si="15"/>
        <v>Melotera</v>
      </c>
      <c r="L73" s="35"/>
      <c r="M73" s="782" t="s">
        <v>514</v>
      </c>
      <c r="N73" s="783"/>
      <c r="O73" s="631" t="s">
        <v>513</v>
      </c>
      <c r="P73" s="201" t="s">
        <v>44</v>
      </c>
      <c r="Q73" s="201">
        <v>1</v>
      </c>
      <c r="R73" s="201">
        <v>2</v>
      </c>
      <c r="S73" s="201">
        <v>3</v>
      </c>
      <c r="T73" s="201">
        <v>4</v>
      </c>
      <c r="U73" s="201">
        <v>5</v>
      </c>
      <c r="V73" s="201">
        <v>6</v>
      </c>
      <c r="W73" s="469">
        <v>7</v>
      </c>
      <c r="X73" s="515"/>
      <c r="Y73" s="515"/>
      <c r="Z73" s="515"/>
      <c r="AH73" s="515"/>
      <c r="AI73" s="515"/>
      <c r="AJ73" s="515"/>
      <c r="AK73" s="515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0"/>
      <c r="BI73" s="20"/>
      <c r="BJ73" s="20"/>
      <c r="BK73" s="20"/>
      <c r="BL73" s="20"/>
      <c r="BM73" s="20"/>
      <c r="BN73" s="20"/>
      <c r="BO73" s="20"/>
      <c r="BP73" s="20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0"/>
      <c r="CD73" s="20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0"/>
      <c r="CR73" s="20"/>
      <c r="CS73" s="20"/>
      <c r="CT73" s="20"/>
      <c r="CU73" s="20"/>
      <c r="CV73" s="20"/>
      <c r="CW73" s="20"/>
      <c r="CX73" s="20"/>
      <c r="CY73" s="20"/>
      <c r="CZ73" s="20"/>
      <c r="DA73" s="20"/>
      <c r="DB73" s="20"/>
      <c r="DC73" s="20"/>
      <c r="DD73" s="20"/>
      <c r="DE73" s="20"/>
      <c r="DF73" s="20"/>
      <c r="DG73" s="20"/>
      <c r="DH73" s="20"/>
      <c r="DI73" s="20"/>
      <c r="DJ73" s="20"/>
      <c r="DK73" s="20"/>
      <c r="DL73" s="20"/>
      <c r="DM73" s="20"/>
      <c r="DN73" s="20"/>
      <c r="DO73" s="20"/>
      <c r="DP73" s="20"/>
      <c r="DQ73" s="20"/>
      <c r="DR73" s="20"/>
      <c r="DS73" s="20"/>
      <c r="DT73" s="20"/>
      <c r="DU73" s="20"/>
      <c r="DV73" s="20"/>
      <c r="DW73" s="20"/>
      <c r="DX73" s="20"/>
      <c r="DY73" s="20"/>
      <c r="DZ73" s="20"/>
      <c r="EA73" s="20"/>
      <c r="EB73" s="20"/>
      <c r="EC73" s="20"/>
      <c r="ED73" s="20"/>
      <c r="EE73" s="20"/>
      <c r="EF73" s="20"/>
      <c r="EG73" s="20"/>
      <c r="EH73" s="20"/>
      <c r="EI73" s="20"/>
    </row>
    <row r="74" spans="1:139" x14ac:dyDescent="0.25">
      <c r="A74" s="20"/>
      <c r="B74" s="232" t="s">
        <v>314</v>
      </c>
      <c r="C74" s="40" t="s">
        <v>315</v>
      </c>
      <c r="D74" s="619" t="s">
        <v>190</v>
      </c>
      <c r="E74" s="565">
        <f t="shared" ref="E74:K74" si="16">+E114</f>
        <v>90.918672489008344</v>
      </c>
      <c r="F74" s="149">
        <f t="shared" si="16"/>
        <v>54.177969844151811</v>
      </c>
      <c r="G74" s="44">
        <f t="shared" si="16"/>
        <v>17.236461615171365</v>
      </c>
      <c r="H74" s="44">
        <f t="shared" si="16"/>
        <v>16.235789286086202</v>
      </c>
      <c r="I74" s="322">
        <f t="shared" si="16"/>
        <v>177.02662885745661</v>
      </c>
      <c r="J74" s="44">
        <f t="shared" si="16"/>
        <v>110.33620078093864</v>
      </c>
      <c r="K74" s="566">
        <f t="shared" si="16"/>
        <v>25.890381188217681</v>
      </c>
      <c r="L74" s="35"/>
      <c r="M74" s="731" t="s">
        <v>83</v>
      </c>
      <c r="N74" s="728"/>
      <c r="O74" s="632" t="s">
        <v>512</v>
      </c>
      <c r="P74" s="216" t="s">
        <v>44</v>
      </c>
      <c r="Q74" s="470" t="s">
        <v>511</v>
      </c>
      <c r="R74" s="470" t="s">
        <v>510</v>
      </c>
      <c r="S74" s="470" t="s">
        <v>510</v>
      </c>
      <c r="T74" s="470" t="s">
        <v>510</v>
      </c>
      <c r="U74" s="470" t="s">
        <v>43</v>
      </c>
      <c r="V74" s="470" t="s">
        <v>43</v>
      </c>
      <c r="W74" s="471" t="s">
        <v>43</v>
      </c>
      <c r="X74" s="515"/>
      <c r="Y74" s="515"/>
      <c r="Z74" s="515"/>
      <c r="AA74" s="515">
        <v>2.1160000000000001</v>
      </c>
      <c r="AB74" s="515">
        <v>1.583</v>
      </c>
      <c r="AC74" s="515">
        <v>0.57699999999999996</v>
      </c>
      <c r="AD74" s="515">
        <v>0.57699999999999996</v>
      </c>
      <c r="AE74" s="515">
        <v>7.6449999999999996</v>
      </c>
      <c r="AF74" s="515">
        <v>7.6449999999999996</v>
      </c>
      <c r="AG74" s="515">
        <v>3.89</v>
      </c>
      <c r="AH74" s="515"/>
      <c r="AI74" s="515"/>
      <c r="AJ74" s="515"/>
      <c r="AK74" s="515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0"/>
      <c r="CD74" s="20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0"/>
      <c r="CR74" s="20"/>
      <c r="CS74" s="20"/>
      <c r="CT74" s="20"/>
      <c r="CU74" s="20"/>
      <c r="CV74" s="20"/>
      <c r="CW74" s="20"/>
      <c r="CX74" s="20"/>
      <c r="CY74" s="20"/>
      <c r="CZ74" s="20"/>
      <c r="DA74" s="20"/>
      <c r="DB74" s="20"/>
      <c r="DC74" s="20"/>
      <c r="DD74" s="20"/>
      <c r="DE74" s="20"/>
      <c r="DF74" s="20"/>
      <c r="DG74" s="20"/>
      <c r="DH74" s="20"/>
      <c r="DI74" s="20"/>
      <c r="DJ74" s="20"/>
      <c r="DK74" s="20"/>
      <c r="DL74" s="20"/>
      <c r="DM74" s="20"/>
      <c r="DN74" s="20"/>
      <c r="DO74" s="20"/>
      <c r="DP74" s="20"/>
      <c r="DQ74" s="20"/>
      <c r="DR74" s="20"/>
      <c r="DS74" s="20"/>
      <c r="DT74" s="20"/>
      <c r="DU74" s="20"/>
      <c r="DV74" s="20"/>
      <c r="DW74" s="20"/>
      <c r="DX74" s="20"/>
      <c r="DY74" s="20"/>
      <c r="DZ74" s="20"/>
      <c r="EA74" s="20"/>
      <c r="EB74" s="20"/>
      <c r="EC74" s="20"/>
      <c r="ED74" s="20"/>
      <c r="EE74" s="20"/>
      <c r="EF74" s="20"/>
      <c r="EG74" s="20"/>
      <c r="EH74" s="20"/>
      <c r="EI74" s="20"/>
    </row>
    <row r="75" spans="1:139" x14ac:dyDescent="0.25">
      <c r="A75" s="20"/>
      <c r="B75" s="232" t="s">
        <v>125</v>
      </c>
      <c r="C75" s="40" t="s">
        <v>140</v>
      </c>
      <c r="D75" s="619" t="s">
        <v>126</v>
      </c>
      <c r="E75" s="565">
        <f>+I76</f>
        <v>29.980390255293596</v>
      </c>
      <c r="F75" s="149">
        <f>+E76</f>
        <v>43.351711588809351</v>
      </c>
      <c r="G75" s="44">
        <f>+F76</f>
        <v>58.852272014384837</v>
      </c>
      <c r="H75" s="44">
        <f>+G75</f>
        <v>58.852272014384837</v>
      </c>
      <c r="I75" s="322">
        <f>+J76</f>
        <v>18.703608593072211</v>
      </c>
      <c r="J75" s="44">
        <f>+D9</f>
        <v>17</v>
      </c>
      <c r="K75" s="566">
        <f>+J75</f>
        <v>17</v>
      </c>
      <c r="L75" s="35"/>
      <c r="M75" s="751" t="s">
        <v>123</v>
      </c>
      <c r="N75" s="752"/>
      <c r="O75" s="633" t="s">
        <v>124</v>
      </c>
      <c r="P75" s="81" t="s">
        <v>44</v>
      </c>
      <c r="Q75" s="81">
        <v>3</v>
      </c>
      <c r="R75" s="623">
        <v>4</v>
      </c>
      <c r="S75" s="81">
        <v>5</v>
      </c>
      <c r="T75" s="81">
        <v>5</v>
      </c>
      <c r="U75" s="81">
        <v>2</v>
      </c>
      <c r="V75" s="217">
        <v>1</v>
      </c>
      <c r="W75" s="396" t="s">
        <v>193</v>
      </c>
      <c r="X75" s="515"/>
      <c r="Y75" s="515"/>
      <c r="Z75" s="515"/>
      <c r="AA75" s="515">
        <v>2.2929999999999997</v>
      </c>
      <c r="AB75" s="515">
        <v>1.6870000000000001</v>
      </c>
      <c r="AC75" s="515">
        <v>0.62800000000000011</v>
      </c>
      <c r="AD75" s="515">
        <v>0.62800000000000011</v>
      </c>
      <c r="AE75" s="515">
        <v>31.852999999999998</v>
      </c>
      <c r="AF75" s="515">
        <v>31.852999999999998</v>
      </c>
      <c r="AG75" s="515">
        <v>16.048999999999999</v>
      </c>
      <c r="AH75" s="515"/>
      <c r="AI75" s="515"/>
      <c r="AJ75" s="515"/>
      <c r="AK75" s="515"/>
      <c r="AL75" s="20"/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0"/>
      <c r="BP75" s="20"/>
      <c r="BQ75" s="20"/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B75" s="20"/>
      <c r="CC75" s="20"/>
      <c r="CD75" s="20"/>
      <c r="CE75" s="20"/>
      <c r="CF75" s="20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0"/>
      <c r="CR75" s="20"/>
      <c r="CS75" s="20"/>
      <c r="CT75" s="20"/>
      <c r="CU75" s="20"/>
      <c r="CV75" s="20"/>
      <c r="CW75" s="20"/>
      <c r="CX75" s="20"/>
      <c r="CY75" s="20"/>
      <c r="CZ75" s="20"/>
      <c r="DA75" s="20"/>
      <c r="DB75" s="20"/>
      <c r="DC75" s="20"/>
      <c r="DD75" s="20"/>
      <c r="DE75" s="20"/>
      <c r="DF75" s="20"/>
      <c r="DG75" s="20"/>
      <c r="DH75" s="20"/>
      <c r="DI75" s="20"/>
      <c r="DJ75" s="20"/>
      <c r="DK75" s="20"/>
      <c r="DL75" s="20"/>
      <c r="DM75" s="20"/>
      <c r="DN75" s="20"/>
      <c r="DO75" s="20"/>
      <c r="DP75" s="20"/>
      <c r="DQ75" s="20"/>
      <c r="DR75" s="20"/>
      <c r="DS75" s="20"/>
      <c r="DT75" s="20"/>
      <c r="DU75" s="20"/>
      <c r="DV75" s="20"/>
      <c r="DW75" s="20"/>
      <c r="DX75" s="20"/>
      <c r="DY75" s="20"/>
      <c r="DZ75" s="20"/>
      <c r="EA75" s="20"/>
      <c r="EB75" s="20"/>
      <c r="EC75" s="20"/>
      <c r="ED75" s="20"/>
      <c r="EE75" s="20"/>
      <c r="EF75" s="20"/>
      <c r="EG75" s="20"/>
      <c r="EH75" s="20"/>
      <c r="EI75" s="20"/>
    </row>
    <row r="76" spans="1:139" x14ac:dyDescent="0.25">
      <c r="A76" s="20"/>
      <c r="B76" s="232" t="s">
        <v>127</v>
      </c>
      <c r="C76" s="41" t="s">
        <v>141</v>
      </c>
      <c r="D76" s="619" t="s">
        <v>126</v>
      </c>
      <c r="E76" s="567">
        <f>+XbrixCl(E78,E75,0,E74,$D$9,$D$21/760,I79)</f>
        <v>43.351711588809351</v>
      </c>
      <c r="F76" s="225">
        <f>+XbrixCl(F78,F75,0,F74,$D$9,$D$21/760,E79)</f>
        <v>58.852272014384837</v>
      </c>
      <c r="G76" s="225">
        <f>+XbrixCl(G78,G75,0,G74,$D$9,$D$21/760,F79)</f>
        <v>75.650216425775696</v>
      </c>
      <c r="H76" s="225">
        <f>+XbrixCl(H78,H75,0,H74,$D$9,$D$21/760,G79)</f>
        <v>75.000051453742202</v>
      </c>
      <c r="I76" s="225">
        <f>+XbrixCl(I78,I75,0,I74,$D$9,$D$21/760,J79)</f>
        <v>29.980390255293596</v>
      </c>
      <c r="J76" s="225">
        <f>+XbrixCl(J78,J75,$D$8,J74,$D$9,$D$21/760,$D$19)</f>
        <v>18.703608593072211</v>
      </c>
      <c r="K76" s="568">
        <f>+XbrixCl(K78,K75,$D$8,K74,$D$9,$D$21/760,$D$19)</f>
        <v>132.64602167334942</v>
      </c>
      <c r="L76" s="35"/>
      <c r="M76" s="753" t="s">
        <v>125</v>
      </c>
      <c r="N76" s="754"/>
      <c r="O76" s="634" t="s">
        <v>140</v>
      </c>
      <c r="P76" s="393" t="s">
        <v>126</v>
      </c>
      <c r="Q76" s="391">
        <f>+E75</f>
        <v>29.980390255293596</v>
      </c>
      <c r="R76" s="391">
        <f t="shared" ref="R76:W77" si="17">+F75</f>
        <v>43.351711588809351</v>
      </c>
      <c r="S76" s="391">
        <f t="shared" si="17"/>
        <v>58.852272014384837</v>
      </c>
      <c r="T76" s="391">
        <f t="shared" si="17"/>
        <v>58.852272014384837</v>
      </c>
      <c r="U76" s="391">
        <f t="shared" si="17"/>
        <v>18.703608593072211</v>
      </c>
      <c r="V76" s="391">
        <f t="shared" si="17"/>
        <v>17</v>
      </c>
      <c r="W76" s="391">
        <f t="shared" si="17"/>
        <v>17</v>
      </c>
      <c r="X76" s="515"/>
      <c r="Y76" s="515"/>
      <c r="Z76" s="515"/>
      <c r="AA76" s="515"/>
      <c r="AB76" s="515"/>
      <c r="AC76" s="515"/>
      <c r="AD76" s="515"/>
      <c r="AE76" s="515"/>
      <c r="AF76" s="515"/>
      <c r="AG76" s="515"/>
      <c r="AH76" s="515"/>
      <c r="AI76" s="515"/>
      <c r="AJ76" s="515"/>
      <c r="AK76" s="515"/>
      <c r="AL76" s="20"/>
      <c r="AM76" s="20"/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0"/>
      <c r="BP76" s="20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0"/>
      <c r="CD76" s="20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0"/>
      <c r="CR76" s="20"/>
      <c r="CS76" s="20"/>
      <c r="CT76" s="20"/>
      <c r="CU76" s="20"/>
      <c r="CV76" s="20"/>
      <c r="CW76" s="20"/>
      <c r="CX76" s="20"/>
      <c r="CY76" s="20"/>
      <c r="CZ76" s="20"/>
      <c r="DA76" s="20"/>
      <c r="DB76" s="20"/>
      <c r="DC76" s="20"/>
      <c r="DD76" s="20"/>
      <c r="DE76" s="20"/>
      <c r="DF76" s="20"/>
      <c r="DG76" s="20"/>
      <c r="DH76" s="20"/>
      <c r="DI76" s="20"/>
      <c r="DJ76" s="20"/>
      <c r="DK76" s="20"/>
      <c r="DL76" s="20"/>
      <c r="DM76" s="20"/>
      <c r="DN76" s="20"/>
      <c r="DO76" s="20"/>
      <c r="DP76" s="20"/>
      <c r="DQ76" s="20"/>
      <c r="DR76" s="20"/>
      <c r="DS76" s="20"/>
      <c r="DT76" s="20"/>
      <c r="DU76" s="20"/>
      <c r="DV76" s="20"/>
      <c r="DW76" s="20"/>
      <c r="DX76" s="20"/>
      <c r="DY76" s="20"/>
      <c r="DZ76" s="20"/>
      <c r="EA76" s="20"/>
      <c r="EB76" s="20"/>
      <c r="EC76" s="20"/>
      <c r="ED76" s="20"/>
      <c r="EE76" s="20"/>
      <c r="EF76" s="20"/>
      <c r="EG76" s="20"/>
      <c r="EH76" s="20"/>
      <c r="EI76" s="20"/>
    </row>
    <row r="77" spans="1:139" x14ac:dyDescent="0.25">
      <c r="A77" s="20"/>
      <c r="B77" s="232" t="s">
        <v>128</v>
      </c>
      <c r="C77" s="41" t="s">
        <v>142</v>
      </c>
      <c r="D77" s="619" t="s">
        <v>126</v>
      </c>
      <c r="E77" s="569">
        <f t="shared" ref="E77:G77" si="18">+AVERAGE(E75:E76)</f>
        <v>36.666050922051475</v>
      </c>
      <c r="F77" s="227">
        <f t="shared" si="18"/>
        <v>51.101991801597094</v>
      </c>
      <c r="G77" s="226">
        <f t="shared" si="18"/>
        <v>67.251244220080267</v>
      </c>
      <c r="H77" s="226">
        <f>+AVERAGE(H75:H76)</f>
        <v>66.926161734063527</v>
      </c>
      <c r="I77" s="323">
        <f>+AVERAGE(I75:I76)</f>
        <v>24.341999424182902</v>
      </c>
      <c r="J77" s="226">
        <f>+AVERAGE(J75:J76)</f>
        <v>17.851804296536105</v>
      </c>
      <c r="K77" s="570">
        <f t="shared" ref="K77" si="19">+AVERAGE(K75:K76)</f>
        <v>74.823010836674712</v>
      </c>
      <c r="L77" s="35"/>
      <c r="M77" s="753" t="s">
        <v>127</v>
      </c>
      <c r="N77" s="754"/>
      <c r="O77" s="634" t="s">
        <v>141</v>
      </c>
      <c r="P77" s="393" t="s">
        <v>126</v>
      </c>
      <c r="Q77" s="391">
        <f>+E76</f>
        <v>43.351711588809351</v>
      </c>
      <c r="R77" s="391">
        <f t="shared" si="17"/>
        <v>58.852272014384837</v>
      </c>
      <c r="S77" s="391">
        <f t="shared" si="17"/>
        <v>75.650216425775696</v>
      </c>
      <c r="T77" s="391">
        <f t="shared" si="17"/>
        <v>75.000051453742202</v>
      </c>
      <c r="U77" s="391">
        <f t="shared" si="17"/>
        <v>29.980390255293596</v>
      </c>
      <c r="V77" s="391">
        <f t="shared" si="17"/>
        <v>18.703608593072211</v>
      </c>
      <c r="W77" s="391">
        <f t="shared" si="17"/>
        <v>132.64602167334942</v>
      </c>
      <c r="X77" s="515"/>
      <c r="Y77" s="515"/>
      <c r="Z77" s="515"/>
      <c r="AA77" s="515"/>
      <c r="AB77" s="515"/>
      <c r="AC77" s="515"/>
      <c r="AD77" s="515"/>
      <c r="AE77" s="515"/>
      <c r="AF77" s="515"/>
      <c r="AG77" s="515"/>
      <c r="AH77" s="515"/>
      <c r="AI77" s="515"/>
      <c r="AJ77" s="515"/>
      <c r="AK77" s="515"/>
      <c r="AL77" s="20"/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0"/>
      <c r="BI77" s="20"/>
      <c r="BJ77" s="20"/>
      <c r="BK77" s="20"/>
      <c r="BL77" s="20"/>
      <c r="BM77" s="20"/>
      <c r="BN77" s="20"/>
      <c r="BO77" s="20"/>
      <c r="BP77" s="20"/>
      <c r="BQ77" s="20"/>
      <c r="BR77" s="20"/>
      <c r="BS77" s="20"/>
      <c r="BT77" s="20"/>
      <c r="BU77" s="20"/>
      <c r="BV77" s="20"/>
      <c r="BW77" s="20"/>
      <c r="BX77" s="20"/>
      <c r="BY77" s="20"/>
      <c r="BZ77" s="20"/>
      <c r="CA77" s="20"/>
      <c r="CB77" s="20"/>
      <c r="CC77" s="20"/>
      <c r="CD77" s="20"/>
      <c r="CE77" s="20"/>
      <c r="CF77" s="20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0"/>
      <c r="CR77" s="20"/>
      <c r="CS77" s="20"/>
      <c r="CT77" s="20"/>
      <c r="CU77" s="20"/>
      <c r="CV77" s="20"/>
      <c r="CW77" s="20"/>
      <c r="CX77" s="20"/>
      <c r="CY77" s="20"/>
      <c r="CZ77" s="20"/>
      <c r="DA77" s="20"/>
      <c r="DB77" s="20"/>
      <c r="DC77" s="20"/>
      <c r="DD77" s="20"/>
      <c r="DE77" s="20"/>
      <c r="DF77" s="20"/>
      <c r="DG77" s="20"/>
      <c r="DH77" s="20"/>
      <c r="DI77" s="20"/>
      <c r="DJ77" s="20"/>
      <c r="DK77" s="20"/>
      <c r="DL77" s="20"/>
      <c r="DM77" s="20"/>
      <c r="DN77" s="20"/>
      <c r="DO77" s="20"/>
      <c r="DP77" s="20"/>
      <c r="DQ77" s="20"/>
      <c r="DR77" s="20"/>
      <c r="DS77" s="20"/>
      <c r="DT77" s="20"/>
      <c r="DU77" s="20"/>
      <c r="DV77" s="20"/>
      <c r="DW77" s="20"/>
      <c r="DX77" s="20"/>
      <c r="DY77" s="20"/>
      <c r="DZ77" s="20"/>
      <c r="EA77" s="20"/>
      <c r="EB77" s="20"/>
      <c r="EC77" s="20"/>
      <c r="ED77" s="20"/>
      <c r="EE77" s="20"/>
      <c r="EF77" s="20"/>
      <c r="EG77" s="20"/>
      <c r="EH77" s="20"/>
      <c r="EI77" s="20"/>
    </row>
    <row r="78" spans="1:139" x14ac:dyDescent="0.25">
      <c r="A78" s="20"/>
      <c r="B78" s="232" t="s">
        <v>316</v>
      </c>
      <c r="C78" s="40" t="s">
        <v>318</v>
      </c>
      <c r="D78" s="621" t="s">
        <v>38</v>
      </c>
      <c r="E78" s="569">
        <f>+I78*I75/I76</f>
        <v>466.78511789982554</v>
      </c>
      <c r="F78" s="227">
        <f>+E78*E75/E76</f>
        <v>322.8107838679307</v>
      </c>
      <c r="G78" s="226">
        <f>+F78*F75/F76/2</f>
        <v>118.89430535986318</v>
      </c>
      <c r="H78" s="226">
        <f>+G78</f>
        <v>118.89430535986318</v>
      </c>
      <c r="I78" s="323">
        <f>+(J78-K78)*J75/J76</f>
        <v>748.21925033137757</v>
      </c>
      <c r="J78" s="226">
        <f>K6</f>
        <v>857.5</v>
      </c>
      <c r="K78" s="570">
        <f>+K7</f>
        <v>34.300000000000004</v>
      </c>
      <c r="L78" s="35"/>
      <c r="M78" s="682" t="s">
        <v>128</v>
      </c>
      <c r="N78" s="755"/>
      <c r="O78" s="633" t="s">
        <v>142</v>
      </c>
      <c r="P78" s="81" t="s">
        <v>126</v>
      </c>
      <c r="Q78" s="81">
        <f t="shared" ref="Q78:W78" si="20">(Q76+Q77)/2</f>
        <v>36.666050922051475</v>
      </c>
      <c r="R78" s="623">
        <f t="shared" si="20"/>
        <v>51.101991801597094</v>
      </c>
      <c r="S78" s="81">
        <f t="shared" si="20"/>
        <v>67.251244220080267</v>
      </c>
      <c r="T78" s="81">
        <f t="shared" si="20"/>
        <v>66.926161734063527</v>
      </c>
      <c r="U78" s="81">
        <f t="shared" si="20"/>
        <v>24.341999424182902</v>
      </c>
      <c r="V78" s="81">
        <f t="shared" si="20"/>
        <v>17.851804296536105</v>
      </c>
      <c r="W78" s="82">
        <f t="shared" si="20"/>
        <v>74.823010836674712</v>
      </c>
      <c r="X78" s="515"/>
      <c r="Y78" s="515"/>
      <c r="Z78" s="515"/>
      <c r="AA78" s="515"/>
      <c r="AB78" s="515"/>
      <c r="AC78" s="515"/>
      <c r="AD78" s="515"/>
      <c r="AE78" s="515"/>
      <c r="AF78" s="515"/>
      <c r="AG78" s="515"/>
      <c r="AH78" s="515"/>
      <c r="AI78" s="515"/>
      <c r="AJ78" s="515"/>
      <c r="AK78" s="515"/>
      <c r="AL78" s="20"/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0"/>
      <c r="BP78" s="20"/>
      <c r="BQ78" s="20"/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B78" s="20"/>
      <c r="CC78" s="20"/>
      <c r="CD78" s="20"/>
      <c r="CE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0"/>
      <c r="CR78" s="20"/>
      <c r="CS78" s="20"/>
      <c r="CT78" s="20"/>
      <c r="CU78" s="20"/>
      <c r="CV78" s="20"/>
      <c r="CW78" s="20"/>
      <c r="CX78" s="20"/>
      <c r="CY78" s="20"/>
      <c r="CZ78" s="20"/>
      <c r="DA78" s="20"/>
      <c r="DB78" s="20"/>
      <c r="DC78" s="20"/>
      <c r="DD78" s="20"/>
      <c r="DE78" s="20"/>
      <c r="DF78" s="20"/>
      <c r="DG78" s="20"/>
      <c r="DH78" s="20"/>
      <c r="DI78" s="20"/>
      <c r="DJ78" s="20"/>
      <c r="DK78" s="20"/>
      <c r="DL78" s="20"/>
      <c r="DM78" s="20"/>
      <c r="DN78" s="20"/>
      <c r="DO78" s="20"/>
      <c r="DP78" s="20"/>
      <c r="DQ78" s="20"/>
      <c r="DR78" s="20"/>
      <c r="DS78" s="20"/>
      <c r="DT78" s="20"/>
      <c r="DU78" s="20"/>
      <c r="DV78" s="20"/>
      <c r="DW78" s="20"/>
      <c r="DX78" s="20"/>
      <c r="DY78" s="20"/>
      <c r="DZ78" s="20"/>
      <c r="EA78" s="20"/>
      <c r="EB78" s="20"/>
      <c r="EC78" s="20"/>
      <c r="ED78" s="20"/>
      <c r="EE78" s="20"/>
      <c r="EF78" s="20"/>
      <c r="EG78" s="20"/>
      <c r="EH78" s="20"/>
      <c r="EI78" s="20"/>
    </row>
    <row r="79" spans="1:139" x14ac:dyDescent="0.25">
      <c r="A79" s="20"/>
      <c r="B79" s="232" t="s">
        <v>319</v>
      </c>
      <c r="C79" s="40" t="s">
        <v>320</v>
      </c>
      <c r="D79" s="621" t="s">
        <v>133</v>
      </c>
      <c r="E79" s="569">
        <f>+Tjugo($D$21/760,E77)</f>
        <v>98.002273422335264</v>
      </c>
      <c r="F79" s="227">
        <f>+Tjugo($D$21/760,F77)</f>
        <v>100.10458290330737</v>
      </c>
      <c r="G79" s="227">
        <f t="shared" ref="G79:H79" si="21">+Tjugo($D$21/760,G77)</f>
        <v>105.65392926933572</v>
      </c>
      <c r="H79" s="227">
        <f t="shared" si="21"/>
        <v>105.48607216138734</v>
      </c>
      <c r="I79" s="323">
        <f>+Tjugo($D$21/760,I77)</f>
        <v>97.156611809466611</v>
      </c>
      <c r="J79" s="226">
        <f>+Tfinal_jugo(J75,$D$21/760,$D$19,J78,J74,D8)</f>
        <v>96.925601995499576</v>
      </c>
      <c r="K79" s="570">
        <f t="shared" ref="K79" si="22">+Tfinal_jugo(K75,$D$21/760,$D$19,K78,K74,G7)</f>
        <v>426.22381691399164</v>
      </c>
      <c r="L79" s="35"/>
      <c r="M79" s="751" t="s">
        <v>322</v>
      </c>
      <c r="N79" s="752"/>
      <c r="O79" s="633" t="s">
        <v>129</v>
      </c>
      <c r="P79" s="81" t="s">
        <v>38</v>
      </c>
      <c r="Q79" s="81">
        <f>+U79*U76/U77</f>
        <v>466.78511789982554</v>
      </c>
      <c r="R79" s="386">
        <f>+(Q79*Q76)/Q77</f>
        <v>322.8107838679307</v>
      </c>
      <c r="S79" s="386">
        <f>+(R79/2*R76)/R77</f>
        <v>118.89430535986318</v>
      </c>
      <c r="T79" s="386">
        <f>+(R79/2*R76)/R77</f>
        <v>118.89430535986318</v>
      </c>
      <c r="U79" s="83">
        <f>+(V79-W79)*V76/V77</f>
        <v>748.21925033137757</v>
      </c>
      <c r="V79" s="83">
        <f>+K10</f>
        <v>857.5</v>
      </c>
      <c r="W79" s="84">
        <f>+K7</f>
        <v>34.300000000000004</v>
      </c>
      <c r="X79" s="515"/>
      <c r="Y79" s="515"/>
      <c r="Z79" s="515"/>
      <c r="AA79" s="515">
        <v>16.454999999999998</v>
      </c>
      <c r="AB79" s="515">
        <v>2.2929999999999997</v>
      </c>
      <c r="AC79" s="515">
        <f>+AA79-AB79</f>
        <v>14.161999999999999</v>
      </c>
      <c r="AD79" s="515"/>
      <c r="AE79" s="515"/>
      <c r="AF79" s="515"/>
      <c r="AG79" s="515"/>
      <c r="AH79" s="515"/>
      <c r="AI79" s="515"/>
      <c r="AJ79" s="515"/>
      <c r="AK79" s="515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0"/>
      <c r="BP79" s="20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0"/>
      <c r="CD79" s="20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0"/>
      <c r="CR79" s="20"/>
      <c r="CS79" s="20"/>
      <c r="CT79" s="20"/>
      <c r="CU79" s="20"/>
      <c r="CV79" s="20"/>
      <c r="CW79" s="20"/>
      <c r="CX79" s="20"/>
      <c r="CY79" s="20"/>
      <c r="CZ79" s="20"/>
      <c r="DA79" s="20"/>
      <c r="DB79" s="20"/>
      <c r="DC79" s="20"/>
      <c r="DD79" s="20"/>
      <c r="DE79" s="20"/>
      <c r="DF79" s="20"/>
      <c r="DG79" s="20"/>
      <c r="DH79" s="20"/>
      <c r="DI79" s="20"/>
      <c r="DJ79" s="20"/>
      <c r="DK79" s="20"/>
      <c r="DL79" s="20"/>
      <c r="DM79" s="20"/>
      <c r="DN79" s="20"/>
      <c r="DO79" s="20"/>
      <c r="DP79" s="20"/>
      <c r="DQ79" s="20"/>
      <c r="DR79" s="20"/>
      <c r="DS79" s="20"/>
      <c r="DT79" s="20"/>
      <c r="DU79" s="20"/>
      <c r="DV79" s="20"/>
      <c r="DW79" s="20"/>
      <c r="DX79" s="20"/>
      <c r="DY79" s="20"/>
      <c r="DZ79" s="20"/>
      <c r="EA79" s="20"/>
      <c r="EB79" s="20"/>
      <c r="EC79" s="20"/>
      <c r="ED79" s="20"/>
      <c r="EE79" s="20"/>
      <c r="EF79" s="20"/>
      <c r="EG79" s="20"/>
      <c r="EH79" s="20"/>
      <c r="EI79" s="20"/>
    </row>
    <row r="80" spans="1:139" x14ac:dyDescent="0.25">
      <c r="A80" s="20"/>
      <c r="B80" s="232" t="s">
        <v>272</v>
      </c>
      <c r="C80" s="40" t="s">
        <v>275</v>
      </c>
      <c r="D80" s="619" t="s">
        <v>273</v>
      </c>
      <c r="E80" s="571">
        <f>+(EXP(-11.229+(3257.5/(E79+273.15))+(0.07572*E77)))/1000</f>
        <v>1.3827503240149033E-3</v>
      </c>
      <c r="F80" s="244">
        <f t="shared" ref="F80:K80" si="23">+(EXP(-11.229+(3257.5/(F79+273.15))+(0.07572*F77)))/1000</f>
        <v>3.9264282485158902E-3</v>
      </c>
      <c r="G80" s="244">
        <f t="shared" si="23"/>
        <v>1.1736455192963669E-2</v>
      </c>
      <c r="H80" s="244">
        <f t="shared" si="23"/>
        <v>1.1494824445136928E-2</v>
      </c>
      <c r="I80" s="324">
        <f t="shared" si="23"/>
        <v>5.5484889852957554E-4</v>
      </c>
      <c r="J80" s="244">
        <f t="shared" si="23"/>
        <v>3.4129574609016516E-4</v>
      </c>
      <c r="K80" s="572">
        <f t="shared" si="23"/>
        <v>4.042735104235253E-4</v>
      </c>
      <c r="L80" s="35"/>
      <c r="M80" s="751" t="s">
        <v>130</v>
      </c>
      <c r="N80" s="752"/>
      <c r="O80" s="633" t="s">
        <v>131</v>
      </c>
      <c r="P80" s="81" t="s">
        <v>48</v>
      </c>
      <c r="Q80" s="179">
        <f t="shared" ref="Q80:W80" si="24">4.18*(1-0.006*Q78)</f>
        <v>3.2604154428749488</v>
      </c>
      <c r="R80" s="386">
        <f t="shared" si="24"/>
        <v>2.8983620456159445</v>
      </c>
      <c r="S80" s="179">
        <f t="shared" si="24"/>
        <v>2.4933387949603869</v>
      </c>
      <c r="T80" s="179">
        <f t="shared" si="24"/>
        <v>2.501491863709687</v>
      </c>
      <c r="U80" s="179">
        <f t="shared" si="24"/>
        <v>3.569502654441493</v>
      </c>
      <c r="V80" s="179">
        <f t="shared" si="24"/>
        <v>3.7322767482428745</v>
      </c>
      <c r="W80" s="180">
        <f t="shared" si="24"/>
        <v>2.3034388882161978</v>
      </c>
      <c r="X80" s="515"/>
      <c r="Y80" s="515"/>
      <c r="Z80" s="515"/>
      <c r="AA80" s="515">
        <v>9.9779999999999998</v>
      </c>
      <c r="AB80" s="515">
        <v>1.6870000000000001</v>
      </c>
      <c r="AC80" s="515">
        <f t="shared" ref="AC80:AC85" si="25">+AA80-AB80</f>
        <v>8.2910000000000004</v>
      </c>
      <c r="AD80" s="515"/>
      <c r="AE80" s="515"/>
      <c r="AF80" s="515"/>
      <c r="AG80" s="515"/>
      <c r="AH80" s="515"/>
      <c r="AI80" s="515"/>
      <c r="AJ80" s="515"/>
      <c r="AK80" s="515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20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0"/>
      <c r="CD80" s="20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0"/>
      <c r="CR80" s="20"/>
      <c r="CS80" s="20"/>
      <c r="CT80" s="20"/>
      <c r="CU80" s="20"/>
      <c r="CV80" s="20"/>
      <c r="CW80" s="20"/>
      <c r="CX80" s="20"/>
      <c r="CY80" s="20"/>
      <c r="CZ80" s="20"/>
      <c r="DA80" s="20"/>
      <c r="DB80" s="20"/>
      <c r="DC80" s="20"/>
      <c r="DD80" s="20"/>
      <c r="DE80" s="20"/>
      <c r="DF80" s="20"/>
      <c r="DG80" s="20"/>
      <c r="DH80" s="20"/>
      <c r="DI80" s="20"/>
      <c r="DJ80" s="20"/>
      <c r="DK80" s="20"/>
      <c r="DL80" s="20"/>
      <c r="DM80" s="20"/>
      <c r="DN80" s="20"/>
      <c r="DO80" s="20"/>
      <c r="DP80" s="20"/>
      <c r="DQ80" s="20"/>
      <c r="DR80" s="20"/>
      <c r="DS80" s="20"/>
      <c r="DT80" s="20"/>
      <c r="DU80" s="20"/>
      <c r="DV80" s="20"/>
      <c r="DW80" s="20"/>
      <c r="DX80" s="20"/>
      <c r="DY80" s="20"/>
      <c r="DZ80" s="20"/>
      <c r="EA80" s="20"/>
      <c r="EB80" s="20"/>
      <c r="EC80" s="20"/>
      <c r="ED80" s="20"/>
      <c r="EE80" s="20"/>
      <c r="EF80" s="20"/>
      <c r="EG80" s="20"/>
      <c r="EH80" s="20"/>
      <c r="EI80" s="20"/>
    </row>
    <row r="81" spans="1:139" x14ac:dyDescent="0.25">
      <c r="A81" s="20"/>
      <c r="B81" s="233" t="s">
        <v>274</v>
      </c>
      <c r="C81" s="40" t="s">
        <v>276</v>
      </c>
      <c r="D81" s="619" t="s">
        <v>277</v>
      </c>
      <c r="E81" s="565">
        <v>5.5460000000000002E-2</v>
      </c>
      <c r="F81" s="149">
        <v>5.5460000000000002E-2</v>
      </c>
      <c r="G81" s="44">
        <v>5.5460000000000002E-2</v>
      </c>
      <c r="H81" s="44">
        <v>5.5460000000000002E-2</v>
      </c>
      <c r="I81" s="322">
        <v>5.5460000000000002E-2</v>
      </c>
      <c r="J81" s="44">
        <v>5.5460000000000002E-2</v>
      </c>
      <c r="K81" s="566">
        <v>1.0554600000000001</v>
      </c>
      <c r="L81" s="35"/>
      <c r="M81" s="751" t="s">
        <v>508</v>
      </c>
      <c r="N81" s="752"/>
      <c r="O81" s="635" t="s">
        <v>507</v>
      </c>
      <c r="P81" s="376" t="s">
        <v>52</v>
      </c>
      <c r="Q81" s="194">
        <f t="shared" ref="Q81:W81" si="26">997.39+4.46*Q78</f>
        <v>1160.9205871123495</v>
      </c>
      <c r="R81" s="194">
        <f t="shared" si="26"/>
        <v>1225.304883435123</v>
      </c>
      <c r="S81" s="194">
        <f t="shared" si="26"/>
        <v>1297.3305492215579</v>
      </c>
      <c r="T81" s="194">
        <f t="shared" si="26"/>
        <v>1295.8806813339233</v>
      </c>
      <c r="U81" s="194">
        <f t="shared" si="26"/>
        <v>1105.9553174318557</v>
      </c>
      <c r="V81" s="194">
        <f t="shared" si="26"/>
        <v>1077.009047162551</v>
      </c>
      <c r="W81" s="384">
        <f t="shared" si="26"/>
        <v>1331.1006283315692</v>
      </c>
      <c r="X81" s="515"/>
      <c r="Y81" s="515"/>
      <c r="Z81" s="515"/>
      <c r="AA81" s="515">
        <v>6.508</v>
      </c>
      <c r="AB81" s="515">
        <v>0.62800000000000011</v>
      </c>
      <c r="AC81" s="515">
        <f t="shared" si="25"/>
        <v>5.88</v>
      </c>
      <c r="AD81" s="515"/>
      <c r="AE81" s="515"/>
      <c r="AF81" s="515"/>
      <c r="AG81" s="515"/>
      <c r="AH81" s="515"/>
      <c r="AI81" s="515"/>
      <c r="AJ81" s="515"/>
      <c r="AK81" s="515"/>
      <c r="AL81" s="20"/>
      <c r="AM81" s="20"/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0"/>
      <c r="BP81" s="20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0"/>
      <c r="CD81" s="20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0"/>
      <c r="CR81" s="20"/>
      <c r="CS81" s="20"/>
      <c r="CT81" s="20"/>
      <c r="CU81" s="20"/>
      <c r="CV81" s="20"/>
      <c r="CW81" s="20"/>
      <c r="CX81" s="20"/>
      <c r="CY81" s="20"/>
      <c r="CZ81" s="20"/>
      <c r="DA81" s="20"/>
      <c r="DB81" s="20"/>
      <c r="DC81" s="20"/>
      <c r="DD81" s="20"/>
      <c r="DE81" s="20"/>
      <c r="DF81" s="20"/>
      <c r="DG81" s="20"/>
      <c r="DH81" s="20"/>
      <c r="DI81" s="20"/>
      <c r="DJ81" s="20"/>
      <c r="DK81" s="20"/>
      <c r="DL81" s="20"/>
      <c r="DM81" s="20"/>
      <c r="DN81" s="20"/>
      <c r="DO81" s="20"/>
      <c r="DP81" s="20"/>
      <c r="DQ81" s="20"/>
      <c r="DR81" s="20"/>
      <c r="DS81" s="20"/>
      <c r="DT81" s="20"/>
      <c r="DU81" s="20"/>
      <c r="DV81" s="20"/>
      <c r="DW81" s="20"/>
      <c r="DX81" s="20"/>
      <c r="DY81" s="20"/>
      <c r="DZ81" s="20"/>
      <c r="EA81" s="20"/>
      <c r="EB81" s="20"/>
      <c r="EC81" s="20"/>
      <c r="ED81" s="20"/>
      <c r="EE81" s="20"/>
      <c r="EF81" s="20"/>
      <c r="EG81" s="20"/>
      <c r="EH81" s="20"/>
      <c r="EI81" s="20"/>
    </row>
    <row r="82" spans="1:139" ht="15.75" thickBot="1" x14ac:dyDescent="0.3">
      <c r="A82" s="20"/>
      <c r="B82" s="233" t="s">
        <v>201</v>
      </c>
      <c r="C82" s="40" t="s">
        <v>279</v>
      </c>
      <c r="D82" s="619" t="s">
        <v>278</v>
      </c>
      <c r="E82" s="565">
        <f>1043+4.854*E77-1.07*E79</f>
        <v>1116.1145786137392</v>
      </c>
      <c r="F82" s="149">
        <f t="shared" ref="F82:K82" si="27">1043+4.854*F77-1.07*F79</f>
        <v>1183.9371644984135</v>
      </c>
      <c r="G82" s="44">
        <f t="shared" si="27"/>
        <v>1256.3878351260803</v>
      </c>
      <c r="H82" s="44">
        <f t="shared" si="27"/>
        <v>1254.98949184446</v>
      </c>
      <c r="I82" s="322">
        <f t="shared" si="27"/>
        <v>1057.1984905688546</v>
      </c>
      <c r="J82" s="44">
        <f t="shared" si="27"/>
        <v>1025.9422639202016</v>
      </c>
      <c r="K82" s="566">
        <f t="shared" si="27"/>
        <v>950.13141050324793</v>
      </c>
      <c r="L82" s="35"/>
      <c r="M82" s="751" t="s">
        <v>457</v>
      </c>
      <c r="N82" s="752"/>
      <c r="O82" s="636" t="s">
        <v>506</v>
      </c>
      <c r="P82" s="382" t="s">
        <v>505</v>
      </c>
      <c r="Q82" s="192">
        <f t="shared" ref="Q82:W82" si="28">+Q79/Q81</f>
        <v>0.40208186768476339</v>
      </c>
      <c r="R82" s="192">
        <f t="shared" si="28"/>
        <v>0.26345343777863328</v>
      </c>
      <c r="S82" s="192">
        <f t="shared" si="28"/>
        <v>9.164534468968126E-2</v>
      </c>
      <c r="T82" s="192">
        <f t="shared" si="28"/>
        <v>9.1747880088372438E-2</v>
      </c>
      <c r="U82" s="192">
        <f t="shared" si="28"/>
        <v>0.67653660011221894</v>
      </c>
      <c r="V82" s="192">
        <f t="shared" si="28"/>
        <v>0.79618644082808621</v>
      </c>
      <c r="W82" s="193">
        <f t="shared" si="28"/>
        <v>2.5768149507218233E-2</v>
      </c>
      <c r="X82" s="515"/>
      <c r="Y82" s="515"/>
      <c r="Z82" s="515"/>
      <c r="AA82" s="515">
        <v>7.31</v>
      </c>
      <c r="AB82" s="515">
        <v>0.62800000000000011</v>
      </c>
      <c r="AC82" s="515">
        <f t="shared" si="25"/>
        <v>6.6819999999999995</v>
      </c>
      <c r="AD82" s="515"/>
      <c r="AE82" s="515"/>
      <c r="AF82" s="515"/>
      <c r="AG82" s="515"/>
      <c r="AH82" s="515"/>
      <c r="AI82" s="515"/>
      <c r="AJ82" s="515"/>
      <c r="AK82" s="515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0"/>
      <c r="DD82" s="20"/>
      <c r="DE82" s="20"/>
      <c r="DF82" s="20"/>
      <c r="DG82" s="20"/>
      <c r="DH82" s="20"/>
      <c r="DI82" s="20"/>
      <c r="DJ82" s="20"/>
      <c r="DK82" s="20"/>
      <c r="DL82" s="20"/>
      <c r="DM82" s="20"/>
      <c r="DN82" s="20"/>
      <c r="DO82" s="20"/>
      <c r="DP82" s="20"/>
      <c r="DQ82" s="20"/>
      <c r="DR82" s="20"/>
      <c r="DS82" s="20"/>
      <c r="DT82" s="20"/>
      <c r="DU82" s="20"/>
      <c r="DV82" s="20"/>
      <c r="DW82" s="20"/>
      <c r="DX82" s="20"/>
      <c r="DY82" s="20"/>
      <c r="DZ82" s="20"/>
      <c r="EA82" s="20"/>
      <c r="EB82" s="20"/>
      <c r="EC82" s="20"/>
      <c r="ED82" s="20"/>
      <c r="EE82" s="20"/>
      <c r="EF82" s="20"/>
      <c r="EG82" s="20"/>
      <c r="EH82" s="20"/>
      <c r="EI82" s="20"/>
    </row>
    <row r="83" spans="1:139" ht="15.75" thickBot="1" x14ac:dyDescent="0.3">
      <c r="A83" s="20"/>
      <c r="B83" s="232" t="s">
        <v>581</v>
      </c>
      <c r="C83" s="40" t="s">
        <v>131</v>
      </c>
      <c r="D83" s="619" t="s">
        <v>48</v>
      </c>
      <c r="E83" s="569">
        <f>4.18*(1-0.006*E77)</f>
        <v>3.2604154428749488</v>
      </c>
      <c r="F83" s="226">
        <f t="shared" ref="F83:K83" si="29">4.18*(1-0.006*F77)</f>
        <v>2.8983620456159445</v>
      </c>
      <c r="G83" s="226">
        <f t="shared" si="29"/>
        <v>2.4933387949603869</v>
      </c>
      <c r="H83" s="226">
        <f t="shared" si="29"/>
        <v>2.501491863709687</v>
      </c>
      <c r="I83" s="323">
        <f t="shared" si="29"/>
        <v>3.569502654441493</v>
      </c>
      <c r="J83" s="226">
        <f t="shared" si="29"/>
        <v>3.7322767482428745</v>
      </c>
      <c r="K83" s="570">
        <f t="shared" si="29"/>
        <v>2.3034388882161978</v>
      </c>
      <c r="L83" s="35"/>
      <c r="M83" s="751">
        <v>1</v>
      </c>
      <c r="N83" s="752"/>
      <c r="O83" s="637" t="s">
        <v>504</v>
      </c>
      <c r="P83" s="89" t="s">
        <v>463</v>
      </c>
      <c r="Q83" s="482">
        <f t="shared" ref="Q83:W83" si="30">+Q82*1000</f>
        <v>402.08186768476338</v>
      </c>
      <c r="R83" s="482">
        <f t="shared" si="30"/>
        <v>263.45343777863326</v>
      </c>
      <c r="S83" s="482">
        <f t="shared" si="30"/>
        <v>91.645344689681266</v>
      </c>
      <c r="T83" s="482">
        <f t="shared" si="30"/>
        <v>91.74788008837244</v>
      </c>
      <c r="U83" s="482">
        <f t="shared" si="30"/>
        <v>676.53660011221893</v>
      </c>
      <c r="V83" s="482">
        <f t="shared" si="30"/>
        <v>796.18644082808623</v>
      </c>
      <c r="W83" s="483">
        <f t="shared" si="30"/>
        <v>25.768149507218233</v>
      </c>
      <c r="X83" s="515"/>
      <c r="Y83" s="515"/>
      <c r="Z83" s="515"/>
      <c r="AA83" s="515">
        <v>49.402999999999999</v>
      </c>
      <c r="AB83" s="515">
        <v>31.852999999999998</v>
      </c>
      <c r="AC83" s="515">
        <f t="shared" si="25"/>
        <v>17.55</v>
      </c>
      <c r="AD83" s="515"/>
      <c r="AE83" s="515"/>
      <c r="AF83" s="515"/>
      <c r="AG83" s="515"/>
      <c r="AH83" s="515"/>
      <c r="AI83" s="515"/>
      <c r="AJ83" s="515"/>
      <c r="AK83" s="515"/>
      <c r="AL83" s="20"/>
      <c r="AM83" s="20"/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0"/>
      <c r="BI83" s="20"/>
      <c r="BJ83" s="20"/>
      <c r="BK83" s="20"/>
      <c r="BL83" s="20"/>
      <c r="BM83" s="20"/>
      <c r="BN83" s="20"/>
      <c r="BO83" s="20"/>
      <c r="BP83" s="20"/>
      <c r="BQ83" s="20"/>
      <c r="BR83" s="20"/>
      <c r="BS83" s="20"/>
      <c r="BT83" s="20"/>
      <c r="BU83" s="20"/>
      <c r="BV83" s="20"/>
      <c r="BW83" s="20"/>
      <c r="BX83" s="20"/>
      <c r="BY83" s="20"/>
      <c r="BZ83" s="20"/>
      <c r="CA83" s="20"/>
      <c r="CB83" s="20"/>
      <c r="CC83" s="20"/>
      <c r="CD83" s="20"/>
      <c r="CE83" s="20"/>
      <c r="CF83" s="20"/>
      <c r="CG83" s="20"/>
      <c r="CH83" s="20"/>
      <c r="CI83" s="20"/>
      <c r="CJ83" s="20"/>
      <c r="CK83" s="20"/>
      <c r="CL83" s="20"/>
      <c r="CM83" s="20"/>
      <c r="CN83" s="20"/>
      <c r="CO83" s="20"/>
      <c r="CP83" s="20"/>
      <c r="CQ83" s="20"/>
      <c r="CR83" s="20"/>
      <c r="CS83" s="20"/>
      <c r="CT83" s="20"/>
      <c r="CU83" s="20"/>
      <c r="CV83" s="20"/>
      <c r="CW83" s="20"/>
      <c r="CX83" s="20"/>
      <c r="CY83" s="20"/>
      <c r="CZ83" s="20"/>
      <c r="DA83" s="20"/>
      <c r="DB83" s="20"/>
      <c r="DC83" s="20"/>
      <c r="DD83" s="20"/>
      <c r="DE83" s="20"/>
      <c r="DF83" s="20"/>
      <c r="DG83" s="20"/>
      <c r="DH83" s="20"/>
      <c r="DI83" s="20"/>
      <c r="DJ83" s="20"/>
      <c r="DK83" s="20"/>
      <c r="DL83" s="20"/>
      <c r="DM83" s="20"/>
      <c r="DN83" s="20"/>
      <c r="DO83" s="20"/>
      <c r="DP83" s="20"/>
      <c r="DQ83" s="20"/>
      <c r="DR83" s="20"/>
      <c r="DS83" s="20"/>
      <c r="DT83" s="20"/>
      <c r="DU83" s="20"/>
      <c r="DV83" s="20"/>
      <c r="DW83" s="20"/>
      <c r="DX83" s="20"/>
      <c r="DY83" s="20"/>
      <c r="DZ83" s="20"/>
      <c r="EA83" s="20"/>
      <c r="EB83" s="20"/>
      <c r="EC83" s="20"/>
      <c r="ED83" s="20"/>
      <c r="EE83" s="20"/>
      <c r="EF83" s="20"/>
      <c r="EG83" s="20"/>
      <c r="EH83" s="20"/>
      <c r="EI83" s="20"/>
    </row>
    <row r="84" spans="1:139" x14ac:dyDescent="0.25">
      <c r="A84" s="20"/>
      <c r="B84" s="232" t="s">
        <v>134</v>
      </c>
      <c r="C84" s="228" t="s">
        <v>135</v>
      </c>
      <c r="D84" s="619" t="s">
        <v>33</v>
      </c>
      <c r="E84" s="569">
        <f>2492.9-2.0523*E79-0.0030752*E79^2</f>
        <v>2262.2343431586878</v>
      </c>
      <c r="F84" s="226">
        <f t="shared" ref="F84:K84" si="31">2492.9-2.0523*F79-0.0030752*F79^2</f>
        <v>2256.639008203435</v>
      </c>
      <c r="G84" s="226">
        <f t="shared" si="31"/>
        <v>2241.7387436420854</v>
      </c>
      <c r="H84" s="226">
        <f t="shared" si="31"/>
        <v>2242.1922260242859</v>
      </c>
      <c r="I84" s="323">
        <f t="shared" si="31"/>
        <v>2264.4774205057297</v>
      </c>
      <c r="J84" s="226">
        <f t="shared" si="31"/>
        <v>2265.0893982194375</v>
      </c>
      <c r="K84" s="570">
        <f t="shared" si="31"/>
        <v>1059.4992952269438</v>
      </c>
      <c r="L84" s="35"/>
      <c r="M84" s="751" t="s">
        <v>503</v>
      </c>
      <c r="N84" s="752"/>
      <c r="O84" s="633" t="s">
        <v>132</v>
      </c>
      <c r="P84" s="81" t="s">
        <v>133</v>
      </c>
      <c r="Q84" s="179">
        <f t="shared" ref="Q84:T84" si="32">$D$22+0.2209*EXP(0.0557*Q76)</f>
        <v>97.753028807816222</v>
      </c>
      <c r="R84" s="179">
        <f t="shared" si="32"/>
        <v>99.050734158398086</v>
      </c>
      <c r="S84" s="179">
        <f t="shared" si="32"/>
        <v>102.43895717266487</v>
      </c>
      <c r="T84" s="179">
        <f t="shared" si="32"/>
        <v>102.43895717266487</v>
      </c>
      <c r="U84" s="179">
        <f>$D$22+0.2209*EXP(0.0557*U76)</f>
        <v>97.205773571985063</v>
      </c>
      <c r="V84" s="179">
        <f>+D19</f>
        <v>25</v>
      </c>
      <c r="W84" s="179">
        <f>$D$22+0.2209*EXP(0.0557*W76)</f>
        <v>97.149094540236746</v>
      </c>
      <c r="X84" s="515"/>
      <c r="Y84" s="515"/>
      <c r="Z84" s="515"/>
      <c r="AA84" s="515">
        <v>47.796999999999997</v>
      </c>
      <c r="AB84" s="515">
        <v>31.852999999999998</v>
      </c>
      <c r="AC84" s="515">
        <f t="shared" si="25"/>
        <v>15.943999999999999</v>
      </c>
      <c r="AD84" s="515"/>
      <c r="AE84" s="515"/>
      <c r="AF84" s="515"/>
      <c r="AG84" s="515"/>
      <c r="AH84" s="515"/>
      <c r="AI84" s="515"/>
      <c r="AJ84" s="515"/>
      <c r="AK84" s="515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0"/>
      <c r="BP84" s="20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0"/>
      <c r="CD84" s="20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0"/>
      <c r="CR84" s="20"/>
      <c r="CS84" s="20"/>
      <c r="CT84" s="20"/>
      <c r="CU84" s="20"/>
      <c r="CV84" s="20"/>
      <c r="CW84" s="20"/>
      <c r="CX84" s="20"/>
      <c r="CY84" s="20"/>
      <c r="CZ84" s="20"/>
      <c r="DA84" s="20"/>
      <c r="DB84" s="20"/>
      <c r="DC84" s="20"/>
      <c r="DD84" s="20"/>
      <c r="DE84" s="20"/>
      <c r="DF84" s="20"/>
      <c r="DG84" s="20"/>
      <c r="DH84" s="20"/>
      <c r="DI84" s="20"/>
      <c r="DJ84" s="20"/>
      <c r="DK84" s="20"/>
      <c r="DL84" s="20"/>
      <c r="DM84" s="20"/>
      <c r="DN84" s="20"/>
      <c r="DO84" s="20"/>
      <c r="DP84" s="20"/>
      <c r="DQ84" s="20"/>
      <c r="DR84" s="20"/>
      <c r="DS84" s="20"/>
      <c r="DT84" s="20"/>
      <c r="DU84" s="20"/>
      <c r="DV84" s="20"/>
      <c r="DW84" s="20"/>
      <c r="DX84" s="20"/>
      <c r="DY84" s="20"/>
      <c r="DZ84" s="20"/>
      <c r="EA84" s="20"/>
      <c r="EB84" s="20"/>
      <c r="EC84" s="20"/>
      <c r="ED84" s="20"/>
      <c r="EE84" s="20"/>
      <c r="EF84" s="20"/>
      <c r="EG84" s="20"/>
      <c r="EH84" s="20"/>
      <c r="EI84" s="20"/>
    </row>
    <row r="85" spans="1:139" x14ac:dyDescent="0.25">
      <c r="A85" s="20"/>
      <c r="B85" s="233" t="s">
        <v>344</v>
      </c>
      <c r="C85" s="40" t="s">
        <v>317</v>
      </c>
      <c r="D85" s="619" t="s">
        <v>280</v>
      </c>
      <c r="E85" s="565">
        <f t="shared" ref="E85:K85" si="33">0.3815-0.0051*E77+0.001866*E79</f>
        <v>0.37737538250361508</v>
      </c>
      <c r="F85" s="149">
        <f t="shared" si="33"/>
        <v>0.3076749935094264</v>
      </c>
      <c r="G85" s="44">
        <f t="shared" si="33"/>
        <v>0.23566888649417109</v>
      </c>
      <c r="H85" s="44">
        <f t="shared" si="33"/>
        <v>0.23701358580942478</v>
      </c>
      <c r="I85" s="322">
        <f t="shared" si="33"/>
        <v>0.43865004057313195</v>
      </c>
      <c r="J85" s="44">
        <f t="shared" si="33"/>
        <v>0.47131897141126811</v>
      </c>
      <c r="K85" s="566">
        <f t="shared" si="33"/>
        <v>0.79523628709446736</v>
      </c>
      <c r="L85" s="35"/>
      <c r="M85" s="751" t="s">
        <v>502</v>
      </c>
      <c r="N85" s="752"/>
      <c r="O85" s="633" t="s">
        <v>132</v>
      </c>
      <c r="P85" s="81" t="s">
        <v>133</v>
      </c>
      <c r="Q85" s="179">
        <f t="shared" ref="Q85:T85" si="34">$D$22+0.2209*EXP(0.0557*Q77)</f>
        <v>99.050734158398086</v>
      </c>
      <c r="R85" s="179">
        <f t="shared" si="34"/>
        <v>102.43895717266487</v>
      </c>
      <c r="S85" s="179">
        <f t="shared" si="34"/>
        <v>111.51414804447374</v>
      </c>
      <c r="T85" s="179">
        <f t="shared" si="34"/>
        <v>110.98298425016429</v>
      </c>
      <c r="U85" s="179">
        <f>$D$22+0.2209*EXP(0.0557*U77)</f>
        <v>97.753028807816222</v>
      </c>
      <c r="V85" s="179">
        <f>$D$22+0.2209*EXP(0.0557*V77)</f>
        <v>97.205773571985063</v>
      </c>
      <c r="W85" s="179">
        <f>$D$22+0.2209*EXP(0.0557*W77)</f>
        <v>453.79482110580057</v>
      </c>
      <c r="X85" s="515"/>
      <c r="Y85" s="515"/>
      <c r="Z85" s="515"/>
      <c r="AA85" s="515">
        <v>27.04</v>
      </c>
      <c r="AB85" s="515">
        <v>16.048999999999999</v>
      </c>
      <c r="AC85" s="515">
        <f t="shared" si="25"/>
        <v>10.991</v>
      </c>
      <c r="AD85" s="515"/>
      <c r="AE85" s="515"/>
      <c r="AF85" s="515"/>
      <c r="AG85" s="515"/>
      <c r="AH85" s="515"/>
      <c r="AI85" s="515"/>
      <c r="AJ85" s="515"/>
      <c r="AK85" s="515"/>
      <c r="AL85" s="20"/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0"/>
      <c r="BP85" s="20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0"/>
      <c r="CD85" s="20"/>
      <c r="CE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0"/>
      <c r="CR85" s="20"/>
      <c r="CS85" s="20"/>
      <c r="CT85" s="20"/>
      <c r="CU85" s="20"/>
      <c r="CV85" s="20"/>
      <c r="CW85" s="20"/>
      <c r="CX85" s="20"/>
      <c r="CY85" s="20"/>
      <c r="CZ85" s="20"/>
      <c r="DA85" s="20"/>
      <c r="DB85" s="20"/>
      <c r="DC85" s="20"/>
      <c r="DD85" s="20"/>
      <c r="DE85" s="20"/>
      <c r="DF85" s="20"/>
      <c r="DG85" s="20"/>
      <c r="DH85" s="20"/>
      <c r="DI85" s="20"/>
      <c r="DJ85" s="20"/>
      <c r="DK85" s="20"/>
      <c r="DL85" s="20"/>
      <c r="DM85" s="20"/>
      <c r="DN85" s="20"/>
      <c r="DO85" s="20"/>
      <c r="DP85" s="20"/>
      <c r="DQ85" s="20"/>
      <c r="DR85" s="20"/>
      <c r="DS85" s="20"/>
      <c r="DT85" s="20"/>
      <c r="DU85" s="20"/>
      <c r="DV85" s="20"/>
      <c r="DW85" s="20"/>
      <c r="DX85" s="20"/>
      <c r="DY85" s="20"/>
      <c r="DZ85" s="20"/>
      <c r="EA85" s="20"/>
      <c r="EB85" s="20"/>
      <c r="EC85" s="20"/>
      <c r="ED85" s="20"/>
      <c r="EE85" s="20"/>
      <c r="EF85" s="20"/>
      <c r="EG85" s="20"/>
      <c r="EH85" s="20"/>
      <c r="EI85" s="20"/>
    </row>
    <row r="86" spans="1:139" x14ac:dyDescent="0.25">
      <c r="A86" s="20"/>
      <c r="B86" s="232" t="s">
        <v>284</v>
      </c>
      <c r="C86" s="40" t="s">
        <v>286</v>
      </c>
      <c r="D86" s="619" t="s">
        <v>28</v>
      </c>
      <c r="E86" s="565">
        <f>+E68</f>
        <v>2.1160000000000001</v>
      </c>
      <c r="F86" s="44">
        <f t="shared" ref="F86:K86" si="35">+F68</f>
        <v>1.583</v>
      </c>
      <c r="G86" s="44">
        <f t="shared" si="35"/>
        <v>0.57699999999999996</v>
      </c>
      <c r="H86" s="44">
        <f t="shared" si="35"/>
        <v>0.57699999999999996</v>
      </c>
      <c r="I86" s="44">
        <f t="shared" si="35"/>
        <v>7.6449999999999996</v>
      </c>
      <c r="J86" s="44">
        <f t="shared" si="35"/>
        <v>7.6449999999999996</v>
      </c>
      <c r="K86" s="566">
        <f t="shared" si="35"/>
        <v>3.89</v>
      </c>
      <c r="L86" s="35"/>
      <c r="M86" s="751" t="s">
        <v>134</v>
      </c>
      <c r="N86" s="752"/>
      <c r="O86" s="638" t="s">
        <v>135</v>
      </c>
      <c r="P86" s="81" t="s">
        <v>33</v>
      </c>
      <c r="Q86" s="179">
        <f t="shared" ref="Q86:W86" si="36">2492.9-2.0523*Q84-0.0030752*Q84^2</f>
        <v>2262.8959098254031</v>
      </c>
      <c r="R86" s="179">
        <f t="shared" si="36"/>
        <v>2259.4472436698807</v>
      </c>
      <c r="S86" s="179">
        <f t="shared" si="36"/>
        <v>2250.3941791106845</v>
      </c>
      <c r="T86" s="179">
        <f t="shared" si="36"/>
        <v>2250.3941791106845</v>
      </c>
      <c r="U86" s="179">
        <f t="shared" si="36"/>
        <v>2264.3471416773682</v>
      </c>
      <c r="V86" s="179">
        <f>2492.9-2.0523*V85-0.0030752*V84^2</f>
        <v>2291.4825908982152</v>
      </c>
      <c r="W86" s="180">
        <f t="shared" si="36"/>
        <v>2264.4973399830455</v>
      </c>
      <c r="X86" s="515"/>
      <c r="Y86" s="515"/>
      <c r="Z86" s="515"/>
      <c r="AB86" s="515"/>
      <c r="AC86" s="515"/>
      <c r="AD86" s="515"/>
      <c r="AE86" s="515"/>
      <c r="AF86" s="515"/>
      <c r="AG86" s="515"/>
      <c r="AH86" s="515"/>
      <c r="AI86" s="515"/>
      <c r="AJ86" s="515"/>
      <c r="AK86" s="515"/>
      <c r="AL86" s="20"/>
      <c r="AM86" s="20"/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0"/>
      <c r="BP86" s="20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0"/>
      <c r="CD86" s="20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0"/>
      <c r="CR86" s="20"/>
      <c r="CS86" s="20"/>
      <c r="CT86" s="20"/>
      <c r="CU86" s="20"/>
      <c r="CV86" s="20"/>
      <c r="CW86" s="20"/>
      <c r="CX86" s="20"/>
      <c r="CY86" s="20"/>
      <c r="CZ86" s="20"/>
      <c r="DA86" s="20"/>
      <c r="DB86" s="20"/>
      <c r="DC86" s="20"/>
      <c r="DD86" s="20"/>
      <c r="DE86" s="20"/>
      <c r="DF86" s="20"/>
      <c r="DG86" s="20"/>
      <c r="DH86" s="20"/>
      <c r="DI86" s="20"/>
      <c r="DJ86" s="20"/>
      <c r="DK86" s="20"/>
      <c r="DL86" s="20"/>
      <c r="DM86" s="20"/>
      <c r="DN86" s="20"/>
      <c r="DO86" s="20"/>
      <c r="DP86" s="20"/>
      <c r="DQ86" s="20"/>
      <c r="DR86" s="20"/>
      <c r="DS86" s="20"/>
      <c r="DT86" s="20"/>
      <c r="DU86" s="20"/>
      <c r="DV86" s="20"/>
      <c r="DW86" s="20"/>
      <c r="DX86" s="20"/>
      <c r="DY86" s="20"/>
      <c r="DZ86" s="20"/>
      <c r="EA86" s="20"/>
      <c r="EB86" s="20"/>
      <c r="EC86" s="20"/>
      <c r="ED86" s="20"/>
      <c r="EE86" s="20"/>
      <c r="EF86" s="20"/>
      <c r="EG86" s="20"/>
      <c r="EH86" s="20"/>
      <c r="EI86" s="20"/>
    </row>
    <row r="87" spans="1:139" ht="15.75" thickBot="1" x14ac:dyDescent="0.3">
      <c r="A87" s="20"/>
      <c r="B87" s="232" t="s">
        <v>283</v>
      </c>
      <c r="C87" s="40" t="s">
        <v>285</v>
      </c>
      <c r="D87" s="619" t="s">
        <v>287</v>
      </c>
      <c r="E87" s="565">
        <f t="shared" ref="E87:K87" si="37">+E74/E86*1000</f>
        <v>42967.236525996377</v>
      </c>
      <c r="F87" s="149">
        <f t="shared" si="37"/>
        <v>34224.87040060127</v>
      </c>
      <c r="G87" s="44">
        <f t="shared" si="37"/>
        <v>29872.550459569091</v>
      </c>
      <c r="H87" s="44">
        <f t="shared" si="37"/>
        <v>28138.282991483888</v>
      </c>
      <c r="I87" s="322">
        <f t="shared" si="37"/>
        <v>23155.870354147366</v>
      </c>
      <c r="J87" s="44">
        <f t="shared" si="37"/>
        <v>14432.465765982819</v>
      </c>
      <c r="K87" s="566">
        <f t="shared" si="37"/>
        <v>6655.624984117655</v>
      </c>
      <c r="L87" s="35"/>
      <c r="M87" s="751" t="s">
        <v>136</v>
      </c>
      <c r="N87" s="752"/>
      <c r="O87" s="639" t="s">
        <v>137</v>
      </c>
      <c r="P87" s="87" t="s">
        <v>38</v>
      </c>
      <c r="Q87" s="148">
        <f t="shared" ref="Q87:U87" si="38">+Q79-(Q79*Q76/Q77)</f>
        <v>143.97433403189484</v>
      </c>
      <c r="R87" s="148">
        <f t="shared" si="38"/>
        <v>85.022173148204331</v>
      </c>
      <c r="S87" s="148">
        <f t="shared" si="38"/>
        <v>26.400187952210928</v>
      </c>
      <c r="T87" s="148">
        <f t="shared" si="38"/>
        <v>25.59836936553036</v>
      </c>
      <c r="U87" s="148">
        <f t="shared" si="38"/>
        <v>281.43413243155203</v>
      </c>
      <c r="V87" s="148">
        <f>+V79-W79-((V79-W79)*V76/V77)</f>
        <v>74.980749668622479</v>
      </c>
      <c r="W87" s="377">
        <f t="shared" ref="W87" si="39">+W79-(W79*W76/W77)</f>
        <v>29.904089797461651</v>
      </c>
      <c r="X87" s="515"/>
      <c r="Y87" s="515"/>
      <c r="Z87" s="515"/>
      <c r="AA87" s="515"/>
      <c r="AB87" s="515"/>
      <c r="AC87" s="515"/>
      <c r="AD87" s="515"/>
      <c r="AE87" s="515"/>
      <c r="AF87" s="515"/>
      <c r="AG87" s="515"/>
      <c r="AH87" s="515"/>
      <c r="AI87" s="515"/>
      <c r="AJ87" s="515"/>
      <c r="AK87" s="515"/>
      <c r="AL87" s="20"/>
      <c r="AM87" s="20"/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0"/>
      <c r="BP87" s="20"/>
      <c r="BQ87" s="20"/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B87" s="20"/>
      <c r="CC87" s="20"/>
      <c r="CD87" s="20"/>
      <c r="CE87" s="20"/>
      <c r="CF87" s="20"/>
      <c r="CG87" s="20"/>
      <c r="CH87" s="20"/>
      <c r="CI87" s="20"/>
      <c r="CJ87" s="20"/>
      <c r="CK87" s="20"/>
      <c r="CL87" s="20"/>
      <c r="CM87" s="20"/>
      <c r="CN87" s="20"/>
      <c r="CO87" s="20"/>
      <c r="CP87" s="20"/>
      <c r="CQ87" s="20"/>
      <c r="CR87" s="20"/>
      <c r="CS87" s="20"/>
      <c r="CT87" s="20"/>
      <c r="CU87" s="20"/>
      <c r="CV87" s="20"/>
      <c r="CW87" s="20"/>
      <c r="CX87" s="20"/>
      <c r="CY87" s="20"/>
      <c r="CZ87" s="20"/>
      <c r="DA87" s="20"/>
      <c r="DB87" s="20"/>
      <c r="DC87" s="20"/>
      <c r="DD87" s="20"/>
      <c r="DE87" s="20"/>
      <c r="DF87" s="20"/>
      <c r="DG87" s="20"/>
      <c r="DH87" s="20"/>
      <c r="DI87" s="20"/>
      <c r="DJ87" s="20"/>
      <c r="DK87" s="20"/>
      <c r="DL87" s="20"/>
      <c r="DM87" s="20"/>
      <c r="DN87" s="20"/>
      <c r="DO87" s="20"/>
      <c r="DP87" s="20"/>
      <c r="DQ87" s="20"/>
      <c r="DR87" s="20"/>
      <c r="DS87" s="20"/>
      <c r="DT87" s="20"/>
      <c r="DU87" s="20"/>
      <c r="DV87" s="20"/>
      <c r="DW87" s="20"/>
      <c r="DX87" s="20"/>
      <c r="DY87" s="20"/>
      <c r="DZ87" s="20"/>
      <c r="EA87" s="20"/>
      <c r="EB87" s="20"/>
      <c r="EC87" s="20"/>
      <c r="ED87" s="20"/>
      <c r="EE87" s="20"/>
      <c r="EF87" s="20"/>
      <c r="EG87" s="20"/>
      <c r="EH87" s="20"/>
      <c r="EI87" s="20"/>
    </row>
    <row r="88" spans="1:139" ht="15.75" thickBot="1" x14ac:dyDescent="0.3">
      <c r="A88" s="20"/>
      <c r="B88" s="232" t="s">
        <v>281</v>
      </c>
      <c r="C88" s="40" t="s">
        <v>282</v>
      </c>
      <c r="D88" s="619" t="s">
        <v>133</v>
      </c>
      <c r="E88" s="565">
        <f>+tw(E87,E80,E84,E81,E82,E83,E85,E79)</f>
        <v>108.74738023610269</v>
      </c>
      <c r="F88" s="44">
        <f>+tw(F87,F80,F84,F81,F82,F83,F85,F79)</f>
        <v>124.32271137330768</v>
      </c>
      <c r="G88" s="44">
        <f>+tw(G87,G80,G84,G81,G82,G83,G85,G79)</f>
        <v>167.46237142605719</v>
      </c>
      <c r="H88" s="44">
        <f>+tw(H87,H80,H84,H81,H82,H83,H85,H79)</f>
        <v>164.92003712997158</v>
      </c>
      <c r="I88" s="322">
        <f t="shared" ref="I88:K88" si="40">+tw(I87,I80,I84,I81,I82,I83,I85,I79)</f>
        <v>101.28907374472749</v>
      </c>
      <c r="J88" s="44">
        <f t="shared" si="40"/>
        <v>99.314115025409322</v>
      </c>
      <c r="K88" s="566">
        <f t="shared" si="40"/>
        <v>427.44488179100256</v>
      </c>
      <c r="L88" s="35"/>
      <c r="M88" s="784" t="s">
        <v>138</v>
      </c>
      <c r="N88" s="785"/>
      <c r="O88" s="637" t="s">
        <v>139</v>
      </c>
      <c r="P88" s="89" t="s">
        <v>19</v>
      </c>
      <c r="Q88" s="89">
        <f t="shared" ref="Q88:W88" si="41">(Q79*Q80*(Q85- Q84)+Q87*Q86)/3600</f>
        <v>91.048312992187178</v>
      </c>
      <c r="R88" s="89">
        <f t="shared" si="41"/>
        <v>54.24255903850127</v>
      </c>
      <c r="S88" s="89">
        <f t="shared" si="41"/>
        <v>17.250309227258704</v>
      </c>
      <c r="T88" s="89">
        <f t="shared" si="41"/>
        <v>16.707646476364243</v>
      </c>
      <c r="U88" s="89">
        <f t="shared" si="41"/>
        <v>177.42393514902147</v>
      </c>
      <c r="V88" s="89">
        <f t="shared" si="41"/>
        <v>111.91844786512523</v>
      </c>
      <c r="W88" s="90">
        <f t="shared" si="41"/>
        <v>26.637661364416218</v>
      </c>
      <c r="X88" s="515"/>
      <c r="Y88" s="515"/>
      <c r="Z88" s="515"/>
      <c r="AA88" s="515"/>
      <c r="AB88" s="515"/>
      <c r="AC88" s="515"/>
      <c r="AD88" s="515"/>
      <c r="AE88" s="515"/>
      <c r="AF88" s="515"/>
      <c r="AG88" s="515"/>
      <c r="AH88" s="515"/>
      <c r="AI88" s="515"/>
      <c r="AJ88" s="515"/>
      <c r="AK88" s="515"/>
      <c r="AL88" s="20"/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20"/>
      <c r="BO88" s="20"/>
      <c r="BP88" s="20"/>
      <c r="BQ88" s="20"/>
      <c r="BR88" s="20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0"/>
      <c r="CD88" s="20"/>
      <c r="CE88" s="20"/>
      <c r="CF88" s="20"/>
      <c r="CG88" s="20"/>
      <c r="CH88" s="20"/>
      <c r="CI88" s="20"/>
      <c r="CJ88" s="20"/>
      <c r="CK88" s="20"/>
      <c r="CL88" s="20"/>
      <c r="CM88" s="20"/>
      <c r="CN88" s="20"/>
      <c r="CO88" s="20"/>
      <c r="CP88" s="20"/>
      <c r="CQ88" s="20"/>
      <c r="CR88" s="20"/>
      <c r="CS88" s="20"/>
      <c r="CT88" s="20"/>
      <c r="CU88" s="20"/>
      <c r="CV88" s="20"/>
      <c r="CW88" s="20"/>
      <c r="CX88" s="20"/>
      <c r="CY88" s="20"/>
      <c r="CZ88" s="20"/>
      <c r="DA88" s="20"/>
      <c r="DB88" s="20"/>
      <c r="DC88" s="20"/>
      <c r="DD88" s="20"/>
      <c r="DE88" s="20"/>
      <c r="DF88" s="20"/>
      <c r="DG88" s="20"/>
      <c r="DH88" s="20"/>
      <c r="DI88" s="20"/>
      <c r="DJ88" s="20"/>
      <c r="DK88" s="20"/>
      <c r="DL88" s="20"/>
      <c r="DM88" s="20"/>
      <c r="DN88" s="20"/>
      <c r="DO88" s="20"/>
      <c r="DP88" s="20"/>
      <c r="DQ88" s="20"/>
      <c r="DR88" s="20"/>
      <c r="DS88" s="20"/>
      <c r="DT88" s="20"/>
      <c r="DU88" s="20"/>
      <c r="DV88" s="20"/>
      <c r="DW88" s="20"/>
      <c r="DX88" s="20"/>
      <c r="DY88" s="20"/>
      <c r="DZ88" s="20"/>
      <c r="EA88" s="20"/>
      <c r="EB88" s="20"/>
      <c r="EC88" s="20"/>
      <c r="ED88" s="20"/>
      <c r="EE88" s="20"/>
      <c r="EF88" s="20"/>
      <c r="EG88" s="20"/>
      <c r="EH88" s="20"/>
      <c r="EI88" s="20"/>
    </row>
    <row r="89" spans="1:139" ht="15.75" thickBot="1" x14ac:dyDescent="0.3">
      <c r="A89" s="20"/>
      <c r="B89" s="234" t="s">
        <v>294</v>
      </c>
      <c r="C89" s="235" t="s">
        <v>295</v>
      </c>
      <c r="D89" s="622" t="s">
        <v>133</v>
      </c>
      <c r="E89" s="573">
        <f>+twg(E59,E87,E88)</f>
        <v>146.81835027425296</v>
      </c>
      <c r="F89" s="236">
        <f t="shared" ref="F89:K89" si="42">+twg(F59,F87,F88)</f>
        <v>149.59340056444933</v>
      </c>
      <c r="G89" s="236">
        <f t="shared" si="42"/>
        <v>185.10801751147707</v>
      </c>
      <c r="H89" s="236">
        <f t="shared" si="42"/>
        <v>181.54125545517368</v>
      </c>
      <c r="I89" s="236">
        <f t="shared" si="42"/>
        <v>108.12813312839427</v>
      </c>
      <c r="J89" s="236">
        <f t="shared" si="42"/>
        <v>103.57672700745542</v>
      </c>
      <c r="K89" s="574">
        <f t="shared" si="42"/>
        <v>429.41061289096291</v>
      </c>
      <c r="L89" s="35"/>
      <c r="M89" s="35"/>
      <c r="N89" s="35"/>
      <c r="O89" s="35"/>
      <c r="P89" s="35"/>
      <c r="Q89" s="468">
        <f>+E74</f>
        <v>90.918672489008344</v>
      </c>
      <c r="R89" s="468">
        <f t="shared" ref="R89:W89" si="43">+F74</f>
        <v>54.177969844151811</v>
      </c>
      <c r="S89" s="468">
        <f t="shared" si="43"/>
        <v>17.236461615171365</v>
      </c>
      <c r="T89" s="468">
        <f t="shared" si="43"/>
        <v>16.235789286086202</v>
      </c>
      <c r="U89" s="468">
        <f t="shared" si="43"/>
        <v>177.02662885745661</v>
      </c>
      <c r="V89" s="468">
        <f t="shared" si="43"/>
        <v>110.33620078093864</v>
      </c>
      <c r="W89" s="468">
        <f t="shared" si="43"/>
        <v>25.890381188217681</v>
      </c>
      <c r="X89" s="515"/>
      <c r="Y89" s="515"/>
      <c r="Z89" s="515"/>
      <c r="AA89" s="515">
        <v>14.161999999999999</v>
      </c>
      <c r="AB89" s="515">
        <v>8.2910000000000004</v>
      </c>
      <c r="AC89" s="515">
        <v>5.88</v>
      </c>
      <c r="AD89" s="515">
        <v>6.6819999999999995</v>
      </c>
      <c r="AE89" s="515">
        <v>17.55</v>
      </c>
      <c r="AF89" s="515">
        <v>15.943999999999999</v>
      </c>
      <c r="AG89" s="515">
        <v>10.991</v>
      </c>
      <c r="AH89" s="515"/>
      <c r="AI89" s="515"/>
      <c r="AJ89" s="515"/>
      <c r="AK89" s="515"/>
      <c r="AL89" s="20"/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20"/>
      <c r="BO89" s="20"/>
      <c r="BP89" s="20"/>
      <c r="BQ89" s="20"/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0"/>
      <c r="CD89" s="20"/>
      <c r="CE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0"/>
      <c r="CR89" s="20"/>
      <c r="CS89" s="20"/>
      <c r="CT89" s="20"/>
      <c r="CU89" s="20"/>
      <c r="CV89" s="20"/>
      <c r="CW89" s="20"/>
      <c r="CX89" s="20"/>
      <c r="CY89" s="20"/>
      <c r="CZ89" s="20"/>
      <c r="DA89" s="20"/>
      <c r="DB89" s="20"/>
      <c r="DC89" s="20"/>
      <c r="DD89" s="20"/>
      <c r="DE89" s="20"/>
      <c r="DF89" s="20"/>
      <c r="DG89" s="20"/>
      <c r="DH89" s="20"/>
      <c r="DI89" s="20"/>
      <c r="DJ89" s="20"/>
      <c r="DK89" s="20"/>
      <c r="DL89" s="20"/>
      <c r="DM89" s="20"/>
      <c r="DN89" s="20"/>
      <c r="DO89" s="20"/>
      <c r="DP89" s="20"/>
      <c r="DQ89" s="20"/>
      <c r="DR89" s="20"/>
      <c r="DS89" s="20"/>
      <c r="DT89" s="20"/>
      <c r="DU89" s="20"/>
      <c r="DV89" s="20"/>
      <c r="DW89" s="20"/>
      <c r="DX89" s="20"/>
      <c r="DY89" s="20"/>
      <c r="DZ89" s="20"/>
      <c r="EA89" s="20"/>
      <c r="EB89" s="20"/>
      <c r="EC89" s="20"/>
      <c r="ED89" s="20"/>
      <c r="EE89" s="20"/>
      <c r="EF89" s="20"/>
      <c r="EG89" s="20"/>
      <c r="EH89" s="20"/>
      <c r="EI89" s="20"/>
    </row>
    <row r="90" spans="1:139" ht="15.75" thickBot="1" x14ac:dyDescent="0.3">
      <c r="A90" s="20"/>
      <c r="B90" s="20"/>
      <c r="C90" s="20"/>
      <c r="D90" s="36"/>
      <c r="E90" s="148">
        <f>+E78-(E78*E75/E76)</f>
        <v>143.97433403189484</v>
      </c>
      <c r="F90" s="148">
        <f t="shared" ref="F90:K90" si="44">+F78-(F78*F75/F76)</f>
        <v>85.022173148204331</v>
      </c>
      <c r="G90" s="148">
        <f t="shared" si="44"/>
        <v>26.400187952210928</v>
      </c>
      <c r="H90" s="148">
        <f t="shared" si="44"/>
        <v>25.59836936553036</v>
      </c>
      <c r="I90" s="148">
        <f t="shared" si="44"/>
        <v>281.43413243155203</v>
      </c>
      <c r="J90" s="148">
        <f>+J78-K78-((J78-K78)*J75/J76)</f>
        <v>74.980749668622479</v>
      </c>
      <c r="K90" s="148">
        <f t="shared" si="44"/>
        <v>29.904089797461651</v>
      </c>
      <c r="L90" s="377"/>
      <c r="M90" s="20"/>
      <c r="N90" s="20"/>
      <c r="O90" s="20"/>
      <c r="P90" s="20"/>
      <c r="Q90" s="468">
        <f>+Q89-Q88</f>
        <v>-0.12964050317883391</v>
      </c>
      <c r="R90" s="468">
        <f t="shared" ref="R90:W90" si="45">+R89-R88</f>
        <v>-6.4589194349458978E-2</v>
      </c>
      <c r="S90" s="468">
        <f t="shared" si="45"/>
        <v>-1.3847612087339201E-2</v>
      </c>
      <c r="T90" s="468">
        <f t="shared" si="45"/>
        <v>-0.47185719027804041</v>
      </c>
      <c r="U90" s="468">
        <f t="shared" si="45"/>
        <v>-0.39730629156485975</v>
      </c>
      <c r="V90" s="468">
        <f t="shared" si="45"/>
        <v>-1.5822470841865908</v>
      </c>
      <c r="W90" s="468">
        <f t="shared" si="45"/>
        <v>-0.74728017619853659</v>
      </c>
      <c r="X90" s="640">
        <f>+SUM(Q90:W90)</f>
        <v>-3.4067680518436596</v>
      </c>
      <c r="Y90" s="515"/>
      <c r="Z90" s="515"/>
      <c r="AA90" s="515"/>
      <c r="AB90" s="515"/>
      <c r="AC90" s="515"/>
      <c r="AD90" s="515"/>
      <c r="AE90" s="515"/>
      <c r="AF90" s="515"/>
      <c r="AG90" s="515"/>
      <c r="AH90" s="515"/>
      <c r="AI90" s="515"/>
      <c r="AJ90" s="515"/>
      <c r="AK90" s="515"/>
      <c r="AL90" s="20"/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0"/>
      <c r="BI90" s="20"/>
      <c r="BJ90" s="20"/>
      <c r="BK90" s="20"/>
      <c r="BL90" s="20"/>
      <c r="BM90" s="20"/>
      <c r="BN90" s="20"/>
      <c r="BO90" s="20"/>
      <c r="BP90" s="20"/>
      <c r="BQ90" s="20"/>
      <c r="BR90" s="20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0"/>
      <c r="CD90" s="20"/>
      <c r="CE90" s="20"/>
      <c r="CF90" s="20"/>
      <c r="CG90" s="20"/>
      <c r="CH90" s="20"/>
      <c r="CI90" s="20"/>
      <c r="CJ90" s="20"/>
      <c r="CK90" s="20"/>
      <c r="CL90" s="20"/>
      <c r="CM90" s="20"/>
      <c r="CN90" s="20"/>
      <c r="CO90" s="20"/>
      <c r="CP90" s="20"/>
      <c r="CQ90" s="20"/>
      <c r="CR90" s="20"/>
      <c r="CS90" s="20"/>
      <c r="CT90" s="20"/>
      <c r="CU90" s="20"/>
      <c r="CV90" s="20"/>
      <c r="CW90" s="20"/>
      <c r="CX90" s="20"/>
      <c r="CY90" s="20"/>
      <c r="CZ90" s="20"/>
      <c r="DA90" s="20"/>
      <c r="DB90" s="20"/>
      <c r="DC90" s="20"/>
      <c r="DD90" s="20"/>
      <c r="DE90" s="20"/>
      <c r="DF90" s="20"/>
      <c r="DG90" s="20"/>
      <c r="DH90" s="20"/>
      <c r="DI90" s="20"/>
      <c r="DJ90" s="20"/>
      <c r="DK90" s="20"/>
      <c r="DL90" s="20"/>
      <c r="DM90" s="20"/>
      <c r="DN90" s="20"/>
      <c r="DO90" s="20"/>
      <c r="DP90" s="20"/>
      <c r="DQ90" s="20"/>
      <c r="DR90" s="20"/>
      <c r="DS90" s="20"/>
      <c r="DT90" s="20"/>
      <c r="DU90" s="20"/>
      <c r="DV90" s="20"/>
      <c r="DW90" s="20"/>
      <c r="DX90" s="20"/>
      <c r="DY90" s="20"/>
      <c r="DZ90" s="20"/>
      <c r="EA90" s="20"/>
      <c r="EB90" s="20"/>
      <c r="EC90" s="20"/>
      <c r="ED90" s="20"/>
      <c r="EE90" s="20"/>
      <c r="EF90" s="20"/>
      <c r="EG90" s="20"/>
      <c r="EH90" s="20"/>
      <c r="EI90" s="20"/>
    </row>
    <row r="91" spans="1:139" ht="15.75" thickBot="1" x14ac:dyDescent="0.3">
      <c r="A91" s="664" t="s">
        <v>143</v>
      </c>
      <c r="B91" s="665"/>
      <c r="C91" s="665"/>
      <c r="D91" s="665"/>
      <c r="E91" s="665"/>
      <c r="F91" s="665"/>
      <c r="G91" s="665"/>
      <c r="H91" s="665"/>
      <c r="I91" s="665"/>
      <c r="J91" s="665"/>
      <c r="K91" s="665"/>
      <c r="L91" s="665"/>
      <c r="M91" s="665"/>
      <c r="N91" s="665"/>
      <c r="O91" s="665"/>
      <c r="P91" s="665"/>
      <c r="Q91" s="665"/>
      <c r="R91" s="665"/>
      <c r="S91" s="665"/>
      <c r="T91" s="665"/>
      <c r="U91" s="666"/>
      <c r="W91" s="20"/>
      <c r="X91" s="515"/>
      <c r="Y91" s="515"/>
      <c r="Z91" s="515"/>
      <c r="AA91" s="515"/>
      <c r="AB91" s="515"/>
      <c r="AC91" s="515"/>
      <c r="AD91" s="515"/>
      <c r="AE91" s="515"/>
      <c r="AF91" s="515"/>
      <c r="AG91" s="515"/>
      <c r="AH91" s="515"/>
      <c r="AI91" s="515"/>
      <c r="AJ91" s="515"/>
      <c r="AK91" s="515"/>
      <c r="AL91" s="20"/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0"/>
      <c r="BP91" s="20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0"/>
      <c r="CD91" s="20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0"/>
      <c r="CR91" s="20"/>
      <c r="CS91" s="20"/>
      <c r="CT91" s="20"/>
      <c r="CU91" s="20"/>
      <c r="CV91" s="20"/>
      <c r="CW91" s="20"/>
      <c r="CX91" s="20"/>
      <c r="CY91" s="20"/>
      <c r="CZ91" s="20"/>
      <c r="DA91" s="20"/>
      <c r="DB91" s="20"/>
      <c r="DC91" s="20"/>
      <c r="DD91" s="20"/>
      <c r="DE91" s="20"/>
      <c r="DF91" s="20"/>
      <c r="DG91" s="20"/>
      <c r="DH91" s="20"/>
      <c r="DI91" s="20"/>
      <c r="DJ91" s="20"/>
      <c r="DK91" s="20"/>
      <c r="DL91" s="20"/>
      <c r="DM91" s="20"/>
      <c r="DN91" s="20"/>
      <c r="DO91" s="20"/>
      <c r="DP91" s="20"/>
      <c r="DQ91" s="20"/>
      <c r="DR91" s="20"/>
      <c r="DS91" s="20"/>
      <c r="DT91" s="20"/>
      <c r="DU91" s="20"/>
      <c r="DV91" s="20"/>
      <c r="DW91" s="20"/>
      <c r="DX91" s="20"/>
      <c r="DY91" s="20"/>
      <c r="DZ91" s="20"/>
      <c r="EA91" s="20"/>
      <c r="EB91" s="20"/>
      <c r="EC91" s="20"/>
      <c r="ED91" s="20"/>
      <c r="EE91" s="20"/>
      <c r="EF91" s="20"/>
      <c r="EG91" s="20"/>
      <c r="EH91" s="20"/>
      <c r="EI91" s="20"/>
    </row>
    <row r="92" spans="1:139" ht="15.75" thickBot="1" x14ac:dyDescent="0.3">
      <c r="A92" s="169"/>
      <c r="B92" s="200"/>
      <c r="C92" s="200"/>
      <c r="D92" s="213"/>
      <c r="E92" s="169"/>
      <c r="F92" s="199"/>
      <c r="G92" s="200"/>
      <c r="H92" s="200"/>
      <c r="I92" s="169"/>
      <c r="J92" s="199"/>
      <c r="K92" s="200"/>
      <c r="L92" s="169"/>
      <c r="M92" s="169"/>
      <c r="N92" s="169"/>
      <c r="O92" s="169"/>
      <c r="P92" s="169"/>
      <c r="R92" s="20"/>
      <c r="S92" s="20"/>
      <c r="T92" s="20"/>
      <c r="U92" s="20"/>
      <c r="W92" s="20"/>
      <c r="X92" s="515"/>
      <c r="Y92" s="515"/>
      <c r="Z92" s="515"/>
      <c r="AA92" s="515"/>
      <c r="AB92" s="515"/>
      <c r="AC92" s="515"/>
      <c r="AD92" s="515"/>
      <c r="AE92" s="515"/>
      <c r="AF92" s="515"/>
      <c r="AG92" s="515"/>
      <c r="AH92" s="515"/>
      <c r="AI92" s="515"/>
      <c r="AJ92" s="515"/>
      <c r="AK92" s="515"/>
      <c r="AL92" s="20"/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20"/>
      <c r="BO92" s="20"/>
      <c r="BP92" s="20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0"/>
      <c r="CD92" s="20"/>
      <c r="CE92" s="20"/>
      <c r="CF92" s="20"/>
      <c r="CG92" s="20"/>
      <c r="CH92" s="20"/>
      <c r="CI92" s="20"/>
      <c r="CJ92" s="20"/>
      <c r="CK92" s="20"/>
      <c r="CL92" s="20"/>
      <c r="CM92" s="20"/>
      <c r="CN92" s="20"/>
      <c r="CO92" s="20"/>
      <c r="CP92" s="20"/>
      <c r="CQ92" s="20"/>
      <c r="CR92" s="20"/>
      <c r="CS92" s="20"/>
      <c r="CT92" s="20"/>
      <c r="CU92" s="20"/>
      <c r="CV92" s="20"/>
      <c r="CW92" s="20"/>
      <c r="CX92" s="20"/>
      <c r="CY92" s="20"/>
      <c r="CZ92" s="20"/>
      <c r="DA92" s="20"/>
      <c r="DB92" s="20"/>
      <c r="DC92" s="20"/>
      <c r="DD92" s="20"/>
      <c r="DE92" s="20"/>
      <c r="DF92" s="20"/>
      <c r="DG92" s="20"/>
      <c r="DH92" s="20"/>
      <c r="DI92" s="20"/>
      <c r="DJ92" s="20"/>
      <c r="DK92" s="20"/>
      <c r="DL92" s="20"/>
      <c r="DM92" s="20"/>
      <c r="DN92" s="20"/>
      <c r="DO92" s="20"/>
      <c r="DP92" s="20"/>
      <c r="DQ92" s="20"/>
      <c r="DR92" s="20"/>
      <c r="DS92" s="20"/>
      <c r="DT92" s="20"/>
      <c r="DU92" s="20"/>
      <c r="DV92" s="20"/>
      <c r="DW92" s="20"/>
      <c r="DX92" s="20"/>
      <c r="DY92" s="20"/>
      <c r="DZ92" s="20"/>
      <c r="EA92" s="20"/>
      <c r="EB92" s="20"/>
      <c r="EC92" s="20"/>
      <c r="ED92" s="20"/>
      <c r="EE92" s="20"/>
      <c r="EF92" s="20"/>
      <c r="EG92" s="20"/>
      <c r="EH92" s="20"/>
      <c r="EI92" s="20"/>
    </row>
    <row r="93" spans="1:139" ht="15.75" thickBot="1" x14ac:dyDescent="0.3">
      <c r="A93" s="169"/>
      <c r="B93" s="170" t="s">
        <v>144</v>
      </c>
      <c r="C93" s="171">
        <f>+D3*D4</f>
        <v>536.37040686147782</v>
      </c>
      <c r="D93" s="172" t="s">
        <v>31</v>
      </c>
      <c r="E93" s="169"/>
      <c r="F93" s="776" t="s">
        <v>168</v>
      </c>
      <c r="G93" s="777"/>
      <c r="H93" s="778"/>
      <c r="I93" s="169"/>
      <c r="J93" s="173" t="s">
        <v>179</v>
      </c>
      <c r="K93" s="171">
        <f>(C107*G103)/1000</f>
        <v>421.21674156705853</v>
      </c>
      <c r="L93" s="174" t="s">
        <v>31</v>
      </c>
      <c r="M93" s="20"/>
      <c r="N93" s="779" t="s">
        <v>395</v>
      </c>
      <c r="O93" s="780"/>
      <c r="P93" s="781"/>
      <c r="Q93" s="779" t="s">
        <v>396</v>
      </c>
      <c r="R93" s="780"/>
      <c r="S93" s="779" t="s">
        <v>397</v>
      </c>
      <c r="T93" s="781"/>
      <c r="U93" s="20"/>
      <c r="X93" s="515"/>
      <c r="Y93" s="515"/>
      <c r="Z93" s="515"/>
      <c r="AA93" s="515"/>
      <c r="AB93" s="515"/>
      <c r="AC93" s="515"/>
      <c r="AD93" s="515"/>
      <c r="AE93" s="515"/>
      <c r="AF93" s="515"/>
      <c r="AG93" s="515"/>
      <c r="AH93" s="515"/>
      <c r="AI93" s="515"/>
      <c r="AJ93" s="515"/>
      <c r="AK93" s="515"/>
      <c r="AL93" s="20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0"/>
      <c r="BP93" s="20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0"/>
      <c r="CR93" s="20"/>
      <c r="CS93" s="20"/>
      <c r="CT93" s="20"/>
      <c r="CU93" s="20"/>
      <c r="CV93" s="20"/>
      <c r="CW93" s="20"/>
      <c r="CX93" s="20"/>
      <c r="CY93" s="20"/>
      <c r="CZ93" s="20"/>
      <c r="DA93" s="20"/>
      <c r="DB93" s="20"/>
      <c r="DC93" s="20"/>
      <c r="DD93" s="20"/>
      <c r="DE93" s="20"/>
      <c r="DF93" s="20"/>
      <c r="DG93" s="20"/>
      <c r="DH93" s="20"/>
      <c r="DI93" s="20"/>
      <c r="DJ93" s="20"/>
      <c r="DK93" s="20"/>
      <c r="DL93" s="20"/>
      <c r="DM93" s="20"/>
      <c r="DN93" s="20"/>
      <c r="DO93" s="20"/>
      <c r="DP93" s="20"/>
      <c r="DQ93" s="20"/>
      <c r="DR93" s="20"/>
      <c r="DS93" s="20"/>
      <c r="DT93" s="20"/>
      <c r="DU93" s="20"/>
      <c r="DV93" s="20"/>
      <c r="DW93" s="20"/>
      <c r="DX93" s="20"/>
      <c r="DY93" s="20"/>
      <c r="DZ93" s="20"/>
      <c r="EA93" s="20"/>
      <c r="EB93" s="20"/>
      <c r="EC93" s="20"/>
      <c r="ED93" s="20"/>
      <c r="EE93" s="20"/>
      <c r="EF93" s="20"/>
      <c r="EG93" s="20"/>
      <c r="EH93" s="20"/>
      <c r="EI93" s="20"/>
    </row>
    <row r="94" spans="1:139" x14ac:dyDescent="0.25">
      <c r="A94" s="169"/>
      <c r="B94" s="175" t="s">
        <v>145</v>
      </c>
      <c r="C94" s="176">
        <v>0.95</v>
      </c>
      <c r="D94" s="177" t="s">
        <v>6</v>
      </c>
      <c r="E94" s="169"/>
      <c r="F94" s="320" t="s">
        <v>169</v>
      </c>
      <c r="G94" s="196">
        <f>C104*D100/C105</f>
        <v>10.074780303225404</v>
      </c>
      <c r="H94" s="197" t="s">
        <v>170</v>
      </c>
      <c r="I94" s="169"/>
      <c r="J94" s="181" t="s">
        <v>181</v>
      </c>
      <c r="K94" s="179">
        <f>(C108*G104)/1000</f>
        <v>14.109780188568712</v>
      </c>
      <c r="L94" s="182" t="s">
        <v>31</v>
      </c>
      <c r="M94" s="20"/>
      <c r="N94" s="756" t="s">
        <v>440</v>
      </c>
      <c r="O94" s="757"/>
      <c r="P94" s="454" t="s">
        <v>369</v>
      </c>
      <c r="Q94" s="453">
        <f>+AI4</f>
        <v>1.0828722547414502</v>
      </c>
      <c r="R94" s="625" t="s">
        <v>28</v>
      </c>
      <c r="S94" s="624">
        <f>Q94</f>
        <v>1.0828722547414502</v>
      </c>
      <c r="T94" s="283" t="s">
        <v>28</v>
      </c>
      <c r="U94" s="20"/>
      <c r="X94" s="515"/>
      <c r="Y94" s="515"/>
      <c r="Z94" s="515"/>
      <c r="AA94" s="515"/>
      <c r="AB94" s="515"/>
      <c r="AC94" s="515"/>
      <c r="AD94" s="515"/>
      <c r="AE94" s="515"/>
      <c r="AF94" s="515"/>
      <c r="AG94" s="515"/>
      <c r="AH94" s="515"/>
      <c r="AI94" s="515"/>
      <c r="AJ94" s="515"/>
      <c r="AK94" s="515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20"/>
      <c r="BO94" s="20"/>
      <c r="BP94" s="20"/>
      <c r="BQ94" s="20"/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B94" s="20"/>
      <c r="CC94" s="20"/>
      <c r="CD94" s="20"/>
      <c r="CE94" s="20"/>
      <c r="CF94" s="20"/>
      <c r="CG94" s="20"/>
      <c r="CH94" s="20"/>
      <c r="CI94" s="20"/>
      <c r="CJ94" s="20"/>
      <c r="CK94" s="20"/>
      <c r="CL94" s="20"/>
      <c r="CM94" s="20"/>
      <c r="CN94" s="20"/>
      <c r="CO94" s="20"/>
      <c r="CP94" s="20"/>
      <c r="CQ94" s="20"/>
      <c r="CR94" s="20"/>
      <c r="CS94" s="20"/>
      <c r="CT94" s="20"/>
      <c r="CU94" s="20"/>
      <c r="CV94" s="20"/>
      <c r="CW94" s="20"/>
      <c r="CX94" s="20"/>
      <c r="CY94" s="20"/>
      <c r="CZ94" s="20"/>
      <c r="DA94" s="20"/>
      <c r="DB94" s="20"/>
      <c r="DC94" s="20"/>
      <c r="DD94" s="20"/>
      <c r="DE94" s="20"/>
      <c r="DF94" s="20"/>
      <c r="DG94" s="20"/>
      <c r="DH94" s="20"/>
      <c r="DI94" s="20"/>
      <c r="DJ94" s="20"/>
      <c r="DK94" s="20"/>
      <c r="DL94" s="20"/>
      <c r="DM94" s="20"/>
      <c r="DN94" s="20"/>
      <c r="DO94" s="20"/>
      <c r="DP94" s="20"/>
      <c r="DQ94" s="20"/>
      <c r="DR94" s="20"/>
      <c r="DS94" s="20"/>
      <c r="DT94" s="20"/>
      <c r="DU94" s="20"/>
      <c r="DV94" s="20"/>
      <c r="DW94" s="20"/>
      <c r="DX94" s="20"/>
      <c r="DY94" s="20"/>
      <c r="DZ94" s="20"/>
      <c r="EA94" s="20"/>
      <c r="EB94" s="20"/>
      <c r="EC94" s="20"/>
      <c r="ED94" s="20"/>
      <c r="EE94" s="20"/>
      <c r="EF94" s="20"/>
      <c r="EG94" s="20"/>
      <c r="EH94" s="20"/>
      <c r="EI94" s="20"/>
    </row>
    <row r="95" spans="1:139" x14ac:dyDescent="0.25">
      <c r="A95" s="169"/>
      <c r="B95" s="183" t="s">
        <v>146</v>
      </c>
      <c r="C95" s="184">
        <f>+D14</f>
        <v>0.52</v>
      </c>
      <c r="D95" s="180" t="s">
        <v>6</v>
      </c>
      <c r="E95" s="169"/>
      <c r="F95" s="178" t="s">
        <v>171</v>
      </c>
      <c r="G95" s="179">
        <f>D101*C104/C106</f>
        <v>8.3014647171846079</v>
      </c>
      <c r="H95" s="180" t="s">
        <v>170</v>
      </c>
      <c r="I95" s="169"/>
      <c r="J95" s="181" t="s">
        <v>183</v>
      </c>
      <c r="K95" s="179">
        <f>(C109*G106)/1000</f>
        <v>431.10715791789215</v>
      </c>
      <c r="L95" s="182" t="s">
        <v>31</v>
      </c>
      <c r="M95" s="20"/>
      <c r="N95" s="756" t="s">
        <v>371</v>
      </c>
      <c r="O95" s="757"/>
      <c r="P95" s="454" t="s">
        <v>372</v>
      </c>
      <c r="Q95" s="453">
        <f>AG4</f>
        <v>0.155</v>
      </c>
      <c r="R95" s="625" t="s">
        <v>61</v>
      </c>
      <c r="S95" s="624">
        <f>Q95</f>
        <v>0.155</v>
      </c>
      <c r="T95" s="283" t="s">
        <v>61</v>
      </c>
      <c r="U95" s="20"/>
      <c r="X95" s="515"/>
      <c r="Y95" s="515"/>
      <c r="Z95" s="515"/>
      <c r="AA95" s="515"/>
      <c r="AB95" s="515"/>
      <c r="AC95" s="515"/>
      <c r="AD95" s="515"/>
      <c r="AE95" s="515"/>
      <c r="AF95" s="515"/>
      <c r="AG95" s="515"/>
      <c r="AH95" s="515"/>
      <c r="AI95" s="515"/>
      <c r="AJ95" s="515"/>
      <c r="AK95" s="515"/>
      <c r="AL95" s="20"/>
      <c r="AM95" s="20"/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0"/>
      <c r="BP95" s="20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0"/>
      <c r="CD95" s="20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0"/>
      <c r="CR95" s="20"/>
      <c r="CS95" s="20"/>
      <c r="CT95" s="20"/>
      <c r="CU95" s="20"/>
      <c r="CV95" s="20"/>
      <c r="CW95" s="20"/>
      <c r="CX95" s="20"/>
      <c r="CY95" s="20"/>
      <c r="CZ95" s="20"/>
      <c r="DA95" s="20"/>
      <c r="DB95" s="20"/>
      <c r="DC95" s="20"/>
      <c r="DD95" s="20"/>
      <c r="DE95" s="20"/>
      <c r="DF95" s="20"/>
      <c r="DG95" s="20"/>
      <c r="DH95" s="20"/>
      <c r="DI95" s="20"/>
      <c r="DJ95" s="20"/>
      <c r="DK95" s="20"/>
      <c r="DL95" s="20"/>
      <c r="DM95" s="20"/>
      <c r="DN95" s="20"/>
      <c r="DO95" s="20"/>
      <c r="DP95" s="20"/>
      <c r="DQ95" s="20"/>
      <c r="DR95" s="20"/>
      <c r="DS95" s="20"/>
      <c r="DT95" s="20"/>
      <c r="DU95" s="20"/>
      <c r="DV95" s="20"/>
      <c r="DW95" s="20"/>
      <c r="DX95" s="20"/>
      <c r="DY95" s="20"/>
      <c r="DZ95" s="20"/>
      <c r="EA95" s="20"/>
      <c r="EB95" s="20"/>
      <c r="EC95" s="20"/>
      <c r="ED95" s="20"/>
      <c r="EE95" s="20"/>
      <c r="EF95" s="20"/>
      <c r="EG95" s="20"/>
      <c r="EH95" s="20"/>
      <c r="EI95" s="20"/>
    </row>
    <row r="96" spans="1:139" x14ac:dyDescent="0.25">
      <c r="A96" s="169"/>
      <c r="B96" s="183" t="s">
        <v>147</v>
      </c>
      <c r="C96" s="179">
        <v>1.8</v>
      </c>
      <c r="D96" s="180" t="s">
        <v>122</v>
      </c>
      <c r="E96" s="169"/>
      <c r="F96" s="178" t="s">
        <v>172</v>
      </c>
      <c r="G96" s="179">
        <f>D102*C104/C110</f>
        <v>3.540177441939826</v>
      </c>
      <c r="H96" s="180" t="s">
        <v>170</v>
      </c>
      <c r="I96" s="169"/>
      <c r="J96" s="181" t="s">
        <v>184</v>
      </c>
      <c r="K96" s="179">
        <f>(C110*G107)/1000</f>
        <v>281.59384570623394</v>
      </c>
      <c r="L96" s="182" t="s">
        <v>31</v>
      </c>
      <c r="M96" s="20"/>
      <c r="N96" s="756" t="s">
        <v>370</v>
      </c>
      <c r="O96" s="757"/>
      <c r="P96" s="454" t="s">
        <v>374</v>
      </c>
      <c r="Q96" s="453">
        <f>AK5</f>
        <v>1</v>
      </c>
      <c r="R96" s="454" t="s">
        <v>61</v>
      </c>
      <c r="S96" s="627">
        <v>1.25</v>
      </c>
      <c r="T96" s="7" t="s">
        <v>61</v>
      </c>
      <c r="U96" s="20"/>
      <c r="X96" s="515"/>
      <c r="Y96" s="515"/>
      <c r="Z96" s="515"/>
      <c r="AA96" s="515"/>
      <c r="AB96" s="515"/>
      <c r="AC96" s="515"/>
      <c r="AD96" s="515"/>
      <c r="AE96" s="515"/>
      <c r="AF96" s="515"/>
      <c r="AG96" s="515"/>
      <c r="AH96" s="515"/>
      <c r="AI96" s="515"/>
      <c r="AJ96" s="515"/>
      <c r="AK96" s="515"/>
      <c r="AL96" s="20"/>
      <c r="AM96" s="20"/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0"/>
      <c r="BI96" s="20"/>
      <c r="BJ96" s="20"/>
      <c r="BK96" s="20"/>
      <c r="BL96" s="20"/>
      <c r="BM96" s="20"/>
      <c r="BN96" s="20"/>
      <c r="BO96" s="20"/>
      <c r="BP96" s="20"/>
      <c r="BQ96" s="20"/>
      <c r="BR96" s="20"/>
      <c r="BS96" s="20"/>
      <c r="BT96" s="20"/>
      <c r="BU96" s="20"/>
      <c r="BV96" s="20"/>
      <c r="BW96" s="20"/>
      <c r="BX96" s="20"/>
      <c r="BY96" s="20"/>
      <c r="BZ96" s="20"/>
      <c r="CA96" s="20"/>
      <c r="CB96" s="20"/>
      <c r="CC96" s="20"/>
      <c r="CD96" s="20"/>
      <c r="CE96" s="20"/>
      <c r="CF96" s="20"/>
      <c r="CG96" s="20"/>
      <c r="CH96" s="20"/>
      <c r="CI96" s="20"/>
      <c r="CJ96" s="20"/>
      <c r="CK96" s="20"/>
      <c r="CL96" s="20"/>
      <c r="CM96" s="20"/>
      <c r="CN96" s="20"/>
      <c r="CO96" s="20"/>
      <c r="CP96" s="20"/>
      <c r="CQ96" s="20"/>
      <c r="CR96" s="20"/>
      <c r="CS96" s="20"/>
      <c r="CT96" s="20"/>
      <c r="CU96" s="20"/>
      <c r="CV96" s="20"/>
      <c r="CW96" s="20"/>
      <c r="CX96" s="20"/>
      <c r="CY96" s="20"/>
      <c r="CZ96" s="20"/>
      <c r="DA96" s="20"/>
      <c r="DB96" s="20"/>
      <c r="DC96" s="20"/>
      <c r="DD96" s="20"/>
      <c r="DE96" s="20"/>
      <c r="DF96" s="20"/>
      <c r="DG96" s="20"/>
      <c r="DH96" s="20"/>
      <c r="DI96" s="20"/>
      <c r="DJ96" s="20"/>
      <c r="DK96" s="20"/>
      <c r="DL96" s="20"/>
      <c r="DM96" s="20"/>
      <c r="DN96" s="20"/>
      <c r="DO96" s="20"/>
      <c r="DP96" s="20"/>
      <c r="DQ96" s="20"/>
      <c r="DR96" s="20"/>
      <c r="DS96" s="20"/>
      <c r="DT96" s="20"/>
      <c r="DU96" s="20"/>
      <c r="DV96" s="20"/>
      <c r="DW96" s="20"/>
      <c r="DX96" s="20"/>
      <c r="DY96" s="20"/>
      <c r="DZ96" s="20"/>
      <c r="EA96" s="20"/>
      <c r="EB96" s="20"/>
      <c r="EC96" s="20"/>
      <c r="ED96" s="20"/>
      <c r="EE96" s="20"/>
      <c r="EF96" s="20"/>
      <c r="EG96" s="20"/>
      <c r="EH96" s="20"/>
      <c r="EI96" s="20"/>
    </row>
    <row r="97" spans="1:139" x14ac:dyDescent="0.25">
      <c r="A97" s="169"/>
      <c r="B97" s="183" t="s">
        <v>148</v>
      </c>
      <c r="C97" s="179">
        <v>1E-3</v>
      </c>
      <c r="D97" s="182" t="s">
        <v>350</v>
      </c>
      <c r="E97" s="169"/>
      <c r="F97" s="178" t="s">
        <v>173</v>
      </c>
      <c r="G97" s="179">
        <f>C95*C93/C109</f>
        <v>15.482002587135392</v>
      </c>
      <c r="H97" s="180" t="s">
        <v>170</v>
      </c>
      <c r="I97" s="169"/>
      <c r="J97" s="181" t="s">
        <v>185</v>
      </c>
      <c r="K97" s="179">
        <f>(C111*G108)/1000</f>
        <v>2025.8828313812307</v>
      </c>
      <c r="L97" s="182" t="s">
        <v>31</v>
      </c>
      <c r="M97" s="20"/>
      <c r="N97" s="756" t="s">
        <v>376</v>
      </c>
      <c r="O97" s="757"/>
      <c r="P97" s="454" t="s">
        <v>377</v>
      </c>
      <c r="Q97" s="453">
        <f>AK6</f>
        <v>7</v>
      </c>
      <c r="R97" s="454" t="s">
        <v>378</v>
      </c>
      <c r="S97" s="627">
        <v>14</v>
      </c>
      <c r="T97" s="7" t="s">
        <v>44</v>
      </c>
      <c r="U97" s="20"/>
      <c r="X97" s="515"/>
      <c r="Y97" s="515"/>
      <c r="Z97" s="515"/>
      <c r="AA97" s="515"/>
      <c r="AB97" s="515"/>
      <c r="AC97" s="515"/>
      <c r="AD97" s="515"/>
      <c r="AE97" s="515"/>
      <c r="AF97" s="515"/>
      <c r="AG97" s="515"/>
      <c r="AH97" s="515"/>
      <c r="AI97" s="515"/>
      <c r="AJ97" s="515"/>
      <c r="AK97" s="515"/>
      <c r="AL97" s="20"/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0"/>
      <c r="BP97" s="20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0"/>
      <c r="CD97" s="20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0"/>
      <c r="CR97" s="20"/>
      <c r="CS97" s="20"/>
      <c r="CT97" s="20"/>
      <c r="CU97" s="20"/>
      <c r="CV97" s="20"/>
      <c r="CW97" s="20"/>
      <c r="CX97" s="20"/>
      <c r="CY97" s="20"/>
      <c r="CZ97" s="20"/>
      <c r="DA97" s="20"/>
      <c r="DB97" s="20"/>
      <c r="DC97" s="20"/>
      <c r="DD97" s="20"/>
      <c r="DE97" s="20"/>
      <c r="DF97" s="20"/>
      <c r="DG97" s="20"/>
      <c r="DH97" s="20"/>
      <c r="DI97" s="20"/>
      <c r="DJ97" s="20"/>
      <c r="DK97" s="20"/>
      <c r="DL97" s="20"/>
      <c r="DM97" s="20"/>
      <c r="DN97" s="20"/>
      <c r="DO97" s="20"/>
      <c r="DP97" s="20"/>
      <c r="DQ97" s="20"/>
      <c r="DR97" s="20"/>
      <c r="DS97" s="20"/>
      <c r="DT97" s="20"/>
      <c r="DU97" s="20"/>
      <c r="DV97" s="20"/>
      <c r="DW97" s="20"/>
      <c r="DX97" s="20"/>
      <c r="DY97" s="20"/>
      <c r="DZ97" s="20"/>
      <c r="EA97" s="20"/>
      <c r="EB97" s="20"/>
      <c r="EC97" s="20"/>
      <c r="ED97" s="20"/>
      <c r="EE97" s="20"/>
      <c r="EF97" s="20"/>
      <c r="EG97" s="20"/>
      <c r="EH97" s="20"/>
      <c r="EI97" s="20"/>
    </row>
    <row r="98" spans="1:139" ht="15.75" thickBot="1" x14ac:dyDescent="0.3">
      <c r="A98" s="169"/>
      <c r="B98" s="185" t="s">
        <v>149</v>
      </c>
      <c r="C98" s="116">
        <f>D13+273.15</f>
        <v>366.54999999999995</v>
      </c>
      <c r="D98" s="117" t="s">
        <v>150</v>
      </c>
      <c r="E98" s="169"/>
      <c r="F98" s="178" t="s">
        <v>174</v>
      </c>
      <c r="G98" s="179">
        <f>(G94+G95/2)-G96</f>
        <v>10.685335219877881</v>
      </c>
      <c r="H98" s="180" t="s">
        <v>170</v>
      </c>
      <c r="I98" s="169"/>
      <c r="J98" s="181" t="s">
        <v>288</v>
      </c>
      <c r="K98" s="179">
        <f>SUM(K93:K97)</f>
        <v>3173.9103567609841</v>
      </c>
      <c r="L98" s="182" t="str">
        <f>L97</f>
        <v>kg</v>
      </c>
      <c r="M98" s="20"/>
      <c r="N98" s="756" t="s">
        <v>380</v>
      </c>
      <c r="O98" s="757"/>
      <c r="P98" s="454" t="s">
        <v>381</v>
      </c>
      <c r="Q98" s="453">
        <f>AK8</f>
        <v>1</v>
      </c>
      <c r="R98" s="454" t="s">
        <v>378</v>
      </c>
      <c r="S98" s="627">
        <v>2</v>
      </c>
      <c r="T98" s="7" t="s">
        <v>44</v>
      </c>
      <c r="U98" s="20"/>
      <c r="X98" s="515"/>
      <c r="Y98" s="515"/>
      <c r="Z98" s="515"/>
      <c r="AA98" s="515"/>
      <c r="AB98" s="515"/>
      <c r="AC98" s="515"/>
      <c r="AD98" s="515"/>
      <c r="AE98" s="515"/>
      <c r="AF98" s="515"/>
      <c r="AG98" s="515"/>
      <c r="AH98" s="515"/>
      <c r="AI98" s="515"/>
      <c r="AJ98" s="515"/>
      <c r="AK98" s="515"/>
      <c r="AL98" s="20"/>
      <c r="AM98" s="20"/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0"/>
      <c r="BP98" s="20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0"/>
      <c r="CD98" s="20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0"/>
      <c r="CR98" s="20"/>
      <c r="CS98" s="20"/>
      <c r="CT98" s="20"/>
      <c r="CU98" s="20"/>
      <c r="CV98" s="20"/>
      <c r="CW98" s="20"/>
      <c r="CX98" s="20"/>
      <c r="CY98" s="20"/>
      <c r="CZ98" s="20"/>
      <c r="DA98" s="20"/>
      <c r="DB98" s="20"/>
      <c r="DC98" s="20"/>
      <c r="DD98" s="20"/>
      <c r="DE98" s="20"/>
      <c r="DF98" s="20"/>
      <c r="DG98" s="20"/>
      <c r="DH98" s="20"/>
      <c r="DI98" s="20"/>
      <c r="DJ98" s="20"/>
      <c r="DK98" s="20"/>
      <c r="DL98" s="20"/>
      <c r="DM98" s="20"/>
      <c r="DN98" s="20"/>
      <c r="DO98" s="20"/>
      <c r="DP98" s="20"/>
      <c r="DQ98" s="20"/>
      <c r="DR98" s="20"/>
      <c r="DS98" s="20"/>
      <c r="DT98" s="20"/>
      <c r="DU98" s="20"/>
      <c r="DV98" s="20"/>
      <c r="DW98" s="20"/>
      <c r="DX98" s="20"/>
      <c r="DY98" s="20"/>
      <c r="DZ98" s="20"/>
      <c r="EA98" s="20"/>
      <c r="EB98" s="20"/>
      <c r="EC98" s="20"/>
      <c r="ED98" s="20"/>
      <c r="EE98" s="20"/>
      <c r="EF98" s="20"/>
      <c r="EG98" s="20"/>
      <c r="EH98" s="20"/>
      <c r="EI98" s="20"/>
    </row>
    <row r="99" spans="1:139" ht="15.75" thickBot="1" x14ac:dyDescent="0.3">
      <c r="A99" s="169"/>
      <c r="B99" s="786" t="s">
        <v>151</v>
      </c>
      <c r="C99" s="787"/>
      <c r="D99" s="788"/>
      <c r="E99" s="169"/>
      <c r="F99" s="178" t="s">
        <v>175</v>
      </c>
      <c r="G99" s="179">
        <f>G98*C96</f>
        <v>19.233603395780186</v>
      </c>
      <c r="H99" s="180" t="s">
        <v>170</v>
      </c>
      <c r="I99" s="169"/>
      <c r="J99" s="181" t="s">
        <v>289</v>
      </c>
      <c r="K99" s="194">
        <f>K98/3600</f>
        <v>0.88164176576693998</v>
      </c>
      <c r="L99" s="182" t="s">
        <v>290</v>
      </c>
      <c r="M99" s="20"/>
      <c r="N99" s="756" t="s">
        <v>383</v>
      </c>
      <c r="O99" s="757"/>
      <c r="P99" s="454" t="s">
        <v>384</v>
      </c>
      <c r="Q99" s="453">
        <f>AK10</f>
        <v>1.085</v>
      </c>
      <c r="R99" s="625" t="s">
        <v>61</v>
      </c>
      <c r="S99" s="626">
        <f>S97*S95/S98</f>
        <v>1.085</v>
      </c>
      <c r="T99" s="641" t="s">
        <v>61</v>
      </c>
      <c r="U99" s="20"/>
      <c r="X99" s="515"/>
      <c r="Y99" s="515"/>
      <c r="Z99" s="515"/>
      <c r="AA99" s="515"/>
      <c r="AB99" s="515"/>
      <c r="AC99" s="515"/>
      <c r="AD99" s="515">
        <f>8.1+7.876+8.1+8.589+8.1+9+3.562</f>
        <v>53.326999999999998</v>
      </c>
      <c r="AE99" s="515"/>
      <c r="AF99" s="515"/>
      <c r="AG99" s="515"/>
      <c r="AH99" s="515"/>
      <c r="AI99" s="515"/>
      <c r="AJ99" s="515"/>
      <c r="AK99" s="515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0"/>
      <c r="BP99" s="20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0"/>
      <c r="CD99" s="20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0"/>
      <c r="CR99" s="20"/>
      <c r="CS99" s="20"/>
      <c r="CT99" s="20"/>
      <c r="CU99" s="20"/>
      <c r="CV99" s="20"/>
      <c r="CW99" s="20"/>
      <c r="CX99" s="20"/>
      <c r="CY99" s="20"/>
      <c r="CZ99" s="20"/>
      <c r="DA99" s="20"/>
      <c r="DB99" s="20"/>
      <c r="DC99" s="20"/>
      <c r="DD99" s="20"/>
      <c r="DE99" s="20"/>
      <c r="DF99" s="20"/>
      <c r="DG99" s="20"/>
      <c r="DH99" s="20"/>
      <c r="DI99" s="20"/>
      <c r="DJ99" s="20"/>
      <c r="DK99" s="20"/>
      <c r="DL99" s="20"/>
      <c r="DM99" s="20"/>
      <c r="DN99" s="20"/>
      <c r="DO99" s="20"/>
      <c r="DP99" s="20"/>
      <c r="DQ99" s="20"/>
      <c r="DR99" s="20"/>
      <c r="DS99" s="20"/>
      <c r="DT99" s="20"/>
      <c r="DU99" s="20"/>
      <c r="DV99" s="20"/>
      <c r="DW99" s="20"/>
      <c r="DX99" s="20"/>
      <c r="DY99" s="20"/>
      <c r="DZ99" s="20"/>
      <c r="EA99" s="20"/>
      <c r="EB99" s="20"/>
      <c r="EC99" s="20"/>
      <c r="ED99" s="20"/>
      <c r="EE99" s="20"/>
      <c r="EF99" s="20"/>
      <c r="EG99" s="20"/>
      <c r="EH99" s="20"/>
      <c r="EI99" s="20"/>
    </row>
    <row r="100" spans="1:139" ht="15.75" thickBot="1" x14ac:dyDescent="0.3">
      <c r="A100" s="169"/>
      <c r="B100" s="183" t="s">
        <v>152</v>
      </c>
      <c r="C100" s="179" t="s">
        <v>153</v>
      </c>
      <c r="D100" s="180">
        <v>0.47</v>
      </c>
      <c r="E100" s="169"/>
      <c r="F100" s="178" t="s">
        <v>176</v>
      </c>
      <c r="G100" s="179">
        <f>G99*3.76</f>
        <v>72.31834876813349</v>
      </c>
      <c r="H100" s="180" t="s">
        <v>170</v>
      </c>
      <c r="I100" s="169"/>
      <c r="J100" s="249" t="s">
        <v>354</v>
      </c>
      <c r="K100" s="32">
        <f>+(K99/Densidad_kgm3($K$102,$K$101,$K$105,$K$104,$K$103,E128*101.325,K109))/0.93</f>
        <v>3.9719449450118707</v>
      </c>
      <c r="L100" s="250" t="s">
        <v>211</v>
      </c>
      <c r="M100" s="20"/>
      <c r="N100" s="789" t="s">
        <v>367</v>
      </c>
      <c r="O100" s="790"/>
      <c r="P100" s="456" t="s">
        <v>385</v>
      </c>
      <c r="Q100" s="285">
        <f>AK11</f>
        <v>1.085</v>
      </c>
      <c r="R100" s="462" t="s">
        <v>28</v>
      </c>
      <c r="S100" s="285">
        <f>+S96*S98*S99</f>
        <v>2.7124999999999999</v>
      </c>
      <c r="T100" s="462" t="s">
        <v>28</v>
      </c>
      <c r="U100" s="20"/>
      <c r="X100" s="515"/>
      <c r="Y100" s="515"/>
      <c r="Z100" s="515"/>
      <c r="AA100" s="515"/>
      <c r="AB100" s="515"/>
      <c r="AC100" s="515"/>
      <c r="AD100" s="515"/>
      <c r="AE100" s="515"/>
      <c r="AF100" s="515"/>
      <c r="AG100" s="515"/>
      <c r="AH100" s="515"/>
      <c r="AI100" s="515"/>
      <c r="AJ100" s="515"/>
      <c r="AK100" s="515"/>
      <c r="AL100" s="20"/>
      <c r="AM100" s="20"/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0"/>
      <c r="BP100" s="20"/>
      <c r="BQ100" s="20"/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0"/>
      <c r="CD100" s="20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0"/>
      <c r="CR100" s="20"/>
      <c r="CS100" s="20"/>
      <c r="CT100" s="20"/>
      <c r="CU100" s="20"/>
      <c r="CV100" s="20"/>
      <c r="CW100" s="20"/>
      <c r="CX100" s="20"/>
      <c r="CY100" s="20"/>
      <c r="CZ100" s="20"/>
      <c r="DA100" s="20"/>
      <c r="DB100" s="20"/>
      <c r="DC100" s="20"/>
      <c r="DD100" s="20"/>
      <c r="DE100" s="20"/>
      <c r="DF100" s="20"/>
      <c r="DG100" s="20"/>
      <c r="DH100" s="20"/>
      <c r="DI100" s="20"/>
      <c r="DJ100" s="20"/>
      <c r="DK100" s="20"/>
      <c r="DL100" s="20"/>
      <c r="DM100" s="20"/>
      <c r="DN100" s="20"/>
      <c r="DO100" s="20"/>
      <c r="DP100" s="20"/>
      <c r="DQ100" s="20"/>
      <c r="DR100" s="20"/>
      <c r="DS100" s="20"/>
      <c r="DT100" s="20"/>
      <c r="DU100" s="20"/>
      <c r="DV100" s="20"/>
      <c r="DW100" s="20"/>
      <c r="DX100" s="20"/>
      <c r="DY100" s="20"/>
      <c r="DZ100" s="20"/>
      <c r="EA100" s="20"/>
      <c r="EB100" s="20"/>
      <c r="EC100" s="20"/>
      <c r="ED100" s="20"/>
      <c r="EE100" s="20"/>
      <c r="EF100" s="20"/>
      <c r="EG100" s="20"/>
      <c r="EH100" s="20"/>
      <c r="EI100" s="20"/>
    </row>
    <row r="101" spans="1:139" ht="15.75" thickBot="1" x14ac:dyDescent="0.3">
      <c r="A101" s="169"/>
      <c r="B101" s="183" t="s">
        <v>154</v>
      </c>
      <c r="C101" s="179" t="s">
        <v>155</v>
      </c>
      <c r="D101" s="180">
        <v>6.5000000000000002E-2</v>
      </c>
      <c r="E101" s="169"/>
      <c r="F101" s="191" t="s">
        <v>177</v>
      </c>
      <c r="G101" s="192">
        <f>(G100*C111+G99*C110)*C97/C109</f>
        <v>0.14661637563901986</v>
      </c>
      <c r="H101" s="193" t="s">
        <v>170</v>
      </c>
      <c r="I101" s="169"/>
      <c r="J101" s="247" t="s">
        <v>179</v>
      </c>
      <c r="K101" s="248">
        <f>+G103/$G$109</f>
        <v>8.3137271908053201E-2</v>
      </c>
      <c r="L101" s="251" t="s">
        <v>291</v>
      </c>
      <c r="M101" s="20"/>
      <c r="N101" s="779" t="s">
        <v>398</v>
      </c>
      <c r="O101" s="780"/>
      <c r="P101" s="781"/>
      <c r="Q101" s="779" t="s">
        <v>396</v>
      </c>
      <c r="R101" s="781"/>
      <c r="S101" s="717" t="s">
        <v>397</v>
      </c>
      <c r="T101" s="719"/>
      <c r="U101" s="20"/>
      <c r="X101" s="515"/>
      <c r="Y101" s="515"/>
      <c r="Z101" s="515"/>
      <c r="AA101" s="515"/>
      <c r="AB101" s="515"/>
      <c r="AC101" s="515"/>
      <c r="AD101" s="515"/>
      <c r="AE101" s="515"/>
      <c r="AF101" s="515"/>
      <c r="AG101" s="515"/>
      <c r="AH101" s="515"/>
      <c r="AI101" s="515"/>
      <c r="AJ101" s="515"/>
      <c r="AK101" s="515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20"/>
      <c r="CU101" s="20"/>
      <c r="CV101" s="20"/>
      <c r="CW101" s="20"/>
      <c r="CX101" s="20"/>
      <c r="CY101" s="20"/>
      <c r="CZ101" s="20"/>
      <c r="DA101" s="20"/>
      <c r="DB101" s="20"/>
      <c r="DC101" s="20"/>
      <c r="DD101" s="20"/>
      <c r="DE101" s="20"/>
      <c r="DF101" s="20"/>
      <c r="DG101" s="20"/>
      <c r="DH101" s="20"/>
      <c r="DI101" s="20"/>
      <c r="DJ101" s="20"/>
      <c r="DK101" s="20"/>
      <c r="DL101" s="20"/>
      <c r="DM101" s="20"/>
      <c r="DN101" s="20"/>
      <c r="DO101" s="20"/>
      <c r="DP101" s="20"/>
      <c r="DQ101" s="20"/>
      <c r="DR101" s="20"/>
      <c r="DS101" s="20"/>
      <c r="DT101" s="20"/>
      <c r="DU101" s="20"/>
      <c r="DV101" s="20"/>
      <c r="DW101" s="20"/>
      <c r="DX101" s="20"/>
      <c r="DY101" s="20"/>
      <c r="DZ101" s="20"/>
      <c r="EA101" s="20"/>
      <c r="EB101" s="20"/>
      <c r="EC101" s="20"/>
      <c r="ED101" s="20"/>
      <c r="EE101" s="20"/>
      <c r="EF101" s="20"/>
      <c r="EG101" s="20"/>
      <c r="EH101" s="20"/>
      <c r="EI101" s="20"/>
    </row>
    <row r="102" spans="1:139" ht="15.75" thickBot="1" x14ac:dyDescent="0.3">
      <c r="A102" s="169"/>
      <c r="B102" s="183" t="s">
        <v>156</v>
      </c>
      <c r="C102" s="179" t="s">
        <v>157</v>
      </c>
      <c r="D102" s="180">
        <v>0.44</v>
      </c>
      <c r="E102" s="169"/>
      <c r="F102" s="776" t="s">
        <v>178</v>
      </c>
      <c r="G102" s="777"/>
      <c r="H102" s="778"/>
      <c r="I102" s="169"/>
      <c r="J102" s="181" t="s">
        <v>181</v>
      </c>
      <c r="K102" s="194">
        <f>+G104/$G$109</f>
        <v>4.375645889897542E-3</v>
      </c>
      <c r="L102" s="182" t="s">
        <v>291</v>
      </c>
      <c r="M102" s="20"/>
      <c r="N102" s="791" t="s">
        <v>386</v>
      </c>
      <c r="O102" s="792"/>
      <c r="P102" s="452" t="s">
        <v>387</v>
      </c>
      <c r="Q102" s="451">
        <f>Q21/300</f>
        <v>3.6095741824715009</v>
      </c>
      <c r="R102" s="287" t="s">
        <v>388</v>
      </c>
      <c r="S102" s="454">
        <f>Q102</f>
        <v>3.6095741824715009</v>
      </c>
      <c r="T102" s="283" t="s">
        <v>388</v>
      </c>
      <c r="U102" s="20"/>
      <c r="X102" s="515"/>
      <c r="Y102" s="515"/>
      <c r="Z102" s="515"/>
      <c r="AA102" s="515"/>
      <c r="AB102" s="515"/>
      <c r="AC102" s="515"/>
      <c r="AD102" s="515"/>
      <c r="AE102" s="515"/>
      <c r="AF102" s="515"/>
      <c r="AG102" s="515"/>
      <c r="AH102" s="515"/>
      <c r="AI102" s="515"/>
      <c r="AJ102" s="515"/>
      <c r="AK102" s="515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0"/>
      <c r="BP102" s="20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0"/>
      <c r="CD102" s="20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0"/>
      <c r="CR102" s="20"/>
      <c r="CS102" s="20"/>
      <c r="CT102" s="20"/>
      <c r="CU102" s="20"/>
      <c r="CV102" s="20"/>
      <c r="CW102" s="20"/>
      <c r="CX102" s="20"/>
      <c r="CY102" s="20"/>
      <c r="CZ102" s="20"/>
      <c r="DA102" s="20"/>
      <c r="DB102" s="20"/>
      <c r="DC102" s="20"/>
      <c r="DD102" s="20"/>
      <c r="DE102" s="20"/>
      <c r="DF102" s="20"/>
      <c r="DG102" s="20"/>
      <c r="DH102" s="20"/>
      <c r="DI102" s="20"/>
      <c r="DJ102" s="20"/>
      <c r="DK102" s="20"/>
      <c r="DL102" s="20"/>
      <c r="DM102" s="20"/>
      <c r="DN102" s="20"/>
      <c r="DO102" s="20"/>
      <c r="DP102" s="20"/>
      <c r="DQ102" s="20"/>
      <c r="DR102" s="20"/>
      <c r="DS102" s="20"/>
      <c r="DT102" s="20"/>
      <c r="DU102" s="20"/>
      <c r="DV102" s="20"/>
      <c r="DW102" s="20"/>
      <c r="DX102" s="20"/>
      <c r="DY102" s="20"/>
      <c r="DZ102" s="20"/>
      <c r="EA102" s="20"/>
      <c r="EB102" s="20"/>
      <c r="EC102" s="20"/>
      <c r="ED102" s="20"/>
      <c r="EE102" s="20"/>
      <c r="EF102" s="20"/>
      <c r="EG102" s="20"/>
      <c r="EH102" s="20"/>
      <c r="EI102" s="20"/>
    </row>
    <row r="103" spans="1:139" ht="15.75" thickBot="1" x14ac:dyDescent="0.3">
      <c r="A103" s="169"/>
      <c r="B103" s="183" t="s">
        <v>158</v>
      </c>
      <c r="C103" s="179" t="s">
        <v>159</v>
      </c>
      <c r="D103" s="180">
        <v>2.5000000000000001E-2</v>
      </c>
      <c r="E103" s="169"/>
      <c r="F103" s="320" t="s">
        <v>179</v>
      </c>
      <c r="G103" s="196">
        <f>G94*C94*1000</f>
        <v>9571.0412880641343</v>
      </c>
      <c r="H103" s="197" t="s">
        <v>180</v>
      </c>
      <c r="I103" s="169"/>
      <c r="J103" s="181" t="s">
        <v>183</v>
      </c>
      <c r="K103" s="194">
        <f>+G106/$G$109</f>
        <v>0.20786472587515267</v>
      </c>
      <c r="L103" s="182" t="s">
        <v>291</v>
      </c>
      <c r="M103" s="20"/>
      <c r="N103" s="756" t="s">
        <v>389</v>
      </c>
      <c r="O103" s="757"/>
      <c r="P103" s="454" t="s">
        <v>390</v>
      </c>
      <c r="Q103" s="453">
        <f>Q99+0.2</f>
        <v>1.2849999999999999</v>
      </c>
      <c r="R103" s="283" t="s">
        <v>61</v>
      </c>
      <c r="S103" s="288">
        <f>+S99+0.24</f>
        <v>1.325</v>
      </c>
      <c r="T103" s="283" t="s">
        <v>61</v>
      </c>
      <c r="U103" s="20"/>
      <c r="X103" s="515"/>
      <c r="Y103" s="515"/>
      <c r="Z103" s="515"/>
      <c r="AA103" s="515"/>
      <c r="AB103" s="515"/>
      <c r="AC103" s="515"/>
      <c r="AD103" s="515"/>
      <c r="AE103" s="515"/>
      <c r="AF103" s="515"/>
      <c r="AG103" s="515"/>
      <c r="AH103" s="515"/>
      <c r="AI103" s="515"/>
      <c r="AJ103" s="515"/>
      <c r="AK103" s="515"/>
      <c r="AL103" s="20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0"/>
      <c r="BI103" s="20"/>
      <c r="BJ103" s="20"/>
      <c r="BK103" s="20"/>
      <c r="BL103" s="20"/>
      <c r="BM103" s="20"/>
      <c r="BN103" s="20"/>
      <c r="BO103" s="20"/>
      <c r="BP103" s="20"/>
      <c r="BQ103" s="20"/>
      <c r="BR103" s="20"/>
      <c r="BS103" s="20"/>
      <c r="BT103" s="20"/>
      <c r="BU103" s="20"/>
      <c r="BV103" s="20"/>
      <c r="BW103" s="20"/>
      <c r="BX103" s="20"/>
      <c r="BY103" s="20"/>
      <c r="BZ103" s="20"/>
      <c r="CA103" s="20"/>
      <c r="CB103" s="20"/>
      <c r="CC103" s="20"/>
      <c r="CD103" s="20"/>
      <c r="CE103" s="20"/>
      <c r="CF103" s="20"/>
      <c r="CG103" s="20"/>
      <c r="CH103" s="20"/>
      <c r="CI103" s="20"/>
      <c r="CJ103" s="20"/>
      <c r="CK103" s="20"/>
      <c r="CL103" s="20"/>
      <c r="CM103" s="20"/>
      <c r="CN103" s="20"/>
      <c r="CO103" s="20"/>
      <c r="CP103" s="20"/>
      <c r="CQ103" s="20"/>
      <c r="CR103" s="20"/>
      <c r="CS103" s="20"/>
      <c r="CT103" s="20"/>
      <c r="CU103" s="20"/>
      <c r="CV103" s="20"/>
      <c r="CW103" s="20"/>
      <c r="CX103" s="20"/>
      <c r="CY103" s="20"/>
      <c r="CZ103" s="20"/>
      <c r="DA103" s="20"/>
      <c r="DB103" s="20"/>
      <c r="DC103" s="20"/>
      <c r="DD103" s="20"/>
      <c r="DE103" s="20"/>
      <c r="DF103" s="20"/>
      <c r="DG103" s="20"/>
      <c r="DH103" s="20"/>
      <c r="DI103" s="20"/>
      <c r="DJ103" s="20"/>
      <c r="DK103" s="20"/>
      <c r="DL103" s="20"/>
      <c r="DM103" s="20"/>
      <c r="DN103" s="20"/>
      <c r="DO103" s="20"/>
      <c r="DP103" s="20"/>
      <c r="DQ103" s="20"/>
      <c r="DR103" s="20"/>
      <c r="DS103" s="20"/>
      <c r="DT103" s="20"/>
      <c r="DU103" s="20"/>
      <c r="DV103" s="20"/>
      <c r="DW103" s="20"/>
      <c r="DX103" s="20"/>
      <c r="DY103" s="20"/>
      <c r="DZ103" s="20"/>
      <c r="EA103" s="20"/>
      <c r="EB103" s="20"/>
      <c r="EC103" s="20"/>
      <c r="ED103" s="20"/>
      <c r="EE103" s="20"/>
      <c r="EF103" s="20"/>
      <c r="EG103" s="20"/>
      <c r="EH103" s="20"/>
      <c r="EI103" s="20"/>
    </row>
    <row r="104" spans="1:139" ht="15.75" thickBot="1" x14ac:dyDescent="0.3">
      <c r="A104" s="169"/>
      <c r="B104" s="185" t="s">
        <v>160</v>
      </c>
      <c r="C104" s="116">
        <f>C93*(1-C95)</f>
        <v>257.45779529350932</v>
      </c>
      <c r="D104" s="117" t="s">
        <v>31</v>
      </c>
      <c r="E104" s="169"/>
      <c r="F104" s="178" t="s">
        <v>181</v>
      </c>
      <c r="G104" s="179">
        <f>(G94*1000-G103)</f>
        <v>503.7390151612708</v>
      </c>
      <c r="H104" s="180" t="s">
        <v>180</v>
      </c>
      <c r="I104" s="169"/>
      <c r="J104" s="181" t="s">
        <v>184</v>
      </c>
      <c r="K104" s="194">
        <f>+G107/$G$109</f>
        <v>7.6440944866930566E-2</v>
      </c>
      <c r="L104" s="182" t="s">
        <v>291</v>
      </c>
      <c r="M104" s="20"/>
      <c r="N104" s="756" t="s">
        <v>391</v>
      </c>
      <c r="O104" s="757"/>
      <c r="P104" s="454" t="s">
        <v>392</v>
      </c>
      <c r="Q104" s="453">
        <f>Q96*Q98+0.1</f>
        <v>1.1000000000000001</v>
      </c>
      <c r="R104" s="283" t="s">
        <v>61</v>
      </c>
      <c r="S104" s="288">
        <f>2*S96+0.12</f>
        <v>2.62</v>
      </c>
      <c r="T104" s="283" t="s">
        <v>61</v>
      </c>
      <c r="U104" s="20"/>
      <c r="X104" s="515"/>
      <c r="Y104" s="515"/>
      <c r="Z104" s="515"/>
      <c r="AA104" s="515"/>
      <c r="AB104" s="515"/>
      <c r="AC104" s="515"/>
      <c r="AD104" s="515"/>
      <c r="AE104" s="515"/>
      <c r="AF104" s="515"/>
      <c r="AG104" s="515"/>
      <c r="AH104" s="515"/>
      <c r="AI104" s="515"/>
      <c r="AJ104" s="515"/>
      <c r="AK104" s="515"/>
      <c r="AL104" s="20"/>
      <c r="AM104" s="20"/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0"/>
      <c r="BI104" s="20"/>
      <c r="BJ104" s="20"/>
      <c r="BK104" s="20"/>
      <c r="BL104" s="20"/>
      <c r="BM104" s="20"/>
      <c r="BN104" s="20"/>
      <c r="BO104" s="20"/>
      <c r="BP104" s="20"/>
      <c r="BQ104" s="20"/>
      <c r="BR104" s="20"/>
      <c r="BS104" s="20"/>
      <c r="BT104" s="20"/>
      <c r="BU104" s="20"/>
      <c r="BV104" s="20"/>
      <c r="BW104" s="20"/>
      <c r="BX104" s="20"/>
      <c r="BY104" s="20"/>
      <c r="BZ104" s="20"/>
      <c r="CA104" s="20"/>
      <c r="CB104" s="20"/>
      <c r="CC104" s="20"/>
      <c r="CD104" s="20"/>
      <c r="CE104" s="20"/>
      <c r="CF104" s="20"/>
      <c r="CG104" s="20"/>
      <c r="CH104" s="20"/>
      <c r="CI104" s="20"/>
      <c r="CJ104" s="20"/>
      <c r="CK104" s="20"/>
      <c r="CL104" s="20"/>
      <c r="CM104" s="20"/>
      <c r="CN104" s="20"/>
      <c r="CO104" s="20"/>
      <c r="CP104" s="20"/>
      <c r="CQ104" s="20"/>
      <c r="CR104" s="20"/>
      <c r="CS104" s="20"/>
      <c r="CT104" s="20"/>
      <c r="CU104" s="20"/>
      <c r="CV104" s="20"/>
      <c r="CW104" s="20"/>
      <c r="CX104" s="20"/>
      <c r="CY104" s="20"/>
      <c r="CZ104" s="20"/>
      <c r="DA104" s="20"/>
      <c r="DB104" s="20"/>
      <c r="DC104" s="20"/>
      <c r="DD104" s="20"/>
      <c r="DE104" s="20"/>
      <c r="DF104" s="20"/>
      <c r="DG104" s="20"/>
      <c r="DH104" s="20"/>
      <c r="DI104" s="20"/>
      <c r="DJ104" s="20"/>
      <c r="DK104" s="20"/>
      <c r="DL104" s="20"/>
      <c r="DM104" s="20"/>
      <c r="DN104" s="20"/>
      <c r="DO104" s="20"/>
      <c r="DP104" s="20"/>
      <c r="DQ104" s="20"/>
      <c r="DR104" s="20"/>
      <c r="DS104" s="20"/>
      <c r="DT104" s="20"/>
      <c r="DU104" s="20"/>
      <c r="DV104" s="20"/>
      <c r="DW104" s="20"/>
      <c r="DX104" s="20"/>
      <c r="DY104" s="20"/>
      <c r="DZ104" s="20"/>
      <c r="EA104" s="20"/>
      <c r="EB104" s="20"/>
      <c r="EC104" s="20"/>
      <c r="ED104" s="20"/>
      <c r="EE104" s="20"/>
      <c r="EF104" s="20"/>
      <c r="EG104" s="20"/>
      <c r="EH104" s="20"/>
      <c r="EI104" s="20"/>
    </row>
    <row r="105" spans="1:139" ht="15.75" thickBot="1" x14ac:dyDescent="0.3">
      <c r="A105" s="169"/>
      <c r="B105" s="195" t="s">
        <v>153</v>
      </c>
      <c r="C105" s="196">
        <v>12.0107</v>
      </c>
      <c r="D105" s="197" t="s">
        <v>161</v>
      </c>
      <c r="E105" s="169"/>
      <c r="F105" s="178" t="s">
        <v>182</v>
      </c>
      <c r="G105" s="179">
        <f>G95*1000</f>
        <v>8301.4647171846082</v>
      </c>
      <c r="H105" s="180" t="s">
        <v>180</v>
      </c>
      <c r="I105" s="169"/>
      <c r="J105" s="181" t="s">
        <v>185</v>
      </c>
      <c r="K105" s="194">
        <f>+G108/$G$109</f>
        <v>0.62818141145996598</v>
      </c>
      <c r="L105" s="182" t="s">
        <v>291</v>
      </c>
      <c r="M105" s="20"/>
      <c r="N105" s="779" t="s">
        <v>393</v>
      </c>
      <c r="O105" s="780"/>
      <c r="P105" s="462" t="s">
        <v>394</v>
      </c>
      <c r="Q105" s="455">
        <f>Q102/(Q103*Q104)</f>
        <v>2.5536428599020171</v>
      </c>
      <c r="R105" s="462" t="s">
        <v>61</v>
      </c>
      <c r="S105" s="455">
        <f>S102/(S103*S104)</f>
        <v>1.0397736374683857</v>
      </c>
      <c r="T105" s="462" t="s">
        <v>61</v>
      </c>
      <c r="U105" s="20"/>
      <c r="X105" s="515"/>
      <c r="Y105" s="515"/>
      <c r="Z105" s="515"/>
      <c r="AA105" s="515"/>
      <c r="AB105" s="515"/>
      <c r="AC105" s="515"/>
      <c r="AD105" s="515"/>
      <c r="AE105" s="515"/>
      <c r="AF105" s="515"/>
      <c r="AG105" s="515"/>
      <c r="AH105" s="515"/>
      <c r="AI105" s="515"/>
      <c r="AJ105" s="515"/>
      <c r="AK105" s="515"/>
      <c r="AL105" s="20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0"/>
      <c r="BI105" s="20"/>
      <c r="BJ105" s="20"/>
      <c r="BK105" s="20"/>
      <c r="BL105" s="20"/>
      <c r="BM105" s="20"/>
      <c r="BN105" s="20"/>
      <c r="BO105" s="20"/>
      <c r="BP105" s="20"/>
      <c r="BQ105" s="20"/>
      <c r="BR105" s="20"/>
      <c r="BS105" s="20"/>
      <c r="BT105" s="20"/>
      <c r="BU105" s="20"/>
      <c r="BV105" s="20"/>
      <c r="BW105" s="20"/>
      <c r="BX105" s="20"/>
      <c r="BY105" s="20"/>
      <c r="BZ105" s="20"/>
      <c r="CA105" s="20"/>
      <c r="CB105" s="20"/>
      <c r="CC105" s="20"/>
      <c r="CD105" s="20"/>
      <c r="CE105" s="20"/>
      <c r="CF105" s="20"/>
      <c r="CG105" s="20"/>
      <c r="CH105" s="20"/>
      <c r="CI105" s="20"/>
      <c r="CJ105" s="20"/>
      <c r="CK105" s="20"/>
      <c r="CL105" s="20"/>
      <c r="CM105" s="20"/>
      <c r="CN105" s="20"/>
      <c r="CO105" s="20"/>
      <c r="CP105" s="20"/>
      <c r="CQ105" s="20"/>
      <c r="CR105" s="20"/>
      <c r="CS105" s="20"/>
      <c r="CT105" s="20"/>
      <c r="CU105" s="20"/>
      <c r="CV105" s="20"/>
      <c r="CW105" s="20"/>
      <c r="CX105" s="20"/>
      <c r="CY105" s="20"/>
      <c r="CZ105" s="20"/>
      <c r="DA105" s="20"/>
      <c r="DB105" s="20"/>
      <c r="DC105" s="20"/>
      <c r="DD105" s="20"/>
      <c r="DE105" s="20"/>
      <c r="DF105" s="20"/>
      <c r="DG105" s="20"/>
      <c r="DH105" s="20"/>
      <c r="DI105" s="20"/>
      <c r="DJ105" s="20"/>
      <c r="DK105" s="20"/>
      <c r="DL105" s="20"/>
      <c r="DM105" s="20"/>
      <c r="DN105" s="20"/>
      <c r="DO105" s="20"/>
      <c r="DP105" s="20"/>
      <c r="DQ105" s="20"/>
      <c r="DR105" s="20"/>
      <c r="DS105" s="20"/>
      <c r="DT105" s="20"/>
      <c r="DU105" s="20"/>
      <c r="DV105" s="20"/>
      <c r="DW105" s="20"/>
      <c r="DX105" s="20"/>
      <c r="DY105" s="20"/>
      <c r="DZ105" s="20"/>
      <c r="EA105" s="20"/>
      <c r="EB105" s="20"/>
      <c r="EC105" s="20"/>
      <c r="ED105" s="20"/>
      <c r="EE105" s="20"/>
      <c r="EF105" s="20"/>
      <c r="EG105" s="20"/>
      <c r="EH105" s="20"/>
      <c r="EI105" s="20"/>
    </row>
    <row r="106" spans="1:139" ht="15.75" thickBot="1" x14ac:dyDescent="0.3">
      <c r="A106" s="169"/>
      <c r="B106" s="183" t="s">
        <v>162</v>
      </c>
      <c r="C106" s="179">
        <f>1.00794*2</f>
        <v>2.0158800000000001</v>
      </c>
      <c r="D106" s="180" t="s">
        <v>161</v>
      </c>
      <c r="E106" s="169"/>
      <c r="F106" s="178" t="s">
        <v>183</v>
      </c>
      <c r="G106" s="179">
        <f>G105+(G101+G97)*1000</f>
        <v>23930.083679959022</v>
      </c>
      <c r="H106" s="180" t="s">
        <v>180</v>
      </c>
      <c r="I106" s="169"/>
      <c r="J106" s="186" t="s">
        <v>288</v>
      </c>
      <c r="K106" s="187">
        <f>+SUM(K101:K105)</f>
        <v>1</v>
      </c>
      <c r="L106" s="188" t="s">
        <v>291</v>
      </c>
      <c r="M106" s="20"/>
      <c r="N106" s="20"/>
      <c r="O106" s="20"/>
      <c r="P106" s="189"/>
      <c r="Q106" s="169"/>
      <c r="R106" s="169"/>
      <c r="S106" s="169"/>
      <c r="T106" s="169"/>
      <c r="U106" s="20"/>
      <c r="X106" s="515"/>
      <c r="Y106" s="515"/>
      <c r="Z106" s="515"/>
      <c r="AA106" s="515"/>
      <c r="AB106" s="515"/>
      <c r="AC106" s="515"/>
      <c r="AD106" s="515"/>
      <c r="AE106" s="515"/>
      <c r="AF106" s="515"/>
      <c r="AG106" s="515"/>
      <c r="AH106" s="515"/>
      <c r="AI106" s="515"/>
      <c r="AJ106" s="515"/>
      <c r="AK106" s="515"/>
      <c r="AL106" s="20"/>
      <c r="AM106" s="20"/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0"/>
      <c r="BI106" s="20"/>
      <c r="BJ106" s="20"/>
      <c r="BK106" s="20"/>
      <c r="BL106" s="20"/>
      <c r="BM106" s="20"/>
      <c r="BN106" s="20"/>
      <c r="BO106" s="20"/>
      <c r="BP106" s="20"/>
      <c r="BQ106" s="20"/>
      <c r="BR106" s="20"/>
      <c r="BS106" s="20"/>
      <c r="BT106" s="20"/>
      <c r="BU106" s="20"/>
      <c r="BV106" s="20"/>
      <c r="BW106" s="20"/>
      <c r="BX106" s="20"/>
      <c r="BY106" s="20"/>
      <c r="BZ106" s="20"/>
      <c r="CA106" s="20"/>
      <c r="CB106" s="20"/>
      <c r="CC106" s="20"/>
      <c r="CD106" s="20"/>
      <c r="CE106" s="20"/>
      <c r="CF106" s="20"/>
      <c r="CG106" s="20"/>
      <c r="CH106" s="20"/>
      <c r="CI106" s="20"/>
      <c r="CJ106" s="20"/>
      <c r="CK106" s="20"/>
      <c r="CL106" s="20"/>
      <c r="CM106" s="20"/>
      <c r="CN106" s="20"/>
      <c r="CO106" s="20"/>
      <c r="CP106" s="20"/>
      <c r="CQ106" s="20"/>
      <c r="CR106" s="20"/>
      <c r="CS106" s="20"/>
      <c r="CT106" s="20"/>
      <c r="CU106" s="20"/>
      <c r="CV106" s="20"/>
      <c r="CW106" s="20"/>
      <c r="CX106" s="20"/>
      <c r="CY106" s="20"/>
      <c r="CZ106" s="20"/>
      <c r="DA106" s="20"/>
      <c r="DB106" s="20"/>
      <c r="DC106" s="20"/>
      <c r="DD106" s="20"/>
      <c r="DE106" s="20"/>
      <c r="DF106" s="20"/>
      <c r="DG106" s="20"/>
      <c r="DH106" s="20"/>
      <c r="DI106" s="20"/>
      <c r="DJ106" s="20"/>
      <c r="DK106" s="20"/>
      <c r="DL106" s="20"/>
      <c r="DM106" s="20"/>
      <c r="DN106" s="20"/>
      <c r="DO106" s="20"/>
      <c r="DP106" s="20"/>
      <c r="DQ106" s="20"/>
      <c r="DR106" s="20"/>
      <c r="DS106" s="20"/>
      <c r="DT106" s="20"/>
      <c r="DU106" s="20"/>
      <c r="DV106" s="20"/>
      <c r="DW106" s="20"/>
      <c r="DX106" s="20"/>
      <c r="DY106" s="20"/>
      <c r="DZ106" s="20"/>
      <c r="EA106" s="20"/>
      <c r="EB106" s="20"/>
      <c r="EC106" s="20"/>
      <c r="ED106" s="20"/>
      <c r="EE106" s="20"/>
      <c r="EF106" s="20"/>
      <c r="EG106" s="20"/>
      <c r="EH106" s="20"/>
      <c r="EI106" s="20"/>
    </row>
    <row r="107" spans="1:139" x14ac:dyDescent="0.25">
      <c r="A107" s="169"/>
      <c r="B107" s="183" t="s">
        <v>163</v>
      </c>
      <c r="C107" s="179">
        <v>44.009500000000003</v>
      </c>
      <c r="D107" s="180" t="s">
        <v>161</v>
      </c>
      <c r="E107" s="169"/>
      <c r="F107" s="178" t="s">
        <v>184</v>
      </c>
      <c r="G107" s="179">
        <f>(G99-G98)*1000+G104/2</f>
        <v>8800.1376834829407</v>
      </c>
      <c r="H107" s="180" t="s">
        <v>180</v>
      </c>
      <c r="I107" s="169"/>
      <c r="J107" s="199"/>
      <c r="K107" s="200"/>
      <c r="L107" s="199"/>
      <c r="M107" s="20"/>
      <c r="N107" s="793" t="s">
        <v>441</v>
      </c>
      <c r="O107" s="794"/>
      <c r="P107" s="458">
        <f>2*(Q103*Q104+Q103*Q105+Q104*Q105)</f>
        <v>15.00787644173262</v>
      </c>
      <c r="Q107" s="458" t="s">
        <v>28</v>
      </c>
      <c r="R107" s="328" t="s">
        <v>442</v>
      </c>
      <c r="S107" s="20"/>
      <c r="T107" s="20"/>
      <c r="U107" s="20"/>
      <c r="X107" s="515"/>
      <c r="Y107" s="515"/>
      <c r="Z107" s="515"/>
      <c r="AA107" s="515"/>
      <c r="AB107" s="515"/>
      <c r="AC107" s="515"/>
      <c r="AD107" s="515"/>
      <c r="AE107" s="515"/>
      <c r="AF107" s="515"/>
      <c r="AG107" s="515"/>
      <c r="AH107" s="515"/>
      <c r="AI107" s="515"/>
      <c r="AJ107" s="515"/>
      <c r="AK107" s="515"/>
      <c r="AL107" s="20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0"/>
      <c r="BI107" s="20"/>
      <c r="BJ107" s="20"/>
      <c r="BK107" s="20"/>
      <c r="BL107" s="20"/>
      <c r="BM107" s="20"/>
      <c r="BN107" s="20"/>
      <c r="BO107" s="20"/>
      <c r="BP107" s="20"/>
      <c r="BQ107" s="20"/>
      <c r="BR107" s="20"/>
      <c r="BS107" s="20"/>
      <c r="BT107" s="20"/>
      <c r="BU107" s="20"/>
      <c r="BV107" s="20"/>
      <c r="BW107" s="20"/>
      <c r="BX107" s="20"/>
      <c r="BY107" s="20"/>
      <c r="BZ107" s="20"/>
      <c r="CA107" s="20"/>
      <c r="CB107" s="20"/>
      <c r="CC107" s="20"/>
      <c r="CD107" s="20"/>
      <c r="CE107" s="20"/>
      <c r="CF107" s="20"/>
      <c r="CG107" s="20"/>
      <c r="CH107" s="20"/>
      <c r="CI107" s="20"/>
      <c r="CJ107" s="20"/>
      <c r="CK107" s="20"/>
      <c r="CL107" s="20"/>
      <c r="CM107" s="20"/>
      <c r="CN107" s="20"/>
      <c r="CO107" s="20"/>
      <c r="CP107" s="20"/>
      <c r="CQ107" s="20"/>
      <c r="CR107" s="20"/>
      <c r="CS107" s="20"/>
      <c r="CT107" s="20"/>
      <c r="CU107" s="20"/>
      <c r="CV107" s="20"/>
      <c r="CW107" s="20"/>
      <c r="CX107" s="20"/>
      <c r="CY107" s="20"/>
      <c r="CZ107" s="20"/>
      <c r="DA107" s="20"/>
      <c r="DB107" s="20"/>
      <c r="DC107" s="20"/>
      <c r="DD107" s="20"/>
      <c r="DE107" s="20"/>
      <c r="DF107" s="20"/>
      <c r="DG107" s="20"/>
      <c r="DH107" s="20"/>
      <c r="DI107" s="20"/>
      <c r="DJ107" s="20"/>
      <c r="DK107" s="20"/>
      <c r="DL107" s="20"/>
      <c r="DM107" s="20"/>
      <c r="DN107" s="20"/>
      <c r="DO107" s="20"/>
      <c r="DP107" s="20"/>
      <c r="DQ107" s="20"/>
      <c r="DR107" s="20"/>
      <c r="DS107" s="20"/>
      <c r="DT107" s="20"/>
      <c r="DU107" s="20"/>
      <c r="DV107" s="20"/>
      <c r="DW107" s="20"/>
      <c r="DX107" s="20"/>
      <c r="DY107" s="20"/>
      <c r="DZ107" s="20"/>
      <c r="EA107" s="20"/>
      <c r="EB107" s="20"/>
      <c r="EC107" s="20"/>
      <c r="ED107" s="20"/>
      <c r="EE107" s="20"/>
      <c r="EF107" s="20"/>
      <c r="EG107" s="20"/>
      <c r="EH107" s="20"/>
      <c r="EI107" s="20"/>
    </row>
    <row r="108" spans="1:139" ht="15.75" thickBot="1" x14ac:dyDescent="0.3">
      <c r="A108" s="169"/>
      <c r="B108" s="183" t="s">
        <v>164</v>
      </c>
      <c r="C108" s="179">
        <v>28.010100000000001</v>
      </c>
      <c r="D108" s="180" t="s">
        <v>161</v>
      </c>
      <c r="E108" s="169"/>
      <c r="F108" s="178" t="s">
        <v>185</v>
      </c>
      <c r="G108" s="179">
        <f>G100*1000</f>
        <v>72318.348768133495</v>
      </c>
      <c r="H108" s="180" t="s">
        <v>180</v>
      </c>
      <c r="I108" s="169"/>
      <c r="J108" s="43"/>
      <c r="K108" s="20"/>
      <c r="L108" s="43"/>
      <c r="M108" s="20"/>
      <c r="N108" s="795" t="s">
        <v>443</v>
      </c>
      <c r="O108" s="796"/>
      <c r="P108" s="459" t="s">
        <v>442</v>
      </c>
      <c r="Q108" s="319" t="s">
        <v>445</v>
      </c>
      <c r="R108" s="329" t="s">
        <v>446</v>
      </c>
      <c r="S108" s="20"/>
      <c r="T108" s="20"/>
      <c r="U108" s="20"/>
      <c r="X108" s="515"/>
      <c r="Y108" s="515"/>
      <c r="Z108" s="515"/>
      <c r="AA108" s="515"/>
      <c r="AB108" s="515"/>
      <c r="AC108" s="515"/>
      <c r="AD108" s="515"/>
      <c r="AE108" s="515"/>
      <c r="AF108" s="515"/>
      <c r="AG108" s="515"/>
      <c r="AH108" s="515"/>
      <c r="AI108" s="515"/>
      <c r="AJ108" s="515"/>
      <c r="AK108" s="515"/>
      <c r="AL108" s="20"/>
      <c r="AM108" s="20"/>
      <c r="AN108" s="20"/>
      <c r="AO108" s="20"/>
      <c r="AP108" s="20"/>
      <c r="AQ108" s="20"/>
      <c r="AR108" s="20"/>
      <c r="AS108" s="20"/>
      <c r="AT108" s="20"/>
      <c r="AU108" s="20"/>
      <c r="AV108" s="20"/>
      <c r="AW108" s="20"/>
      <c r="AX108" s="20"/>
      <c r="AY108" s="20"/>
      <c r="AZ108" s="20"/>
      <c r="BA108" s="20"/>
      <c r="BB108" s="20"/>
      <c r="BC108" s="20"/>
      <c r="BD108" s="20"/>
      <c r="BE108" s="20"/>
      <c r="BF108" s="20"/>
      <c r="BG108" s="20"/>
      <c r="BH108" s="20"/>
      <c r="BI108" s="20"/>
      <c r="BJ108" s="20"/>
      <c r="BK108" s="20"/>
      <c r="BL108" s="20"/>
      <c r="BM108" s="20"/>
      <c r="BN108" s="20"/>
      <c r="BO108" s="20"/>
      <c r="BP108" s="20"/>
      <c r="BQ108" s="20"/>
      <c r="BR108" s="20"/>
      <c r="BS108" s="20"/>
      <c r="BT108" s="20"/>
      <c r="BU108" s="20"/>
      <c r="BV108" s="20"/>
      <c r="BW108" s="20"/>
      <c r="BX108" s="20"/>
      <c r="BY108" s="20"/>
      <c r="BZ108" s="20"/>
      <c r="CA108" s="20"/>
      <c r="CB108" s="20"/>
      <c r="CC108" s="20"/>
      <c r="CD108" s="20"/>
      <c r="CE108" s="20"/>
      <c r="CF108" s="20"/>
      <c r="CG108" s="20"/>
      <c r="CH108" s="20"/>
      <c r="CI108" s="20"/>
      <c r="CJ108" s="20"/>
      <c r="CK108" s="20"/>
      <c r="CL108" s="20"/>
      <c r="CM108" s="20"/>
      <c r="CN108" s="20"/>
      <c r="CO108" s="20"/>
      <c r="CP108" s="20"/>
      <c r="CQ108" s="20"/>
      <c r="CR108" s="20"/>
      <c r="CS108" s="20"/>
      <c r="CT108" s="20"/>
      <c r="CU108" s="20"/>
      <c r="CV108" s="20"/>
      <c r="CW108" s="20"/>
      <c r="CX108" s="20"/>
      <c r="CY108" s="20"/>
      <c r="CZ108" s="20"/>
      <c r="DA108" s="20"/>
      <c r="DB108" s="20"/>
      <c r="DC108" s="20"/>
      <c r="DD108" s="20"/>
      <c r="DE108" s="20"/>
      <c r="DF108" s="20"/>
      <c r="DG108" s="20"/>
      <c r="DH108" s="20"/>
      <c r="DI108" s="20"/>
      <c r="DJ108" s="20"/>
      <c r="DK108" s="20"/>
      <c r="DL108" s="20"/>
      <c r="DM108" s="20"/>
      <c r="DN108" s="20"/>
      <c r="DO108" s="20"/>
      <c r="DP108" s="20"/>
      <c r="DQ108" s="20"/>
      <c r="DR108" s="20"/>
      <c r="DS108" s="20"/>
      <c r="DT108" s="20"/>
      <c r="DU108" s="20"/>
      <c r="DV108" s="20"/>
      <c r="DW108" s="20"/>
      <c r="DX108" s="20"/>
      <c r="DY108" s="20"/>
      <c r="DZ108" s="20"/>
      <c r="EA108" s="20"/>
      <c r="EB108" s="20"/>
      <c r="EC108" s="20"/>
      <c r="ED108" s="20"/>
      <c r="EE108" s="20"/>
      <c r="EF108" s="20"/>
      <c r="EG108" s="20"/>
      <c r="EH108" s="20"/>
      <c r="EI108" s="20"/>
    </row>
    <row r="109" spans="1:139" x14ac:dyDescent="0.25">
      <c r="A109" s="169"/>
      <c r="B109" s="183" t="s">
        <v>165</v>
      </c>
      <c r="C109" s="179">
        <v>18.015280000000001</v>
      </c>
      <c r="D109" s="180" t="s">
        <v>161</v>
      </c>
      <c r="E109" s="169"/>
      <c r="F109" s="178" t="s">
        <v>187</v>
      </c>
      <c r="G109" s="179">
        <f>SUM(G103:G104,G106:G108)</f>
        <v>115123.35043480087</v>
      </c>
      <c r="H109" s="180" t="s">
        <v>180</v>
      </c>
      <c r="I109" s="169"/>
      <c r="J109" s="173" t="s">
        <v>296</v>
      </c>
      <c r="K109" s="201">
        <f>Tadiabatica(C96,C94,D14,C97)</f>
        <v>971.63537265471882</v>
      </c>
      <c r="L109" s="202" t="s">
        <v>133</v>
      </c>
      <c r="M109" s="20"/>
      <c r="N109" s="797" t="s">
        <v>207</v>
      </c>
      <c r="O109" s="798"/>
      <c r="P109" s="98">
        <f>IF(P108="Refractario",0.29,IF(P108="Semirefractario",0.45,0.9))</f>
        <v>0.28999999999999998</v>
      </c>
      <c r="Q109" s="98" t="s">
        <v>447</v>
      </c>
      <c r="R109" s="329" t="s">
        <v>444</v>
      </c>
      <c r="S109" s="20"/>
      <c r="T109" s="20"/>
      <c r="U109" s="20"/>
      <c r="X109" s="515"/>
      <c r="Y109" s="515"/>
      <c r="Z109" s="515"/>
      <c r="AA109" s="515"/>
      <c r="AB109" s="515"/>
      <c r="AC109" s="515"/>
      <c r="AD109" s="515"/>
      <c r="AE109" s="515"/>
      <c r="AF109" s="515"/>
      <c r="AG109" s="515"/>
      <c r="AH109" s="515"/>
      <c r="AI109" s="515"/>
      <c r="AJ109" s="515"/>
      <c r="AK109" s="515"/>
      <c r="AL109" s="20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  <c r="BB109" s="20"/>
      <c r="BC109" s="20"/>
      <c r="BD109" s="20"/>
      <c r="BE109" s="20"/>
      <c r="BF109" s="20"/>
      <c r="BG109" s="20"/>
      <c r="BH109" s="20"/>
      <c r="BI109" s="20"/>
      <c r="BJ109" s="20"/>
      <c r="BK109" s="20"/>
      <c r="BL109" s="20"/>
      <c r="BM109" s="20"/>
      <c r="BN109" s="20"/>
      <c r="BO109" s="20"/>
      <c r="BP109" s="20"/>
      <c r="BQ109" s="20"/>
      <c r="BR109" s="20"/>
      <c r="BS109" s="20"/>
      <c r="BT109" s="20"/>
      <c r="BU109" s="20"/>
      <c r="BV109" s="20"/>
      <c r="BW109" s="20"/>
      <c r="BX109" s="20"/>
      <c r="BY109" s="20"/>
      <c r="BZ109" s="20"/>
      <c r="CA109" s="20"/>
      <c r="CB109" s="20"/>
      <c r="CC109" s="20"/>
      <c r="CD109" s="20"/>
      <c r="CE109" s="20"/>
      <c r="CF109" s="20"/>
      <c r="CG109" s="20"/>
      <c r="CH109" s="20"/>
      <c r="CI109" s="20"/>
      <c r="CJ109" s="20"/>
      <c r="CK109" s="20"/>
      <c r="CL109" s="20"/>
      <c r="CM109" s="20"/>
      <c r="CN109" s="20"/>
      <c r="CO109" s="20"/>
      <c r="CP109" s="20"/>
      <c r="CQ109" s="20"/>
      <c r="CR109" s="20"/>
      <c r="CS109" s="20"/>
      <c r="CT109" s="20"/>
      <c r="CU109" s="20"/>
      <c r="CV109" s="20"/>
      <c r="CW109" s="20"/>
      <c r="CX109" s="20"/>
      <c r="CY109" s="20"/>
      <c r="CZ109" s="20"/>
      <c r="DA109" s="20"/>
      <c r="DB109" s="20"/>
      <c r="DC109" s="20"/>
      <c r="DD109" s="20"/>
      <c r="DE109" s="20"/>
      <c r="DF109" s="20"/>
      <c r="DG109" s="20"/>
      <c r="DH109" s="20"/>
      <c r="DI109" s="20"/>
      <c r="DJ109" s="20"/>
      <c r="DK109" s="20"/>
      <c r="DL109" s="20"/>
      <c r="DM109" s="20"/>
      <c r="DN109" s="20"/>
      <c r="DO109" s="20"/>
      <c r="DP109" s="20"/>
      <c r="DQ109" s="20"/>
      <c r="DR109" s="20"/>
      <c r="DS109" s="20"/>
      <c r="DT109" s="20"/>
      <c r="DU109" s="20"/>
      <c r="DV109" s="20"/>
      <c r="DW109" s="20"/>
      <c r="DX109" s="20"/>
      <c r="DY109" s="20"/>
      <c r="DZ109" s="20"/>
      <c r="EA109" s="20"/>
      <c r="EB109" s="20"/>
      <c r="EC109" s="20"/>
      <c r="ED109" s="20"/>
      <c r="EE109" s="20"/>
      <c r="EF109" s="20"/>
      <c r="EG109" s="20"/>
      <c r="EH109" s="20"/>
      <c r="EI109" s="20"/>
    </row>
    <row r="110" spans="1:139" ht="15.75" thickBot="1" x14ac:dyDescent="0.3">
      <c r="A110" s="169"/>
      <c r="B110" s="183" t="s">
        <v>166</v>
      </c>
      <c r="C110" s="179">
        <v>31.998799999999999</v>
      </c>
      <c r="D110" s="180" t="s">
        <v>161</v>
      </c>
      <c r="E110" s="169"/>
      <c r="F110" s="178" t="s">
        <v>186</v>
      </c>
      <c r="G110" s="179">
        <f>1180+273.15</f>
        <v>1453.15</v>
      </c>
      <c r="H110" s="180" t="s">
        <v>13</v>
      </c>
      <c r="I110" s="326"/>
      <c r="J110" s="203" t="s">
        <v>297</v>
      </c>
      <c r="K110" s="204">
        <f>+DH_KJKmol(25,K109,G104/1000,G103/1000,G108/1000,G107/1000,G106/1000)/3600</f>
        <v>1043.2299323295315</v>
      </c>
      <c r="L110" s="198" t="s">
        <v>190</v>
      </c>
      <c r="M110" s="20"/>
      <c r="N110" s="795" t="s">
        <v>448</v>
      </c>
      <c r="O110" s="796"/>
      <c r="P110" s="459">
        <v>0.12</v>
      </c>
      <c r="Q110" s="459" t="s">
        <v>61</v>
      </c>
      <c r="R110" s="330">
        <f>+K109</f>
        <v>971.63537265471882</v>
      </c>
      <c r="S110" s="20"/>
      <c r="T110" s="20"/>
      <c r="U110" s="20"/>
      <c r="X110" s="515"/>
      <c r="Y110" s="515"/>
      <c r="Z110" s="515"/>
      <c r="AA110" s="515"/>
      <c r="AB110" s="515"/>
      <c r="AC110" s="515"/>
      <c r="AD110" s="515"/>
      <c r="AE110" s="515"/>
      <c r="AF110" s="515"/>
      <c r="AG110" s="515"/>
      <c r="AH110" s="515"/>
      <c r="AI110" s="515"/>
      <c r="AJ110" s="515"/>
      <c r="AK110" s="515"/>
      <c r="AL110" s="20"/>
      <c r="AM110" s="20"/>
      <c r="AN110" s="20"/>
      <c r="AO110" s="20"/>
      <c r="AP110" s="20"/>
      <c r="AQ110" s="20"/>
      <c r="AR110" s="20"/>
      <c r="AS110" s="20"/>
      <c r="AT110" s="20"/>
      <c r="AU110" s="20"/>
      <c r="AV110" s="20"/>
      <c r="AW110" s="20"/>
      <c r="AX110" s="20"/>
      <c r="AY110" s="20"/>
      <c r="AZ110" s="20"/>
      <c r="BA110" s="20"/>
      <c r="BB110" s="20"/>
      <c r="BC110" s="20"/>
      <c r="BD110" s="20"/>
      <c r="BE110" s="20"/>
      <c r="BF110" s="20"/>
      <c r="BG110" s="20"/>
      <c r="BH110" s="20"/>
      <c r="BI110" s="20"/>
      <c r="BJ110" s="20"/>
      <c r="BK110" s="20"/>
      <c r="BL110" s="20"/>
      <c r="BM110" s="20"/>
      <c r="BN110" s="20"/>
      <c r="BO110" s="20"/>
      <c r="BP110" s="20"/>
      <c r="BQ110" s="20"/>
      <c r="BR110" s="20"/>
      <c r="BS110" s="20"/>
      <c r="BT110" s="20"/>
      <c r="BU110" s="20"/>
      <c r="BV110" s="20"/>
      <c r="BW110" s="20"/>
      <c r="BX110" s="20"/>
      <c r="BY110" s="20"/>
      <c r="BZ110" s="20"/>
      <c r="CA110" s="20"/>
      <c r="CB110" s="20"/>
      <c r="CC110" s="20"/>
      <c r="CD110" s="20"/>
      <c r="CE110" s="20"/>
      <c r="CF110" s="20"/>
      <c r="CG110" s="20"/>
      <c r="CH110" s="20"/>
      <c r="CI110" s="20"/>
      <c r="CJ110" s="20"/>
      <c r="CK110" s="20"/>
      <c r="CL110" s="20"/>
      <c r="CM110" s="20"/>
      <c r="CN110" s="20"/>
      <c r="CO110" s="20"/>
      <c r="CP110" s="20"/>
      <c r="CQ110" s="20"/>
      <c r="CR110" s="20"/>
      <c r="CS110" s="20"/>
      <c r="CT110" s="20"/>
      <c r="CU110" s="20"/>
      <c r="CV110" s="20"/>
      <c r="CW110" s="20"/>
      <c r="CX110" s="20"/>
      <c r="CY110" s="20"/>
      <c r="CZ110" s="20"/>
      <c r="DA110" s="20"/>
      <c r="DB110" s="20"/>
      <c r="DC110" s="20"/>
      <c r="DD110" s="20"/>
      <c r="DE110" s="20"/>
      <c r="DF110" s="20"/>
      <c r="DG110" s="20"/>
      <c r="DH110" s="20"/>
      <c r="DI110" s="20"/>
      <c r="DJ110" s="20"/>
      <c r="DK110" s="20"/>
      <c r="DL110" s="20"/>
      <c r="DM110" s="20"/>
      <c r="DN110" s="20"/>
      <c r="DO110" s="20"/>
      <c r="DP110" s="20"/>
      <c r="DQ110" s="20"/>
      <c r="DR110" s="20"/>
      <c r="DS110" s="20"/>
      <c r="DT110" s="20"/>
      <c r="DU110" s="20"/>
      <c r="DV110" s="20"/>
      <c r="DW110" s="20"/>
      <c r="DX110" s="20"/>
      <c r="DY110" s="20"/>
      <c r="DZ110" s="20"/>
      <c r="EA110" s="20"/>
      <c r="EB110" s="20"/>
      <c r="EC110" s="20"/>
      <c r="ED110" s="20"/>
      <c r="EE110" s="20"/>
      <c r="EF110" s="20"/>
      <c r="EG110" s="20"/>
      <c r="EH110" s="20"/>
      <c r="EI110" s="20"/>
    </row>
    <row r="111" spans="1:139" ht="15.75" thickBot="1" x14ac:dyDescent="0.3">
      <c r="A111" s="169"/>
      <c r="B111" s="185" t="s">
        <v>167</v>
      </c>
      <c r="C111" s="116">
        <v>28.013400000000001</v>
      </c>
      <c r="D111" s="117" t="s">
        <v>161</v>
      </c>
      <c r="E111" s="169"/>
      <c r="F111" s="178" t="s">
        <v>188</v>
      </c>
      <c r="G111" s="321">
        <f>(G103*C107)+(G104*C108)+(C109*G106)+(G107*C110)+(C111*G108)</f>
        <v>3173910.3567609843</v>
      </c>
      <c r="H111" s="180" t="s">
        <v>189</v>
      </c>
      <c r="I111" s="326"/>
      <c r="J111" s="43"/>
      <c r="K111" s="20"/>
      <c r="L111" s="20"/>
      <c r="M111" s="20"/>
      <c r="N111" s="799" t="s">
        <v>449</v>
      </c>
      <c r="O111" s="800"/>
      <c r="P111" s="461">
        <f>P109*P107*(R111-D19)/P110</f>
        <v>25799.775978709116</v>
      </c>
      <c r="Q111" s="461" t="s">
        <v>450</v>
      </c>
      <c r="R111" s="331">
        <f>-264.44+1.03*R110</f>
        <v>736.34443383436042</v>
      </c>
      <c r="S111" s="20"/>
      <c r="T111" s="20"/>
      <c r="U111" s="20"/>
      <c r="X111" s="515"/>
      <c r="Y111" s="515"/>
      <c r="Z111" s="515"/>
      <c r="AA111" s="515"/>
      <c r="AB111" s="515"/>
      <c r="AC111" s="515"/>
      <c r="AD111" s="515"/>
      <c r="AE111" s="515"/>
      <c r="AF111" s="515"/>
      <c r="AG111" s="515"/>
      <c r="AH111" s="515"/>
      <c r="AI111" s="515"/>
      <c r="AJ111" s="515"/>
      <c r="AK111" s="515"/>
      <c r="AL111" s="20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  <c r="BA111" s="20"/>
      <c r="BB111" s="20"/>
      <c r="BC111" s="20"/>
      <c r="BD111" s="20"/>
      <c r="BE111" s="20"/>
      <c r="BF111" s="20"/>
      <c r="BG111" s="20"/>
      <c r="BH111" s="20"/>
      <c r="BI111" s="20"/>
      <c r="BJ111" s="20"/>
      <c r="BK111" s="20"/>
      <c r="BL111" s="20"/>
      <c r="BM111" s="20"/>
      <c r="BN111" s="20"/>
      <c r="BO111" s="20"/>
      <c r="BP111" s="20"/>
      <c r="BQ111" s="20"/>
      <c r="BR111" s="20"/>
      <c r="BS111" s="20"/>
      <c r="BT111" s="20"/>
      <c r="BU111" s="20"/>
      <c r="BV111" s="20"/>
      <c r="BW111" s="20"/>
      <c r="BX111" s="20"/>
      <c r="BY111" s="20"/>
      <c r="BZ111" s="20"/>
      <c r="CA111" s="20"/>
      <c r="CB111" s="20"/>
      <c r="CC111" s="20"/>
      <c r="CD111" s="20"/>
      <c r="CE111" s="20"/>
      <c r="CF111" s="20"/>
      <c r="CG111" s="20"/>
      <c r="CH111" s="20"/>
      <c r="CI111" s="20"/>
      <c r="CJ111" s="20"/>
      <c r="CK111" s="20"/>
      <c r="CL111" s="20"/>
      <c r="CM111" s="20"/>
      <c r="CN111" s="20"/>
      <c r="CO111" s="20"/>
      <c r="CP111" s="20"/>
      <c r="CQ111" s="20"/>
      <c r="CR111" s="20"/>
      <c r="CS111" s="20"/>
      <c r="CT111" s="20"/>
      <c r="CU111" s="20"/>
      <c r="CV111" s="20"/>
      <c r="CW111" s="20"/>
      <c r="CX111" s="20"/>
      <c r="CY111" s="20"/>
      <c r="CZ111" s="20"/>
      <c r="DA111" s="20"/>
      <c r="DB111" s="20"/>
      <c r="DC111" s="20"/>
      <c r="DD111" s="20"/>
      <c r="DE111" s="20"/>
      <c r="DF111" s="20"/>
      <c r="DG111" s="20"/>
      <c r="DH111" s="20"/>
      <c r="DI111" s="20"/>
      <c r="DJ111" s="20"/>
      <c r="DK111" s="20"/>
      <c r="DL111" s="20"/>
      <c r="DM111" s="20"/>
      <c r="DN111" s="20"/>
      <c r="DO111" s="20"/>
      <c r="DP111" s="20"/>
      <c r="DQ111" s="20"/>
      <c r="DR111" s="20"/>
      <c r="DS111" s="20"/>
      <c r="DT111" s="20"/>
      <c r="DU111" s="20"/>
      <c r="DV111" s="20"/>
      <c r="DW111" s="20"/>
      <c r="DX111" s="20"/>
      <c r="DY111" s="20"/>
      <c r="DZ111" s="20"/>
      <c r="EA111" s="20"/>
      <c r="EB111" s="20"/>
      <c r="EC111" s="20"/>
      <c r="ED111" s="20"/>
      <c r="EE111" s="20"/>
      <c r="EF111" s="20"/>
      <c r="EG111" s="20"/>
      <c r="EH111" s="20"/>
      <c r="EI111" s="20"/>
    </row>
    <row r="112" spans="1:139" ht="15.75" thickBot="1" x14ac:dyDescent="0.3">
      <c r="A112" s="169"/>
      <c r="B112" s="205"/>
      <c r="C112" s="206"/>
      <c r="D112" s="206"/>
      <c r="E112" s="169"/>
      <c r="F112" s="191" t="s">
        <v>191</v>
      </c>
      <c r="G112" s="187">
        <f>+Q21</f>
        <v>1082.8722547414502</v>
      </c>
      <c r="H112" s="193" t="s">
        <v>190</v>
      </c>
      <c r="I112" s="326"/>
      <c r="J112" s="43"/>
      <c r="K112" s="20"/>
      <c r="L112" s="20"/>
      <c r="M112" s="20"/>
      <c r="N112" s="169"/>
      <c r="O112" s="169"/>
      <c r="P112" s="169"/>
      <c r="Q112" s="42"/>
      <c r="R112" s="20"/>
      <c r="S112" s="20"/>
      <c r="T112" s="20"/>
      <c r="U112" s="20"/>
      <c r="X112" s="515"/>
      <c r="Y112" s="515"/>
      <c r="Z112" s="515"/>
      <c r="AA112" s="515"/>
      <c r="AB112" s="515"/>
      <c r="AC112" s="515"/>
      <c r="AD112" s="515"/>
      <c r="AE112" s="515"/>
      <c r="AF112" s="515"/>
      <c r="AG112" s="515"/>
      <c r="AH112" s="515"/>
      <c r="AI112" s="515"/>
      <c r="AJ112" s="515"/>
      <c r="AK112" s="515"/>
      <c r="AL112" s="20"/>
      <c r="AM112" s="20"/>
      <c r="AN112" s="20"/>
      <c r="AO112" s="20"/>
      <c r="AP112" s="20"/>
      <c r="AQ112" s="20"/>
      <c r="AR112" s="20"/>
      <c r="AS112" s="20"/>
      <c r="AT112" s="20"/>
      <c r="AU112" s="20"/>
      <c r="AV112" s="20"/>
      <c r="AW112" s="20"/>
      <c r="AX112" s="20"/>
      <c r="AY112" s="20"/>
      <c r="AZ112" s="20"/>
      <c r="BA112" s="20"/>
      <c r="BB112" s="20"/>
      <c r="BC112" s="20"/>
      <c r="BD112" s="20"/>
      <c r="BE112" s="20"/>
      <c r="BF112" s="20"/>
      <c r="BG112" s="20"/>
      <c r="BH112" s="20"/>
      <c r="BI112" s="20"/>
      <c r="BJ112" s="20"/>
      <c r="BK112" s="20"/>
      <c r="BL112" s="20"/>
      <c r="BM112" s="20"/>
      <c r="BN112" s="20"/>
      <c r="BO112" s="20"/>
      <c r="BP112" s="20"/>
      <c r="BQ112" s="20"/>
      <c r="BR112" s="20"/>
      <c r="BS112" s="20"/>
      <c r="BT112" s="20"/>
      <c r="BU112" s="20"/>
      <c r="BV112" s="20"/>
      <c r="BW112" s="20"/>
      <c r="BX112" s="20"/>
      <c r="BY112" s="20"/>
      <c r="BZ112" s="20"/>
      <c r="CA112" s="20"/>
      <c r="CB112" s="20"/>
      <c r="CC112" s="20"/>
      <c r="CD112" s="20"/>
      <c r="CE112" s="20"/>
      <c r="CF112" s="20"/>
      <c r="CG112" s="20"/>
      <c r="CH112" s="20"/>
      <c r="CI112" s="20"/>
      <c r="CJ112" s="20"/>
      <c r="CK112" s="20"/>
      <c r="CL112" s="20"/>
      <c r="CM112" s="20"/>
      <c r="CN112" s="20"/>
      <c r="CO112" s="20"/>
      <c r="CP112" s="20"/>
      <c r="CQ112" s="20"/>
      <c r="CR112" s="20"/>
      <c r="CS112" s="20"/>
      <c r="CT112" s="20"/>
      <c r="CU112" s="20"/>
      <c r="CV112" s="20"/>
      <c r="CW112" s="20"/>
      <c r="CX112" s="20"/>
      <c r="CY112" s="20"/>
      <c r="CZ112" s="20"/>
      <c r="DA112" s="20"/>
      <c r="DB112" s="20"/>
      <c r="DC112" s="20"/>
      <c r="DD112" s="20"/>
      <c r="DE112" s="20"/>
      <c r="DF112" s="20"/>
      <c r="DG112" s="20"/>
      <c r="DH112" s="20"/>
      <c r="DI112" s="20"/>
      <c r="DJ112" s="20"/>
      <c r="DK112" s="20"/>
      <c r="DL112" s="20"/>
      <c r="DM112" s="20"/>
      <c r="DN112" s="20"/>
      <c r="DO112" s="20"/>
      <c r="DP112" s="20"/>
      <c r="DQ112" s="20"/>
      <c r="DR112" s="20"/>
      <c r="DS112" s="20"/>
      <c r="DT112" s="20"/>
      <c r="DU112" s="20"/>
      <c r="DV112" s="20"/>
      <c r="DW112" s="20"/>
      <c r="DX112" s="20"/>
      <c r="DY112" s="20"/>
      <c r="DZ112" s="20"/>
      <c r="EA112" s="20"/>
      <c r="EB112" s="20"/>
      <c r="EC112" s="20"/>
      <c r="ED112" s="20"/>
      <c r="EE112" s="20"/>
      <c r="EF112" s="20"/>
      <c r="EG112" s="20"/>
      <c r="EH112" s="20"/>
      <c r="EI112" s="20"/>
    </row>
    <row r="113" spans="1:139" ht="15.75" thickBot="1" x14ac:dyDescent="0.3">
      <c r="A113" s="169"/>
      <c r="B113" s="207" t="s">
        <v>271</v>
      </c>
      <c r="C113" s="208" t="s">
        <v>313</v>
      </c>
      <c r="D113" s="209">
        <f>+K110*0.141</f>
        <v>147.09542045846393</v>
      </c>
      <c r="E113" s="801" t="s">
        <v>578</v>
      </c>
      <c r="F113" s="802"/>
      <c r="G113" s="200">
        <v>53.326999999999998</v>
      </c>
      <c r="H113" s="801" t="s">
        <v>579</v>
      </c>
      <c r="I113" s="802"/>
      <c r="J113" s="604">
        <f>+G113+31.746+SUM(E66:K66)</f>
        <v>164.57299999999998</v>
      </c>
      <c r="K113" s="169"/>
      <c r="L113" s="169"/>
      <c r="M113" s="169"/>
      <c r="N113" s="169"/>
      <c r="O113" s="169"/>
      <c r="P113" s="169"/>
      <c r="Q113" s="42"/>
      <c r="R113" s="20"/>
      <c r="S113" s="20"/>
      <c r="T113" s="20"/>
      <c r="U113" s="20"/>
      <c r="X113" s="515"/>
      <c r="Y113" s="515"/>
      <c r="Z113" s="515"/>
      <c r="AA113" s="515"/>
      <c r="AB113" s="515"/>
      <c r="AC113" s="515"/>
      <c r="AD113" s="515"/>
      <c r="AE113" s="515"/>
      <c r="AF113" s="515"/>
      <c r="AG113" s="515"/>
      <c r="AH113" s="515"/>
      <c r="AI113" s="515"/>
      <c r="AJ113" s="515"/>
      <c r="AK113" s="515"/>
      <c r="AL113" s="20"/>
      <c r="AM113" s="20"/>
      <c r="AN113" s="20"/>
      <c r="AO113" s="20"/>
      <c r="AP113" s="20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  <c r="BA113" s="20"/>
      <c r="BB113" s="20"/>
      <c r="BC113" s="20"/>
      <c r="BD113" s="20"/>
      <c r="BE113" s="20"/>
      <c r="BF113" s="20"/>
      <c r="BG113" s="20"/>
      <c r="BH113" s="20"/>
      <c r="BI113" s="20"/>
      <c r="BJ113" s="20"/>
      <c r="BK113" s="20"/>
      <c r="BL113" s="20"/>
      <c r="BM113" s="20"/>
      <c r="BN113" s="20"/>
      <c r="BO113" s="20"/>
      <c r="BP113" s="20"/>
      <c r="BQ113" s="20"/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B113" s="20"/>
      <c r="CC113" s="20"/>
      <c r="CD113" s="20"/>
      <c r="CE113" s="20"/>
      <c r="CF113" s="20"/>
      <c r="CG113" s="20"/>
      <c r="CH113" s="20"/>
      <c r="CI113" s="20"/>
      <c r="CJ113" s="20"/>
      <c r="CK113" s="20"/>
      <c r="CL113" s="20"/>
      <c r="CM113" s="20"/>
      <c r="CN113" s="20"/>
      <c r="CO113" s="20"/>
      <c r="CP113" s="20"/>
      <c r="CQ113" s="20"/>
      <c r="CR113" s="20"/>
      <c r="CS113" s="20"/>
      <c r="CT113" s="20"/>
      <c r="CU113" s="20"/>
      <c r="CV113" s="20"/>
      <c r="CW113" s="20"/>
      <c r="CX113" s="20"/>
      <c r="CY113" s="20"/>
      <c r="CZ113" s="20"/>
      <c r="DA113" s="20"/>
      <c r="DB113" s="20"/>
      <c r="DC113" s="20"/>
      <c r="DD113" s="20"/>
      <c r="DE113" s="20"/>
      <c r="DF113" s="20"/>
      <c r="DG113" s="20"/>
      <c r="DH113" s="20"/>
      <c r="DI113" s="20"/>
      <c r="DJ113" s="20"/>
      <c r="DK113" s="20"/>
      <c r="DL113" s="20"/>
      <c r="DM113" s="20"/>
      <c r="DN113" s="20"/>
      <c r="DO113" s="20"/>
      <c r="DP113" s="20"/>
      <c r="DQ113" s="20"/>
      <c r="DR113" s="20"/>
      <c r="DS113" s="20"/>
      <c r="DT113" s="20"/>
      <c r="DU113" s="20"/>
      <c r="DV113" s="20"/>
      <c r="DW113" s="20"/>
      <c r="DX113" s="20"/>
      <c r="DY113" s="20"/>
      <c r="DZ113" s="20"/>
      <c r="EA113" s="20"/>
      <c r="EB113" s="20"/>
      <c r="EC113" s="20"/>
      <c r="ED113" s="20"/>
      <c r="EE113" s="20"/>
      <c r="EF113" s="20"/>
      <c r="EG113" s="20"/>
      <c r="EH113" s="20"/>
      <c r="EI113" s="20"/>
    </row>
    <row r="114" spans="1:139" ht="15.75" thickBot="1" x14ac:dyDescent="0.3">
      <c r="A114" s="169"/>
      <c r="B114" s="210" t="s">
        <v>305</v>
      </c>
      <c r="C114" s="211" t="s">
        <v>306</v>
      </c>
      <c r="D114" s="212" t="s">
        <v>190</v>
      </c>
      <c r="E114" s="39">
        <v>90.918672489008344</v>
      </c>
      <c r="F114" s="39">
        <v>54.177969844151811</v>
      </c>
      <c r="G114" s="39">
        <v>17.236461615171365</v>
      </c>
      <c r="H114" s="39">
        <v>16.235789286086202</v>
      </c>
      <c r="I114" s="39">
        <v>177.02662885745661</v>
      </c>
      <c r="J114" s="39">
        <v>110.33620078093864</v>
      </c>
      <c r="K114" s="608">
        <v>25.890381188217681</v>
      </c>
      <c r="L114" s="20"/>
      <c r="M114" s="20"/>
      <c r="N114" s="20"/>
      <c r="O114" s="803" t="s">
        <v>364</v>
      </c>
      <c r="P114" s="804"/>
      <c r="Q114" s="261">
        <f>+(P118-P117)*1000000</f>
        <v>-202190655.95682839</v>
      </c>
      <c r="R114" s="20"/>
      <c r="S114" s="20"/>
      <c r="T114" s="20"/>
      <c r="U114" s="20"/>
      <c r="X114" s="515"/>
      <c r="Y114" s="515"/>
      <c r="Z114" s="515"/>
      <c r="AA114" s="515"/>
      <c r="AB114" s="515"/>
      <c r="AC114" s="515"/>
      <c r="AD114" s="515"/>
      <c r="AE114" s="515"/>
      <c r="AF114" s="515"/>
      <c r="AG114" s="515"/>
      <c r="AH114" s="515"/>
      <c r="AI114" s="515"/>
      <c r="AJ114" s="515"/>
      <c r="AK114" s="515"/>
      <c r="AL114" s="20"/>
      <c r="AM114" s="20"/>
      <c r="AN114" s="20"/>
      <c r="AO114" s="20"/>
      <c r="AP114" s="20"/>
      <c r="AQ114" s="20"/>
      <c r="AR114" s="20"/>
      <c r="AS114" s="20"/>
      <c r="AT114" s="20"/>
      <c r="AU114" s="20"/>
      <c r="AV114" s="20"/>
      <c r="AW114" s="20"/>
      <c r="AX114" s="20"/>
      <c r="AY114" s="20"/>
      <c r="AZ114" s="20"/>
      <c r="BA114" s="20"/>
      <c r="BB114" s="20"/>
      <c r="BC114" s="20"/>
      <c r="BD114" s="20"/>
      <c r="BE114" s="20"/>
      <c r="BF114" s="20"/>
      <c r="BG114" s="20"/>
      <c r="BH114" s="20"/>
      <c r="BI114" s="20"/>
      <c r="BJ114" s="20"/>
      <c r="BK114" s="20"/>
      <c r="BL114" s="20"/>
      <c r="BM114" s="20"/>
      <c r="BN114" s="20"/>
      <c r="BO114" s="20"/>
      <c r="BP114" s="20"/>
      <c r="BQ114" s="20"/>
      <c r="BR114" s="20"/>
      <c r="BS114" s="20"/>
      <c r="BT114" s="20"/>
      <c r="BU114" s="20"/>
      <c r="BV114" s="20"/>
      <c r="BW114" s="20"/>
      <c r="BX114" s="20"/>
      <c r="BY114" s="20"/>
      <c r="BZ114" s="20"/>
      <c r="CA114" s="20"/>
      <c r="CB114" s="20"/>
      <c r="CC114" s="20"/>
      <c r="CD114" s="20"/>
      <c r="CE114" s="20"/>
      <c r="CF114" s="20"/>
      <c r="CG114" s="20"/>
      <c r="CH114" s="20"/>
      <c r="CI114" s="20"/>
      <c r="CJ114" s="20"/>
      <c r="CK114" s="20"/>
      <c r="CL114" s="20"/>
      <c r="CM114" s="20"/>
      <c r="CN114" s="20"/>
      <c r="CO114" s="20"/>
      <c r="CP114" s="20"/>
      <c r="CQ114" s="20"/>
      <c r="CR114" s="20"/>
      <c r="CS114" s="20"/>
      <c r="CT114" s="20"/>
      <c r="CU114" s="20"/>
      <c r="CV114" s="20"/>
      <c r="CW114" s="20"/>
      <c r="CX114" s="20"/>
      <c r="CY114" s="20"/>
      <c r="CZ114" s="20"/>
      <c r="DA114" s="20"/>
      <c r="DB114" s="20"/>
      <c r="DC114" s="20"/>
      <c r="DD114" s="20"/>
      <c r="DE114" s="20"/>
      <c r="DF114" s="20"/>
      <c r="DG114" s="20"/>
      <c r="DH114" s="20"/>
      <c r="DI114" s="20"/>
      <c r="DJ114" s="20"/>
      <c r="DK114" s="20"/>
      <c r="DL114" s="20"/>
      <c r="DM114" s="20"/>
      <c r="DN114" s="20"/>
      <c r="DO114" s="20"/>
      <c r="DP114" s="20"/>
      <c r="DQ114" s="20"/>
      <c r="DR114" s="20"/>
      <c r="DS114" s="20"/>
      <c r="DT114" s="20"/>
      <c r="DU114" s="20"/>
      <c r="DV114" s="20"/>
      <c r="DW114" s="20"/>
      <c r="DX114" s="20"/>
      <c r="DY114" s="20"/>
      <c r="DZ114" s="20"/>
      <c r="EA114" s="20"/>
      <c r="EB114" s="20"/>
      <c r="EC114" s="20"/>
      <c r="ED114" s="20"/>
      <c r="EE114" s="20"/>
      <c r="EF114" s="20"/>
      <c r="EG114" s="20"/>
      <c r="EH114" s="20"/>
      <c r="EI114" s="20"/>
    </row>
    <row r="115" spans="1:139" ht="15.75" thickBot="1" x14ac:dyDescent="0.3">
      <c r="A115" s="169"/>
      <c r="B115" s="525"/>
      <c r="C115" s="525"/>
      <c r="D115" s="525"/>
      <c r="E115" s="525"/>
      <c r="F115" s="525"/>
      <c r="G115" s="525"/>
      <c r="H115" s="525"/>
      <c r="I115" s="525"/>
      <c r="J115" s="525"/>
      <c r="K115" s="525"/>
      <c r="L115" s="525"/>
      <c r="M115" s="20"/>
      <c r="N115" s="20"/>
      <c r="O115" s="262" t="s">
        <v>356</v>
      </c>
      <c r="P115" s="263">
        <f>+K119</f>
        <v>464.47345878276735</v>
      </c>
      <c r="Q115" s="431" t="s">
        <v>133</v>
      </c>
      <c r="R115" s="20"/>
      <c r="S115" s="20"/>
      <c r="T115" s="20"/>
      <c r="U115" s="20"/>
      <c r="X115" s="515"/>
      <c r="Y115" s="515"/>
      <c r="Z115" s="515"/>
      <c r="AA115" s="515"/>
      <c r="AB115" s="515"/>
      <c r="AC115" s="515"/>
      <c r="AD115" s="515"/>
      <c r="AE115" s="515"/>
      <c r="AF115" s="515"/>
      <c r="AG115" s="515"/>
      <c r="AH115" s="515"/>
      <c r="AI115" s="515"/>
      <c r="AJ115" s="515"/>
      <c r="AK115" s="515"/>
      <c r="AL115" s="20"/>
      <c r="AM115" s="20"/>
      <c r="AN115" s="20"/>
      <c r="AO115" s="20"/>
      <c r="AP115" s="20"/>
      <c r="AQ115" s="20"/>
      <c r="AR115" s="20"/>
      <c r="AS115" s="20"/>
      <c r="AT115" s="20"/>
      <c r="AU115" s="20"/>
      <c r="AV115" s="20"/>
      <c r="AW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I115" s="20"/>
      <c r="BJ115" s="20"/>
      <c r="BK115" s="20"/>
      <c r="BL115" s="20"/>
      <c r="BM115" s="20"/>
      <c r="BN115" s="20"/>
      <c r="BO115" s="20"/>
      <c r="BP115" s="20"/>
      <c r="BQ115" s="20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/>
      <c r="CC115" s="20"/>
      <c r="CD115" s="20"/>
      <c r="CE115" s="20"/>
      <c r="CF115" s="20"/>
      <c r="CG115" s="20"/>
      <c r="CH115" s="20"/>
      <c r="CI115" s="20"/>
      <c r="CJ115" s="20"/>
      <c r="CK115" s="20"/>
      <c r="CL115" s="20"/>
      <c r="CM115" s="20"/>
      <c r="CN115" s="20"/>
      <c r="CO115" s="20"/>
      <c r="CP115" s="20"/>
      <c r="CQ115" s="20"/>
      <c r="CR115" s="20"/>
      <c r="CS115" s="20"/>
      <c r="CT115" s="20"/>
      <c r="CU115" s="20"/>
      <c r="CV115" s="20"/>
      <c r="CW115" s="20"/>
      <c r="CX115" s="20"/>
      <c r="CY115" s="20"/>
      <c r="CZ115" s="20"/>
      <c r="DA115" s="20"/>
      <c r="DB115" s="20"/>
      <c r="DC115" s="20"/>
      <c r="DD115" s="20"/>
      <c r="DE115" s="20"/>
      <c r="DF115" s="20"/>
      <c r="DG115" s="20"/>
      <c r="DH115" s="20"/>
      <c r="DI115" s="20"/>
      <c r="DJ115" s="20"/>
      <c r="DK115" s="20"/>
      <c r="DL115" s="20"/>
      <c r="DM115" s="20"/>
      <c r="DN115" s="20"/>
      <c r="DO115" s="20"/>
      <c r="DP115" s="20"/>
      <c r="DQ115" s="20"/>
      <c r="DR115" s="20"/>
      <c r="DS115" s="20"/>
      <c r="DT115" s="20"/>
      <c r="DU115" s="20"/>
      <c r="DV115" s="20"/>
      <c r="DW115" s="20"/>
      <c r="DX115" s="20"/>
      <c r="DY115" s="20"/>
      <c r="DZ115" s="20"/>
      <c r="EA115" s="20"/>
      <c r="EB115" s="20"/>
      <c r="EC115" s="20"/>
      <c r="ED115" s="20"/>
      <c r="EE115" s="20"/>
      <c r="EF115" s="20"/>
      <c r="EG115" s="20"/>
      <c r="EH115" s="20"/>
      <c r="EI115" s="20"/>
    </row>
    <row r="116" spans="1:139" x14ac:dyDescent="0.25">
      <c r="A116" s="169"/>
      <c r="B116" s="170" t="s">
        <v>303</v>
      </c>
      <c r="C116" s="201" t="s">
        <v>307</v>
      </c>
      <c r="D116" s="526" t="s">
        <v>190</v>
      </c>
      <c r="E116" s="529">
        <f>+K110-(P111/1000)</f>
        <v>1017.4301563508224</v>
      </c>
      <c r="F116" s="151">
        <f>E117</f>
        <v>913.85348197491419</v>
      </c>
      <c r="G116" s="92">
        <f t="shared" ref="G116:K116" si="46">F117</f>
        <v>852.26501265016032</v>
      </c>
      <c r="H116" s="92">
        <f t="shared" si="46"/>
        <v>829.77300442469584</v>
      </c>
      <c r="I116" s="92">
        <f t="shared" si="46"/>
        <v>807.56484057228681</v>
      </c>
      <c r="J116" s="92">
        <f t="shared" si="46"/>
        <v>614.85201392390422</v>
      </c>
      <c r="K116" s="93">
        <f t="shared" si="46"/>
        <v>490.26505886498717</v>
      </c>
      <c r="L116" s="20"/>
      <c r="M116" s="20"/>
      <c r="N116" s="20"/>
      <c r="O116" s="262" t="s">
        <v>357</v>
      </c>
      <c r="P116" s="263">
        <v>200</v>
      </c>
      <c r="Q116" s="431" t="s">
        <v>133</v>
      </c>
      <c r="R116" s="20"/>
      <c r="S116" s="20"/>
      <c r="T116" s="20"/>
      <c r="U116" s="20"/>
      <c r="X116" s="515"/>
      <c r="Y116" s="515"/>
      <c r="Z116" s="515"/>
      <c r="AA116" s="515"/>
      <c r="AB116" s="515"/>
      <c r="AC116" s="515"/>
      <c r="AD116" s="515"/>
      <c r="AE116" s="515"/>
      <c r="AF116" s="515"/>
      <c r="AG116" s="515"/>
      <c r="AH116" s="515"/>
      <c r="AI116" s="515"/>
      <c r="AJ116" s="515"/>
      <c r="AK116" s="515"/>
      <c r="AL116" s="20"/>
      <c r="AM116" s="20"/>
      <c r="AN116" s="20"/>
      <c r="AO116" s="20"/>
      <c r="AP116" s="20"/>
      <c r="AQ116" s="20"/>
      <c r="AR116" s="20"/>
      <c r="AS116" s="20"/>
      <c r="AT116" s="20"/>
      <c r="AU116" s="20"/>
      <c r="AV116" s="20"/>
      <c r="AW116" s="20"/>
      <c r="AX116" s="20"/>
      <c r="AY116" s="20"/>
      <c r="AZ116" s="20"/>
      <c r="BA116" s="20"/>
      <c r="BB116" s="20"/>
      <c r="BC116" s="20"/>
      <c r="BD116" s="20"/>
      <c r="BE116" s="20"/>
      <c r="BF116" s="20"/>
      <c r="BG116" s="20"/>
      <c r="BH116" s="20"/>
      <c r="BI116" s="20"/>
      <c r="BJ116" s="20"/>
      <c r="BK116" s="20"/>
      <c r="BL116" s="20"/>
      <c r="BM116" s="20"/>
      <c r="BN116" s="20"/>
      <c r="BO116" s="20"/>
      <c r="BP116" s="20"/>
      <c r="BQ116" s="20"/>
      <c r="BR116" s="20"/>
      <c r="BS116" s="20"/>
      <c r="BT116" s="20"/>
      <c r="BU116" s="20"/>
      <c r="BV116" s="20"/>
      <c r="BW116" s="20"/>
      <c r="BX116" s="20"/>
      <c r="BY116" s="20"/>
      <c r="BZ116" s="20"/>
      <c r="CA116" s="20"/>
      <c r="CB116" s="20"/>
      <c r="CC116" s="20"/>
      <c r="CD116" s="20"/>
      <c r="CE116" s="20"/>
      <c r="CF116" s="20"/>
      <c r="CG116" s="20"/>
      <c r="CH116" s="20"/>
      <c r="CI116" s="20"/>
      <c r="CJ116" s="20"/>
      <c r="CK116" s="20"/>
      <c r="CL116" s="20"/>
      <c r="CM116" s="20"/>
      <c r="CN116" s="20"/>
      <c r="CO116" s="20"/>
      <c r="CP116" s="20"/>
      <c r="CQ116" s="20"/>
      <c r="CR116" s="20"/>
      <c r="CS116" s="20"/>
      <c r="CT116" s="20"/>
      <c r="CU116" s="20"/>
      <c r="CV116" s="20"/>
      <c r="CW116" s="20"/>
      <c r="CX116" s="20"/>
      <c r="CY116" s="20"/>
      <c r="CZ116" s="20"/>
      <c r="DA116" s="20"/>
      <c r="DB116" s="20"/>
      <c r="DC116" s="20"/>
      <c r="DD116" s="20"/>
      <c r="DE116" s="20"/>
      <c r="DF116" s="20"/>
      <c r="DG116" s="20"/>
      <c r="DH116" s="20"/>
      <c r="DI116" s="20"/>
      <c r="DJ116" s="20"/>
      <c r="DK116" s="20"/>
      <c r="DL116" s="20"/>
      <c r="DM116" s="20"/>
      <c r="DN116" s="20"/>
      <c r="DO116" s="20"/>
      <c r="DP116" s="20"/>
      <c r="DQ116" s="20"/>
      <c r="DR116" s="20"/>
      <c r="DS116" s="20"/>
      <c r="DT116" s="20"/>
      <c r="DU116" s="20"/>
      <c r="DV116" s="20"/>
      <c r="DW116" s="20"/>
      <c r="DX116" s="20"/>
      <c r="DY116" s="20"/>
      <c r="DZ116" s="20"/>
      <c r="EA116" s="20"/>
      <c r="EB116" s="20"/>
      <c r="EC116" s="20"/>
      <c r="ED116" s="20"/>
      <c r="EE116" s="20"/>
      <c r="EF116" s="20"/>
      <c r="EG116" s="20"/>
      <c r="EH116" s="20"/>
      <c r="EI116" s="20"/>
    </row>
    <row r="117" spans="1:139" x14ac:dyDescent="0.25">
      <c r="A117" s="169"/>
      <c r="B117" s="183" t="s">
        <v>304</v>
      </c>
      <c r="C117" s="216" t="s">
        <v>308</v>
      </c>
      <c r="D117" s="527" t="s">
        <v>190</v>
      </c>
      <c r="E117" s="221">
        <f>E116-E122-E114</f>
        <v>913.85348197491419</v>
      </c>
      <c r="F117" s="219">
        <f>+E117-F122-F114</f>
        <v>852.26501265016032</v>
      </c>
      <c r="G117" s="218">
        <f>+F117-G122-G114</f>
        <v>829.77300442469584</v>
      </c>
      <c r="H117" s="218">
        <f>+G117-H122-H114</f>
        <v>807.56484057228681</v>
      </c>
      <c r="I117" s="218">
        <f>+H117-I122-I114</f>
        <v>614.85201392390422</v>
      </c>
      <c r="J117" s="218">
        <f t="shared" ref="J117:K117" si="47">+I117-J122-J114</f>
        <v>490.26505886498717</v>
      </c>
      <c r="K117" s="220">
        <f t="shared" si="47"/>
        <v>454.55091699756343</v>
      </c>
      <c r="L117" s="20"/>
      <c r="M117" s="20"/>
      <c r="N117" s="20"/>
      <c r="O117" s="446" t="s">
        <v>359</v>
      </c>
      <c r="P117" s="263">
        <f>+DH_KJKmol(P116,P115,G104/1000,G103/1000,G108/1000,G107/1000,G106/1000)/3600</f>
        <v>279.4210137409039</v>
      </c>
      <c r="Q117" s="266" t="s">
        <v>358</v>
      </c>
      <c r="R117" s="20"/>
      <c r="S117" s="20"/>
      <c r="T117" s="20"/>
      <c r="U117" s="20"/>
      <c r="X117" s="515"/>
      <c r="Y117" s="515"/>
      <c r="Z117" s="515"/>
      <c r="AA117" s="515"/>
      <c r="AB117" s="515"/>
      <c r="AC117" s="515"/>
      <c r="AD117" s="515"/>
      <c r="AE117" s="515"/>
      <c r="AF117" s="515"/>
      <c r="AG117" s="515"/>
      <c r="AH117" s="515"/>
      <c r="AI117" s="515"/>
      <c r="AJ117" s="515"/>
      <c r="AK117" s="515"/>
      <c r="AL117" s="20"/>
      <c r="AM117" s="20"/>
      <c r="AN117" s="20"/>
      <c r="AO117" s="20"/>
      <c r="AP117" s="20"/>
      <c r="AQ117" s="20"/>
      <c r="AR117" s="20"/>
      <c r="AS117" s="20"/>
      <c r="AT117" s="20"/>
      <c r="AU117" s="20"/>
      <c r="AV117" s="20"/>
      <c r="AW117" s="20"/>
      <c r="AX117" s="20"/>
      <c r="AY117" s="20"/>
      <c r="AZ117" s="20"/>
      <c r="BA117" s="20"/>
      <c r="BB117" s="20"/>
      <c r="BC117" s="20"/>
      <c r="BD117" s="20"/>
      <c r="BE117" s="20"/>
      <c r="BF117" s="20"/>
      <c r="BG117" s="20"/>
      <c r="BH117" s="20"/>
      <c r="BI117" s="20"/>
      <c r="BJ117" s="20"/>
      <c r="BK117" s="20"/>
      <c r="BL117" s="20"/>
      <c r="BM117" s="20"/>
      <c r="BN117" s="20"/>
      <c r="BO117" s="20"/>
      <c r="BP117" s="20"/>
      <c r="BQ117" s="20"/>
      <c r="BR117" s="20"/>
      <c r="BS117" s="20"/>
      <c r="BT117" s="20"/>
      <c r="BU117" s="20"/>
      <c r="BV117" s="20"/>
      <c r="BW117" s="20"/>
      <c r="BX117" s="20"/>
      <c r="BY117" s="20"/>
      <c r="BZ117" s="20"/>
      <c r="CA117" s="20"/>
      <c r="CB117" s="20"/>
      <c r="CC117" s="20"/>
      <c r="CD117" s="20"/>
      <c r="CE117" s="20"/>
      <c r="CF117" s="20"/>
      <c r="CG117" s="20"/>
      <c r="CH117" s="20"/>
      <c r="CI117" s="20"/>
      <c r="CJ117" s="20"/>
      <c r="CK117" s="20"/>
      <c r="CL117" s="20"/>
      <c r="CM117" s="20"/>
      <c r="CN117" s="20"/>
      <c r="CO117" s="20"/>
      <c r="CP117" s="20"/>
      <c r="CQ117" s="20"/>
      <c r="CR117" s="20"/>
      <c r="CS117" s="20"/>
      <c r="CT117" s="20"/>
      <c r="CU117" s="20"/>
      <c r="CV117" s="20"/>
      <c r="CW117" s="20"/>
      <c r="CX117" s="20"/>
      <c r="CY117" s="20"/>
      <c r="CZ117" s="20"/>
      <c r="DA117" s="20"/>
      <c r="DB117" s="20"/>
      <c r="DC117" s="20"/>
      <c r="DD117" s="20"/>
      <c r="DE117" s="20"/>
      <c r="DF117" s="20"/>
      <c r="DG117" s="20"/>
      <c r="DH117" s="20"/>
      <c r="DI117" s="20"/>
      <c r="DJ117" s="20"/>
      <c r="DK117" s="20"/>
      <c r="DL117" s="20"/>
      <c r="DM117" s="20"/>
      <c r="DN117" s="20"/>
      <c r="DO117" s="20"/>
      <c r="DP117" s="20"/>
      <c r="DQ117" s="20"/>
      <c r="DR117" s="20"/>
      <c r="DS117" s="20"/>
      <c r="DT117" s="20"/>
      <c r="DU117" s="20"/>
      <c r="DV117" s="20"/>
      <c r="DW117" s="20"/>
      <c r="DX117" s="20"/>
      <c r="DY117" s="20"/>
      <c r="DZ117" s="20"/>
      <c r="EA117" s="20"/>
      <c r="EB117" s="20"/>
      <c r="EC117" s="20"/>
      <c r="ED117" s="20"/>
      <c r="EE117" s="20"/>
      <c r="EF117" s="20"/>
      <c r="EG117" s="20"/>
      <c r="EH117" s="20"/>
      <c r="EI117" s="20"/>
    </row>
    <row r="118" spans="1:139" x14ac:dyDescent="0.25">
      <c r="A118" s="169"/>
      <c r="B118" s="221" t="s">
        <v>300</v>
      </c>
      <c r="C118" s="216" t="s">
        <v>309</v>
      </c>
      <c r="D118" s="527" t="s">
        <v>133</v>
      </c>
      <c r="E118" s="221">
        <f t="shared" ref="E118" si="48">Tcalculada(E116,$K$98,$K$102,$K$101,$K$105,$K$104,$K$103)</f>
        <v>950.40347917971837</v>
      </c>
      <c r="F118" s="219">
        <f t="shared" ref="F118:K119" si="49">Tcalculada(F116,$K$98,$K$102,$K$101,$K$105,$K$104,$K$103)</f>
        <v>864.43395556027474</v>
      </c>
      <c r="G118" s="218">
        <f t="shared" si="49"/>
        <v>812.69833931889104</v>
      </c>
      <c r="H118" s="218">
        <f t="shared" si="49"/>
        <v>793.68174424257302</v>
      </c>
      <c r="I118" s="218">
        <f t="shared" si="49"/>
        <v>774.83802395455564</v>
      </c>
      <c r="J118" s="218">
        <f t="shared" si="49"/>
        <v>608.22350655623541</v>
      </c>
      <c r="K118" s="220">
        <f t="shared" si="49"/>
        <v>496.96696553479285</v>
      </c>
      <c r="L118" s="20"/>
      <c r="M118" s="20"/>
      <c r="N118" s="20"/>
      <c r="O118" s="267" t="s">
        <v>360</v>
      </c>
      <c r="P118" s="263">
        <f>25/1000*22.09*(P115-P116)/LN((P115-153)/(P116-153))</f>
        <v>77.230357784075508</v>
      </c>
      <c r="Q118" s="266" t="s">
        <v>19</v>
      </c>
      <c r="R118" s="20"/>
      <c r="S118" s="20"/>
      <c r="T118" s="20"/>
      <c r="U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/>
      <c r="AN118" s="20"/>
      <c r="AO118" s="20"/>
      <c r="AP118" s="20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  <c r="BA118" s="20"/>
      <c r="BB118" s="20"/>
      <c r="BC118" s="20"/>
      <c r="BD118" s="20"/>
      <c r="BE118" s="20"/>
      <c r="BF118" s="20"/>
      <c r="BG118" s="20"/>
      <c r="BH118" s="20"/>
      <c r="BI118" s="20"/>
      <c r="BJ118" s="20"/>
      <c r="BK118" s="20"/>
      <c r="BL118" s="20"/>
      <c r="BM118" s="20"/>
      <c r="BN118" s="20"/>
      <c r="BO118" s="20"/>
      <c r="BP118" s="20"/>
      <c r="BQ118" s="20"/>
      <c r="BR118" s="20"/>
      <c r="BS118" s="20"/>
      <c r="BT118" s="20"/>
      <c r="BU118" s="20"/>
      <c r="BV118" s="20"/>
      <c r="BW118" s="20"/>
      <c r="BX118" s="20"/>
      <c r="BY118" s="20"/>
      <c r="BZ118" s="20"/>
      <c r="CA118" s="20"/>
      <c r="CB118" s="20"/>
      <c r="CC118" s="20"/>
      <c r="CD118" s="20"/>
      <c r="CE118" s="20"/>
      <c r="CF118" s="20"/>
      <c r="CG118" s="20"/>
      <c r="CH118" s="20"/>
      <c r="CI118" s="20"/>
      <c r="CJ118" s="20"/>
      <c r="CK118" s="20"/>
      <c r="CL118" s="20"/>
      <c r="CM118" s="20"/>
      <c r="CN118" s="20"/>
      <c r="CO118" s="20"/>
      <c r="CP118" s="20"/>
      <c r="CQ118" s="20"/>
      <c r="CR118" s="20"/>
      <c r="CS118" s="20"/>
      <c r="CT118" s="20"/>
      <c r="CU118" s="20"/>
      <c r="CV118" s="20"/>
      <c r="CW118" s="20"/>
      <c r="CX118" s="20"/>
      <c r="CY118" s="20"/>
      <c r="CZ118" s="20"/>
      <c r="DA118" s="20"/>
      <c r="DB118" s="20"/>
      <c r="DC118" s="20"/>
      <c r="DD118" s="20"/>
      <c r="DE118" s="20"/>
      <c r="DF118" s="20"/>
      <c r="DG118" s="20"/>
      <c r="DH118" s="20"/>
      <c r="DI118" s="20"/>
      <c r="DJ118" s="20"/>
      <c r="DK118" s="20"/>
      <c r="DL118" s="20"/>
      <c r="DM118" s="20"/>
      <c r="DN118" s="20"/>
      <c r="DO118" s="20"/>
      <c r="DP118" s="20"/>
      <c r="DQ118" s="20"/>
      <c r="DR118" s="20"/>
      <c r="DS118" s="20"/>
      <c r="DT118" s="20"/>
      <c r="DU118" s="20"/>
      <c r="DV118" s="20"/>
      <c r="DW118" s="20"/>
      <c r="DX118" s="20"/>
      <c r="DY118" s="20"/>
      <c r="DZ118" s="20"/>
      <c r="EA118" s="20"/>
      <c r="EB118" s="20"/>
      <c r="EC118" s="20"/>
      <c r="ED118" s="20"/>
      <c r="EE118" s="20"/>
      <c r="EF118" s="20"/>
      <c r="EG118" s="20"/>
      <c r="EH118" s="20"/>
      <c r="EI118" s="20"/>
    </row>
    <row r="119" spans="1:139" x14ac:dyDescent="0.25">
      <c r="A119" s="169"/>
      <c r="B119" s="183" t="s">
        <v>301</v>
      </c>
      <c r="C119" s="216" t="s">
        <v>310</v>
      </c>
      <c r="D119" s="527" t="s">
        <v>133</v>
      </c>
      <c r="E119" s="221">
        <f>Tcalculada(E117,$K$98,$K$102,$K$101,$K$105,$K$104,$K$103)</f>
        <v>864.43395556027474</v>
      </c>
      <c r="F119" s="219">
        <f t="shared" si="49"/>
        <v>812.69833931889104</v>
      </c>
      <c r="G119" s="218">
        <f t="shared" si="49"/>
        <v>793.68174424257302</v>
      </c>
      <c r="H119" s="218">
        <f t="shared" si="49"/>
        <v>774.83802395455564</v>
      </c>
      <c r="I119" s="218">
        <f t="shared" si="49"/>
        <v>608.22350655623541</v>
      </c>
      <c r="J119" s="218">
        <f t="shared" si="49"/>
        <v>496.96696553479285</v>
      </c>
      <c r="K119" s="220">
        <f t="shared" si="49"/>
        <v>464.47345878276735</v>
      </c>
      <c r="L119" s="20"/>
      <c r="M119" s="20"/>
      <c r="N119" s="20"/>
      <c r="O119" s="268" t="s">
        <v>361</v>
      </c>
      <c r="P119" s="263">
        <f>+P121/P120</f>
        <v>15.82612526956072</v>
      </c>
      <c r="Q119" s="431" t="s">
        <v>38</v>
      </c>
      <c r="R119" s="20"/>
      <c r="S119" s="20"/>
      <c r="T119" s="20"/>
      <c r="U119" s="20"/>
      <c r="X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/>
      <c r="AN119" s="20"/>
      <c r="AO119" s="20"/>
      <c r="AP119" s="20"/>
      <c r="AQ119" s="20"/>
      <c r="AR119" s="20"/>
      <c r="AS119" s="20"/>
      <c r="AT119" s="20"/>
      <c r="AU119" s="20"/>
      <c r="AV119" s="20"/>
      <c r="AW119" s="20"/>
      <c r="AX119" s="20"/>
      <c r="AY119" s="20"/>
      <c r="AZ119" s="20"/>
      <c r="BA119" s="20"/>
      <c r="BB119" s="20"/>
      <c r="BC119" s="20"/>
      <c r="BD119" s="20"/>
      <c r="BE119" s="20"/>
      <c r="BF119" s="20"/>
      <c r="BG119" s="20"/>
      <c r="BH119" s="20"/>
      <c r="BI119" s="20"/>
      <c r="BJ119" s="20"/>
      <c r="BK119" s="20"/>
      <c r="BL119" s="20"/>
      <c r="BM119" s="20"/>
      <c r="BN119" s="20"/>
      <c r="BO119" s="20"/>
      <c r="BP119" s="20"/>
      <c r="BQ119" s="20"/>
      <c r="BR119" s="20"/>
      <c r="BS119" s="20"/>
      <c r="BT119" s="20"/>
      <c r="BU119" s="20"/>
      <c r="BV119" s="20"/>
      <c r="BW119" s="20"/>
      <c r="BX119" s="20"/>
      <c r="BY119" s="20"/>
      <c r="BZ119" s="20"/>
      <c r="CA119" s="20"/>
      <c r="CB119" s="20"/>
      <c r="CC119" s="20"/>
      <c r="CD119" s="20"/>
      <c r="CE119" s="20"/>
      <c r="CF119" s="20"/>
      <c r="CG119" s="20"/>
      <c r="CH119" s="20"/>
      <c r="CI119" s="20"/>
      <c r="CJ119" s="20"/>
      <c r="CK119" s="20"/>
      <c r="CL119" s="20"/>
      <c r="CM119" s="20"/>
      <c r="CN119" s="20"/>
      <c r="CO119" s="20"/>
      <c r="CP119" s="20"/>
      <c r="CQ119" s="20"/>
      <c r="CR119" s="20"/>
      <c r="CS119" s="20"/>
      <c r="CT119" s="20"/>
      <c r="CU119" s="20"/>
      <c r="CV119" s="20"/>
      <c r="CW119" s="20"/>
      <c r="CX119" s="20"/>
      <c r="CY119" s="20"/>
      <c r="CZ119" s="20"/>
      <c r="DA119" s="20"/>
      <c r="DB119" s="20"/>
      <c r="DC119" s="20"/>
      <c r="DD119" s="20"/>
      <c r="DE119" s="20"/>
      <c r="DF119" s="20"/>
      <c r="DG119" s="20"/>
      <c r="DH119" s="20"/>
      <c r="DI119" s="20"/>
      <c r="DJ119" s="20"/>
      <c r="DK119" s="20"/>
      <c r="DL119" s="20"/>
      <c r="DM119" s="20"/>
      <c r="DN119" s="20"/>
      <c r="DO119" s="20"/>
      <c r="DP119" s="20"/>
      <c r="DQ119" s="20"/>
      <c r="DR119" s="20"/>
      <c r="DS119" s="20"/>
      <c r="DT119" s="20"/>
      <c r="DU119" s="20"/>
      <c r="DV119" s="20"/>
      <c r="DW119" s="20"/>
      <c r="DX119" s="20"/>
      <c r="DY119" s="20"/>
      <c r="DZ119" s="20"/>
      <c r="EA119" s="20"/>
      <c r="EB119" s="20"/>
      <c r="EC119" s="20"/>
      <c r="ED119" s="20"/>
      <c r="EE119" s="20"/>
      <c r="EF119" s="20"/>
      <c r="EG119" s="20"/>
      <c r="EH119" s="20"/>
      <c r="EI119" s="20"/>
    </row>
    <row r="120" spans="1:139" x14ac:dyDescent="0.25">
      <c r="A120" s="169"/>
      <c r="B120" s="183" t="s">
        <v>302</v>
      </c>
      <c r="C120" s="216" t="s">
        <v>195</v>
      </c>
      <c r="D120" s="527" t="s">
        <v>133</v>
      </c>
      <c r="E120" s="221">
        <f>+AVERAGE(E118:E119)</f>
        <v>907.41871736999656</v>
      </c>
      <c r="F120" s="219">
        <f>+AVERAGE(F118:F119)</f>
        <v>838.56614743958289</v>
      </c>
      <c r="G120" s="218">
        <f t="shared" ref="G120:K120" si="50">+AVERAGE(G118:G119)</f>
        <v>803.19004178073203</v>
      </c>
      <c r="H120" s="218">
        <f t="shared" si="50"/>
        <v>784.25988409856427</v>
      </c>
      <c r="I120" s="218">
        <f t="shared" si="50"/>
        <v>691.53076525539552</v>
      </c>
      <c r="J120" s="218">
        <f t="shared" si="50"/>
        <v>552.59523604551418</v>
      </c>
      <c r="K120" s="220">
        <f t="shared" si="50"/>
        <v>480.7202121587801</v>
      </c>
      <c r="L120" s="20"/>
      <c r="M120" s="20"/>
      <c r="N120" s="20"/>
      <c r="O120" s="268" t="s">
        <v>363</v>
      </c>
      <c r="P120" s="263">
        <v>3.6599462819533444</v>
      </c>
      <c r="Q120" s="431" t="s">
        <v>44</v>
      </c>
      <c r="R120" s="20"/>
      <c r="S120" s="20"/>
      <c r="T120" s="20"/>
      <c r="U120" s="20"/>
      <c r="X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/>
      <c r="AN120" s="20"/>
      <c r="AO120" s="20"/>
      <c r="AP120" s="2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  <c r="BB120" s="20"/>
      <c r="BC120" s="20"/>
      <c r="BD120" s="20"/>
      <c r="BE120" s="20"/>
      <c r="BF120" s="20"/>
      <c r="BG120" s="20"/>
      <c r="BH120" s="20"/>
      <c r="BI120" s="20"/>
      <c r="BJ120" s="20"/>
      <c r="BK120" s="20"/>
      <c r="BL120" s="20"/>
      <c r="BM120" s="20"/>
      <c r="BN120" s="20"/>
      <c r="BO120" s="20"/>
      <c r="BP120" s="20"/>
      <c r="BQ120" s="20"/>
      <c r="BR120" s="20"/>
      <c r="BS120" s="20"/>
      <c r="BT120" s="20"/>
      <c r="BU120" s="20"/>
      <c r="BV120" s="20"/>
      <c r="BW120" s="20"/>
      <c r="BX120" s="20"/>
      <c r="BY120" s="20"/>
      <c r="BZ120" s="20"/>
      <c r="CA120" s="20"/>
      <c r="CB120" s="20"/>
      <c r="CC120" s="20"/>
      <c r="CD120" s="20"/>
      <c r="CE120" s="20"/>
      <c r="CF120" s="20"/>
      <c r="CG120" s="20"/>
      <c r="CH120" s="20"/>
      <c r="CI120" s="20"/>
      <c r="CJ120" s="20"/>
      <c r="CK120" s="20"/>
      <c r="CL120" s="20"/>
      <c r="CM120" s="20"/>
      <c r="CN120" s="20"/>
      <c r="CO120" s="20"/>
      <c r="CP120" s="20"/>
      <c r="CQ120" s="20"/>
      <c r="CR120" s="20"/>
      <c r="CS120" s="20"/>
      <c r="CT120" s="20"/>
      <c r="CU120" s="20"/>
      <c r="CV120" s="20"/>
      <c r="CW120" s="20"/>
      <c r="CX120" s="20"/>
      <c r="CY120" s="20"/>
      <c r="CZ120" s="20"/>
      <c r="DA120" s="20"/>
      <c r="DB120" s="20"/>
      <c r="DC120" s="20"/>
      <c r="DD120" s="20"/>
      <c r="DE120" s="20"/>
      <c r="DF120" s="20"/>
      <c r="DG120" s="20"/>
      <c r="DH120" s="20"/>
      <c r="DI120" s="20"/>
      <c r="DJ120" s="20"/>
      <c r="DK120" s="20"/>
      <c r="DL120" s="20"/>
      <c r="DM120" s="20"/>
      <c r="DN120" s="20"/>
      <c r="DO120" s="20"/>
      <c r="DP120" s="20"/>
      <c r="DQ120" s="20"/>
      <c r="DR120" s="20"/>
      <c r="DS120" s="20"/>
      <c r="DT120" s="20"/>
      <c r="DU120" s="20"/>
      <c r="DV120" s="20"/>
      <c r="DW120" s="20"/>
      <c r="DX120" s="20"/>
      <c r="DY120" s="20"/>
      <c r="DZ120" s="20"/>
      <c r="EA120" s="20"/>
      <c r="EB120" s="20"/>
      <c r="EC120" s="20"/>
      <c r="ED120" s="20"/>
      <c r="EE120" s="20"/>
      <c r="EF120" s="20"/>
      <c r="EG120" s="20"/>
      <c r="EH120" s="20"/>
      <c r="EI120" s="20"/>
    </row>
    <row r="121" spans="1:139" x14ac:dyDescent="0.25">
      <c r="A121" s="169"/>
      <c r="B121" s="221" t="s">
        <v>298</v>
      </c>
      <c r="C121" s="216" t="s">
        <v>311</v>
      </c>
      <c r="D121" s="527" t="s">
        <v>190</v>
      </c>
      <c r="E121" s="221">
        <f>3.33*(E66+E67)*(E120-$D$19)/1000</f>
        <v>41.614390205061653</v>
      </c>
      <c r="F121" s="218">
        <f t="shared" ref="F121:K121" si="51">3.33*(F66+F67)*(F120-$D$19)/1000</f>
        <v>22.461772171643869</v>
      </c>
      <c r="G121" s="218">
        <f>3.33*(G66+G67)*(G120-$D$19)/1000</f>
        <v>15.237272294083446</v>
      </c>
      <c r="H121" s="218">
        <f t="shared" si="51"/>
        <v>16.8943372366702</v>
      </c>
      <c r="I121" s="218">
        <f t="shared" si="51"/>
        <v>38.953057717673204</v>
      </c>
      <c r="J121" s="218">
        <f t="shared" si="51"/>
        <v>28.011888216887225</v>
      </c>
      <c r="K121" s="220">
        <f t="shared" si="51"/>
        <v>16.679373436617716</v>
      </c>
      <c r="L121" s="20"/>
      <c r="M121" s="20"/>
      <c r="N121" s="20"/>
      <c r="O121" s="267" t="s">
        <v>362</v>
      </c>
      <c r="P121" s="263">
        <f>+P118*0.75</f>
        <v>57.922768338056628</v>
      </c>
      <c r="Q121" s="431" t="s">
        <v>190</v>
      </c>
      <c r="R121" s="20"/>
      <c r="S121" s="20"/>
      <c r="T121" s="20"/>
      <c r="U121" s="20"/>
      <c r="X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/>
      <c r="AN121" s="20"/>
      <c r="AO121" s="20"/>
      <c r="AP121" s="20"/>
      <c r="AQ121" s="20"/>
      <c r="AR121" s="20"/>
      <c r="AS121" s="20"/>
      <c r="AT121" s="20"/>
      <c r="AU121" s="20"/>
      <c r="AV121" s="20"/>
      <c r="AW121" s="20"/>
      <c r="AX121" s="20"/>
      <c r="AY121" s="20"/>
      <c r="AZ121" s="20"/>
      <c r="BA121" s="20"/>
      <c r="BB121" s="20"/>
      <c r="BC121" s="20"/>
      <c r="BD121" s="20"/>
      <c r="BE121" s="20"/>
      <c r="BF121" s="20"/>
      <c r="BG121" s="20"/>
      <c r="BH121" s="20"/>
      <c r="BI121" s="20"/>
      <c r="BJ121" s="20"/>
      <c r="BK121" s="20"/>
      <c r="BL121" s="20"/>
      <c r="BM121" s="20"/>
      <c r="BN121" s="20"/>
      <c r="BO121" s="20"/>
      <c r="BP121" s="20"/>
      <c r="BQ121" s="20"/>
      <c r="BR121" s="20"/>
      <c r="BS121" s="20"/>
      <c r="BT121" s="20"/>
      <c r="BU121" s="20"/>
      <c r="BV121" s="20"/>
      <c r="BW121" s="20"/>
      <c r="BX121" s="20"/>
      <c r="BY121" s="20"/>
      <c r="BZ121" s="20"/>
      <c r="CA121" s="20"/>
      <c r="CB121" s="20"/>
      <c r="CC121" s="20"/>
      <c r="CD121" s="20"/>
      <c r="CE121" s="20"/>
      <c r="CF121" s="20"/>
      <c r="CG121" s="20"/>
      <c r="CH121" s="20"/>
      <c r="CI121" s="20"/>
      <c r="CJ121" s="20"/>
      <c r="CK121" s="20"/>
      <c r="CL121" s="20"/>
      <c r="CM121" s="20"/>
      <c r="CN121" s="20"/>
      <c r="CO121" s="20"/>
      <c r="CP121" s="20"/>
      <c r="CQ121" s="20"/>
      <c r="CR121" s="20"/>
      <c r="CS121" s="20"/>
      <c r="CT121" s="20"/>
      <c r="CU121" s="20"/>
      <c r="CV121" s="20"/>
      <c r="CW121" s="20"/>
      <c r="CX121" s="20"/>
      <c r="CY121" s="20"/>
      <c r="CZ121" s="20"/>
      <c r="DA121" s="20"/>
      <c r="DB121" s="20"/>
      <c r="DC121" s="20"/>
      <c r="DD121" s="20"/>
      <c r="DE121" s="20"/>
      <c r="DF121" s="20"/>
      <c r="DG121" s="20"/>
      <c r="DH121" s="20"/>
      <c r="DI121" s="20"/>
      <c r="DJ121" s="20"/>
      <c r="DK121" s="20"/>
      <c r="DL121" s="20"/>
      <c r="DM121" s="20"/>
      <c r="DN121" s="20"/>
      <c r="DO121" s="20"/>
      <c r="DP121" s="20"/>
      <c r="DQ121" s="20"/>
      <c r="DR121" s="20"/>
      <c r="DS121" s="20"/>
      <c r="DT121" s="20"/>
      <c r="DU121" s="20"/>
      <c r="DV121" s="20"/>
      <c r="DW121" s="20"/>
      <c r="DX121" s="20"/>
      <c r="DY121" s="20"/>
      <c r="DZ121" s="20"/>
      <c r="EA121" s="20"/>
      <c r="EB121" s="20"/>
      <c r="EC121" s="20"/>
      <c r="ED121" s="20"/>
      <c r="EE121" s="20"/>
      <c r="EF121" s="20"/>
      <c r="EG121" s="20"/>
      <c r="EH121" s="20"/>
      <c r="EI121" s="20"/>
    </row>
    <row r="122" spans="1:139" ht="15.75" thickBot="1" x14ac:dyDescent="0.3">
      <c r="A122" s="169"/>
      <c r="B122" s="222" t="s">
        <v>299</v>
      </c>
      <c r="C122" s="223" t="s">
        <v>312</v>
      </c>
      <c r="D122" s="528" t="s">
        <v>190</v>
      </c>
      <c r="E122" s="222">
        <f>$D$113*(E66/$J$113)</f>
        <v>12.658001886899834</v>
      </c>
      <c r="F122" s="223">
        <f t="shared" ref="F122:K122" si="52">$D$113*(F66/$J$113)</f>
        <v>7.4104994806020716</v>
      </c>
      <c r="G122" s="223">
        <f t="shared" si="52"/>
        <v>5.2555466102931101</v>
      </c>
      <c r="H122" s="223">
        <f t="shared" si="52"/>
        <v>5.972374566322884</v>
      </c>
      <c r="I122" s="223">
        <f t="shared" si="52"/>
        <v>15.686197790925867</v>
      </c>
      <c r="J122" s="223">
        <f t="shared" si="52"/>
        <v>14.25075427797846</v>
      </c>
      <c r="K122" s="224">
        <f t="shared" si="52"/>
        <v>9.8237606792060497</v>
      </c>
      <c r="L122" s="20"/>
      <c r="M122" s="20"/>
      <c r="N122" s="20"/>
      <c r="O122" s="269" t="s">
        <v>365</v>
      </c>
      <c r="P122" s="270">
        <f>+(P121+M180)/Q21</f>
        <v>0.483763887159463</v>
      </c>
      <c r="Q122" s="271" t="s">
        <v>6</v>
      </c>
      <c r="R122" s="20"/>
      <c r="S122" s="20"/>
      <c r="T122" s="20"/>
      <c r="U122" s="20"/>
      <c r="W122" s="20"/>
      <c r="X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/>
      <c r="AN122" s="20"/>
      <c r="AO122" s="20"/>
      <c r="AP122" s="20"/>
      <c r="AQ122" s="20"/>
      <c r="AR122" s="20"/>
      <c r="AS122" s="20"/>
      <c r="AT122" s="20"/>
      <c r="AU122" s="20"/>
      <c r="AV122" s="20"/>
      <c r="AW122" s="20"/>
      <c r="AX122" s="20"/>
      <c r="AY122" s="20"/>
      <c r="AZ122" s="20"/>
      <c r="BA122" s="20"/>
      <c r="BB122" s="20"/>
      <c r="BC122" s="20"/>
      <c r="BD122" s="20"/>
      <c r="BE122" s="20"/>
      <c r="BF122" s="20"/>
      <c r="BG122" s="20"/>
      <c r="BH122" s="20"/>
      <c r="BI122" s="20"/>
      <c r="BJ122" s="20"/>
      <c r="BK122" s="20"/>
      <c r="BL122" s="20"/>
      <c r="BM122" s="20"/>
      <c r="BN122" s="20"/>
      <c r="BO122" s="20"/>
      <c r="BP122" s="20"/>
      <c r="BQ122" s="20"/>
      <c r="BR122" s="20"/>
      <c r="BS122" s="20"/>
      <c r="BT122" s="20"/>
      <c r="BU122" s="20"/>
      <c r="BV122" s="20"/>
      <c r="BW122" s="20"/>
      <c r="BX122" s="20"/>
      <c r="BY122" s="20"/>
      <c r="BZ122" s="20"/>
      <c r="CA122" s="20"/>
      <c r="CB122" s="20"/>
      <c r="CC122" s="20"/>
      <c r="CD122" s="20"/>
      <c r="CE122" s="20"/>
      <c r="CF122" s="20"/>
      <c r="CG122" s="20"/>
      <c r="CH122" s="20"/>
      <c r="CI122" s="20"/>
      <c r="CJ122" s="20"/>
      <c r="CK122" s="20"/>
      <c r="CL122" s="20"/>
      <c r="CM122" s="20"/>
      <c r="CN122" s="20"/>
      <c r="CO122" s="20"/>
      <c r="CP122" s="20"/>
      <c r="CQ122" s="20"/>
      <c r="CR122" s="20"/>
      <c r="CS122" s="20"/>
      <c r="CT122" s="20"/>
      <c r="CU122" s="20"/>
      <c r="CV122" s="20"/>
      <c r="CW122" s="20"/>
      <c r="CX122" s="20"/>
      <c r="CY122" s="20"/>
      <c r="CZ122" s="20"/>
      <c r="DA122" s="20"/>
      <c r="DB122" s="20"/>
      <c r="DC122" s="20"/>
      <c r="DD122" s="20"/>
      <c r="DE122" s="20"/>
      <c r="DF122" s="20"/>
      <c r="DG122" s="20"/>
      <c r="DH122" s="20"/>
      <c r="DI122" s="20"/>
      <c r="DJ122" s="20"/>
      <c r="DK122" s="20"/>
      <c r="DL122" s="20"/>
      <c r="DM122" s="20"/>
      <c r="DN122" s="20"/>
      <c r="DO122" s="20"/>
      <c r="DP122" s="20"/>
      <c r="DQ122" s="20"/>
      <c r="DR122" s="20"/>
      <c r="DS122" s="20"/>
      <c r="DT122" s="20"/>
      <c r="DU122" s="20"/>
      <c r="DV122" s="20"/>
      <c r="DW122" s="20"/>
      <c r="DX122" s="20"/>
      <c r="DY122" s="20"/>
      <c r="DZ122" s="20"/>
      <c r="EA122" s="20"/>
      <c r="EB122" s="20"/>
      <c r="EC122" s="20"/>
      <c r="ED122" s="20"/>
      <c r="EE122" s="20"/>
      <c r="EF122" s="20"/>
      <c r="EG122" s="20"/>
      <c r="EH122" s="20"/>
      <c r="EI122" s="20"/>
    </row>
    <row r="123" spans="1:139" ht="15.75" thickBot="1" x14ac:dyDescent="0.3">
      <c r="A123" s="169"/>
      <c r="B123" s="214"/>
      <c r="C123" s="214"/>
      <c r="D123" s="259"/>
      <c r="E123" s="260"/>
      <c r="F123" s="260"/>
      <c r="G123" s="260"/>
      <c r="H123" s="260"/>
      <c r="I123" s="260"/>
      <c r="J123" s="190"/>
      <c r="K123" s="169"/>
      <c r="L123" s="169"/>
      <c r="M123" s="169"/>
      <c r="N123" s="169"/>
      <c r="O123" s="169"/>
      <c r="P123" s="169"/>
      <c r="R123" s="20"/>
      <c r="S123" s="20"/>
      <c r="T123" s="20"/>
      <c r="U123" s="20"/>
      <c r="W123" s="20"/>
      <c r="X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/>
      <c r="AN123" s="20"/>
      <c r="AO123" s="20"/>
      <c r="AP123" s="20"/>
      <c r="AQ123" s="20"/>
      <c r="AR123" s="20"/>
      <c r="AS123" s="20"/>
      <c r="AT123" s="20"/>
      <c r="AU123" s="20"/>
      <c r="AV123" s="20"/>
      <c r="AW123" s="20"/>
      <c r="AX123" s="20"/>
      <c r="AY123" s="20"/>
      <c r="AZ123" s="20"/>
      <c r="BA123" s="20"/>
      <c r="BB123" s="20"/>
      <c r="BC123" s="20"/>
      <c r="BD123" s="20"/>
      <c r="BE123" s="20"/>
      <c r="BF123" s="20"/>
      <c r="BG123" s="20"/>
      <c r="BH123" s="20"/>
      <c r="BI123" s="20"/>
      <c r="BJ123" s="20"/>
      <c r="BK123" s="20"/>
      <c r="BL123" s="20"/>
      <c r="BM123" s="20"/>
      <c r="BN123" s="20"/>
      <c r="BO123" s="20"/>
      <c r="BP123" s="20"/>
      <c r="BQ123" s="20"/>
      <c r="BR123" s="20"/>
      <c r="BS123" s="20"/>
      <c r="BT123" s="20"/>
      <c r="BU123" s="20"/>
      <c r="BV123" s="20"/>
      <c r="BW123" s="20"/>
      <c r="BX123" s="20"/>
      <c r="BY123" s="20"/>
      <c r="BZ123" s="20"/>
      <c r="CA123" s="20"/>
      <c r="CB123" s="20"/>
      <c r="CC123" s="20"/>
      <c r="CD123" s="20"/>
      <c r="CE123" s="20"/>
      <c r="CF123" s="20"/>
      <c r="CG123" s="20"/>
      <c r="CH123" s="20"/>
      <c r="CI123" s="20"/>
      <c r="CJ123" s="20"/>
      <c r="CK123" s="20"/>
      <c r="CL123" s="20"/>
      <c r="CM123" s="20"/>
      <c r="CN123" s="20"/>
      <c r="CO123" s="20"/>
      <c r="CP123" s="20"/>
      <c r="CQ123" s="20"/>
      <c r="CR123" s="20"/>
      <c r="CS123" s="20"/>
      <c r="CT123" s="20"/>
      <c r="CU123" s="20"/>
      <c r="CV123" s="20"/>
      <c r="CW123" s="20"/>
      <c r="CX123" s="20"/>
      <c r="CY123" s="20"/>
      <c r="CZ123" s="20"/>
      <c r="DA123" s="20"/>
      <c r="DB123" s="20"/>
      <c r="DC123" s="20"/>
      <c r="DD123" s="20"/>
      <c r="DE123" s="20"/>
      <c r="DF123" s="20"/>
      <c r="DG123" s="20"/>
      <c r="DH123" s="20"/>
      <c r="DI123" s="20"/>
      <c r="DJ123" s="20"/>
      <c r="DK123" s="20"/>
      <c r="DL123" s="20"/>
      <c r="DM123" s="20"/>
      <c r="DN123" s="20"/>
      <c r="DO123" s="20"/>
      <c r="DP123" s="20"/>
      <c r="DQ123" s="20"/>
      <c r="DR123" s="20"/>
      <c r="DS123" s="20"/>
      <c r="DT123" s="20"/>
      <c r="DU123" s="20"/>
      <c r="DV123" s="20"/>
      <c r="DW123" s="20"/>
      <c r="DX123" s="20"/>
      <c r="DY123" s="20"/>
      <c r="DZ123" s="20"/>
      <c r="EA123" s="20"/>
      <c r="EB123" s="20"/>
      <c r="EC123" s="20"/>
      <c r="ED123" s="20"/>
      <c r="EE123" s="20"/>
      <c r="EF123" s="20"/>
      <c r="EG123" s="20"/>
      <c r="EH123" s="20"/>
      <c r="EI123" s="20"/>
    </row>
    <row r="124" spans="1:139" ht="15.75" thickBot="1" x14ac:dyDescent="0.3">
      <c r="A124" s="664" t="s">
        <v>564</v>
      </c>
      <c r="B124" s="665"/>
      <c r="C124" s="665"/>
      <c r="D124" s="665"/>
      <c r="E124" s="665"/>
      <c r="F124" s="665"/>
      <c r="G124" s="665"/>
      <c r="H124" s="665"/>
      <c r="I124" s="665"/>
      <c r="J124" s="665"/>
      <c r="K124" s="665"/>
      <c r="L124" s="665"/>
      <c r="M124" s="665"/>
      <c r="N124" s="665"/>
      <c r="O124" s="665"/>
      <c r="P124" s="665"/>
      <c r="Q124" s="665"/>
      <c r="R124" s="665"/>
      <c r="S124" s="665"/>
      <c r="T124" s="665"/>
      <c r="U124" s="666"/>
      <c r="X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/>
      <c r="AN124" s="20"/>
      <c r="AO124" s="20"/>
      <c r="AP124" s="20"/>
      <c r="AQ124" s="20"/>
      <c r="AR124" s="20"/>
      <c r="AS124" s="20"/>
      <c r="AT124" s="20"/>
      <c r="AU124" s="20"/>
      <c r="AV124" s="20"/>
      <c r="AW124" s="20"/>
      <c r="AX124" s="20"/>
      <c r="AY124" s="20"/>
      <c r="AZ124" s="20"/>
      <c r="BA124" s="20"/>
      <c r="BB124" s="20"/>
      <c r="BC124" s="20"/>
      <c r="BD124" s="20"/>
      <c r="BE124" s="20"/>
      <c r="BF124" s="20"/>
      <c r="BG124" s="20"/>
      <c r="BH124" s="20"/>
      <c r="BI124" s="20"/>
      <c r="BJ124" s="20"/>
      <c r="BK124" s="20"/>
      <c r="BL124" s="20"/>
      <c r="BM124" s="20"/>
      <c r="BN124" s="20"/>
      <c r="BO124" s="20"/>
      <c r="BP124" s="20"/>
      <c r="BQ124" s="20"/>
      <c r="BR124" s="20"/>
      <c r="BS124" s="20"/>
      <c r="BT124" s="20"/>
      <c r="BU124" s="20"/>
      <c r="BV124" s="20"/>
      <c r="BW124" s="20"/>
      <c r="BX124" s="20"/>
      <c r="BY124" s="20"/>
      <c r="BZ124" s="20"/>
      <c r="CA124" s="20"/>
      <c r="CB124" s="20"/>
      <c r="CC124" s="20"/>
      <c r="CD124" s="20"/>
      <c r="CE124" s="20"/>
      <c r="CF124" s="20"/>
      <c r="CG124" s="20"/>
      <c r="CH124" s="20"/>
      <c r="CI124" s="20"/>
      <c r="CJ124" s="20"/>
      <c r="CK124" s="20"/>
      <c r="CL124" s="20"/>
      <c r="CM124" s="20"/>
      <c r="CN124" s="20"/>
      <c r="CO124" s="20"/>
      <c r="CP124" s="20"/>
      <c r="CQ124" s="20"/>
      <c r="CR124" s="20"/>
      <c r="CS124" s="20"/>
      <c r="CT124" s="20"/>
      <c r="CU124" s="20"/>
      <c r="CV124" s="20"/>
      <c r="CW124" s="20"/>
      <c r="CX124" s="20"/>
      <c r="CY124" s="20"/>
      <c r="CZ124" s="20"/>
      <c r="DA124" s="20"/>
      <c r="DB124" s="20"/>
      <c r="DC124" s="20"/>
      <c r="DD124" s="20"/>
      <c r="DE124" s="20"/>
      <c r="DF124" s="20"/>
      <c r="DG124" s="20"/>
      <c r="DH124" s="20"/>
      <c r="DI124" s="20"/>
      <c r="DJ124" s="20"/>
      <c r="DK124" s="20"/>
      <c r="DL124" s="20"/>
      <c r="DM124" s="20"/>
      <c r="DN124" s="20"/>
      <c r="DO124" s="20"/>
      <c r="DP124" s="20"/>
      <c r="DQ124" s="20"/>
      <c r="DR124" s="20"/>
      <c r="DS124" s="20"/>
      <c r="DT124" s="20"/>
      <c r="DU124" s="20"/>
      <c r="DV124" s="20"/>
      <c r="DW124" s="20"/>
      <c r="DX124" s="20"/>
      <c r="DY124" s="20"/>
      <c r="DZ124" s="20"/>
      <c r="EA124" s="20"/>
      <c r="EB124" s="20"/>
      <c r="EC124" s="20"/>
      <c r="ED124" s="20"/>
      <c r="EE124" s="20"/>
      <c r="EF124" s="20"/>
      <c r="EG124" s="20"/>
      <c r="EH124" s="20"/>
      <c r="EI124" s="20"/>
    </row>
    <row r="125" spans="1:139" ht="15.75" thickBot="1" x14ac:dyDescent="0.3">
      <c r="A125" s="20"/>
      <c r="B125" s="20"/>
      <c r="C125" s="20"/>
      <c r="D125" s="36"/>
      <c r="E125" s="20"/>
      <c r="F125" s="43"/>
      <c r="G125" s="20"/>
      <c r="H125" s="20"/>
      <c r="I125" s="20"/>
      <c r="J125" s="168"/>
      <c r="K125" s="20"/>
      <c r="L125" s="20"/>
      <c r="M125" s="20"/>
      <c r="N125" s="20"/>
      <c r="O125" s="20"/>
      <c r="P125" s="20"/>
      <c r="Q125" s="42"/>
      <c r="R125" s="20"/>
      <c r="S125" s="20"/>
      <c r="T125" s="20"/>
      <c r="U125" s="20"/>
      <c r="X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/>
      <c r="AN125" s="20"/>
      <c r="AO125" s="20"/>
      <c r="AP125" s="20"/>
      <c r="AQ125" s="20"/>
      <c r="AR125" s="20"/>
      <c r="AS125" s="20"/>
      <c r="AT125" s="20"/>
      <c r="AU125" s="20"/>
      <c r="AV125" s="20"/>
      <c r="AW125" s="20"/>
      <c r="AX125" s="20"/>
      <c r="AY125" s="20"/>
      <c r="AZ125" s="20"/>
      <c r="BA125" s="20"/>
      <c r="BB125" s="20"/>
      <c r="BC125" s="20"/>
      <c r="BD125" s="20"/>
      <c r="BE125" s="20"/>
      <c r="BF125" s="20"/>
      <c r="BG125" s="20"/>
      <c r="BH125" s="20"/>
      <c r="BI125" s="20"/>
      <c r="BJ125" s="20"/>
      <c r="BK125" s="20"/>
      <c r="BL125" s="20"/>
      <c r="BM125" s="20"/>
      <c r="BN125" s="20"/>
      <c r="BO125" s="20"/>
      <c r="BP125" s="20"/>
      <c r="BQ125" s="20"/>
      <c r="BR125" s="20"/>
      <c r="BS125" s="20"/>
      <c r="BT125" s="20"/>
      <c r="BU125" s="20"/>
      <c r="BV125" s="20"/>
      <c r="BW125" s="20"/>
      <c r="BX125" s="20"/>
      <c r="BY125" s="20"/>
      <c r="BZ125" s="20"/>
      <c r="CA125" s="20"/>
      <c r="CB125" s="20"/>
      <c r="CC125" s="20"/>
      <c r="CD125" s="20"/>
      <c r="CE125" s="20"/>
      <c r="CF125" s="20"/>
      <c r="CG125" s="20"/>
      <c r="CH125" s="20"/>
      <c r="CI125" s="20"/>
      <c r="CJ125" s="20"/>
      <c r="CK125" s="20"/>
      <c r="CL125" s="20"/>
      <c r="CM125" s="20"/>
      <c r="CN125" s="20"/>
      <c r="CO125" s="20"/>
      <c r="CP125" s="20"/>
      <c r="CQ125" s="20"/>
      <c r="CR125" s="20"/>
      <c r="CS125" s="20"/>
      <c r="CT125" s="20"/>
      <c r="CU125" s="20"/>
      <c r="CV125" s="20"/>
      <c r="CW125" s="20"/>
      <c r="CX125" s="20"/>
      <c r="CY125" s="20"/>
      <c r="CZ125" s="20"/>
      <c r="DA125" s="20"/>
      <c r="DB125" s="20"/>
      <c r="DC125" s="20"/>
      <c r="DD125" s="20"/>
      <c r="DE125" s="20"/>
      <c r="DF125" s="20"/>
      <c r="DG125" s="20"/>
      <c r="DH125" s="20"/>
      <c r="DI125" s="20"/>
      <c r="DJ125" s="20"/>
      <c r="DK125" s="20"/>
      <c r="DL125" s="20"/>
      <c r="DM125" s="20"/>
      <c r="DN125" s="20"/>
      <c r="DO125" s="20"/>
      <c r="DP125" s="20"/>
      <c r="DQ125" s="20"/>
      <c r="DR125" s="20"/>
      <c r="DS125" s="20"/>
      <c r="DT125" s="20"/>
      <c r="DU125" s="20"/>
      <c r="DV125" s="20"/>
      <c r="DW125" s="20"/>
      <c r="DX125" s="20"/>
      <c r="DY125" s="20"/>
      <c r="DZ125" s="20"/>
      <c r="EA125" s="20"/>
      <c r="EB125" s="20"/>
      <c r="EC125" s="20"/>
      <c r="ED125" s="20"/>
      <c r="EE125" s="20"/>
      <c r="EF125" s="20"/>
      <c r="EG125" s="20"/>
      <c r="EH125" s="20"/>
      <c r="EI125" s="20"/>
    </row>
    <row r="126" spans="1:139" ht="15.75" thickBot="1" x14ac:dyDescent="0.3">
      <c r="A126" s="20"/>
      <c r="B126" s="811" t="s">
        <v>192</v>
      </c>
      <c r="C126" s="812"/>
      <c r="D126" s="813"/>
      <c r="E126" s="585">
        <f>+E26</f>
        <v>1</v>
      </c>
      <c r="F126" s="586">
        <f t="shared" ref="F126:K126" si="53">+F26</f>
        <v>2</v>
      </c>
      <c r="G126" s="586">
        <f t="shared" si="53"/>
        <v>3</v>
      </c>
      <c r="H126" s="586">
        <f t="shared" si="53"/>
        <v>4</v>
      </c>
      <c r="I126" s="586">
        <f t="shared" si="53"/>
        <v>5</v>
      </c>
      <c r="J126" s="586">
        <f t="shared" si="53"/>
        <v>6</v>
      </c>
      <c r="K126" s="587">
        <f t="shared" si="53"/>
        <v>7</v>
      </c>
      <c r="L126" s="20"/>
      <c r="M126" s="20"/>
      <c r="N126" s="20"/>
      <c r="O126" s="20"/>
      <c r="P126" s="20"/>
      <c r="Q126" s="42"/>
      <c r="R126" s="20"/>
      <c r="S126" s="20"/>
      <c r="T126" s="20"/>
      <c r="U126" s="20"/>
      <c r="X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/>
      <c r="AN126" s="20"/>
      <c r="AO126" s="20"/>
      <c r="AP126" s="20"/>
      <c r="AQ126" s="20"/>
      <c r="AR126" s="20"/>
      <c r="AS126" s="20"/>
      <c r="AT126" s="20"/>
      <c r="AU126" s="20"/>
      <c r="AV126" s="20"/>
      <c r="AW126" s="20"/>
      <c r="AX126" s="20"/>
      <c r="AY126" s="20"/>
      <c r="AZ126" s="20"/>
      <c r="BA126" s="20"/>
      <c r="BB126" s="20"/>
      <c r="BC126" s="20"/>
      <c r="BD126" s="20"/>
      <c r="BE126" s="20"/>
      <c r="BF126" s="20"/>
      <c r="BG126" s="20"/>
      <c r="BH126" s="20"/>
      <c r="BI126" s="20"/>
      <c r="BJ126" s="20"/>
      <c r="BK126" s="20"/>
      <c r="BL126" s="20"/>
      <c r="BM126" s="20"/>
      <c r="BN126" s="20"/>
      <c r="BO126" s="20"/>
      <c r="BP126" s="20"/>
      <c r="BQ126" s="20"/>
      <c r="BR126" s="20"/>
      <c r="BS126" s="20"/>
      <c r="BT126" s="20"/>
      <c r="BU126" s="20"/>
      <c r="BV126" s="20"/>
      <c r="BW126" s="20"/>
      <c r="BX126" s="20"/>
      <c r="BY126" s="20"/>
      <c r="BZ126" s="20"/>
      <c r="CA126" s="20"/>
      <c r="CB126" s="20"/>
      <c r="CC126" s="20"/>
      <c r="CD126" s="20"/>
      <c r="CE126" s="20"/>
      <c r="CF126" s="20"/>
      <c r="CG126" s="20"/>
      <c r="CH126" s="20"/>
      <c r="CI126" s="20"/>
      <c r="CJ126" s="20"/>
      <c r="CK126" s="20"/>
      <c r="CL126" s="20"/>
      <c r="CM126" s="20"/>
      <c r="CN126" s="20"/>
      <c r="CO126" s="20"/>
      <c r="CP126" s="20"/>
      <c r="CQ126" s="20"/>
      <c r="CR126" s="20"/>
      <c r="CS126" s="20"/>
      <c r="CT126" s="20"/>
      <c r="CU126" s="20"/>
      <c r="CV126" s="20"/>
      <c r="CW126" s="20"/>
      <c r="CX126" s="20"/>
      <c r="CY126" s="20"/>
      <c r="CZ126" s="20"/>
      <c r="DA126" s="20"/>
      <c r="DB126" s="20"/>
      <c r="DC126" s="20"/>
      <c r="DD126" s="20"/>
      <c r="DE126" s="20"/>
      <c r="DF126" s="20"/>
      <c r="DG126" s="20"/>
      <c r="DH126" s="20"/>
      <c r="DI126" s="20"/>
      <c r="DJ126" s="20"/>
      <c r="DK126" s="20"/>
      <c r="DL126" s="20"/>
      <c r="DM126" s="20"/>
      <c r="DN126" s="20"/>
      <c r="DO126" s="20"/>
      <c r="DP126" s="20"/>
      <c r="DQ126" s="20"/>
      <c r="DR126" s="20"/>
      <c r="DS126" s="20"/>
      <c r="DT126" s="20"/>
      <c r="DU126" s="20"/>
      <c r="DV126" s="20"/>
      <c r="DW126" s="20"/>
      <c r="DX126" s="20"/>
      <c r="DY126" s="20"/>
      <c r="DZ126" s="20"/>
      <c r="EA126" s="20"/>
      <c r="EB126" s="20"/>
      <c r="EC126" s="20"/>
      <c r="ED126" s="20"/>
      <c r="EE126" s="20"/>
      <c r="EF126" s="20"/>
      <c r="EG126" s="20"/>
      <c r="EH126" s="20"/>
      <c r="EI126" s="20"/>
    </row>
    <row r="127" spans="1:139" x14ac:dyDescent="0.25">
      <c r="A127" s="20"/>
      <c r="B127" s="94" t="s">
        <v>194</v>
      </c>
      <c r="C127" s="95" t="s">
        <v>195</v>
      </c>
      <c r="D127" s="96" t="s">
        <v>13</v>
      </c>
      <c r="E127" s="540">
        <f>+E120</f>
        <v>907.41871736999656</v>
      </c>
      <c r="F127" s="531">
        <f>+F120</f>
        <v>838.56614743958289</v>
      </c>
      <c r="G127" s="530">
        <f>+G120</f>
        <v>803.19004178073203</v>
      </c>
      <c r="H127" s="530">
        <f>+H120</f>
        <v>784.25988409856427</v>
      </c>
      <c r="I127" s="530">
        <f>+I120</f>
        <v>691.53076525539552</v>
      </c>
      <c r="J127" s="530">
        <f t="shared" ref="J127:K127" si="54">+J120</f>
        <v>552.59523604551418</v>
      </c>
      <c r="K127" s="541">
        <f t="shared" si="54"/>
        <v>480.7202121587801</v>
      </c>
      <c r="L127" s="20"/>
      <c r="M127" s="20"/>
      <c r="N127" s="20"/>
      <c r="O127" s="20"/>
      <c r="P127" s="20"/>
      <c r="Q127" s="42"/>
      <c r="R127" s="20"/>
      <c r="S127" s="20"/>
      <c r="T127" s="20"/>
      <c r="U127" s="20"/>
      <c r="X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  <c r="AQ127" s="20"/>
      <c r="AR127" s="20"/>
      <c r="AS127" s="20"/>
      <c r="AT127" s="20"/>
      <c r="AU127" s="20"/>
      <c r="AV127" s="20"/>
      <c r="AW127" s="20"/>
      <c r="AX127" s="20"/>
      <c r="AY127" s="20"/>
      <c r="AZ127" s="20"/>
      <c r="BA127" s="20"/>
      <c r="BB127" s="20"/>
      <c r="BC127" s="20"/>
      <c r="BD127" s="20"/>
      <c r="BE127" s="20"/>
      <c r="BF127" s="20"/>
      <c r="BG127" s="20"/>
      <c r="BH127" s="20"/>
      <c r="BI127" s="20"/>
      <c r="BJ127" s="20"/>
      <c r="BK127" s="20"/>
      <c r="BL127" s="20"/>
      <c r="BM127" s="20"/>
      <c r="BN127" s="20"/>
      <c r="BO127" s="20"/>
      <c r="BP127" s="20"/>
      <c r="BQ127" s="20"/>
      <c r="BR127" s="20"/>
      <c r="BS127" s="20"/>
      <c r="BT127" s="20"/>
      <c r="BU127" s="20"/>
      <c r="BV127" s="20"/>
      <c r="BW127" s="20"/>
      <c r="BX127" s="20"/>
      <c r="BY127" s="20"/>
      <c r="BZ127" s="20"/>
      <c r="CA127" s="20"/>
      <c r="CB127" s="20"/>
      <c r="CC127" s="20"/>
      <c r="CD127" s="20"/>
      <c r="CE127" s="20"/>
      <c r="CF127" s="20"/>
      <c r="CG127" s="20"/>
      <c r="CH127" s="20"/>
      <c r="CI127" s="20"/>
      <c r="CJ127" s="20"/>
      <c r="CK127" s="20"/>
      <c r="CL127" s="20"/>
      <c r="CM127" s="20"/>
      <c r="CN127" s="20"/>
      <c r="CO127" s="20"/>
      <c r="CP127" s="20"/>
      <c r="CQ127" s="20"/>
      <c r="CR127" s="20"/>
      <c r="CS127" s="20"/>
      <c r="CT127" s="20"/>
      <c r="CU127" s="20"/>
      <c r="CV127" s="20"/>
      <c r="CW127" s="20"/>
      <c r="CX127" s="20"/>
      <c r="CY127" s="20"/>
      <c r="CZ127" s="20"/>
      <c r="DA127" s="20"/>
      <c r="DB127" s="20"/>
      <c r="DC127" s="20"/>
      <c r="DD127" s="20"/>
      <c r="DE127" s="20"/>
      <c r="DF127" s="20"/>
      <c r="DG127" s="20"/>
      <c r="DH127" s="20"/>
      <c r="DI127" s="20"/>
      <c r="DJ127" s="20"/>
      <c r="DK127" s="20"/>
      <c r="DL127" s="20"/>
      <c r="DM127" s="20"/>
      <c r="DN127" s="20"/>
      <c r="DO127" s="20"/>
      <c r="DP127" s="20"/>
      <c r="DQ127" s="20"/>
      <c r="DR127" s="20"/>
      <c r="DS127" s="20"/>
      <c r="DT127" s="20"/>
      <c r="DU127" s="20"/>
      <c r="DV127" s="20"/>
      <c r="DW127" s="20"/>
      <c r="DX127" s="20"/>
      <c r="DY127" s="20"/>
      <c r="DZ127" s="20"/>
      <c r="EA127" s="20"/>
      <c r="EB127" s="20"/>
      <c r="EC127" s="20"/>
      <c r="ED127" s="20"/>
      <c r="EE127" s="20"/>
      <c r="EF127" s="20"/>
      <c r="EG127" s="20"/>
      <c r="EH127" s="20"/>
      <c r="EI127" s="20"/>
    </row>
    <row r="128" spans="1:139" x14ac:dyDescent="0.25">
      <c r="A128" s="24"/>
      <c r="B128" s="97" t="s">
        <v>196</v>
      </c>
      <c r="C128" s="98" t="s">
        <v>112</v>
      </c>
      <c r="D128" s="99" t="s">
        <v>197</v>
      </c>
      <c r="E128" s="34">
        <f>+D21/760</f>
        <v>0.88428170172353593</v>
      </c>
      <c r="F128" s="153">
        <f>E128</f>
        <v>0.88428170172353593</v>
      </c>
      <c r="G128" s="32">
        <f t="shared" ref="G128:K128" si="55">F128</f>
        <v>0.88428170172353593</v>
      </c>
      <c r="H128" s="32">
        <f t="shared" si="55"/>
        <v>0.88428170172353593</v>
      </c>
      <c r="I128" s="32">
        <f t="shared" si="55"/>
        <v>0.88428170172353593</v>
      </c>
      <c r="J128" s="32">
        <f t="shared" si="55"/>
        <v>0.88428170172353593</v>
      </c>
      <c r="K128" s="33">
        <f t="shared" si="55"/>
        <v>0.88428170172353593</v>
      </c>
      <c r="L128" s="20"/>
      <c r="M128" s="20"/>
      <c r="N128" s="20"/>
      <c r="O128" s="20"/>
      <c r="P128" s="20"/>
      <c r="Q128" s="42"/>
      <c r="R128" s="20"/>
      <c r="S128" s="20"/>
      <c r="T128" s="20"/>
      <c r="U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/>
      <c r="AN128" s="20"/>
      <c r="AO128" s="20"/>
      <c r="AP128" s="20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  <c r="BA128" s="20"/>
      <c r="BB128" s="20"/>
      <c r="BC128" s="20"/>
      <c r="BD128" s="20"/>
      <c r="BE128" s="20"/>
      <c r="BF128" s="20"/>
      <c r="BG128" s="20"/>
      <c r="BH128" s="20"/>
      <c r="BI128" s="20"/>
      <c r="BJ128" s="20"/>
      <c r="BK128" s="20"/>
      <c r="BL128" s="20"/>
      <c r="BM128" s="20"/>
      <c r="BN128" s="20"/>
      <c r="BO128" s="20"/>
      <c r="BP128" s="20"/>
      <c r="BQ128" s="20"/>
      <c r="BR128" s="20"/>
      <c r="BS128" s="20"/>
      <c r="BT128" s="20"/>
      <c r="BU128" s="20"/>
      <c r="BV128" s="20"/>
      <c r="BW128" s="20"/>
      <c r="BX128" s="20"/>
      <c r="BY128" s="20"/>
      <c r="BZ128" s="20"/>
      <c r="CA128" s="20"/>
      <c r="CB128" s="20"/>
      <c r="CC128" s="20"/>
      <c r="CD128" s="20"/>
      <c r="CE128" s="20"/>
      <c r="CF128" s="20"/>
      <c r="CG128" s="20"/>
      <c r="CH128" s="20"/>
      <c r="CI128" s="20"/>
      <c r="CJ128" s="20"/>
      <c r="CK128" s="20"/>
      <c r="CL128" s="20"/>
      <c r="CM128" s="20"/>
      <c r="CN128" s="20"/>
      <c r="CO128" s="20"/>
      <c r="CP128" s="20"/>
      <c r="CQ128" s="20"/>
      <c r="CR128" s="20"/>
      <c r="CS128" s="20"/>
      <c r="CT128" s="20"/>
      <c r="CU128" s="20"/>
      <c r="CV128" s="20"/>
      <c r="CW128" s="20"/>
      <c r="CX128" s="20"/>
      <c r="CY128" s="20"/>
      <c r="CZ128" s="20"/>
      <c r="DA128" s="20"/>
      <c r="DB128" s="20"/>
      <c r="DC128" s="20"/>
      <c r="DD128" s="20"/>
      <c r="DE128" s="20"/>
      <c r="DF128" s="20"/>
      <c r="DG128" s="20"/>
      <c r="DH128" s="20"/>
      <c r="DI128" s="20"/>
      <c r="DJ128" s="20"/>
      <c r="DK128" s="20"/>
      <c r="DL128" s="20"/>
      <c r="DM128" s="20"/>
      <c r="DN128" s="20"/>
      <c r="DO128" s="20"/>
      <c r="DP128" s="20"/>
      <c r="DQ128" s="20"/>
      <c r="DR128" s="20"/>
      <c r="DS128" s="20"/>
      <c r="DT128" s="20"/>
      <c r="DU128" s="20"/>
      <c r="DV128" s="20"/>
      <c r="DW128" s="20"/>
      <c r="DX128" s="20"/>
      <c r="DY128" s="20"/>
      <c r="DZ128" s="20"/>
      <c r="EA128" s="20"/>
      <c r="EB128" s="20"/>
      <c r="EC128" s="20"/>
      <c r="ED128" s="20"/>
      <c r="EE128" s="20"/>
      <c r="EF128" s="20"/>
      <c r="EG128" s="20"/>
      <c r="EH128" s="20"/>
      <c r="EI128" s="20"/>
    </row>
    <row r="129" spans="1:139" x14ac:dyDescent="0.25">
      <c r="A129" s="24"/>
      <c r="B129" s="97" t="s">
        <v>198</v>
      </c>
      <c r="C129" s="98" t="s">
        <v>199</v>
      </c>
      <c r="D129" s="99" t="s">
        <v>200</v>
      </c>
      <c r="E129" s="34">
        <f t="shared" ref="E129:K129" si="56">+cp(E127,$K$102,$K$101,$K$105,$K$104,$K$103)</f>
        <v>1.3666061891717372</v>
      </c>
      <c r="F129" s="153">
        <f t="shared" si="56"/>
        <v>1.350282198543999</v>
      </c>
      <c r="G129" s="32">
        <f t="shared" si="56"/>
        <v>1.3415420161167706</v>
      </c>
      <c r="H129" s="32">
        <f t="shared" si="56"/>
        <v>1.3367641964108519</v>
      </c>
      <c r="I129" s="32">
        <f t="shared" si="56"/>
        <v>1.3123734715831952</v>
      </c>
      <c r="J129" s="32">
        <f t="shared" si="56"/>
        <v>1.270247159615806</v>
      </c>
      <c r="K129" s="33">
        <f t="shared" si="56"/>
        <v>1.246672269837805</v>
      </c>
      <c r="L129" s="20"/>
      <c r="M129" s="20"/>
      <c r="N129" s="20"/>
      <c r="O129" s="20"/>
      <c r="P129" s="20"/>
      <c r="Q129" s="42"/>
      <c r="R129" s="20"/>
      <c r="S129" s="20"/>
      <c r="T129" s="20"/>
      <c r="U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/>
      <c r="AN129" s="20"/>
      <c r="AO129" s="20"/>
      <c r="AP129" s="20"/>
      <c r="AQ129" s="20"/>
      <c r="AR129" s="20"/>
      <c r="AS129" s="20"/>
      <c r="AT129" s="20"/>
      <c r="AU129" s="20"/>
      <c r="AV129" s="20"/>
      <c r="AW129" s="20"/>
      <c r="AX129" s="20"/>
      <c r="AY129" s="20"/>
      <c r="AZ129" s="20"/>
      <c r="BA129" s="20"/>
      <c r="BB129" s="20"/>
      <c r="BC129" s="20"/>
      <c r="BD129" s="20"/>
      <c r="BE129" s="20"/>
      <c r="BF129" s="20"/>
      <c r="BG129" s="20"/>
      <c r="BH129" s="20"/>
      <c r="BI129" s="20"/>
      <c r="BJ129" s="20"/>
      <c r="BK129" s="20"/>
      <c r="BL129" s="20"/>
      <c r="BM129" s="20"/>
      <c r="BN129" s="20"/>
      <c r="BO129" s="20"/>
      <c r="BP129" s="20"/>
      <c r="BQ129" s="20"/>
      <c r="BR129" s="20"/>
      <c r="BS129" s="20"/>
      <c r="BT129" s="20"/>
      <c r="BU129" s="20"/>
      <c r="BV129" s="20"/>
      <c r="BW129" s="20"/>
      <c r="BX129" s="20"/>
      <c r="BY129" s="20"/>
      <c r="BZ129" s="20"/>
      <c r="CA129" s="20"/>
      <c r="CB129" s="20"/>
      <c r="CC129" s="20"/>
      <c r="CD129" s="20"/>
      <c r="CE129" s="20"/>
      <c r="CF129" s="20"/>
      <c r="CG129" s="20"/>
      <c r="CH129" s="20"/>
      <c r="CI129" s="20"/>
      <c r="CJ129" s="20"/>
      <c r="CK129" s="20"/>
      <c r="CL129" s="20"/>
      <c r="CM129" s="20"/>
      <c r="CN129" s="20"/>
      <c r="CO129" s="20"/>
      <c r="CP129" s="20"/>
      <c r="CQ129" s="20"/>
      <c r="CR129" s="20"/>
      <c r="CS129" s="20"/>
      <c r="CT129" s="20"/>
      <c r="CU129" s="20"/>
      <c r="CV129" s="20"/>
      <c r="CW129" s="20"/>
      <c r="CX129" s="20"/>
      <c r="CY129" s="20"/>
      <c r="CZ129" s="20"/>
      <c r="DA129" s="20"/>
      <c r="DB129" s="20"/>
      <c r="DC129" s="20"/>
      <c r="DD129" s="20"/>
      <c r="DE129" s="20"/>
      <c r="DF129" s="20"/>
      <c r="DG129" s="20"/>
      <c r="DH129" s="20"/>
      <c r="DI129" s="20"/>
      <c r="DJ129" s="20"/>
      <c r="DK129" s="20"/>
      <c r="DL129" s="20"/>
      <c r="DM129" s="20"/>
      <c r="DN129" s="20"/>
      <c r="DO129" s="20"/>
      <c r="DP129" s="20"/>
      <c r="DQ129" s="20"/>
      <c r="DR129" s="20"/>
      <c r="DS129" s="20"/>
      <c r="DT129" s="20"/>
      <c r="DU129" s="20"/>
      <c r="DV129" s="20"/>
      <c r="DW129" s="20"/>
      <c r="DX129" s="20"/>
      <c r="DY129" s="20"/>
      <c r="DZ129" s="20"/>
      <c r="EA129" s="20"/>
      <c r="EB129" s="20"/>
      <c r="EC129" s="20"/>
      <c r="ED129" s="20"/>
      <c r="EE129" s="20"/>
      <c r="EF129" s="20"/>
      <c r="EG129" s="20"/>
      <c r="EH129" s="20"/>
      <c r="EI129" s="20"/>
    </row>
    <row r="130" spans="1:139" x14ac:dyDescent="0.25">
      <c r="A130" s="24"/>
      <c r="B130" s="97" t="s">
        <v>201</v>
      </c>
      <c r="C130" s="100" t="s">
        <v>202</v>
      </c>
      <c r="D130" s="99" t="s">
        <v>203</v>
      </c>
      <c r="E130" s="34">
        <f t="shared" ref="E130:K130" si="57">+Densidad_kgm3($K$102,$K$101,$K$105,$K$104,$K$103,E128*101.325,E127)</f>
        <v>0.25165710264653623</v>
      </c>
      <c r="F130" s="153">
        <f t="shared" si="57"/>
        <v>0.26724312997766991</v>
      </c>
      <c r="G130" s="32">
        <f t="shared" si="57"/>
        <v>0.27602661924287558</v>
      </c>
      <c r="H130" s="32">
        <f t="shared" si="57"/>
        <v>0.28096815374649692</v>
      </c>
      <c r="I130" s="32">
        <f t="shared" si="57"/>
        <v>0.30797597877865346</v>
      </c>
      <c r="J130" s="32">
        <f t="shared" si="57"/>
        <v>0.35979438926135704</v>
      </c>
      <c r="K130" s="33">
        <f t="shared" si="57"/>
        <v>0.39409768166552256</v>
      </c>
      <c r="L130" s="20"/>
      <c r="M130" s="20"/>
      <c r="N130" s="20"/>
      <c r="O130" s="20"/>
      <c r="P130" s="20"/>
      <c r="Q130" s="42"/>
      <c r="R130" s="20"/>
      <c r="S130" s="20"/>
      <c r="T130" s="20"/>
      <c r="U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/>
      <c r="AN130" s="20"/>
      <c r="AO130" s="20"/>
      <c r="AP130" s="2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  <c r="BB130" s="20"/>
      <c r="BC130" s="20"/>
      <c r="BD130" s="20"/>
      <c r="BE130" s="20"/>
      <c r="BF130" s="20"/>
      <c r="BG130" s="20"/>
      <c r="BH130" s="20"/>
      <c r="BI130" s="20"/>
      <c r="BJ130" s="20"/>
      <c r="BK130" s="20"/>
      <c r="BL130" s="20"/>
      <c r="BM130" s="20"/>
      <c r="BN130" s="20"/>
      <c r="BO130" s="20"/>
      <c r="BP130" s="20"/>
      <c r="BQ130" s="20"/>
      <c r="BR130" s="20"/>
      <c r="BS130" s="20"/>
      <c r="BT130" s="20"/>
      <c r="BU130" s="20"/>
      <c r="BV130" s="20"/>
      <c r="BW130" s="20"/>
      <c r="BX130" s="20"/>
      <c r="BY130" s="20"/>
      <c r="BZ130" s="20"/>
      <c r="CA130" s="20"/>
      <c r="CB130" s="20"/>
      <c r="CC130" s="20"/>
      <c r="CD130" s="20"/>
      <c r="CE130" s="20"/>
      <c r="CF130" s="20"/>
      <c r="CG130" s="20"/>
      <c r="CH130" s="20"/>
      <c r="CI130" s="20"/>
      <c r="CJ130" s="20"/>
      <c r="CK130" s="20"/>
      <c r="CL130" s="20"/>
      <c r="CM130" s="20"/>
      <c r="CN130" s="20"/>
      <c r="CO130" s="20"/>
      <c r="CP130" s="20"/>
      <c r="CQ130" s="20"/>
      <c r="CR130" s="20"/>
      <c r="CS130" s="20"/>
      <c r="CT130" s="20"/>
      <c r="CU130" s="20"/>
      <c r="CV130" s="20"/>
      <c r="CW130" s="20"/>
      <c r="CX130" s="20"/>
      <c r="CY130" s="20"/>
      <c r="CZ130" s="20"/>
      <c r="DA130" s="20"/>
      <c r="DB130" s="20"/>
      <c r="DC130" s="20"/>
      <c r="DD130" s="20"/>
      <c r="DE130" s="20"/>
      <c r="DF130" s="20"/>
      <c r="DG130" s="20"/>
      <c r="DH130" s="20"/>
      <c r="DI130" s="20"/>
      <c r="DJ130" s="20"/>
      <c r="DK130" s="20"/>
      <c r="DL130" s="20"/>
      <c r="DM130" s="20"/>
      <c r="DN130" s="20"/>
      <c r="DO130" s="20"/>
      <c r="DP130" s="20"/>
      <c r="DQ130" s="20"/>
      <c r="DR130" s="20"/>
      <c r="DS130" s="20"/>
      <c r="DT130" s="20"/>
      <c r="DU130" s="20"/>
      <c r="DV130" s="20"/>
      <c r="DW130" s="20"/>
      <c r="DX130" s="20"/>
      <c r="DY130" s="20"/>
      <c r="DZ130" s="20"/>
      <c r="EA130" s="20"/>
      <c r="EB130" s="20"/>
      <c r="EC130" s="20"/>
      <c r="ED130" s="20"/>
      <c r="EE130" s="20"/>
      <c r="EF130" s="20"/>
      <c r="EG130" s="20"/>
      <c r="EH130" s="20"/>
      <c r="EI130" s="20"/>
    </row>
    <row r="131" spans="1:139" x14ac:dyDescent="0.25">
      <c r="A131" s="24"/>
      <c r="B131" s="97" t="s">
        <v>204</v>
      </c>
      <c r="C131" s="100" t="s">
        <v>205</v>
      </c>
      <c r="D131" s="99" t="s">
        <v>206</v>
      </c>
      <c r="E131" s="101">
        <f>0.0000175+0.0000000335*E127</f>
        <v>4.7898527031894886E-5</v>
      </c>
      <c r="F131" s="154">
        <f t="shared" ref="F131:K131" si="58">0.0000175+0.0000000335*F127</f>
        <v>4.559196593922603E-5</v>
      </c>
      <c r="G131" s="102">
        <f t="shared" si="58"/>
        <v>4.4406866399654522E-5</v>
      </c>
      <c r="H131" s="102">
        <f t="shared" si="58"/>
        <v>4.3772706117301905E-5</v>
      </c>
      <c r="I131" s="102">
        <f t="shared" si="58"/>
        <v>4.0666280636055749E-5</v>
      </c>
      <c r="J131" s="102">
        <f t="shared" si="58"/>
        <v>3.6011940407524725E-5</v>
      </c>
      <c r="K131" s="103">
        <f t="shared" si="58"/>
        <v>3.3604127107319135E-5</v>
      </c>
      <c r="L131" s="20"/>
      <c r="M131" s="20"/>
      <c r="N131" s="20"/>
      <c r="O131" s="20"/>
      <c r="P131" s="20"/>
      <c r="Q131" s="42"/>
      <c r="R131" s="20"/>
      <c r="S131" s="20"/>
      <c r="T131" s="20"/>
      <c r="U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  <c r="AM131" s="20"/>
      <c r="AN131" s="20"/>
      <c r="AO131" s="20"/>
      <c r="AP131" s="20"/>
      <c r="AQ131" s="20"/>
      <c r="AR131" s="20"/>
      <c r="AS131" s="20"/>
      <c r="AT131" s="20"/>
      <c r="AU131" s="20"/>
      <c r="AV131" s="20"/>
      <c r="AW131" s="20"/>
      <c r="AX131" s="20"/>
      <c r="AY131" s="20"/>
      <c r="AZ131" s="20"/>
      <c r="BA131" s="20"/>
      <c r="BB131" s="20"/>
      <c r="BC131" s="20"/>
      <c r="BD131" s="20"/>
      <c r="BE131" s="20"/>
      <c r="BF131" s="20"/>
      <c r="BG131" s="20"/>
      <c r="BH131" s="20"/>
      <c r="BI131" s="20"/>
      <c r="BJ131" s="20"/>
      <c r="BK131" s="20"/>
      <c r="BL131" s="20"/>
      <c r="BM131" s="20"/>
      <c r="BN131" s="20"/>
      <c r="BO131" s="20"/>
      <c r="BP131" s="20"/>
      <c r="BQ131" s="20"/>
      <c r="BR131" s="20"/>
      <c r="BS131" s="20"/>
      <c r="BT131" s="20"/>
      <c r="BU131" s="20"/>
      <c r="BV131" s="20"/>
      <c r="BW131" s="20"/>
      <c r="BX131" s="20"/>
      <c r="BY131" s="20"/>
      <c r="BZ131" s="20"/>
      <c r="CA131" s="20"/>
      <c r="CB131" s="20"/>
      <c r="CC131" s="20"/>
      <c r="CD131" s="20"/>
      <c r="CE131" s="20"/>
      <c r="CF131" s="20"/>
      <c r="CG131" s="20"/>
      <c r="CH131" s="20"/>
      <c r="CI131" s="20"/>
      <c r="CJ131" s="20"/>
      <c r="CK131" s="20"/>
      <c r="CL131" s="20"/>
      <c r="CM131" s="20"/>
      <c r="CN131" s="20"/>
      <c r="CO131" s="20"/>
      <c r="CP131" s="20"/>
      <c r="CQ131" s="20"/>
      <c r="CR131" s="20"/>
      <c r="CS131" s="20"/>
      <c r="CT131" s="20"/>
      <c r="CU131" s="20"/>
      <c r="CV131" s="20"/>
      <c r="CW131" s="20"/>
      <c r="CX131" s="20"/>
      <c r="CY131" s="20"/>
      <c r="CZ131" s="20"/>
      <c r="DA131" s="20"/>
      <c r="DB131" s="20"/>
      <c r="DC131" s="20"/>
      <c r="DD131" s="20"/>
      <c r="DE131" s="20"/>
      <c r="DF131" s="20"/>
      <c r="DG131" s="20"/>
      <c r="DH131" s="20"/>
      <c r="DI131" s="20"/>
      <c r="DJ131" s="20"/>
      <c r="DK131" s="20"/>
      <c r="DL131" s="20"/>
      <c r="DM131" s="20"/>
      <c r="DN131" s="20"/>
      <c r="DO131" s="20"/>
      <c r="DP131" s="20"/>
      <c r="DQ131" s="20"/>
      <c r="DR131" s="20"/>
      <c r="DS131" s="20"/>
      <c r="DT131" s="20"/>
      <c r="DU131" s="20"/>
      <c r="DV131" s="20"/>
      <c r="DW131" s="20"/>
      <c r="DX131" s="20"/>
      <c r="DY131" s="20"/>
      <c r="DZ131" s="20"/>
      <c r="EA131" s="20"/>
      <c r="EB131" s="20"/>
      <c r="EC131" s="20"/>
      <c r="ED131" s="20"/>
      <c r="EE131" s="20"/>
      <c r="EF131" s="20"/>
      <c r="EG131" s="20"/>
      <c r="EH131" s="20"/>
      <c r="EI131" s="20"/>
    </row>
    <row r="132" spans="1:139" x14ac:dyDescent="0.25">
      <c r="A132" s="24"/>
      <c r="B132" s="97" t="s">
        <v>207</v>
      </c>
      <c r="C132" s="100" t="s">
        <v>150</v>
      </c>
      <c r="D132" s="99" t="s">
        <v>208</v>
      </c>
      <c r="E132" s="101">
        <f>(0.0229+0.0000647*E127)/1000</f>
        <v>8.1609991013838779E-5</v>
      </c>
      <c r="F132" s="154">
        <f t="shared" ref="F132:K132" si="59">(0.0229+0.0000647*F127)/1000</f>
        <v>7.7155229739341011E-5</v>
      </c>
      <c r="G132" s="102">
        <f t="shared" si="59"/>
        <v>7.4866395703213372E-5</v>
      </c>
      <c r="H132" s="102">
        <f t="shared" si="59"/>
        <v>7.3641614501177111E-5</v>
      </c>
      <c r="I132" s="102">
        <f t="shared" si="59"/>
        <v>6.7642040512024088E-5</v>
      </c>
      <c r="J132" s="102">
        <f t="shared" si="59"/>
        <v>5.8652911772144764E-5</v>
      </c>
      <c r="K132" s="103">
        <f t="shared" si="59"/>
        <v>5.4002597726673071E-5</v>
      </c>
      <c r="L132" s="20"/>
      <c r="M132" s="20"/>
      <c r="N132" s="20"/>
      <c r="O132" s="20"/>
      <c r="P132" s="20"/>
      <c r="Q132" s="42"/>
      <c r="R132" s="20"/>
      <c r="S132" s="20"/>
      <c r="T132" s="20"/>
      <c r="U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20"/>
      <c r="AM132" s="20"/>
      <c r="AN132" s="20"/>
      <c r="AO132" s="20"/>
      <c r="AP132" s="20"/>
      <c r="AQ132" s="20"/>
      <c r="AR132" s="20"/>
      <c r="AS132" s="20"/>
      <c r="AT132" s="20"/>
      <c r="AU132" s="20"/>
      <c r="AV132" s="20"/>
      <c r="AW132" s="20"/>
      <c r="AX132" s="20"/>
      <c r="AY132" s="20"/>
      <c r="AZ132" s="20"/>
      <c r="BA132" s="20"/>
      <c r="BB132" s="20"/>
      <c r="BC132" s="20"/>
      <c r="BD132" s="20"/>
      <c r="BE132" s="20"/>
      <c r="BF132" s="20"/>
      <c r="BG132" s="20"/>
      <c r="BH132" s="20"/>
      <c r="BI132" s="20"/>
      <c r="BJ132" s="20"/>
      <c r="BK132" s="20"/>
      <c r="BL132" s="20"/>
      <c r="BM132" s="20"/>
      <c r="BN132" s="20"/>
      <c r="BO132" s="20"/>
      <c r="BP132" s="20"/>
      <c r="BQ132" s="20"/>
      <c r="BR132" s="20"/>
      <c r="BS132" s="20"/>
      <c r="BT132" s="20"/>
      <c r="BU132" s="20"/>
      <c r="BV132" s="20"/>
      <c r="BW132" s="20"/>
      <c r="BX132" s="20"/>
      <c r="BY132" s="20"/>
      <c r="BZ132" s="20"/>
      <c r="CA132" s="20"/>
      <c r="CB132" s="20"/>
      <c r="CC132" s="20"/>
      <c r="CD132" s="20"/>
      <c r="CE132" s="20"/>
      <c r="CF132" s="20"/>
      <c r="CG132" s="20"/>
      <c r="CH132" s="20"/>
      <c r="CI132" s="20"/>
      <c r="CJ132" s="20"/>
      <c r="CK132" s="20"/>
      <c r="CL132" s="20"/>
      <c r="CM132" s="20"/>
      <c r="CN132" s="20"/>
      <c r="CO132" s="20"/>
      <c r="CP132" s="20"/>
      <c r="CQ132" s="20"/>
      <c r="CR132" s="20"/>
      <c r="CS132" s="20"/>
      <c r="CT132" s="20"/>
      <c r="CU132" s="20"/>
      <c r="CV132" s="20"/>
      <c r="CW132" s="20"/>
      <c r="CX132" s="20"/>
      <c r="CY132" s="20"/>
      <c r="CZ132" s="20"/>
      <c r="DA132" s="20"/>
      <c r="DB132" s="20"/>
      <c r="DC132" s="20"/>
      <c r="DD132" s="20"/>
      <c r="DE132" s="20"/>
      <c r="DF132" s="20"/>
      <c r="DG132" s="20"/>
      <c r="DH132" s="20"/>
      <c r="DI132" s="20"/>
      <c r="DJ132" s="20"/>
      <c r="DK132" s="20"/>
      <c r="DL132" s="20"/>
      <c r="DM132" s="20"/>
      <c r="DN132" s="20"/>
      <c r="DO132" s="20"/>
      <c r="DP132" s="20"/>
      <c r="DQ132" s="20"/>
      <c r="DR132" s="20"/>
      <c r="DS132" s="20"/>
      <c r="DT132" s="20"/>
      <c r="DU132" s="20"/>
      <c r="DV132" s="20"/>
      <c r="DW132" s="20"/>
      <c r="DX132" s="20"/>
      <c r="DY132" s="20"/>
      <c r="DZ132" s="20"/>
      <c r="EA132" s="20"/>
      <c r="EB132" s="20"/>
      <c r="EC132" s="20"/>
      <c r="ED132" s="20"/>
      <c r="EE132" s="20"/>
      <c r="EF132" s="20"/>
      <c r="EG132" s="20"/>
      <c r="EH132" s="20"/>
      <c r="EI132" s="20"/>
    </row>
    <row r="133" spans="1:139" x14ac:dyDescent="0.25">
      <c r="A133" s="24"/>
      <c r="B133" s="97" t="s">
        <v>109</v>
      </c>
      <c r="C133" s="100" t="s">
        <v>110</v>
      </c>
      <c r="D133" s="99" t="s">
        <v>28</v>
      </c>
      <c r="E133" s="34">
        <f>+E61</f>
        <v>1.456</v>
      </c>
      <c r="F133" s="32">
        <f t="shared" ref="F133:K134" si="60">+F61</f>
        <v>1.1499999999999999</v>
      </c>
      <c r="G133" s="32">
        <f t="shared" si="60"/>
        <v>0.86899999999999999</v>
      </c>
      <c r="H133" s="32">
        <f t="shared" si="60"/>
        <v>0.82399999999999995</v>
      </c>
      <c r="I133" s="32">
        <f t="shared" si="60"/>
        <v>0.627</v>
      </c>
      <c r="J133" s="32">
        <f t="shared" si="60"/>
        <v>0.49199999999999999</v>
      </c>
      <c r="K133" s="33">
        <f t="shared" si="60"/>
        <v>0.49199999999999999</v>
      </c>
      <c r="L133" s="20"/>
      <c r="M133" s="20"/>
      <c r="N133" s="20"/>
      <c r="O133" s="20"/>
      <c r="P133" s="20"/>
      <c r="Q133" s="42"/>
      <c r="R133" s="20"/>
      <c r="S133" s="20"/>
      <c r="T133" s="20"/>
      <c r="U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  <c r="AM133" s="20"/>
      <c r="AN133" s="20"/>
      <c r="AO133" s="20"/>
      <c r="AP133" s="20"/>
      <c r="AQ133" s="20"/>
      <c r="AR133" s="20"/>
      <c r="AS133" s="20"/>
      <c r="AT133" s="20"/>
      <c r="AU133" s="20"/>
      <c r="AV133" s="20"/>
      <c r="AW133" s="20"/>
      <c r="AX133" s="20"/>
      <c r="AY133" s="20"/>
      <c r="AZ133" s="20"/>
      <c r="BA133" s="20"/>
      <c r="BB133" s="20"/>
      <c r="BC133" s="20"/>
      <c r="BD133" s="20"/>
      <c r="BE133" s="20"/>
      <c r="BF133" s="20"/>
      <c r="BG133" s="20"/>
      <c r="BH133" s="20"/>
      <c r="BI133" s="20"/>
      <c r="BJ133" s="20"/>
      <c r="BK133" s="20"/>
      <c r="BL133" s="20"/>
      <c r="BM133" s="20"/>
      <c r="BN133" s="20"/>
      <c r="BO133" s="20"/>
      <c r="BP133" s="20"/>
      <c r="BQ133" s="20"/>
      <c r="BR133" s="20"/>
      <c r="BS133" s="20"/>
      <c r="BT133" s="20"/>
      <c r="BU133" s="20"/>
      <c r="BV133" s="20"/>
      <c r="BW133" s="20"/>
      <c r="BX133" s="20"/>
      <c r="BY133" s="20"/>
      <c r="BZ133" s="20"/>
      <c r="CA133" s="20"/>
      <c r="CB133" s="20"/>
      <c r="CC133" s="20"/>
      <c r="CD133" s="20"/>
      <c r="CE133" s="20"/>
      <c r="CF133" s="20"/>
      <c r="CG133" s="20"/>
      <c r="CH133" s="20"/>
      <c r="CI133" s="20"/>
      <c r="CJ133" s="20"/>
      <c r="CK133" s="20"/>
      <c r="CL133" s="20"/>
      <c r="CM133" s="20"/>
      <c r="CN133" s="20"/>
      <c r="CO133" s="20"/>
      <c r="CP133" s="20"/>
      <c r="CQ133" s="20"/>
      <c r="CR133" s="20"/>
      <c r="CS133" s="20"/>
      <c r="CT133" s="20"/>
      <c r="CU133" s="20"/>
      <c r="CV133" s="20"/>
      <c r="CW133" s="20"/>
      <c r="CX133" s="20"/>
      <c r="CY133" s="20"/>
      <c r="CZ133" s="20"/>
      <c r="DA133" s="20"/>
      <c r="DB133" s="20"/>
      <c r="DC133" s="20"/>
      <c r="DD133" s="20"/>
      <c r="DE133" s="20"/>
      <c r="DF133" s="20"/>
      <c r="DG133" s="20"/>
      <c r="DH133" s="20"/>
      <c r="DI133" s="20"/>
      <c r="DJ133" s="20"/>
      <c r="DK133" s="20"/>
      <c r="DL133" s="20"/>
      <c r="DM133" s="20"/>
      <c r="DN133" s="20"/>
      <c r="DO133" s="20"/>
      <c r="DP133" s="20"/>
      <c r="DQ133" s="20"/>
      <c r="DR133" s="20"/>
      <c r="DS133" s="20"/>
      <c r="DT133" s="20"/>
      <c r="DU133" s="20"/>
      <c r="DV133" s="20"/>
      <c r="DW133" s="20"/>
      <c r="DX133" s="20"/>
      <c r="DY133" s="20"/>
      <c r="DZ133" s="20"/>
      <c r="EA133" s="20"/>
      <c r="EB133" s="20"/>
      <c r="EC133" s="20"/>
      <c r="ED133" s="20"/>
      <c r="EE133" s="20"/>
      <c r="EF133" s="20"/>
      <c r="EG133" s="20"/>
      <c r="EH133" s="20"/>
      <c r="EI133" s="20"/>
    </row>
    <row r="134" spans="1:139" x14ac:dyDescent="0.25">
      <c r="A134" s="24"/>
      <c r="B134" s="97" t="s">
        <v>111</v>
      </c>
      <c r="C134" s="100" t="s">
        <v>112</v>
      </c>
      <c r="D134" s="99" t="s">
        <v>61</v>
      </c>
      <c r="E134" s="34">
        <f>+E62</f>
        <v>4.944</v>
      </c>
      <c r="F134" s="32">
        <f t="shared" si="60"/>
        <v>5.085</v>
      </c>
      <c r="G134" s="32">
        <f t="shared" si="60"/>
        <v>3.9790000000000001</v>
      </c>
      <c r="H134" s="32">
        <f t="shared" si="60"/>
        <v>3.8889999999999998</v>
      </c>
      <c r="I134" s="32">
        <f t="shared" si="60"/>
        <v>10.722</v>
      </c>
      <c r="J134" s="32">
        <f t="shared" si="60"/>
        <v>10.582000000000001</v>
      </c>
      <c r="K134" s="33">
        <f t="shared" si="60"/>
        <v>10.582000000000001</v>
      </c>
      <c r="L134" s="20"/>
      <c r="M134" s="20"/>
      <c r="N134" s="20"/>
      <c r="O134" s="20"/>
      <c r="P134" s="20"/>
      <c r="Q134" s="42"/>
      <c r="R134" s="20"/>
      <c r="S134" s="20"/>
      <c r="T134" s="20"/>
      <c r="U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20"/>
      <c r="AM134" s="20"/>
      <c r="AN134" s="20"/>
      <c r="AO134" s="20"/>
      <c r="AP134" s="20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  <c r="BA134" s="20"/>
      <c r="BB134" s="20"/>
      <c r="BC134" s="20"/>
      <c r="BD134" s="20"/>
      <c r="BE134" s="20"/>
      <c r="BF134" s="20"/>
      <c r="BG134" s="20"/>
      <c r="BH134" s="20"/>
      <c r="BI134" s="20"/>
      <c r="BJ134" s="20"/>
      <c r="BK134" s="20"/>
      <c r="BL134" s="20"/>
      <c r="BM134" s="20"/>
      <c r="BN134" s="20"/>
      <c r="BO134" s="20"/>
      <c r="BP134" s="20"/>
      <c r="BQ134" s="20"/>
      <c r="BR134" s="20"/>
      <c r="BS134" s="20"/>
      <c r="BT134" s="20"/>
      <c r="BU134" s="20"/>
      <c r="BV134" s="20"/>
      <c r="BW134" s="20"/>
      <c r="BX134" s="20"/>
      <c r="BY134" s="20"/>
      <c r="BZ134" s="20"/>
      <c r="CA134" s="20"/>
      <c r="CB134" s="20"/>
      <c r="CC134" s="20"/>
      <c r="CD134" s="20"/>
      <c r="CE134" s="20"/>
      <c r="CF134" s="20"/>
      <c r="CG134" s="20"/>
      <c r="CH134" s="20"/>
      <c r="CI134" s="20"/>
      <c r="CJ134" s="20"/>
      <c r="CK134" s="20"/>
      <c r="CL134" s="20"/>
      <c r="CM134" s="20"/>
      <c r="CN134" s="20"/>
      <c r="CO134" s="20"/>
      <c r="CP134" s="20"/>
      <c r="CQ134" s="20"/>
      <c r="CR134" s="20"/>
      <c r="CS134" s="20"/>
      <c r="CT134" s="20"/>
      <c r="CU134" s="20"/>
      <c r="CV134" s="20"/>
      <c r="CW134" s="20"/>
      <c r="CX134" s="20"/>
      <c r="CY134" s="20"/>
      <c r="CZ134" s="20"/>
      <c r="DA134" s="20"/>
      <c r="DB134" s="20"/>
      <c r="DC134" s="20"/>
      <c r="DD134" s="20"/>
      <c r="DE134" s="20"/>
      <c r="DF134" s="20"/>
      <c r="DG134" s="20"/>
      <c r="DH134" s="20"/>
      <c r="DI134" s="20"/>
      <c r="DJ134" s="20"/>
      <c r="DK134" s="20"/>
      <c r="DL134" s="20"/>
      <c r="DM134" s="20"/>
      <c r="DN134" s="20"/>
      <c r="DO134" s="20"/>
      <c r="DP134" s="20"/>
      <c r="DQ134" s="20"/>
      <c r="DR134" s="20"/>
      <c r="DS134" s="20"/>
      <c r="DT134" s="20"/>
      <c r="DU134" s="20"/>
      <c r="DV134" s="20"/>
      <c r="DW134" s="20"/>
      <c r="DX134" s="20"/>
      <c r="DY134" s="20"/>
      <c r="DZ134" s="20"/>
      <c r="EA134" s="20"/>
      <c r="EB134" s="20"/>
      <c r="EC134" s="20"/>
      <c r="ED134" s="20"/>
      <c r="EE134" s="20"/>
      <c r="EF134" s="20"/>
      <c r="EG134" s="20"/>
      <c r="EH134" s="20"/>
      <c r="EI134" s="20"/>
    </row>
    <row r="135" spans="1:139" x14ac:dyDescent="0.25">
      <c r="A135" s="20"/>
      <c r="B135" s="97" t="s">
        <v>209</v>
      </c>
      <c r="C135" s="100" t="s">
        <v>210</v>
      </c>
      <c r="D135" s="99" t="s">
        <v>211</v>
      </c>
      <c r="E135" s="34">
        <f>($G$111/(3600*1000))/(E130*E133)</f>
        <v>2.4061438537043083</v>
      </c>
      <c r="F135" s="153">
        <f>($G$111/(3600*1000))/(F130*F133)</f>
        <v>2.8687173877002619</v>
      </c>
      <c r="G135" s="32">
        <f>($G$111/(3600*1000))/(G130*G133)</f>
        <v>3.6755421969121955</v>
      </c>
      <c r="H135" s="32">
        <f>($G$111/(3600*1000))/(H130*H133)</f>
        <v>3.8080956327779676</v>
      </c>
      <c r="I135" s="32">
        <f>($G$111/(3600*1000))/(I130*I133)</f>
        <v>4.5657041945459449</v>
      </c>
      <c r="J135" s="32">
        <f t="shared" ref="J135:K135" si="61">($G$111/(3600*1000))/(J130*J133)</f>
        <v>4.9804968113821877</v>
      </c>
      <c r="K135" s="33">
        <f t="shared" si="61"/>
        <v>4.54698134963974</v>
      </c>
      <c r="L135" s="20"/>
      <c r="M135" s="20"/>
      <c r="N135" s="20"/>
      <c r="O135" s="20"/>
      <c r="P135" s="20"/>
      <c r="Q135" s="42"/>
      <c r="R135" s="20"/>
      <c r="S135" s="20"/>
      <c r="T135" s="20"/>
      <c r="U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20"/>
      <c r="AM135" s="20"/>
      <c r="AN135" s="20"/>
      <c r="AO135" s="20"/>
      <c r="AP135" s="20"/>
      <c r="AQ135" s="20"/>
      <c r="AR135" s="20"/>
      <c r="AS135" s="20"/>
      <c r="AT135" s="20"/>
      <c r="AU135" s="20"/>
      <c r="AV135" s="20"/>
      <c r="AW135" s="20"/>
      <c r="AX135" s="20"/>
      <c r="AY135" s="20"/>
      <c r="AZ135" s="20"/>
      <c r="BA135" s="20"/>
      <c r="BB135" s="20"/>
      <c r="BC135" s="20"/>
      <c r="BD135" s="20"/>
      <c r="BE135" s="20"/>
      <c r="BF135" s="20"/>
      <c r="BG135" s="20"/>
      <c r="BH135" s="20"/>
      <c r="BI135" s="20"/>
      <c r="BJ135" s="20"/>
      <c r="BK135" s="20"/>
      <c r="BL135" s="20"/>
      <c r="BM135" s="20"/>
      <c r="BN135" s="20"/>
      <c r="BO135" s="20"/>
      <c r="BP135" s="20"/>
      <c r="BQ135" s="20"/>
      <c r="BR135" s="20"/>
      <c r="BS135" s="20"/>
      <c r="BT135" s="20"/>
      <c r="BU135" s="20"/>
      <c r="BV135" s="20"/>
      <c r="BW135" s="20"/>
      <c r="BX135" s="20"/>
      <c r="BY135" s="20"/>
      <c r="BZ135" s="20"/>
      <c r="CA135" s="20"/>
      <c r="CB135" s="20"/>
      <c r="CC135" s="20"/>
      <c r="CD135" s="20"/>
      <c r="CE135" s="20"/>
      <c r="CF135" s="20"/>
      <c r="CG135" s="20"/>
      <c r="CH135" s="20"/>
      <c r="CI135" s="20"/>
      <c r="CJ135" s="20"/>
      <c r="CK135" s="20"/>
      <c r="CL135" s="20"/>
      <c r="CM135" s="20"/>
      <c r="CN135" s="20"/>
      <c r="CO135" s="20"/>
      <c r="CP135" s="20"/>
      <c r="CQ135" s="20"/>
      <c r="CR135" s="20"/>
      <c r="CS135" s="20"/>
      <c r="CT135" s="20"/>
      <c r="CU135" s="20"/>
      <c r="CV135" s="20"/>
      <c r="CW135" s="20"/>
      <c r="CX135" s="20"/>
      <c r="CY135" s="20"/>
      <c r="CZ135" s="20"/>
      <c r="DA135" s="20"/>
      <c r="DB135" s="20"/>
      <c r="DC135" s="20"/>
      <c r="DD135" s="20"/>
      <c r="DE135" s="20"/>
      <c r="DF135" s="20"/>
      <c r="DG135" s="20"/>
      <c r="DH135" s="20"/>
      <c r="DI135" s="20"/>
      <c r="DJ135" s="20"/>
      <c r="DK135" s="20"/>
      <c r="DL135" s="20"/>
      <c r="DM135" s="20"/>
      <c r="DN135" s="20"/>
      <c r="DO135" s="20"/>
      <c r="DP135" s="20"/>
      <c r="DQ135" s="20"/>
      <c r="DR135" s="20"/>
      <c r="DS135" s="20"/>
      <c r="DT135" s="20"/>
      <c r="DU135" s="20"/>
      <c r="DV135" s="20"/>
      <c r="DW135" s="20"/>
      <c r="DX135" s="20"/>
      <c r="DY135" s="20"/>
      <c r="DZ135" s="20"/>
      <c r="EA135" s="20"/>
      <c r="EB135" s="20"/>
      <c r="EC135" s="20"/>
      <c r="ED135" s="20"/>
      <c r="EE135" s="20"/>
      <c r="EF135" s="20"/>
      <c r="EG135" s="20"/>
      <c r="EH135" s="20"/>
      <c r="EI135" s="20"/>
    </row>
    <row r="136" spans="1:139" x14ac:dyDescent="0.25">
      <c r="A136" s="20"/>
      <c r="B136" s="97" t="s">
        <v>212</v>
      </c>
      <c r="C136" s="100" t="s">
        <v>213</v>
      </c>
      <c r="D136" s="99" t="s">
        <v>13</v>
      </c>
      <c r="E136" s="34">
        <f>+E89</f>
        <v>146.81835027425296</v>
      </c>
      <c r="F136" s="153">
        <f>+F89</f>
        <v>149.59340056444933</v>
      </c>
      <c r="G136" s="32">
        <f>+G89</f>
        <v>185.10801751147707</v>
      </c>
      <c r="H136" s="32">
        <f>+H89</f>
        <v>181.54125545517368</v>
      </c>
      <c r="I136" s="32">
        <f>+I89</f>
        <v>108.12813312839427</v>
      </c>
      <c r="J136" s="32">
        <f t="shared" ref="J136:K136" si="62">+J89</f>
        <v>103.57672700745542</v>
      </c>
      <c r="K136" s="33">
        <f t="shared" si="62"/>
        <v>429.41061289096291</v>
      </c>
      <c r="L136" s="20"/>
      <c r="M136" s="20"/>
      <c r="N136" s="20"/>
      <c r="O136" s="20"/>
      <c r="P136" s="20"/>
      <c r="Q136" s="42"/>
      <c r="R136" s="20"/>
      <c r="S136" s="20"/>
      <c r="T136" s="20"/>
      <c r="U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  <c r="BA136" s="20"/>
      <c r="BB136" s="20"/>
      <c r="BC136" s="20"/>
      <c r="BD136" s="20"/>
      <c r="BE136" s="20"/>
      <c r="BF136" s="20"/>
      <c r="BG136" s="20"/>
      <c r="BH136" s="20"/>
      <c r="BI136" s="20"/>
      <c r="BJ136" s="20"/>
      <c r="BK136" s="20"/>
      <c r="BL136" s="20"/>
      <c r="BM136" s="20"/>
      <c r="BN136" s="20"/>
      <c r="BO136" s="20"/>
      <c r="BP136" s="20"/>
      <c r="BQ136" s="20"/>
      <c r="BR136" s="20"/>
      <c r="BS136" s="20"/>
      <c r="BT136" s="20"/>
      <c r="BU136" s="20"/>
      <c r="BV136" s="20"/>
      <c r="BW136" s="20"/>
      <c r="BX136" s="20"/>
      <c r="BY136" s="20"/>
      <c r="BZ136" s="20"/>
      <c r="CA136" s="20"/>
      <c r="CB136" s="20"/>
      <c r="CC136" s="20"/>
      <c r="CD136" s="20"/>
      <c r="CE136" s="20"/>
      <c r="CF136" s="20"/>
      <c r="CG136" s="20"/>
      <c r="CH136" s="20"/>
      <c r="CI136" s="20"/>
      <c r="CJ136" s="20"/>
      <c r="CK136" s="20"/>
      <c r="CL136" s="20"/>
      <c r="CM136" s="20"/>
      <c r="CN136" s="20"/>
      <c r="CO136" s="20"/>
      <c r="CP136" s="20"/>
      <c r="CQ136" s="20"/>
      <c r="CR136" s="20"/>
      <c r="CS136" s="20"/>
      <c r="CT136" s="20"/>
      <c r="CU136" s="20"/>
      <c r="CV136" s="20"/>
      <c r="CW136" s="20"/>
      <c r="CX136" s="20"/>
      <c r="CY136" s="20"/>
      <c r="CZ136" s="20"/>
      <c r="DA136" s="20"/>
      <c r="DB136" s="20"/>
      <c r="DC136" s="20"/>
      <c r="DD136" s="20"/>
      <c r="DE136" s="20"/>
      <c r="DF136" s="20"/>
      <c r="DG136" s="20"/>
      <c r="DH136" s="20"/>
      <c r="DI136" s="20"/>
      <c r="DJ136" s="20"/>
      <c r="DK136" s="20"/>
      <c r="DL136" s="20"/>
      <c r="DM136" s="20"/>
      <c r="DN136" s="20"/>
      <c r="DO136" s="20"/>
      <c r="DP136" s="20"/>
      <c r="DQ136" s="20"/>
      <c r="DR136" s="20"/>
      <c r="DS136" s="20"/>
      <c r="DT136" s="20"/>
      <c r="DU136" s="20"/>
      <c r="DV136" s="20"/>
      <c r="DW136" s="20"/>
      <c r="DX136" s="20"/>
      <c r="DY136" s="20"/>
      <c r="DZ136" s="20"/>
      <c r="EA136" s="20"/>
      <c r="EB136" s="20"/>
      <c r="EC136" s="20"/>
      <c r="ED136" s="20"/>
      <c r="EE136" s="20"/>
      <c r="EF136" s="20"/>
      <c r="EG136" s="20"/>
      <c r="EH136" s="20"/>
      <c r="EI136" s="20"/>
    </row>
    <row r="137" spans="1:139" x14ac:dyDescent="0.25">
      <c r="A137" s="20"/>
      <c r="B137" s="97" t="s">
        <v>214</v>
      </c>
      <c r="C137" s="100" t="s">
        <v>205</v>
      </c>
      <c r="D137" s="99" t="s">
        <v>215</v>
      </c>
      <c r="E137" s="101">
        <f>0.0000175+0.0000000335*E136</f>
        <v>2.2418414734187471E-5</v>
      </c>
      <c r="F137" s="154">
        <f t="shared" ref="F137:K137" si="63">0.0000175+0.0000000335*F136</f>
        <v>2.2511378918909052E-5</v>
      </c>
      <c r="G137" s="102">
        <f t="shared" si="63"/>
        <v>2.3701118586634479E-5</v>
      </c>
      <c r="H137" s="102">
        <f t="shared" si="63"/>
        <v>2.3581632057748317E-5</v>
      </c>
      <c r="I137" s="102">
        <f t="shared" si="63"/>
        <v>2.1122292459801208E-5</v>
      </c>
      <c r="J137" s="102">
        <f t="shared" si="63"/>
        <v>2.0969820354749757E-5</v>
      </c>
      <c r="K137" s="103">
        <f t="shared" si="63"/>
        <v>3.1885255531847259E-5</v>
      </c>
      <c r="L137" s="20"/>
      <c r="M137" s="20"/>
      <c r="N137" s="20"/>
      <c r="O137" s="20"/>
      <c r="P137" s="20"/>
      <c r="Q137" s="42"/>
      <c r="R137" s="20"/>
      <c r="S137" s="20"/>
      <c r="T137" s="20"/>
      <c r="U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20"/>
      <c r="AM137" s="20"/>
      <c r="AN137" s="20"/>
      <c r="AO137" s="20"/>
      <c r="AP137" s="20"/>
      <c r="AQ137" s="20"/>
      <c r="AR137" s="20"/>
      <c r="AS137" s="20"/>
      <c r="AT137" s="20"/>
      <c r="AU137" s="20"/>
      <c r="AV137" s="20"/>
      <c r="AW137" s="20"/>
      <c r="AX137" s="20"/>
      <c r="AY137" s="20"/>
      <c r="AZ137" s="20"/>
      <c r="BA137" s="20"/>
      <c r="BB137" s="20"/>
      <c r="BC137" s="20"/>
      <c r="BD137" s="20"/>
      <c r="BE137" s="20"/>
      <c r="BF137" s="20"/>
      <c r="BG137" s="20"/>
      <c r="BH137" s="20"/>
      <c r="BI137" s="20"/>
      <c r="BJ137" s="20"/>
      <c r="BK137" s="20"/>
      <c r="BL137" s="20"/>
      <c r="BM137" s="20"/>
      <c r="BN137" s="20"/>
      <c r="BO137" s="20"/>
      <c r="BP137" s="20"/>
      <c r="BQ137" s="20"/>
      <c r="BR137" s="20"/>
      <c r="BS137" s="20"/>
      <c r="BT137" s="20"/>
      <c r="BU137" s="20"/>
      <c r="BV137" s="20"/>
      <c r="BW137" s="20"/>
      <c r="BX137" s="20"/>
      <c r="BY137" s="20"/>
      <c r="BZ137" s="20"/>
      <c r="CA137" s="20"/>
      <c r="CB137" s="20"/>
      <c r="CC137" s="20"/>
      <c r="CD137" s="20"/>
      <c r="CE137" s="20"/>
      <c r="CF137" s="20"/>
      <c r="CG137" s="20"/>
      <c r="CH137" s="20"/>
      <c r="CI137" s="20"/>
      <c r="CJ137" s="20"/>
      <c r="CK137" s="20"/>
      <c r="CL137" s="20"/>
      <c r="CM137" s="20"/>
      <c r="CN137" s="20"/>
      <c r="CO137" s="20"/>
      <c r="CP137" s="20"/>
      <c r="CQ137" s="20"/>
      <c r="CR137" s="20"/>
      <c r="CS137" s="20"/>
      <c r="CT137" s="20"/>
      <c r="CU137" s="20"/>
      <c r="CV137" s="20"/>
      <c r="CW137" s="20"/>
      <c r="CX137" s="20"/>
      <c r="CY137" s="20"/>
      <c r="CZ137" s="20"/>
      <c r="DA137" s="20"/>
      <c r="DB137" s="20"/>
      <c r="DC137" s="20"/>
      <c r="DD137" s="20"/>
      <c r="DE137" s="20"/>
      <c r="DF137" s="20"/>
      <c r="DG137" s="20"/>
      <c r="DH137" s="20"/>
      <c r="DI137" s="20"/>
      <c r="DJ137" s="20"/>
      <c r="DK137" s="20"/>
      <c r="DL137" s="20"/>
      <c r="DM137" s="20"/>
      <c r="DN137" s="20"/>
      <c r="DO137" s="20"/>
      <c r="DP137" s="20"/>
      <c r="DQ137" s="20"/>
      <c r="DR137" s="20"/>
      <c r="DS137" s="20"/>
      <c r="DT137" s="20"/>
      <c r="DU137" s="20"/>
      <c r="DV137" s="20"/>
      <c r="DW137" s="20"/>
      <c r="DX137" s="20"/>
      <c r="DY137" s="20"/>
      <c r="DZ137" s="20"/>
      <c r="EA137" s="20"/>
      <c r="EB137" s="20"/>
      <c r="EC137" s="20"/>
      <c r="ED137" s="20"/>
      <c r="EE137" s="20"/>
      <c r="EF137" s="20"/>
      <c r="EG137" s="20"/>
      <c r="EH137" s="20"/>
      <c r="EI137" s="20"/>
    </row>
    <row r="138" spans="1:139" x14ac:dyDescent="0.25">
      <c r="A138" s="20"/>
      <c r="B138" s="97" t="s">
        <v>216</v>
      </c>
      <c r="C138" s="100" t="s">
        <v>217</v>
      </c>
      <c r="D138" s="99" t="s">
        <v>218</v>
      </c>
      <c r="E138" s="101">
        <f>E131/E130</f>
        <v>1.9033250612906615E-4</v>
      </c>
      <c r="F138" s="154">
        <f t="shared" ref="F138:K138" si="64">F131/F130</f>
        <v>1.7060107753952579E-4</v>
      </c>
      <c r="G138" s="102">
        <f t="shared" si="64"/>
        <v>1.6087892726237741E-4</v>
      </c>
      <c r="H138" s="102">
        <f t="shared" si="64"/>
        <v>1.5579241111003547E-4</v>
      </c>
      <c r="I138" s="102">
        <f t="shared" si="64"/>
        <v>1.3204367690404568E-4</v>
      </c>
      <c r="J138" s="102">
        <f t="shared" si="64"/>
        <v>1.0009033348589939E-4</v>
      </c>
      <c r="K138" s="103">
        <f t="shared" si="64"/>
        <v>8.5268522680221029E-5</v>
      </c>
      <c r="L138" s="20"/>
      <c r="M138" s="20"/>
      <c r="N138" s="20"/>
      <c r="O138" s="20"/>
      <c r="P138" s="20"/>
      <c r="Q138" s="42"/>
      <c r="R138" s="20"/>
      <c r="S138" s="20"/>
      <c r="T138" s="20"/>
      <c r="U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20"/>
      <c r="AM138" s="20"/>
      <c r="AN138" s="20"/>
      <c r="AO138" s="20"/>
      <c r="AP138" s="20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  <c r="BA138" s="20"/>
      <c r="BB138" s="20"/>
      <c r="BC138" s="20"/>
      <c r="BD138" s="20"/>
      <c r="BE138" s="20"/>
      <c r="BF138" s="20"/>
      <c r="BG138" s="20"/>
      <c r="BH138" s="20"/>
      <c r="BI138" s="20"/>
      <c r="BJ138" s="20"/>
      <c r="BK138" s="20"/>
      <c r="BL138" s="20"/>
      <c r="BM138" s="20"/>
      <c r="BN138" s="20"/>
      <c r="BO138" s="20"/>
      <c r="BP138" s="20"/>
      <c r="BQ138" s="20"/>
      <c r="BR138" s="20"/>
      <c r="BS138" s="20"/>
      <c r="BT138" s="20"/>
      <c r="BU138" s="20"/>
      <c r="BV138" s="20"/>
      <c r="BW138" s="20"/>
      <c r="BX138" s="20"/>
      <c r="BY138" s="20"/>
      <c r="BZ138" s="20"/>
      <c r="CA138" s="20"/>
      <c r="CB138" s="20"/>
      <c r="CC138" s="20"/>
      <c r="CD138" s="20"/>
      <c r="CE138" s="20"/>
      <c r="CF138" s="20"/>
      <c r="CG138" s="20"/>
      <c r="CH138" s="20"/>
      <c r="CI138" s="20"/>
      <c r="CJ138" s="20"/>
      <c r="CK138" s="20"/>
      <c r="CL138" s="20"/>
      <c r="CM138" s="20"/>
      <c r="CN138" s="20"/>
      <c r="CO138" s="20"/>
      <c r="CP138" s="20"/>
      <c r="CQ138" s="20"/>
      <c r="CR138" s="20"/>
      <c r="CS138" s="20"/>
      <c r="CT138" s="20"/>
      <c r="CU138" s="20"/>
      <c r="CV138" s="20"/>
      <c r="CW138" s="20"/>
      <c r="CX138" s="20"/>
      <c r="CY138" s="20"/>
      <c r="CZ138" s="20"/>
      <c r="DA138" s="20"/>
      <c r="DB138" s="20"/>
      <c r="DC138" s="20"/>
      <c r="DD138" s="20"/>
      <c r="DE138" s="20"/>
      <c r="DF138" s="20"/>
      <c r="DG138" s="20"/>
      <c r="DH138" s="20"/>
      <c r="DI138" s="20"/>
      <c r="DJ138" s="20"/>
      <c r="DK138" s="20"/>
      <c r="DL138" s="20"/>
      <c r="DM138" s="20"/>
      <c r="DN138" s="20"/>
      <c r="DO138" s="20"/>
      <c r="DP138" s="20"/>
      <c r="DQ138" s="20"/>
      <c r="DR138" s="20"/>
      <c r="DS138" s="20"/>
      <c r="DT138" s="20"/>
      <c r="DU138" s="20"/>
      <c r="DV138" s="20"/>
      <c r="DW138" s="20"/>
      <c r="DX138" s="20"/>
      <c r="DY138" s="20"/>
      <c r="DZ138" s="20"/>
      <c r="EA138" s="20"/>
      <c r="EB138" s="20"/>
      <c r="EC138" s="20"/>
      <c r="ED138" s="20"/>
      <c r="EE138" s="20"/>
      <c r="EF138" s="20"/>
      <c r="EG138" s="20"/>
      <c r="EH138" s="20"/>
      <c r="EI138" s="20"/>
    </row>
    <row r="139" spans="1:139" x14ac:dyDescent="0.25">
      <c r="A139" s="20"/>
      <c r="B139" s="97" t="s">
        <v>219</v>
      </c>
      <c r="C139" s="100" t="s">
        <v>220</v>
      </c>
      <c r="D139" s="104" t="s">
        <v>122</v>
      </c>
      <c r="E139" s="34">
        <f>E131*E129/E132</f>
        <v>0.80208835561441727</v>
      </c>
      <c r="F139" s="153">
        <f t="shared" ref="F139:K139" si="65">F131*F129/F132</f>
        <v>0.79789821392976956</v>
      </c>
      <c r="G139" s="32">
        <f>G131*G129/G132</f>
        <v>0.79573320606195042</v>
      </c>
      <c r="H139" s="32">
        <f t="shared" si="65"/>
        <v>0.79457500645491896</v>
      </c>
      <c r="I139" s="32">
        <f t="shared" si="65"/>
        <v>0.78899671699333174</v>
      </c>
      <c r="J139" s="32">
        <f t="shared" si="65"/>
        <v>0.77991123769982318</v>
      </c>
      <c r="K139" s="33">
        <f t="shared" si="65"/>
        <v>0.77576515168468674</v>
      </c>
      <c r="L139" s="20"/>
      <c r="M139" s="20"/>
      <c r="N139" s="20"/>
      <c r="O139" s="20"/>
      <c r="P139" s="20"/>
      <c r="Q139" s="42"/>
      <c r="R139" s="20"/>
      <c r="S139" s="20"/>
      <c r="T139" s="20"/>
      <c r="U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20"/>
      <c r="AM139" s="20"/>
      <c r="AN139" s="20"/>
      <c r="AO139" s="20"/>
      <c r="AP139" s="20"/>
      <c r="AQ139" s="20"/>
      <c r="AR139" s="20"/>
      <c r="AS139" s="20"/>
      <c r="AT139" s="20"/>
      <c r="AU139" s="20"/>
      <c r="AV139" s="20"/>
      <c r="AW139" s="20"/>
      <c r="AX139" s="20"/>
      <c r="AY139" s="20"/>
      <c r="AZ139" s="20"/>
      <c r="BA139" s="20"/>
      <c r="BB139" s="20"/>
      <c r="BC139" s="20"/>
      <c r="BD139" s="20"/>
      <c r="BE139" s="20"/>
      <c r="BF139" s="20"/>
      <c r="BG139" s="20"/>
      <c r="BH139" s="20"/>
      <c r="BI139" s="20"/>
      <c r="BJ139" s="20"/>
      <c r="BK139" s="20"/>
      <c r="BL139" s="20"/>
      <c r="BM139" s="20"/>
      <c r="BN139" s="20"/>
      <c r="BO139" s="20"/>
      <c r="BP139" s="20"/>
      <c r="BQ139" s="20"/>
      <c r="BR139" s="20"/>
      <c r="BS139" s="20"/>
      <c r="BT139" s="20"/>
      <c r="BU139" s="20"/>
      <c r="BV139" s="20"/>
      <c r="BW139" s="20"/>
      <c r="BX139" s="20"/>
      <c r="BY139" s="20"/>
      <c r="BZ139" s="20"/>
      <c r="CA139" s="20"/>
      <c r="CB139" s="20"/>
      <c r="CC139" s="20"/>
      <c r="CD139" s="20"/>
      <c r="CE139" s="20"/>
      <c r="CF139" s="20"/>
      <c r="CG139" s="20"/>
      <c r="CH139" s="20"/>
      <c r="CI139" s="20"/>
      <c r="CJ139" s="20"/>
      <c r="CK139" s="20"/>
      <c r="CL139" s="20"/>
      <c r="CM139" s="20"/>
      <c r="CN139" s="20"/>
      <c r="CO139" s="20"/>
      <c r="CP139" s="20"/>
      <c r="CQ139" s="20"/>
      <c r="CR139" s="20"/>
      <c r="CS139" s="20"/>
      <c r="CT139" s="20"/>
      <c r="CU139" s="20"/>
      <c r="CV139" s="20"/>
      <c r="CW139" s="20"/>
      <c r="CX139" s="20"/>
      <c r="CY139" s="20"/>
      <c r="CZ139" s="20"/>
      <c r="DA139" s="20"/>
      <c r="DB139" s="20"/>
      <c r="DC139" s="20"/>
      <c r="DD139" s="20"/>
      <c r="DE139" s="20"/>
      <c r="DF139" s="20"/>
      <c r="DG139" s="20"/>
      <c r="DH139" s="20"/>
      <c r="DI139" s="20"/>
      <c r="DJ139" s="20"/>
      <c r="DK139" s="20"/>
      <c r="DL139" s="20"/>
      <c r="DM139" s="20"/>
      <c r="DN139" s="20"/>
      <c r="DO139" s="20"/>
      <c r="DP139" s="20"/>
      <c r="DQ139" s="20"/>
      <c r="DR139" s="20"/>
      <c r="DS139" s="20"/>
      <c r="DT139" s="20"/>
      <c r="DU139" s="20"/>
      <c r="DV139" s="20"/>
      <c r="DW139" s="20"/>
      <c r="DX139" s="20"/>
      <c r="DY139" s="20"/>
      <c r="DZ139" s="20"/>
      <c r="EA139" s="20"/>
      <c r="EB139" s="20"/>
      <c r="EC139" s="20"/>
      <c r="ED139" s="20"/>
      <c r="EE139" s="20"/>
      <c r="EF139" s="20"/>
      <c r="EG139" s="20"/>
      <c r="EH139" s="20"/>
      <c r="EI139" s="20"/>
    </row>
    <row r="140" spans="1:139" x14ac:dyDescent="0.25">
      <c r="A140" s="20"/>
      <c r="B140" s="97" t="s">
        <v>113</v>
      </c>
      <c r="C140" s="100" t="s">
        <v>114</v>
      </c>
      <c r="D140" s="99" t="s">
        <v>61</v>
      </c>
      <c r="E140" s="34">
        <f>4*E133/E134</f>
        <v>1.1779935275080906</v>
      </c>
      <c r="F140" s="153">
        <f>4*F133/F134</f>
        <v>0.90462143559488684</v>
      </c>
      <c r="G140" s="32">
        <f>4*G133/G134</f>
        <v>0.87358632822317162</v>
      </c>
      <c r="H140" s="32">
        <f t="shared" ref="H140:K140" si="66">4*H133/H134</f>
        <v>0.84751864232450502</v>
      </c>
      <c r="I140" s="32">
        <f t="shared" si="66"/>
        <v>0.23391158365976497</v>
      </c>
      <c r="J140" s="32">
        <f t="shared" si="66"/>
        <v>0.18597618597618595</v>
      </c>
      <c r="K140" s="33">
        <f t="shared" si="66"/>
        <v>0.18597618597618595</v>
      </c>
      <c r="L140" s="20"/>
      <c r="M140" s="20"/>
      <c r="N140" s="20"/>
      <c r="O140" s="20"/>
      <c r="P140" s="20"/>
      <c r="Q140" s="42"/>
      <c r="R140" s="20"/>
      <c r="S140" s="20"/>
      <c r="T140" s="20"/>
      <c r="U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  <c r="AM140" s="20"/>
      <c r="AN140" s="20"/>
      <c r="AO140" s="20"/>
      <c r="AP140" s="20"/>
      <c r="AQ140" s="20"/>
      <c r="AR140" s="20"/>
      <c r="AS140" s="20"/>
      <c r="AT140" s="20"/>
      <c r="AU140" s="20"/>
      <c r="AV140" s="20"/>
      <c r="AW140" s="20"/>
      <c r="AX140" s="20"/>
      <c r="AY140" s="20"/>
      <c r="AZ140" s="20"/>
      <c r="BA140" s="20"/>
      <c r="BB140" s="20"/>
      <c r="BC140" s="20"/>
      <c r="BD140" s="20"/>
      <c r="BE140" s="20"/>
      <c r="BF140" s="20"/>
      <c r="BG140" s="20"/>
      <c r="BH140" s="20"/>
      <c r="BI140" s="20"/>
      <c r="BJ140" s="20"/>
      <c r="BK140" s="20"/>
      <c r="BL140" s="20"/>
      <c r="BM140" s="20"/>
      <c r="BN140" s="20"/>
      <c r="BO140" s="20"/>
      <c r="BP140" s="20"/>
      <c r="BQ140" s="20"/>
      <c r="BR140" s="20"/>
      <c r="BS140" s="20"/>
      <c r="BT140" s="20"/>
      <c r="BU140" s="20"/>
      <c r="BV140" s="20"/>
      <c r="BW140" s="20"/>
      <c r="BX140" s="20"/>
      <c r="BY140" s="20"/>
      <c r="BZ140" s="20"/>
      <c r="CA140" s="20"/>
      <c r="CB140" s="20"/>
      <c r="CC140" s="20"/>
      <c r="CD140" s="20"/>
      <c r="CE140" s="20"/>
      <c r="CF140" s="20"/>
      <c r="CG140" s="20"/>
      <c r="CH140" s="20"/>
      <c r="CI140" s="20"/>
      <c r="CJ140" s="20"/>
      <c r="CK140" s="20"/>
      <c r="CL140" s="20"/>
      <c r="CM140" s="20"/>
      <c r="CN140" s="20"/>
      <c r="CO140" s="20"/>
      <c r="CP140" s="20"/>
      <c r="CQ140" s="20"/>
      <c r="CR140" s="20"/>
      <c r="CS140" s="20"/>
      <c r="CT140" s="20"/>
      <c r="CU140" s="20"/>
      <c r="CV140" s="20"/>
      <c r="CW140" s="20"/>
      <c r="CX140" s="20"/>
      <c r="CY140" s="20"/>
      <c r="CZ140" s="20"/>
      <c r="DA140" s="20"/>
      <c r="DB140" s="20"/>
      <c r="DC140" s="20"/>
      <c r="DD140" s="20"/>
      <c r="DE140" s="20"/>
      <c r="DF140" s="20"/>
      <c r="DG140" s="20"/>
      <c r="DH140" s="20"/>
      <c r="DI140" s="20"/>
      <c r="DJ140" s="20"/>
      <c r="DK140" s="20"/>
      <c r="DL140" s="20"/>
      <c r="DM140" s="20"/>
      <c r="DN140" s="20"/>
      <c r="DO140" s="20"/>
      <c r="DP140" s="20"/>
      <c r="DQ140" s="20"/>
      <c r="DR140" s="20"/>
      <c r="DS140" s="20"/>
      <c r="DT140" s="20"/>
      <c r="DU140" s="20"/>
      <c r="DV140" s="20"/>
      <c r="DW140" s="20"/>
      <c r="DX140" s="20"/>
      <c r="DY140" s="20"/>
      <c r="DZ140" s="20"/>
      <c r="EA140" s="20"/>
      <c r="EB140" s="20"/>
      <c r="EC140" s="20"/>
      <c r="ED140" s="20"/>
      <c r="EE140" s="20"/>
      <c r="EF140" s="20"/>
      <c r="EG140" s="20"/>
      <c r="EH140" s="20"/>
      <c r="EI140" s="20"/>
    </row>
    <row r="141" spans="1:139" x14ac:dyDescent="0.25">
      <c r="A141" s="20"/>
      <c r="B141" s="97" t="s">
        <v>221</v>
      </c>
      <c r="C141" s="100" t="s">
        <v>222</v>
      </c>
      <c r="D141" s="99" t="s">
        <v>122</v>
      </c>
      <c r="E141" s="101">
        <f>(E130*E135*E140)/E131</f>
        <v>14891.948535553895</v>
      </c>
      <c r="F141" s="154">
        <f t="shared" ref="F141:K141" si="67">(F130*F135*F140)/F131</f>
        <v>15211.529018485693</v>
      </c>
      <c r="G141" s="102">
        <f t="shared" si="67"/>
        <v>19958.508343315796</v>
      </c>
      <c r="H141" s="102">
        <f t="shared" si="67"/>
        <v>20716.233977881882</v>
      </c>
      <c r="I141" s="102">
        <f t="shared" si="67"/>
        <v>8088.0139337861174</v>
      </c>
      <c r="J141" s="102">
        <f t="shared" si="67"/>
        <v>9254.1783905426237</v>
      </c>
      <c r="K141" s="103">
        <f t="shared" si="67"/>
        <v>9917.2616404083965</v>
      </c>
      <c r="L141" s="20"/>
      <c r="M141" s="20"/>
      <c r="N141" s="20"/>
      <c r="O141" s="20"/>
      <c r="P141" s="20"/>
      <c r="Q141" s="42"/>
      <c r="R141" s="20"/>
      <c r="S141" s="20"/>
      <c r="T141" s="20"/>
      <c r="U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20"/>
      <c r="AM141" s="20"/>
      <c r="AN141" s="20"/>
      <c r="AO141" s="20"/>
      <c r="AP141" s="20"/>
      <c r="AQ141" s="20"/>
      <c r="AR141" s="20"/>
      <c r="AS141" s="20"/>
      <c r="AT141" s="20"/>
      <c r="AU141" s="20"/>
      <c r="AV141" s="20"/>
      <c r="AW141" s="20"/>
      <c r="AX141" s="20"/>
      <c r="AY141" s="20"/>
      <c r="AZ141" s="20"/>
      <c r="BA141" s="20"/>
      <c r="BB141" s="20"/>
      <c r="BC141" s="20"/>
      <c r="BD141" s="20"/>
      <c r="BE141" s="20"/>
      <c r="BF141" s="20"/>
      <c r="BG141" s="20"/>
      <c r="BH141" s="20"/>
      <c r="BI141" s="20"/>
      <c r="BJ141" s="20"/>
      <c r="BK141" s="20"/>
      <c r="BL141" s="20"/>
      <c r="BM141" s="20"/>
      <c r="BN141" s="20"/>
      <c r="BO141" s="20"/>
      <c r="BP141" s="20"/>
      <c r="BQ141" s="20"/>
      <c r="BR141" s="20"/>
      <c r="BS141" s="20"/>
      <c r="BT141" s="20"/>
      <c r="BU141" s="20"/>
      <c r="BV141" s="20"/>
      <c r="BW141" s="20"/>
      <c r="BX141" s="20"/>
      <c r="BY141" s="20"/>
      <c r="BZ141" s="20"/>
      <c r="CA141" s="20"/>
      <c r="CB141" s="20"/>
      <c r="CC141" s="20"/>
      <c r="CD141" s="20"/>
      <c r="CE141" s="20"/>
      <c r="CF141" s="20"/>
      <c r="CG141" s="20"/>
      <c r="CH141" s="20"/>
      <c r="CI141" s="20"/>
      <c r="CJ141" s="20"/>
      <c r="CK141" s="20"/>
      <c r="CL141" s="20"/>
      <c r="CM141" s="20"/>
      <c r="CN141" s="20"/>
      <c r="CO141" s="20"/>
      <c r="CP141" s="20"/>
      <c r="CQ141" s="20"/>
      <c r="CR141" s="20"/>
      <c r="CS141" s="20"/>
      <c r="CT141" s="20"/>
      <c r="CU141" s="20"/>
      <c r="CV141" s="20"/>
      <c r="CW141" s="20"/>
      <c r="CX141" s="20"/>
      <c r="CY141" s="20"/>
      <c r="CZ141" s="20"/>
      <c r="DA141" s="20"/>
      <c r="DB141" s="20"/>
      <c r="DC141" s="20"/>
      <c r="DD141" s="20"/>
      <c r="DE141" s="20"/>
      <c r="DF141" s="20"/>
      <c r="DG141" s="20"/>
      <c r="DH141" s="20"/>
      <c r="DI141" s="20"/>
      <c r="DJ141" s="20"/>
      <c r="DK141" s="20"/>
      <c r="DL141" s="20"/>
      <c r="DM141" s="20"/>
      <c r="DN141" s="20"/>
      <c r="DO141" s="20"/>
      <c r="DP141" s="20"/>
      <c r="DQ141" s="20"/>
      <c r="DR141" s="20"/>
      <c r="DS141" s="20"/>
      <c r="DT141" s="20"/>
      <c r="DU141" s="20"/>
      <c r="DV141" s="20"/>
      <c r="DW141" s="20"/>
      <c r="DX141" s="20"/>
      <c r="DY141" s="20"/>
      <c r="DZ141" s="20"/>
      <c r="EA141" s="20"/>
      <c r="EB141" s="20"/>
      <c r="EC141" s="20"/>
      <c r="ED141" s="20"/>
      <c r="EE141" s="20"/>
      <c r="EF141" s="20"/>
      <c r="EG141" s="20"/>
      <c r="EH141" s="20"/>
      <c r="EI141" s="20"/>
    </row>
    <row r="142" spans="1:139" x14ac:dyDescent="0.25">
      <c r="A142" s="20"/>
      <c r="B142" s="97" t="s">
        <v>266</v>
      </c>
      <c r="C142" s="100" t="s">
        <v>224</v>
      </c>
      <c r="D142" s="99" t="s">
        <v>122</v>
      </c>
      <c r="E142" s="34">
        <f>0.664*E141^(1/2)*E139^(1/3)</f>
        <v>75.286639644388487</v>
      </c>
      <c r="F142" s="153">
        <f t="shared" ref="F142:K142" si="68">0.664*F141^(1/2)*F139^(1/3)</f>
        <v>75.957444586420152</v>
      </c>
      <c r="G142" s="32">
        <f>0.664*G141^(1/2)*G139^(1/3)</f>
        <v>86.926984299583125</v>
      </c>
      <c r="H142" s="32">
        <f t="shared" si="68"/>
        <v>88.51871819938431</v>
      </c>
      <c r="I142" s="32">
        <f t="shared" si="68"/>
        <v>55.179880649582444</v>
      </c>
      <c r="J142" s="32">
        <f t="shared" si="68"/>
        <v>58.796580934056998</v>
      </c>
      <c r="K142" s="33">
        <f t="shared" si="68"/>
        <v>60.758548074151271</v>
      </c>
      <c r="L142" s="20"/>
      <c r="M142" s="20"/>
      <c r="N142" s="20"/>
      <c r="O142" s="20"/>
      <c r="P142" s="20"/>
      <c r="Q142" s="42"/>
      <c r="R142" s="20"/>
      <c r="S142" s="20"/>
      <c r="T142" s="20"/>
      <c r="U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AY142" s="20"/>
      <c r="AZ142" s="20"/>
      <c r="BA142" s="20"/>
      <c r="BB142" s="20"/>
      <c r="BC142" s="20"/>
      <c r="BD142" s="20"/>
      <c r="BE142" s="20"/>
      <c r="BF142" s="20"/>
      <c r="BG142" s="20"/>
      <c r="BH142" s="20"/>
      <c r="BI142" s="20"/>
      <c r="BJ142" s="20"/>
      <c r="BK142" s="20"/>
      <c r="BL142" s="20"/>
      <c r="BM142" s="20"/>
      <c r="BN142" s="20"/>
      <c r="BO142" s="20"/>
      <c r="BP142" s="20"/>
      <c r="BQ142" s="20"/>
      <c r="BR142" s="20"/>
      <c r="BS142" s="20"/>
      <c r="BT142" s="20"/>
      <c r="BU142" s="20"/>
      <c r="BV142" s="20"/>
      <c r="BW142" s="20"/>
      <c r="BX142" s="20"/>
      <c r="BY142" s="20"/>
      <c r="BZ142" s="20"/>
      <c r="CA142" s="20"/>
      <c r="CB142" s="20"/>
      <c r="CC142" s="20"/>
      <c r="CD142" s="20"/>
      <c r="CE142" s="20"/>
      <c r="CF142" s="20"/>
      <c r="CG142" s="20"/>
      <c r="CH142" s="20"/>
      <c r="CI142" s="20"/>
      <c r="CJ142" s="20"/>
      <c r="CK142" s="20"/>
      <c r="CL142" s="20"/>
      <c r="CM142" s="20"/>
      <c r="CN142" s="20"/>
      <c r="CO142" s="20"/>
      <c r="CP142" s="20"/>
      <c r="CQ142" s="20"/>
      <c r="CR142" s="20"/>
      <c r="CS142" s="20"/>
      <c r="CT142" s="20"/>
      <c r="CU142" s="20"/>
      <c r="CV142" s="20"/>
      <c r="CW142" s="20"/>
      <c r="CX142" s="20"/>
      <c r="CY142" s="20"/>
      <c r="CZ142" s="20"/>
      <c r="DA142" s="20"/>
      <c r="DB142" s="20"/>
      <c r="DC142" s="20"/>
      <c r="DD142" s="20"/>
      <c r="DE142" s="20"/>
      <c r="DF142" s="20"/>
      <c r="DG142" s="20"/>
      <c r="DH142" s="20"/>
      <c r="DI142" s="20"/>
      <c r="DJ142" s="20"/>
      <c r="DK142" s="20"/>
      <c r="DL142" s="20"/>
      <c r="DM142" s="20"/>
      <c r="DN142" s="20"/>
      <c r="DO142" s="20"/>
      <c r="DP142" s="20"/>
      <c r="DQ142" s="20"/>
      <c r="DR142" s="20"/>
      <c r="DS142" s="20"/>
      <c r="DT142" s="20"/>
      <c r="DU142" s="20"/>
      <c r="DV142" s="20"/>
      <c r="DW142" s="20"/>
      <c r="DX142" s="20"/>
      <c r="DY142" s="20"/>
      <c r="DZ142" s="20"/>
      <c r="EA142" s="20"/>
      <c r="EB142" s="20"/>
      <c r="EC142" s="20"/>
      <c r="ED142" s="20"/>
      <c r="EE142" s="20"/>
      <c r="EF142" s="20"/>
      <c r="EG142" s="20"/>
      <c r="EH142" s="20"/>
      <c r="EI142" s="20"/>
    </row>
    <row r="143" spans="1:139" x14ac:dyDescent="0.25">
      <c r="A143" s="20"/>
      <c r="B143" s="97" t="s">
        <v>267</v>
      </c>
      <c r="C143" s="100" t="s">
        <v>224</v>
      </c>
      <c r="D143" s="99" t="s">
        <v>122</v>
      </c>
      <c r="E143" s="34">
        <f>(0.037*E141^(0.8)*E139)/(1+2.443*E141^(-0.1)*(E139^0.67-1))</f>
        <v>74.20912908487702</v>
      </c>
      <c r="F143" s="153">
        <f t="shared" ref="F143:K143" si="69">(0.037*F141^(0.8)*F139)/(1+2.443*F141^(-0.1)*(F139^0.67-1))</f>
        <v>75.306096090392828</v>
      </c>
      <c r="G143" s="32">
        <f t="shared" si="69"/>
        <v>93.104700749211872</v>
      </c>
      <c r="H143" s="32">
        <f t="shared" si="69"/>
        <v>95.812826207951474</v>
      </c>
      <c r="I143" s="32">
        <f t="shared" si="69"/>
        <v>45.710887655687735</v>
      </c>
      <c r="J143" s="32">
        <f t="shared" si="69"/>
        <v>50.592599682785298</v>
      </c>
      <c r="K143" s="33">
        <f t="shared" si="69"/>
        <v>53.307442413482725</v>
      </c>
      <c r="L143" s="20"/>
      <c r="M143" s="20"/>
      <c r="N143" s="20"/>
      <c r="O143" s="20"/>
      <c r="P143" s="20"/>
      <c r="Q143" s="42"/>
      <c r="R143" s="20"/>
      <c r="S143" s="20"/>
      <c r="T143" s="20"/>
      <c r="U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  <c r="AM143" s="20"/>
      <c r="AN143" s="20"/>
      <c r="AO143" s="20"/>
      <c r="AP143" s="20"/>
      <c r="AQ143" s="20"/>
      <c r="AR143" s="20"/>
      <c r="AS143" s="20"/>
      <c r="AT143" s="20"/>
      <c r="AU143" s="20"/>
      <c r="AV143" s="20"/>
      <c r="AW143" s="20"/>
      <c r="AX143" s="20"/>
      <c r="AY143" s="20"/>
      <c r="AZ143" s="20"/>
      <c r="BA143" s="20"/>
      <c r="BB143" s="20"/>
      <c r="BC143" s="20"/>
      <c r="BD143" s="20"/>
      <c r="BE143" s="20"/>
      <c r="BF143" s="20"/>
      <c r="BG143" s="20"/>
      <c r="BH143" s="20"/>
      <c r="BI143" s="20"/>
      <c r="BJ143" s="20"/>
      <c r="BK143" s="20"/>
      <c r="BL143" s="20"/>
      <c r="BM143" s="20"/>
      <c r="BN143" s="20"/>
      <c r="BO143" s="20"/>
      <c r="BP143" s="20"/>
      <c r="BQ143" s="20"/>
      <c r="BR143" s="20"/>
      <c r="BS143" s="20"/>
      <c r="BT143" s="20"/>
      <c r="BU143" s="20"/>
      <c r="BV143" s="20"/>
      <c r="BW143" s="20"/>
      <c r="BX143" s="20"/>
      <c r="BY143" s="20"/>
      <c r="BZ143" s="20"/>
      <c r="CA143" s="20"/>
      <c r="CB143" s="20"/>
      <c r="CC143" s="20"/>
      <c r="CD143" s="20"/>
      <c r="CE143" s="20"/>
      <c r="CF143" s="20"/>
      <c r="CG143" s="20"/>
      <c r="CH143" s="20"/>
      <c r="CI143" s="20"/>
      <c r="CJ143" s="20"/>
      <c r="CK143" s="20"/>
      <c r="CL143" s="20"/>
      <c r="CM143" s="20"/>
      <c r="CN143" s="20"/>
      <c r="CO143" s="20"/>
      <c r="CP143" s="20"/>
      <c r="CQ143" s="20"/>
      <c r="CR143" s="20"/>
      <c r="CS143" s="20"/>
      <c r="CT143" s="20"/>
      <c r="CU143" s="20"/>
      <c r="CV143" s="20"/>
      <c r="CW143" s="20"/>
      <c r="CX143" s="20"/>
      <c r="CY143" s="20"/>
      <c r="CZ143" s="20"/>
      <c r="DA143" s="20"/>
      <c r="DB143" s="20"/>
      <c r="DC143" s="20"/>
      <c r="DD143" s="20"/>
      <c r="DE143" s="20"/>
      <c r="DF143" s="20"/>
      <c r="DG143" s="20"/>
      <c r="DH143" s="20"/>
      <c r="DI143" s="20"/>
      <c r="DJ143" s="20"/>
      <c r="DK143" s="20"/>
      <c r="DL143" s="20"/>
      <c r="DM143" s="20"/>
      <c r="DN143" s="20"/>
      <c r="DO143" s="20"/>
      <c r="DP143" s="20"/>
      <c r="DQ143" s="20"/>
      <c r="DR143" s="20"/>
      <c r="DS143" s="20"/>
      <c r="DT143" s="20"/>
      <c r="DU143" s="20"/>
      <c r="DV143" s="20"/>
      <c r="DW143" s="20"/>
      <c r="DX143" s="20"/>
      <c r="DY143" s="20"/>
      <c r="DZ143" s="20"/>
      <c r="EA143" s="20"/>
      <c r="EB143" s="20"/>
      <c r="EC143" s="20"/>
      <c r="ED143" s="20"/>
      <c r="EE143" s="20"/>
      <c r="EF143" s="20"/>
      <c r="EG143" s="20"/>
      <c r="EH143" s="20"/>
      <c r="EI143" s="20"/>
    </row>
    <row r="144" spans="1:139" x14ac:dyDescent="0.25">
      <c r="A144" s="20"/>
      <c r="B144" s="97" t="s">
        <v>268</v>
      </c>
      <c r="C144" s="100" t="s">
        <v>224</v>
      </c>
      <c r="D144" s="99" t="s">
        <v>122</v>
      </c>
      <c r="E144" s="34">
        <f t="shared" ref="E144:K144" si="70">SQRT(E142^2+E143^2)</f>
        <v>105.7122175932373</v>
      </c>
      <c r="F144" s="153">
        <f t="shared" si="70"/>
        <v>106.96046697950867</v>
      </c>
      <c r="G144" s="32">
        <f t="shared" si="70"/>
        <v>127.37655161378905</v>
      </c>
      <c r="H144" s="32">
        <f t="shared" si="70"/>
        <v>130.44409199966523</v>
      </c>
      <c r="I144" s="32">
        <f t="shared" si="70"/>
        <v>71.654061146407244</v>
      </c>
      <c r="J144" s="32">
        <f t="shared" si="70"/>
        <v>77.567061773652881</v>
      </c>
      <c r="K144" s="33">
        <f t="shared" si="70"/>
        <v>80.828736107560957</v>
      </c>
      <c r="L144" s="20"/>
      <c r="M144" s="20"/>
      <c r="N144" s="20"/>
      <c r="O144" s="20"/>
      <c r="P144" s="20"/>
      <c r="Q144" s="42"/>
      <c r="R144" s="20"/>
      <c r="S144" s="20"/>
      <c r="T144" s="20"/>
      <c r="U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  <c r="AM144" s="20"/>
      <c r="AN144" s="20"/>
      <c r="AO144" s="20"/>
      <c r="AP144" s="20"/>
      <c r="AQ144" s="20"/>
      <c r="AR144" s="20"/>
      <c r="AS144" s="20"/>
      <c r="AT144" s="20"/>
      <c r="AU144" s="20"/>
      <c r="AV144" s="20"/>
      <c r="AW144" s="20"/>
      <c r="AX144" s="20"/>
      <c r="AY144" s="20"/>
      <c r="AZ144" s="20"/>
      <c r="BA144" s="20"/>
      <c r="BB144" s="20"/>
      <c r="BC144" s="20"/>
      <c r="BD144" s="20"/>
      <c r="BE144" s="20"/>
      <c r="BF144" s="20"/>
      <c r="BG144" s="20"/>
      <c r="BH144" s="20"/>
      <c r="BI144" s="20"/>
      <c r="BJ144" s="20"/>
      <c r="BK144" s="20"/>
      <c r="BL144" s="20"/>
      <c r="BM144" s="20"/>
      <c r="BN144" s="20"/>
      <c r="BO144" s="20"/>
      <c r="BP144" s="20"/>
      <c r="BQ144" s="20"/>
      <c r="BR144" s="20"/>
      <c r="BS144" s="20"/>
      <c r="BT144" s="20"/>
      <c r="BU144" s="20"/>
      <c r="BV144" s="20"/>
      <c r="BW144" s="20"/>
      <c r="BX144" s="20"/>
      <c r="BY144" s="20"/>
      <c r="BZ144" s="20"/>
      <c r="CA144" s="20"/>
      <c r="CB144" s="20"/>
      <c r="CC144" s="20"/>
      <c r="CD144" s="20"/>
      <c r="CE144" s="20"/>
      <c r="CF144" s="20"/>
      <c r="CG144" s="20"/>
      <c r="CH144" s="20"/>
      <c r="CI144" s="20"/>
      <c r="CJ144" s="20"/>
      <c r="CK144" s="20"/>
      <c r="CL144" s="20"/>
      <c r="CM144" s="20"/>
      <c r="CN144" s="20"/>
      <c r="CO144" s="20"/>
      <c r="CP144" s="20"/>
      <c r="CQ144" s="20"/>
      <c r="CR144" s="20"/>
      <c r="CS144" s="20"/>
      <c r="CT144" s="20"/>
      <c r="CU144" s="20"/>
      <c r="CV144" s="20"/>
      <c r="CW144" s="20"/>
      <c r="CX144" s="20"/>
      <c r="CY144" s="20"/>
      <c r="CZ144" s="20"/>
      <c r="DA144" s="20"/>
      <c r="DB144" s="20"/>
      <c r="DC144" s="20"/>
      <c r="DD144" s="20"/>
      <c r="DE144" s="20"/>
      <c r="DF144" s="20"/>
      <c r="DG144" s="20"/>
      <c r="DH144" s="20"/>
      <c r="DI144" s="20"/>
      <c r="DJ144" s="20"/>
      <c r="DK144" s="20"/>
      <c r="DL144" s="20"/>
      <c r="DM144" s="20"/>
      <c r="DN144" s="20"/>
      <c r="DO144" s="20"/>
      <c r="DP144" s="20"/>
      <c r="DQ144" s="20"/>
      <c r="DR144" s="20"/>
      <c r="DS144" s="20"/>
      <c r="DT144" s="20"/>
      <c r="DU144" s="20"/>
      <c r="DV144" s="20"/>
      <c r="DW144" s="20"/>
      <c r="DX144" s="20"/>
      <c r="DY144" s="20"/>
      <c r="DZ144" s="20"/>
      <c r="EA144" s="20"/>
      <c r="EB144" s="20"/>
      <c r="EC144" s="20"/>
      <c r="ED144" s="20"/>
      <c r="EE144" s="20"/>
      <c r="EF144" s="20"/>
      <c r="EG144" s="20"/>
      <c r="EH144" s="20"/>
      <c r="EI144" s="20"/>
    </row>
    <row r="145" spans="1:139" x14ac:dyDescent="0.25">
      <c r="A145" s="20"/>
      <c r="B145" s="97" t="s">
        <v>265</v>
      </c>
      <c r="C145" s="100" t="s">
        <v>224</v>
      </c>
      <c r="D145" s="99" t="s">
        <v>122</v>
      </c>
      <c r="E145" s="34">
        <f>2+ (0.4*E141^0.5+0.06*E141^(2/3))*E139^(0.4)*(E131/E137)^(1/4)</f>
        <v>96.233387859009298</v>
      </c>
      <c r="F145" s="153">
        <f t="shared" ref="F145:K145" si="71">2+ (0.4*F141^0.5+0.06*F141^(2/3))*F139^(0.4)*(F131/F137)^(1/4)</f>
        <v>95.919149297311563</v>
      </c>
      <c r="G145" s="32">
        <f t="shared" si="71"/>
        <v>109.47847708755553</v>
      </c>
      <c r="H145" s="32">
        <f t="shared" si="71"/>
        <v>111.47926993470982</v>
      </c>
      <c r="I145" s="32">
        <f t="shared" si="71"/>
        <v>66.443969213336445</v>
      </c>
      <c r="J145" s="32">
        <f t="shared" si="71"/>
        <v>69.290345060742979</v>
      </c>
      <c r="K145" s="33">
        <f t="shared" si="71"/>
        <v>63.814277282539415</v>
      </c>
      <c r="L145" s="20"/>
      <c r="M145" s="20"/>
      <c r="N145" s="20"/>
      <c r="O145" s="20"/>
      <c r="P145" s="20"/>
      <c r="Q145" s="42"/>
      <c r="R145" s="20"/>
      <c r="S145" s="20"/>
      <c r="T145" s="20"/>
      <c r="U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  <c r="AQ145" s="20"/>
      <c r="AR145" s="20"/>
      <c r="AS145" s="20"/>
      <c r="AT145" s="20"/>
      <c r="AU145" s="20"/>
      <c r="AV145" s="20"/>
      <c r="AW145" s="20"/>
      <c r="AX145" s="20"/>
      <c r="AY145" s="20"/>
      <c r="AZ145" s="20"/>
      <c r="BA145" s="20"/>
      <c r="BB145" s="20"/>
      <c r="BC145" s="20"/>
      <c r="BD145" s="20"/>
      <c r="BE145" s="20"/>
      <c r="BF145" s="20"/>
      <c r="BG145" s="20"/>
      <c r="BH145" s="20"/>
      <c r="BI145" s="20"/>
      <c r="BJ145" s="20"/>
      <c r="BK145" s="20"/>
      <c r="BL145" s="20"/>
      <c r="BM145" s="20"/>
      <c r="BN145" s="20"/>
      <c r="BO145" s="20"/>
      <c r="BP145" s="20"/>
      <c r="BQ145" s="20"/>
      <c r="BR145" s="20"/>
      <c r="BS145" s="20"/>
      <c r="BT145" s="20"/>
      <c r="BU145" s="20"/>
      <c r="BV145" s="20"/>
      <c r="BW145" s="20"/>
      <c r="BX145" s="20"/>
      <c r="BY145" s="20"/>
      <c r="BZ145" s="20"/>
      <c r="CA145" s="20"/>
      <c r="CB145" s="20"/>
      <c r="CC145" s="20"/>
      <c r="CD145" s="20"/>
      <c r="CE145" s="20"/>
      <c r="CF145" s="20"/>
      <c r="CG145" s="20"/>
      <c r="CH145" s="20"/>
      <c r="CI145" s="20"/>
      <c r="CJ145" s="20"/>
      <c r="CK145" s="20"/>
      <c r="CL145" s="20"/>
      <c r="CM145" s="20"/>
      <c r="CN145" s="20"/>
      <c r="CO145" s="20"/>
      <c r="CP145" s="20"/>
      <c r="CQ145" s="20"/>
      <c r="CR145" s="20"/>
      <c r="CS145" s="20"/>
      <c r="CT145" s="20"/>
      <c r="CU145" s="20"/>
      <c r="CV145" s="20"/>
      <c r="CW145" s="20"/>
      <c r="CX145" s="20"/>
      <c r="CY145" s="20"/>
      <c r="CZ145" s="20"/>
      <c r="DA145" s="20"/>
      <c r="DB145" s="20"/>
      <c r="DC145" s="20"/>
      <c r="DD145" s="20"/>
      <c r="DE145" s="20"/>
      <c r="DF145" s="20"/>
      <c r="DG145" s="20"/>
      <c r="DH145" s="20"/>
      <c r="DI145" s="20"/>
      <c r="DJ145" s="20"/>
      <c r="DK145" s="20"/>
      <c r="DL145" s="20"/>
      <c r="DM145" s="20"/>
      <c r="DN145" s="20"/>
      <c r="DO145" s="20"/>
      <c r="DP145" s="20"/>
      <c r="DQ145" s="20"/>
      <c r="DR145" s="20"/>
      <c r="DS145" s="20"/>
      <c r="DT145" s="20"/>
      <c r="DU145" s="20"/>
      <c r="DV145" s="20"/>
      <c r="DW145" s="20"/>
      <c r="DX145" s="20"/>
      <c r="DY145" s="20"/>
      <c r="DZ145" s="20"/>
      <c r="EA145" s="20"/>
      <c r="EB145" s="20"/>
      <c r="EC145" s="20"/>
      <c r="ED145" s="20"/>
      <c r="EE145" s="20"/>
      <c r="EF145" s="20"/>
      <c r="EG145" s="20"/>
      <c r="EH145" s="20"/>
      <c r="EI145" s="20"/>
    </row>
    <row r="146" spans="1:139" ht="15.75" thickBot="1" x14ac:dyDescent="0.3">
      <c r="A146" s="20"/>
      <c r="B146" s="105" t="s">
        <v>269</v>
      </c>
      <c r="C146" s="106" t="s">
        <v>224</v>
      </c>
      <c r="D146" s="107" t="s">
        <v>122</v>
      </c>
      <c r="E146" s="532">
        <f>2.36*(0.027*E141^0.8*E139^(1/3)*(E131/E137)^(1/4))-13.6</f>
        <v>142.40566667053176</v>
      </c>
      <c r="F146" s="533">
        <f t="shared" ref="F146:K146" si="72">2.36*(0.027*F141^0.8*F139^(1/3)*(F131/F137)^(1/4))-13.6</f>
        <v>142.69729060225328</v>
      </c>
      <c r="G146" s="534">
        <f t="shared" si="72"/>
        <v>176.7141353211718</v>
      </c>
      <c r="H146" s="534">
        <f t="shared" si="72"/>
        <v>181.92100949453106</v>
      </c>
      <c r="I146" s="534">
        <f t="shared" si="72"/>
        <v>79.160773675616625</v>
      </c>
      <c r="J146" s="534">
        <f t="shared" si="72"/>
        <v>86.417057471694733</v>
      </c>
      <c r="K146" s="535">
        <f t="shared" si="72"/>
        <v>79.797077192980808</v>
      </c>
      <c r="L146" s="20"/>
      <c r="M146" s="20"/>
      <c r="N146" s="20"/>
      <c r="O146" s="20"/>
      <c r="P146" s="20"/>
      <c r="Q146" s="42"/>
      <c r="R146" s="20"/>
      <c r="S146" s="20"/>
      <c r="T146" s="20"/>
      <c r="U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20"/>
      <c r="AM146" s="20"/>
      <c r="AN146" s="20"/>
      <c r="AO146" s="20"/>
      <c r="AP146" s="20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  <c r="BA146" s="20"/>
      <c r="BB146" s="20"/>
      <c r="BC146" s="20"/>
      <c r="BD146" s="20"/>
      <c r="BE146" s="20"/>
      <c r="BF146" s="20"/>
      <c r="BG146" s="20"/>
      <c r="BH146" s="20"/>
      <c r="BI146" s="20"/>
      <c r="BJ146" s="20"/>
      <c r="BK146" s="20"/>
      <c r="BL146" s="20"/>
      <c r="BM146" s="20"/>
      <c r="BN146" s="20"/>
      <c r="BO146" s="20"/>
      <c r="BP146" s="2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  <c r="CG146" s="20"/>
      <c r="CH146" s="20"/>
      <c r="CI146" s="20"/>
      <c r="CJ146" s="20"/>
      <c r="CK146" s="20"/>
      <c r="CL146" s="20"/>
      <c r="CM146" s="20"/>
      <c r="CN146" s="20"/>
      <c r="CO146" s="20"/>
      <c r="CP146" s="20"/>
      <c r="CQ146" s="20"/>
      <c r="CR146" s="20"/>
      <c r="CS146" s="20"/>
      <c r="CT146" s="20"/>
      <c r="CU146" s="20"/>
      <c r="CV146" s="20"/>
      <c r="CW146" s="20"/>
      <c r="CX146" s="20"/>
      <c r="CY146" s="20"/>
      <c r="CZ146" s="20"/>
      <c r="DA146" s="20"/>
      <c r="DB146" s="20"/>
      <c r="DC146" s="20"/>
      <c r="DD146" s="20"/>
      <c r="DE146" s="20"/>
      <c r="DF146" s="20"/>
      <c r="DG146" s="20"/>
      <c r="DH146" s="20"/>
      <c r="DI146" s="20"/>
      <c r="DJ146" s="20"/>
      <c r="DK146" s="20"/>
      <c r="DL146" s="20"/>
      <c r="DM146" s="20"/>
      <c r="DN146" s="20"/>
      <c r="DO146" s="20"/>
      <c r="DP146" s="20"/>
      <c r="DQ146" s="20"/>
      <c r="DR146" s="20"/>
      <c r="DS146" s="20"/>
      <c r="DT146" s="20"/>
      <c r="DU146" s="20"/>
      <c r="DV146" s="20"/>
      <c r="DW146" s="20"/>
      <c r="DX146" s="20"/>
      <c r="DY146" s="20"/>
      <c r="DZ146" s="20"/>
      <c r="EA146" s="20"/>
      <c r="EB146" s="20"/>
      <c r="EC146" s="20"/>
      <c r="ED146" s="20"/>
      <c r="EE146" s="20"/>
      <c r="EF146" s="20"/>
      <c r="EG146" s="20"/>
      <c r="EH146" s="20"/>
      <c r="EI146" s="20"/>
    </row>
    <row r="147" spans="1:139" x14ac:dyDescent="0.25">
      <c r="A147" s="20"/>
      <c r="B147" s="118" t="s">
        <v>223</v>
      </c>
      <c r="C147" s="130" t="s">
        <v>224</v>
      </c>
      <c r="D147" s="131" t="s">
        <v>122</v>
      </c>
      <c r="E147" s="142">
        <f>+E145</f>
        <v>96.233387859009298</v>
      </c>
      <c r="F147" s="152">
        <f>+F145</f>
        <v>95.919149297311563</v>
      </c>
      <c r="G147" s="143">
        <f>+G143</f>
        <v>93.104700749211872</v>
      </c>
      <c r="H147" s="143">
        <f>+H143</f>
        <v>95.812826207951474</v>
      </c>
      <c r="I147" s="143">
        <f>+I143</f>
        <v>45.710887655687735</v>
      </c>
      <c r="J147" s="143">
        <f t="shared" ref="J147:K147" si="73">+J143</f>
        <v>50.592599682785298</v>
      </c>
      <c r="K147" s="144">
        <f t="shared" si="73"/>
        <v>53.307442413482725</v>
      </c>
      <c r="L147" s="20"/>
      <c r="M147" s="20"/>
      <c r="N147" s="20"/>
      <c r="O147" s="20"/>
      <c r="P147" s="20"/>
      <c r="Q147" s="42"/>
      <c r="R147" s="20"/>
      <c r="S147" s="20"/>
      <c r="T147" s="20"/>
      <c r="U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20"/>
      <c r="AM147" s="20"/>
      <c r="AN147" s="20"/>
      <c r="AO147" s="20"/>
      <c r="AP147" s="20"/>
      <c r="AQ147" s="20"/>
      <c r="AR147" s="20"/>
      <c r="AS147" s="20"/>
      <c r="AT147" s="20"/>
      <c r="AU147" s="20"/>
      <c r="AV147" s="20"/>
      <c r="AW147" s="20"/>
      <c r="AX147" s="20"/>
      <c r="AY147" s="20"/>
      <c r="AZ147" s="20"/>
      <c r="BA147" s="20"/>
      <c r="BB147" s="20"/>
      <c r="BC147" s="20"/>
      <c r="BD147" s="20"/>
      <c r="BE147" s="20"/>
      <c r="BF147" s="20"/>
      <c r="BG147" s="20"/>
      <c r="BH147" s="20"/>
      <c r="BI147" s="20"/>
      <c r="BJ147" s="20"/>
      <c r="BK147" s="20"/>
      <c r="BL147" s="20"/>
      <c r="BM147" s="20"/>
      <c r="BN147" s="20"/>
      <c r="BO147" s="20"/>
      <c r="BP147" s="20"/>
      <c r="BQ147" s="20"/>
      <c r="BR147" s="20"/>
      <c r="BS147" s="20"/>
      <c r="BT147" s="20"/>
      <c r="BU147" s="20"/>
      <c r="BV147" s="20"/>
      <c r="BW147" s="20"/>
      <c r="BX147" s="20"/>
      <c r="BY147" s="20"/>
      <c r="BZ147" s="20"/>
      <c r="CA147" s="20"/>
      <c r="CB147" s="20"/>
      <c r="CC147" s="20"/>
      <c r="CD147" s="20"/>
      <c r="CE147" s="20"/>
      <c r="CF147" s="20"/>
      <c r="CG147" s="20"/>
      <c r="CH147" s="20"/>
      <c r="CI147" s="20"/>
      <c r="CJ147" s="20"/>
      <c r="CK147" s="20"/>
      <c r="CL147" s="20"/>
      <c r="CM147" s="20"/>
      <c r="CN147" s="20"/>
      <c r="CO147" s="20"/>
      <c r="CP147" s="20"/>
      <c r="CQ147" s="20"/>
      <c r="CR147" s="20"/>
      <c r="CS147" s="20"/>
      <c r="CT147" s="20"/>
      <c r="CU147" s="20"/>
      <c r="CV147" s="20"/>
      <c r="CW147" s="20"/>
      <c r="CX147" s="20"/>
      <c r="CY147" s="20"/>
      <c r="CZ147" s="20"/>
      <c r="DA147" s="20"/>
      <c r="DB147" s="20"/>
      <c r="DC147" s="20"/>
      <c r="DD147" s="20"/>
      <c r="DE147" s="20"/>
      <c r="DF147" s="20"/>
      <c r="DG147" s="20"/>
      <c r="DH147" s="20"/>
      <c r="DI147" s="20"/>
      <c r="DJ147" s="20"/>
      <c r="DK147" s="20"/>
      <c r="DL147" s="20"/>
      <c r="DM147" s="20"/>
      <c r="DN147" s="20"/>
      <c r="DO147" s="20"/>
      <c r="DP147" s="20"/>
      <c r="DQ147" s="20"/>
      <c r="DR147" s="20"/>
      <c r="DS147" s="20"/>
      <c r="DT147" s="20"/>
      <c r="DU147" s="20"/>
      <c r="DV147" s="20"/>
      <c r="DW147" s="20"/>
      <c r="DX147" s="20"/>
      <c r="DY147" s="20"/>
      <c r="DZ147" s="20"/>
      <c r="EA147" s="20"/>
      <c r="EB147" s="20"/>
      <c r="EC147" s="20"/>
      <c r="ED147" s="20"/>
      <c r="EE147" s="20"/>
      <c r="EF147" s="20"/>
      <c r="EG147" s="20"/>
      <c r="EH147" s="20"/>
      <c r="EI147" s="20"/>
    </row>
    <row r="148" spans="1:139" x14ac:dyDescent="0.25">
      <c r="A148" s="20"/>
      <c r="B148" s="97" t="s">
        <v>113</v>
      </c>
      <c r="C148" s="100" t="s">
        <v>114</v>
      </c>
      <c r="D148" s="99" t="s">
        <v>61</v>
      </c>
      <c r="E148" s="246">
        <f>+E140</f>
        <v>1.1779935275080906</v>
      </c>
      <c r="F148" s="179">
        <f t="shared" ref="F148:K148" si="74">+F140</f>
        <v>0.90462143559488684</v>
      </c>
      <c r="G148" s="179">
        <f t="shared" si="74"/>
        <v>0.87358632822317162</v>
      </c>
      <c r="H148" s="179">
        <f t="shared" si="74"/>
        <v>0.84751864232450502</v>
      </c>
      <c r="I148" s="179">
        <f t="shared" si="74"/>
        <v>0.23391158365976497</v>
      </c>
      <c r="J148" s="179">
        <f t="shared" si="74"/>
        <v>0.18597618597618595</v>
      </c>
      <c r="K148" s="180">
        <f t="shared" si="74"/>
        <v>0.18597618597618595</v>
      </c>
      <c r="L148" s="20"/>
      <c r="M148" s="20"/>
      <c r="N148" s="20"/>
      <c r="O148" s="20"/>
      <c r="P148" s="20"/>
      <c r="Q148" s="42"/>
      <c r="R148" s="20"/>
      <c r="S148" s="20"/>
      <c r="T148" s="20"/>
      <c r="U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20"/>
      <c r="AM148" s="20"/>
      <c r="AN148" s="20"/>
      <c r="AO148" s="20"/>
      <c r="AP148" s="20"/>
      <c r="AQ148" s="20"/>
      <c r="AR148" s="20"/>
      <c r="AS148" s="20"/>
      <c r="AT148" s="20"/>
      <c r="AU148" s="20"/>
      <c r="AV148" s="20"/>
      <c r="AW148" s="20"/>
      <c r="AX148" s="20"/>
      <c r="AY148" s="20"/>
      <c r="AZ148" s="20"/>
      <c r="BA148" s="20"/>
      <c r="BB148" s="20"/>
      <c r="BC148" s="20"/>
      <c r="BD148" s="20"/>
      <c r="BE148" s="20"/>
      <c r="BF148" s="20"/>
      <c r="BG148" s="20"/>
      <c r="BH148" s="20"/>
      <c r="BI148" s="20"/>
      <c r="BJ148" s="20"/>
      <c r="BK148" s="20"/>
      <c r="BL148" s="20"/>
      <c r="BM148" s="20"/>
      <c r="BN148" s="20"/>
      <c r="BO148" s="20"/>
      <c r="BP148" s="20"/>
      <c r="BQ148" s="20"/>
      <c r="BR148" s="20"/>
      <c r="BS148" s="20"/>
      <c r="BT148" s="20"/>
      <c r="BU148" s="20"/>
      <c r="BV148" s="20"/>
      <c r="BW148" s="20"/>
      <c r="BX148" s="20"/>
      <c r="BY148" s="20"/>
      <c r="BZ148" s="20"/>
      <c r="CA148" s="20"/>
      <c r="CB148" s="20"/>
      <c r="CC148" s="20"/>
      <c r="CD148" s="20"/>
      <c r="CE148" s="20"/>
      <c r="CF148" s="20"/>
      <c r="CG148" s="20"/>
      <c r="CH148" s="20"/>
      <c r="CI148" s="20"/>
      <c r="CJ148" s="20"/>
      <c r="CK148" s="20"/>
      <c r="CL148" s="20"/>
      <c r="CM148" s="20"/>
      <c r="CN148" s="20"/>
      <c r="CO148" s="20"/>
      <c r="CP148" s="20"/>
      <c r="CQ148" s="20"/>
      <c r="CR148" s="20"/>
      <c r="CS148" s="20"/>
      <c r="CT148" s="20"/>
      <c r="CU148" s="20"/>
      <c r="CV148" s="20"/>
      <c r="CW148" s="20"/>
      <c r="CX148" s="20"/>
      <c r="CY148" s="20"/>
      <c r="CZ148" s="20"/>
      <c r="DA148" s="20"/>
      <c r="DB148" s="20"/>
      <c r="DC148" s="20"/>
      <c r="DD148" s="20"/>
      <c r="DE148" s="20"/>
      <c r="DF148" s="20"/>
      <c r="DG148" s="20"/>
      <c r="DH148" s="20"/>
      <c r="DI148" s="20"/>
      <c r="DJ148" s="20"/>
      <c r="DK148" s="20"/>
      <c r="DL148" s="20"/>
      <c r="DM148" s="20"/>
      <c r="DN148" s="20"/>
      <c r="DO148" s="20"/>
      <c r="DP148" s="20"/>
      <c r="DQ148" s="20"/>
      <c r="DR148" s="20"/>
      <c r="DS148" s="20"/>
      <c r="DT148" s="20"/>
      <c r="DU148" s="20"/>
      <c r="DV148" s="20"/>
      <c r="DW148" s="20"/>
      <c r="DX148" s="20"/>
      <c r="DY148" s="20"/>
      <c r="DZ148" s="20"/>
      <c r="EA148" s="20"/>
      <c r="EB148" s="20"/>
      <c r="EC148" s="20"/>
      <c r="ED148" s="20"/>
      <c r="EE148" s="20"/>
      <c r="EF148" s="20"/>
      <c r="EG148" s="20"/>
      <c r="EH148" s="20"/>
      <c r="EI148" s="20"/>
    </row>
    <row r="149" spans="1:139" x14ac:dyDescent="0.25">
      <c r="A149" s="20"/>
      <c r="B149" s="108" t="s">
        <v>225</v>
      </c>
      <c r="C149" s="98" t="s">
        <v>226</v>
      </c>
      <c r="D149" s="99" t="s">
        <v>28</v>
      </c>
      <c r="E149" s="80">
        <f>+E68</f>
        <v>2.1160000000000001</v>
      </c>
      <c r="F149" s="81">
        <f t="shared" ref="F149:H149" si="75">+F68</f>
        <v>1.583</v>
      </c>
      <c r="G149" s="81">
        <f t="shared" si="75"/>
        <v>0.57699999999999996</v>
      </c>
      <c r="H149" s="81">
        <f t="shared" si="75"/>
        <v>0.57699999999999996</v>
      </c>
      <c r="I149" s="81">
        <f>+I68</f>
        <v>7.6449999999999996</v>
      </c>
      <c r="J149" s="81">
        <f t="shared" ref="J149:K149" si="76">+J68</f>
        <v>7.6449999999999996</v>
      </c>
      <c r="K149" s="81">
        <f t="shared" si="76"/>
        <v>3.89</v>
      </c>
      <c r="L149" s="20"/>
      <c r="M149" s="20"/>
      <c r="N149" s="20"/>
      <c r="O149" s="20"/>
      <c r="P149" s="20"/>
      <c r="Q149" s="42"/>
      <c r="R149" s="20"/>
      <c r="S149" s="20"/>
      <c r="T149" s="20"/>
      <c r="U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20"/>
      <c r="AM149" s="20"/>
      <c r="AN149" s="20"/>
      <c r="AO149" s="20"/>
      <c r="AP149" s="20"/>
      <c r="AQ149" s="20"/>
      <c r="AR149" s="20"/>
      <c r="AS149" s="20"/>
      <c r="AT149" s="20"/>
      <c r="AU149" s="20"/>
      <c r="AV149" s="20"/>
      <c r="AW149" s="20"/>
      <c r="AX149" s="20"/>
      <c r="AY149" s="20"/>
      <c r="AZ149" s="20"/>
      <c r="BA149" s="20"/>
      <c r="BB149" s="20"/>
      <c r="BC149" s="20"/>
      <c r="BD149" s="20"/>
      <c r="BE149" s="20"/>
      <c r="BF149" s="20"/>
      <c r="BG149" s="20"/>
      <c r="BH149" s="20"/>
      <c r="BI149" s="20"/>
      <c r="BJ149" s="20"/>
      <c r="BK149" s="20"/>
      <c r="BL149" s="20"/>
      <c r="BM149" s="20"/>
      <c r="BN149" s="20"/>
      <c r="BO149" s="20"/>
      <c r="BP149" s="20"/>
      <c r="BQ149" s="20"/>
      <c r="BR149" s="20"/>
      <c r="BS149" s="20"/>
      <c r="BT149" s="20"/>
      <c r="BU149" s="20"/>
      <c r="BV149" s="20"/>
      <c r="BW149" s="20"/>
      <c r="BX149" s="20"/>
      <c r="BY149" s="20"/>
      <c r="BZ149" s="20"/>
      <c r="CA149" s="20"/>
      <c r="CB149" s="20"/>
      <c r="CC149" s="20"/>
      <c r="CD149" s="20"/>
      <c r="CE149" s="20"/>
      <c r="CF149" s="20"/>
      <c r="CG149" s="20"/>
      <c r="CH149" s="20"/>
      <c r="CI149" s="20"/>
      <c r="CJ149" s="20"/>
      <c r="CK149" s="20"/>
      <c r="CL149" s="20"/>
      <c r="CM149" s="20"/>
      <c r="CN149" s="20"/>
      <c r="CO149" s="20"/>
      <c r="CP149" s="20"/>
      <c r="CQ149" s="20"/>
      <c r="CR149" s="20"/>
      <c r="CS149" s="20"/>
      <c r="CT149" s="20"/>
      <c r="CU149" s="20"/>
      <c r="CV149" s="20"/>
      <c r="CW149" s="20"/>
      <c r="CX149" s="20"/>
      <c r="CY149" s="20"/>
      <c r="CZ149" s="20"/>
      <c r="DA149" s="20"/>
      <c r="DB149" s="20"/>
      <c r="DC149" s="20"/>
      <c r="DD149" s="20"/>
      <c r="DE149" s="20"/>
      <c r="DF149" s="20"/>
      <c r="DG149" s="20"/>
      <c r="DH149" s="20"/>
      <c r="DI149" s="20"/>
      <c r="DJ149" s="20"/>
      <c r="DK149" s="20"/>
      <c r="DL149" s="20"/>
      <c r="DM149" s="20"/>
      <c r="DN149" s="20"/>
      <c r="DO149" s="20"/>
      <c r="DP149" s="20"/>
      <c r="DQ149" s="20"/>
      <c r="DR149" s="20"/>
      <c r="DS149" s="20"/>
      <c r="DT149" s="20"/>
      <c r="DU149" s="20"/>
      <c r="DV149" s="20"/>
      <c r="DW149" s="20"/>
      <c r="DX149" s="20"/>
      <c r="DY149" s="20"/>
      <c r="DZ149" s="20"/>
      <c r="EA149" s="20"/>
      <c r="EB149" s="20"/>
      <c r="EC149" s="20"/>
      <c r="ED149" s="20"/>
      <c r="EE149" s="20"/>
      <c r="EF149" s="20"/>
      <c r="EG149" s="20"/>
      <c r="EH149" s="20"/>
      <c r="EI149" s="20"/>
    </row>
    <row r="150" spans="1:139" x14ac:dyDescent="0.25">
      <c r="A150" s="20"/>
      <c r="B150" s="97" t="s">
        <v>227</v>
      </c>
      <c r="C150" s="98" t="s">
        <v>60</v>
      </c>
      <c r="D150" s="99" t="s">
        <v>228</v>
      </c>
      <c r="E150" s="109">
        <f>E147*E132/E148</f>
        <v>6.6669346944701882E-3</v>
      </c>
      <c r="F150" s="155">
        <f>F147*F132/F148</f>
        <v>8.1809514004822174E-3</v>
      </c>
      <c r="G150" s="110">
        <f>G147*G132/G148</f>
        <v>7.9790779032648251E-3</v>
      </c>
      <c r="H150" s="110">
        <f>H147*H132/H148</f>
        <v>8.3252578285737035E-3</v>
      </c>
      <c r="I150" s="110">
        <f>I147*I132/I148</f>
        <v>1.3218574583907882E-2</v>
      </c>
      <c r="J150" s="110">
        <f t="shared" ref="J150:K150" si="77">J147*J132/J148</f>
        <v>1.5955823967149309E-2</v>
      </c>
      <c r="K150" s="111">
        <f t="shared" si="77"/>
        <v>1.5479080578960348E-2</v>
      </c>
      <c r="L150" s="20"/>
      <c r="M150" s="20"/>
      <c r="N150" s="20"/>
      <c r="O150" s="20"/>
      <c r="P150" s="20"/>
      <c r="Q150" s="42"/>
      <c r="R150" s="20"/>
      <c r="S150" s="20"/>
      <c r="T150" s="20"/>
      <c r="U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20"/>
      <c r="AM150" s="20"/>
      <c r="AN150" s="20"/>
      <c r="AO150" s="20"/>
      <c r="AP150" s="20"/>
      <c r="AQ150" s="20"/>
      <c r="AR150" s="20"/>
      <c r="AS150" s="20"/>
      <c r="AT150" s="20"/>
      <c r="AU150" s="20"/>
      <c r="AV150" s="20"/>
      <c r="AW150" s="20"/>
      <c r="AX150" s="20"/>
      <c r="AY150" s="20"/>
      <c r="AZ150" s="20"/>
      <c r="BA150" s="20"/>
      <c r="BB150" s="20"/>
      <c r="BC150" s="20"/>
      <c r="BD150" s="20"/>
      <c r="BE150" s="20"/>
      <c r="BF150" s="20"/>
      <c r="BG150" s="20"/>
      <c r="BH150" s="20"/>
      <c r="BI150" s="20"/>
      <c r="BJ150" s="20"/>
      <c r="BK150" s="20"/>
      <c r="BL150" s="20"/>
      <c r="BM150" s="20"/>
      <c r="BN150" s="20"/>
      <c r="BO150" s="20"/>
      <c r="BP150" s="20"/>
      <c r="BQ150" s="20"/>
      <c r="BR150" s="20"/>
      <c r="BS150" s="20"/>
      <c r="BT150" s="20"/>
      <c r="BU150" s="20"/>
      <c r="BV150" s="20"/>
      <c r="BW150" s="20"/>
      <c r="BX150" s="20"/>
      <c r="BY150" s="20"/>
      <c r="BZ150" s="20"/>
      <c r="CA150" s="20"/>
      <c r="CB150" s="20"/>
      <c r="CC150" s="20"/>
      <c r="CD150" s="20"/>
      <c r="CE150" s="20"/>
      <c r="CF150" s="20"/>
      <c r="CG150" s="20"/>
      <c r="CH150" s="20"/>
      <c r="CI150" s="20"/>
      <c r="CJ150" s="20"/>
      <c r="CK150" s="20"/>
      <c r="CL150" s="20"/>
      <c r="CM150" s="20"/>
      <c r="CN150" s="20"/>
      <c r="CO150" s="20"/>
      <c r="CP150" s="20"/>
      <c r="CQ150" s="20"/>
      <c r="CR150" s="20"/>
      <c r="CS150" s="20"/>
      <c r="CT150" s="20"/>
      <c r="CU150" s="20"/>
      <c r="CV150" s="20"/>
      <c r="CW150" s="20"/>
      <c r="CX150" s="20"/>
      <c r="CY150" s="20"/>
      <c r="CZ150" s="20"/>
      <c r="DA150" s="20"/>
      <c r="DB150" s="20"/>
      <c r="DC150" s="20"/>
      <c r="DD150" s="20"/>
      <c r="DE150" s="20"/>
      <c r="DF150" s="20"/>
      <c r="DG150" s="20"/>
      <c r="DH150" s="20"/>
      <c r="DI150" s="20"/>
      <c r="DJ150" s="20"/>
      <c r="DK150" s="20"/>
      <c r="DL150" s="20"/>
      <c r="DM150" s="20"/>
      <c r="DN150" s="20"/>
      <c r="DO150" s="20"/>
      <c r="DP150" s="20"/>
      <c r="DQ150" s="20"/>
      <c r="DR150" s="20"/>
      <c r="DS150" s="20"/>
      <c r="DT150" s="20"/>
      <c r="DU150" s="20"/>
      <c r="DV150" s="20"/>
      <c r="DW150" s="20"/>
      <c r="DX150" s="20"/>
      <c r="DY150" s="20"/>
      <c r="DZ150" s="20"/>
      <c r="EA150" s="20"/>
      <c r="EB150" s="20"/>
      <c r="EC150" s="20"/>
      <c r="ED150" s="20"/>
      <c r="EE150" s="20"/>
      <c r="EF150" s="20"/>
      <c r="EG150" s="20"/>
      <c r="EH150" s="20"/>
      <c r="EI150" s="20"/>
    </row>
    <row r="151" spans="1:139" x14ac:dyDescent="0.25">
      <c r="A151" s="20"/>
      <c r="B151" s="97" t="s">
        <v>349</v>
      </c>
      <c r="C151" s="98" t="s">
        <v>60</v>
      </c>
      <c r="D151" s="99" t="s">
        <v>228</v>
      </c>
      <c r="E151" s="132">
        <f>+E150</f>
        <v>6.6669346944701882E-3</v>
      </c>
      <c r="F151" s="156">
        <f>+F150</f>
        <v>8.1809514004822174E-3</v>
      </c>
      <c r="G151" s="129">
        <f>+G150</f>
        <v>7.9790779032648251E-3</v>
      </c>
      <c r="H151" s="129">
        <f>+H150</f>
        <v>8.3252578285737035E-3</v>
      </c>
      <c r="I151" s="129">
        <f>+hcnvi(I150,0.01,I52,I55,I68,I69,I68)</f>
        <v>5.310905842300552E-2</v>
      </c>
      <c r="J151" s="129">
        <f t="shared" ref="J151:K151" si="78">+hcnvi(J150,0.01,J52,J55,J68,J69,J68)</f>
        <v>6.1713955106967248E-2</v>
      </c>
      <c r="K151" s="129">
        <f t="shared" si="78"/>
        <v>5.9783528652312207E-2</v>
      </c>
      <c r="L151" s="20"/>
      <c r="M151" s="20"/>
      <c r="N151" s="20"/>
      <c r="O151" s="20"/>
      <c r="P151" s="20"/>
      <c r="Q151" s="42"/>
      <c r="R151" s="20"/>
      <c r="S151" s="20"/>
      <c r="T151" s="20"/>
      <c r="U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20"/>
      <c r="AM151" s="20"/>
      <c r="AN151" s="20"/>
      <c r="AO151" s="20"/>
      <c r="AP151" s="20"/>
      <c r="AQ151" s="20"/>
      <c r="AR151" s="20"/>
      <c r="AS151" s="20"/>
      <c r="AT151" s="20"/>
      <c r="AU151" s="20"/>
      <c r="AV151" s="20"/>
      <c r="AW151" s="20"/>
      <c r="AX151" s="20"/>
      <c r="AY151" s="20"/>
      <c r="AZ151" s="20"/>
      <c r="BA151" s="20"/>
      <c r="BB151" s="20"/>
      <c r="BC151" s="20"/>
      <c r="BD151" s="20"/>
      <c r="BE151" s="20"/>
      <c r="BF151" s="20"/>
      <c r="BG151" s="20"/>
      <c r="BH151" s="20"/>
      <c r="BI151" s="20"/>
      <c r="BJ151" s="20"/>
      <c r="BK151" s="20"/>
      <c r="BL151" s="20"/>
      <c r="BM151" s="20"/>
      <c r="BN151" s="20"/>
      <c r="BO151" s="20"/>
      <c r="BP151" s="20"/>
      <c r="BQ151" s="20"/>
      <c r="BR151" s="20"/>
      <c r="BS151" s="20"/>
      <c r="BT151" s="20"/>
      <c r="BU151" s="20"/>
      <c r="BV151" s="20"/>
      <c r="BW151" s="20"/>
      <c r="BX151" s="20"/>
      <c r="BY151" s="20"/>
      <c r="BZ151" s="20"/>
      <c r="CA151" s="20"/>
      <c r="CB151" s="20"/>
      <c r="CC151" s="20"/>
      <c r="CD151" s="20"/>
      <c r="CE151" s="20"/>
      <c r="CF151" s="20"/>
      <c r="CG151" s="20"/>
      <c r="CH151" s="20"/>
      <c r="CI151" s="20"/>
      <c r="CJ151" s="20"/>
      <c r="CK151" s="20"/>
      <c r="CL151" s="20"/>
      <c r="CM151" s="20"/>
      <c r="CN151" s="20"/>
      <c r="CO151" s="20"/>
      <c r="CP151" s="20"/>
      <c r="CQ151" s="20"/>
      <c r="CR151" s="20"/>
      <c r="CS151" s="20"/>
      <c r="CT151" s="20"/>
      <c r="CU151" s="20"/>
      <c r="CV151" s="20"/>
      <c r="CW151" s="20"/>
      <c r="CX151" s="20"/>
      <c r="CY151" s="20"/>
      <c r="CZ151" s="20"/>
      <c r="DA151" s="20"/>
      <c r="DB151" s="20"/>
      <c r="DC151" s="20"/>
      <c r="DD151" s="20"/>
      <c r="DE151" s="20"/>
      <c r="DF151" s="20"/>
      <c r="DG151" s="20"/>
      <c r="DH151" s="20"/>
      <c r="DI151" s="20"/>
      <c r="DJ151" s="20"/>
      <c r="DK151" s="20"/>
      <c r="DL151" s="20"/>
      <c r="DM151" s="20"/>
      <c r="DN151" s="20"/>
      <c r="DO151" s="20"/>
      <c r="DP151" s="20"/>
      <c r="DQ151" s="20"/>
      <c r="DR151" s="20"/>
      <c r="DS151" s="20"/>
      <c r="DT151" s="20"/>
      <c r="DU151" s="20"/>
      <c r="DV151" s="20"/>
      <c r="DW151" s="20"/>
      <c r="DX151" s="20"/>
      <c r="DY151" s="20"/>
      <c r="DZ151" s="20"/>
      <c r="EA151" s="20"/>
      <c r="EB151" s="20"/>
      <c r="EC151" s="20"/>
      <c r="ED151" s="20"/>
      <c r="EE151" s="20"/>
      <c r="EF151" s="20"/>
      <c r="EG151" s="20"/>
      <c r="EH151" s="20"/>
      <c r="EI151" s="20"/>
    </row>
    <row r="152" spans="1:139" ht="15.75" thickBot="1" x14ac:dyDescent="0.3">
      <c r="A152" s="20"/>
      <c r="B152" s="112" t="s">
        <v>229</v>
      </c>
      <c r="C152" s="461" t="s">
        <v>230</v>
      </c>
      <c r="D152" s="114" t="s">
        <v>19</v>
      </c>
      <c r="E152" s="115">
        <f t="shared" ref="E152:K152" si="79">E149*E150*(E127-E136)</f>
        <v>10.729967217252765</v>
      </c>
      <c r="F152" s="157">
        <f t="shared" si="79"/>
        <v>8.9225044000140077</v>
      </c>
      <c r="G152" s="116">
        <f t="shared" si="79"/>
        <v>2.8456051070394071</v>
      </c>
      <c r="H152" s="157">
        <f t="shared" si="79"/>
        <v>2.8952636653489225</v>
      </c>
      <c r="I152" s="157">
        <f t="shared" si="79"/>
        <v>58.956337963898783</v>
      </c>
      <c r="J152" s="157">
        <f t="shared" si="79"/>
        <v>54.772298903312752</v>
      </c>
      <c r="K152" s="157">
        <f t="shared" si="79"/>
        <v>3.0895368897933508</v>
      </c>
      <c r="L152" s="20"/>
      <c r="M152" s="20"/>
      <c r="N152" s="20"/>
      <c r="O152" s="20"/>
      <c r="P152" s="20"/>
      <c r="Q152" s="42"/>
      <c r="R152" s="20"/>
      <c r="S152" s="20"/>
      <c r="T152" s="20"/>
      <c r="U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20"/>
      <c r="AM152" s="20"/>
      <c r="AN152" s="20"/>
      <c r="AO152" s="20"/>
      <c r="AP152" s="20"/>
      <c r="AQ152" s="20"/>
      <c r="AR152" s="20"/>
      <c r="AS152" s="20"/>
      <c r="AT152" s="20"/>
      <c r="AU152" s="20"/>
      <c r="AV152" s="20"/>
      <c r="AW152" s="20"/>
      <c r="AX152" s="20"/>
      <c r="AY152" s="20"/>
      <c r="AZ152" s="20"/>
      <c r="BA152" s="20"/>
      <c r="BB152" s="20"/>
      <c r="BC152" s="20"/>
      <c r="BD152" s="20"/>
      <c r="BE152" s="20"/>
      <c r="BF152" s="20"/>
      <c r="BG152" s="20"/>
      <c r="BH152" s="20"/>
      <c r="BI152" s="20"/>
      <c r="BJ152" s="20"/>
      <c r="BK152" s="20"/>
      <c r="BL152" s="20"/>
      <c r="BM152" s="20"/>
      <c r="BN152" s="20"/>
      <c r="BO152" s="20"/>
      <c r="BP152" s="20"/>
      <c r="BQ152" s="20"/>
      <c r="BR152" s="20"/>
      <c r="BS152" s="20"/>
      <c r="BT152" s="20"/>
      <c r="BU152" s="20"/>
      <c r="BV152" s="20"/>
      <c r="BW152" s="20"/>
      <c r="BX152" s="20"/>
      <c r="BY152" s="20"/>
      <c r="BZ152" s="20"/>
      <c r="CA152" s="20"/>
      <c r="CB152" s="20"/>
      <c r="CC152" s="20"/>
      <c r="CD152" s="20"/>
      <c r="CE152" s="20"/>
      <c r="CF152" s="20"/>
      <c r="CG152" s="20"/>
      <c r="CH152" s="20"/>
      <c r="CI152" s="20"/>
      <c r="CJ152" s="20"/>
      <c r="CK152" s="20"/>
      <c r="CL152" s="20"/>
      <c r="CM152" s="20"/>
      <c r="CN152" s="20"/>
      <c r="CO152" s="20"/>
      <c r="CP152" s="20"/>
      <c r="CQ152" s="20"/>
      <c r="CR152" s="20"/>
      <c r="CS152" s="20"/>
      <c r="CT152" s="20"/>
      <c r="CU152" s="20"/>
      <c r="CV152" s="20"/>
      <c r="CW152" s="20"/>
      <c r="CX152" s="20"/>
      <c r="CY152" s="20"/>
      <c r="CZ152" s="20"/>
      <c r="DA152" s="20"/>
      <c r="DB152" s="20"/>
      <c r="DC152" s="20"/>
      <c r="DD152" s="20"/>
      <c r="DE152" s="20"/>
      <c r="DF152" s="20"/>
      <c r="DG152" s="20"/>
      <c r="DH152" s="20"/>
      <c r="DI152" s="20"/>
      <c r="DJ152" s="20"/>
      <c r="DK152" s="20"/>
      <c r="DL152" s="20"/>
      <c r="DM152" s="20"/>
      <c r="DN152" s="20"/>
      <c r="DO152" s="20"/>
      <c r="DP152" s="20"/>
      <c r="DQ152" s="20"/>
      <c r="DR152" s="20"/>
      <c r="DS152" s="20"/>
      <c r="DT152" s="20"/>
      <c r="DU152" s="20"/>
      <c r="DV152" s="20"/>
      <c r="DW152" s="20"/>
      <c r="DX152" s="20"/>
      <c r="DY152" s="20"/>
      <c r="DZ152" s="20"/>
      <c r="EA152" s="20"/>
      <c r="EB152" s="20"/>
      <c r="EC152" s="20"/>
      <c r="ED152" s="20"/>
      <c r="EE152" s="20"/>
      <c r="EF152" s="20"/>
      <c r="EG152" s="20"/>
      <c r="EH152" s="20"/>
      <c r="EI152" s="20"/>
    </row>
    <row r="153" spans="1:139" ht="15.75" thickBot="1" x14ac:dyDescent="0.3">
      <c r="A153" s="42"/>
      <c r="B153" s="42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20"/>
      <c r="S153" s="20"/>
      <c r="T153" s="20"/>
      <c r="U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20"/>
      <c r="AM153" s="20"/>
      <c r="AN153" s="20"/>
      <c r="AO153" s="20"/>
      <c r="AP153" s="20"/>
      <c r="AQ153" s="20"/>
      <c r="AR153" s="20"/>
      <c r="AS153" s="20"/>
      <c r="AT153" s="20"/>
      <c r="AU153" s="20"/>
      <c r="AV153" s="20"/>
      <c r="AW153" s="20"/>
      <c r="AX153" s="20"/>
      <c r="AY153" s="20"/>
      <c r="AZ153" s="20"/>
      <c r="BA153" s="20"/>
      <c r="BB153" s="20"/>
      <c r="BC153" s="20"/>
      <c r="BD153" s="20"/>
      <c r="BE153" s="20"/>
      <c r="BF153" s="20"/>
      <c r="BG153" s="20"/>
      <c r="BH153" s="20"/>
      <c r="BI153" s="20"/>
      <c r="BJ153" s="20"/>
      <c r="BK153" s="20"/>
      <c r="BL153" s="20"/>
      <c r="BM153" s="20"/>
      <c r="BN153" s="20"/>
      <c r="BO153" s="20"/>
      <c r="BP153" s="20"/>
      <c r="BQ153" s="20"/>
      <c r="BR153" s="20"/>
      <c r="BS153" s="20"/>
      <c r="BT153" s="20"/>
      <c r="BU153" s="20"/>
      <c r="BV153" s="20"/>
      <c r="BW153" s="20"/>
      <c r="BX153" s="20"/>
      <c r="BY153" s="20"/>
      <c r="BZ153" s="20"/>
      <c r="CA153" s="20"/>
      <c r="CB153" s="20"/>
      <c r="CC153" s="20"/>
      <c r="CD153" s="20"/>
      <c r="CE153" s="20"/>
      <c r="CF153" s="20"/>
      <c r="CG153" s="20"/>
      <c r="CH153" s="20"/>
      <c r="CI153" s="20"/>
      <c r="CJ153" s="20"/>
      <c r="CK153" s="20"/>
      <c r="CL153" s="20"/>
      <c r="CM153" s="20"/>
      <c r="CN153" s="20"/>
      <c r="CO153" s="20"/>
      <c r="CP153" s="20"/>
      <c r="CQ153" s="20"/>
      <c r="CR153" s="20"/>
      <c r="CS153" s="20"/>
      <c r="CT153" s="20"/>
      <c r="CU153" s="20"/>
      <c r="CV153" s="20"/>
      <c r="CW153" s="20"/>
      <c r="CX153" s="20"/>
      <c r="CY153" s="20"/>
      <c r="CZ153" s="20"/>
      <c r="DA153" s="20"/>
      <c r="DB153" s="20"/>
      <c r="DC153" s="20"/>
      <c r="DD153" s="20"/>
      <c r="DE153" s="20"/>
      <c r="DF153" s="20"/>
      <c r="DG153" s="20"/>
      <c r="DH153" s="20"/>
      <c r="DI153" s="20"/>
      <c r="DJ153" s="20"/>
      <c r="DK153" s="20"/>
      <c r="DL153" s="20"/>
      <c r="DM153" s="20"/>
      <c r="DN153" s="20"/>
      <c r="DO153" s="20"/>
      <c r="DP153" s="20"/>
      <c r="DQ153" s="20"/>
      <c r="DR153" s="20"/>
      <c r="DS153" s="20"/>
      <c r="DT153" s="20"/>
      <c r="DU153" s="20"/>
      <c r="DV153" s="20"/>
      <c r="DW153" s="20"/>
      <c r="DX153" s="20"/>
      <c r="DY153" s="20"/>
      <c r="DZ153" s="20"/>
      <c r="EA153" s="20"/>
      <c r="EB153" s="20"/>
      <c r="EC153" s="20"/>
      <c r="ED153" s="20"/>
      <c r="EE153" s="20"/>
      <c r="EF153" s="20"/>
      <c r="EG153" s="20"/>
      <c r="EH153" s="20"/>
      <c r="EI153" s="20"/>
    </row>
    <row r="154" spans="1:139" ht="15.75" thickBot="1" x14ac:dyDescent="0.3">
      <c r="A154" s="670" t="s">
        <v>351</v>
      </c>
      <c r="B154" s="671"/>
      <c r="C154" s="671"/>
      <c r="D154" s="671"/>
      <c r="E154" s="671"/>
      <c r="F154" s="671"/>
      <c r="G154" s="671"/>
      <c r="H154" s="671"/>
      <c r="I154" s="671"/>
      <c r="J154" s="671"/>
      <c r="K154" s="671"/>
      <c r="L154" s="671"/>
      <c r="M154" s="671"/>
      <c r="N154" s="671"/>
      <c r="O154" s="671"/>
      <c r="P154" s="671"/>
      <c r="Q154" s="671"/>
      <c r="R154" s="671"/>
      <c r="S154" s="671"/>
      <c r="T154" s="671"/>
      <c r="U154" s="672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20"/>
      <c r="AM154" s="20"/>
      <c r="AN154" s="20"/>
      <c r="AO154" s="20"/>
      <c r="AP154" s="20"/>
      <c r="AQ154" s="20"/>
      <c r="AR154" s="20"/>
      <c r="AS154" s="20"/>
      <c r="AT154" s="20"/>
      <c r="AU154" s="20"/>
      <c r="AV154" s="20"/>
      <c r="AW154" s="20"/>
      <c r="AX154" s="20"/>
      <c r="AY154" s="20"/>
      <c r="AZ154" s="20"/>
      <c r="BA154" s="20"/>
      <c r="BB154" s="20"/>
      <c r="BC154" s="20"/>
      <c r="BD154" s="20"/>
      <c r="BE154" s="20"/>
      <c r="BF154" s="20"/>
      <c r="BG154" s="20"/>
      <c r="BH154" s="20"/>
      <c r="BI154" s="20"/>
      <c r="BJ154" s="20"/>
      <c r="BK154" s="20"/>
      <c r="BL154" s="20"/>
      <c r="BM154" s="20"/>
      <c r="BN154" s="20"/>
      <c r="BO154" s="20"/>
      <c r="BP154" s="20"/>
      <c r="BQ154" s="20"/>
      <c r="BR154" s="20"/>
      <c r="BS154" s="20"/>
      <c r="BT154" s="20"/>
      <c r="BU154" s="20"/>
      <c r="BV154" s="20"/>
      <c r="BW154" s="20"/>
      <c r="BX154" s="20"/>
      <c r="BY154" s="20"/>
      <c r="BZ154" s="20"/>
      <c r="CA154" s="20"/>
      <c r="CB154" s="20"/>
      <c r="CC154" s="20"/>
      <c r="CD154" s="20"/>
      <c r="CE154" s="20"/>
      <c r="CF154" s="20"/>
      <c r="CG154" s="20"/>
      <c r="CH154" s="20"/>
      <c r="CI154" s="20"/>
      <c r="CJ154" s="20"/>
      <c r="CK154" s="20"/>
      <c r="CL154" s="20"/>
      <c r="CM154" s="20"/>
      <c r="CN154" s="20"/>
      <c r="CO154" s="20"/>
      <c r="CP154" s="20"/>
      <c r="CQ154" s="20"/>
      <c r="CR154" s="20"/>
      <c r="CS154" s="20"/>
      <c r="CT154" s="20"/>
      <c r="CU154" s="20"/>
      <c r="CV154" s="20"/>
      <c r="CW154" s="20"/>
      <c r="CX154" s="20"/>
      <c r="CY154" s="20"/>
      <c r="CZ154" s="20"/>
      <c r="DA154" s="20"/>
      <c r="DB154" s="20"/>
      <c r="DC154" s="20"/>
      <c r="DD154" s="20"/>
      <c r="DE154" s="20"/>
      <c r="DF154" s="20"/>
      <c r="DG154" s="20"/>
      <c r="DH154" s="20"/>
      <c r="DI154" s="20"/>
      <c r="DJ154" s="20"/>
      <c r="DK154" s="20"/>
      <c r="DL154" s="20"/>
      <c r="DM154" s="20"/>
      <c r="DN154" s="20"/>
      <c r="DO154" s="20"/>
      <c r="DP154" s="20"/>
      <c r="DQ154" s="20"/>
      <c r="DR154" s="20"/>
      <c r="DS154" s="20"/>
      <c r="DT154" s="20"/>
      <c r="DU154" s="20"/>
      <c r="DV154" s="20"/>
      <c r="DW154" s="20"/>
      <c r="DX154" s="20"/>
      <c r="DY154" s="20"/>
      <c r="DZ154" s="20"/>
      <c r="EA154" s="20"/>
      <c r="EB154" s="20"/>
      <c r="EC154" s="20"/>
      <c r="ED154" s="20"/>
      <c r="EE154" s="20"/>
      <c r="EF154" s="20"/>
      <c r="EG154" s="20"/>
      <c r="EH154" s="20"/>
      <c r="EI154" s="20"/>
    </row>
    <row r="155" spans="1:139" ht="15.75" thickBot="1" x14ac:dyDescent="0.3">
      <c r="A155" s="20"/>
      <c r="B155" s="20"/>
      <c r="C155" s="20"/>
      <c r="D155" s="36"/>
      <c r="E155" s="20"/>
      <c r="F155" s="43"/>
      <c r="G155" s="20"/>
      <c r="H155" s="20"/>
      <c r="I155" s="20"/>
      <c r="J155" s="43"/>
      <c r="K155" s="20"/>
      <c r="L155" s="20"/>
      <c r="M155" s="20"/>
      <c r="N155" s="20"/>
      <c r="O155" s="20"/>
      <c r="P155" s="20"/>
      <c r="Q155" s="42"/>
      <c r="R155" s="20"/>
      <c r="S155" s="20"/>
      <c r="T155" s="20"/>
      <c r="U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20"/>
      <c r="AM155" s="20"/>
      <c r="AN155" s="20"/>
      <c r="AO155" s="20"/>
      <c r="AP155" s="20"/>
      <c r="AQ155" s="20"/>
      <c r="AR155" s="20"/>
      <c r="AS155" s="20"/>
      <c r="AT155" s="20"/>
      <c r="AU155" s="20"/>
      <c r="AV155" s="20"/>
      <c r="AW155" s="20"/>
      <c r="AX155" s="20"/>
      <c r="AY155" s="20"/>
      <c r="AZ155" s="20"/>
      <c r="BA155" s="20"/>
      <c r="BB155" s="20"/>
      <c r="BC155" s="20"/>
      <c r="BD155" s="20"/>
      <c r="BE155" s="20"/>
      <c r="BF155" s="20"/>
      <c r="BG155" s="20"/>
      <c r="BH155" s="20"/>
      <c r="BI155" s="20"/>
      <c r="BJ155" s="20"/>
      <c r="BK155" s="20"/>
      <c r="BL155" s="20"/>
      <c r="BM155" s="20"/>
      <c r="BN155" s="20"/>
      <c r="BO155" s="20"/>
      <c r="BP155" s="20"/>
      <c r="BQ155" s="20"/>
      <c r="BR155" s="20"/>
      <c r="BS155" s="20"/>
      <c r="BT155" s="20"/>
      <c r="BU155" s="20"/>
      <c r="BV155" s="20"/>
      <c r="BW155" s="20"/>
      <c r="BX155" s="20"/>
      <c r="BY155" s="20"/>
      <c r="BZ155" s="20"/>
      <c r="CA155" s="20"/>
      <c r="CB155" s="20"/>
      <c r="CC155" s="20"/>
      <c r="CD155" s="20"/>
      <c r="CE155" s="20"/>
      <c r="CF155" s="20"/>
      <c r="CG155" s="20"/>
      <c r="CH155" s="20"/>
      <c r="CI155" s="20"/>
      <c r="CJ155" s="20"/>
      <c r="CK155" s="20"/>
      <c r="CL155" s="20"/>
      <c r="CM155" s="20"/>
      <c r="CN155" s="20"/>
      <c r="CO155" s="20"/>
      <c r="CP155" s="20"/>
      <c r="CQ155" s="20"/>
      <c r="CR155" s="20"/>
      <c r="CS155" s="20"/>
      <c r="CT155" s="20"/>
      <c r="CU155" s="20"/>
      <c r="CV155" s="20"/>
      <c r="CW155" s="20"/>
      <c r="CX155" s="20"/>
      <c r="CY155" s="20"/>
      <c r="CZ155" s="20"/>
      <c r="DA155" s="20"/>
      <c r="DB155" s="20"/>
      <c r="DC155" s="20"/>
      <c r="DD155" s="20"/>
      <c r="DE155" s="20"/>
      <c r="DF155" s="20"/>
      <c r="DG155" s="20"/>
      <c r="DH155" s="20"/>
      <c r="DI155" s="20"/>
      <c r="DJ155" s="20"/>
      <c r="DK155" s="20"/>
      <c r="DL155" s="20"/>
      <c r="DM155" s="20"/>
      <c r="DN155" s="20"/>
      <c r="DO155" s="20"/>
      <c r="DP155" s="20"/>
      <c r="DQ155" s="20"/>
      <c r="DR155" s="20"/>
      <c r="DS155" s="20"/>
      <c r="DT155" s="20"/>
      <c r="DU155" s="20"/>
      <c r="DV155" s="20"/>
      <c r="DW155" s="20"/>
      <c r="DX155" s="20"/>
      <c r="DY155" s="20"/>
      <c r="DZ155" s="20"/>
      <c r="EA155" s="20"/>
      <c r="EB155" s="20"/>
      <c r="EC155" s="20"/>
      <c r="ED155" s="20"/>
      <c r="EE155" s="20"/>
      <c r="EF155" s="20"/>
      <c r="EG155" s="20"/>
      <c r="EH155" s="20"/>
      <c r="EI155" s="20"/>
    </row>
    <row r="156" spans="1:139" x14ac:dyDescent="0.25">
      <c r="A156" s="20"/>
      <c r="B156" s="118" t="s">
        <v>231</v>
      </c>
      <c r="C156" s="458" t="s">
        <v>232</v>
      </c>
      <c r="D156" s="131" t="s">
        <v>13</v>
      </c>
      <c r="E156" s="457">
        <f>E127</f>
        <v>907.41871736999656</v>
      </c>
      <c r="F156" s="158">
        <f>F127</f>
        <v>838.56614743958289</v>
      </c>
      <c r="G156" s="458">
        <f>G127</f>
        <v>803.19004178073203</v>
      </c>
      <c r="H156" s="458">
        <f>H127</f>
        <v>784.25988409856427</v>
      </c>
      <c r="I156" s="458">
        <f>I127</f>
        <v>691.53076525539552</v>
      </c>
      <c r="J156" s="458">
        <f t="shared" ref="J156:K156" si="80">J127</f>
        <v>552.59523604551418</v>
      </c>
      <c r="K156" s="119">
        <f t="shared" si="80"/>
        <v>480.7202121587801</v>
      </c>
      <c r="L156" s="20"/>
      <c r="M156" s="20"/>
      <c r="N156" s="20"/>
      <c r="O156" s="20"/>
      <c r="P156" s="20"/>
      <c r="Q156" s="42"/>
      <c r="R156" s="20"/>
      <c r="S156" s="20"/>
      <c r="T156" s="20"/>
      <c r="U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20"/>
      <c r="AM156" s="20"/>
      <c r="AN156" s="20"/>
      <c r="AO156" s="20"/>
      <c r="AP156" s="20"/>
      <c r="AQ156" s="20"/>
      <c r="AR156" s="20"/>
      <c r="AS156" s="20"/>
      <c r="AT156" s="20"/>
      <c r="AU156" s="20"/>
      <c r="AV156" s="20"/>
      <c r="AW156" s="20"/>
      <c r="AX156" s="20"/>
      <c r="AY156" s="20"/>
      <c r="AZ156" s="20"/>
      <c r="BA156" s="20"/>
      <c r="BB156" s="20"/>
      <c r="BC156" s="20"/>
      <c r="BD156" s="20"/>
      <c r="BE156" s="20"/>
      <c r="BF156" s="20"/>
      <c r="BG156" s="20"/>
      <c r="BH156" s="20"/>
      <c r="BI156" s="20"/>
      <c r="BJ156" s="20"/>
      <c r="BK156" s="20"/>
      <c r="BL156" s="20"/>
      <c r="BM156" s="20"/>
      <c r="BN156" s="20"/>
      <c r="BO156" s="20"/>
      <c r="BP156" s="20"/>
      <c r="BQ156" s="20"/>
      <c r="BR156" s="20"/>
      <c r="BS156" s="20"/>
      <c r="BT156" s="20"/>
      <c r="BU156" s="20"/>
      <c r="BV156" s="20"/>
      <c r="BW156" s="20"/>
      <c r="BX156" s="20"/>
      <c r="BY156" s="20"/>
      <c r="BZ156" s="20"/>
      <c r="CA156" s="20"/>
      <c r="CB156" s="20"/>
      <c r="CC156" s="20"/>
      <c r="CD156" s="20"/>
      <c r="CE156" s="20"/>
      <c r="CF156" s="20"/>
      <c r="CG156" s="20"/>
      <c r="CH156" s="20"/>
      <c r="CI156" s="20"/>
      <c r="CJ156" s="20"/>
      <c r="CK156" s="20"/>
      <c r="CL156" s="20"/>
      <c r="CM156" s="20"/>
      <c r="CN156" s="20"/>
      <c r="CO156" s="20"/>
      <c r="CP156" s="20"/>
      <c r="CQ156" s="20"/>
      <c r="CR156" s="20"/>
      <c r="CS156" s="20"/>
      <c r="CT156" s="20"/>
      <c r="CU156" s="20"/>
      <c r="CV156" s="20"/>
      <c r="CW156" s="20"/>
      <c r="CX156" s="20"/>
      <c r="CY156" s="20"/>
      <c r="CZ156" s="20"/>
      <c r="DA156" s="20"/>
      <c r="DB156" s="20"/>
      <c r="DC156" s="20"/>
      <c r="DD156" s="20"/>
      <c r="DE156" s="20"/>
      <c r="DF156" s="20"/>
      <c r="DG156" s="20"/>
      <c r="DH156" s="20"/>
      <c r="DI156" s="20"/>
      <c r="DJ156" s="20"/>
      <c r="DK156" s="20"/>
      <c r="DL156" s="20"/>
      <c r="DM156" s="20"/>
      <c r="DN156" s="20"/>
      <c r="DO156" s="20"/>
      <c r="DP156" s="20"/>
      <c r="DQ156" s="20"/>
      <c r="DR156" s="20"/>
      <c r="DS156" s="20"/>
      <c r="DT156" s="20"/>
      <c r="DU156" s="20"/>
      <c r="DV156" s="20"/>
      <c r="DW156" s="20"/>
      <c r="DX156" s="20"/>
      <c r="DY156" s="20"/>
      <c r="DZ156" s="20"/>
      <c r="EA156" s="20"/>
      <c r="EB156" s="20"/>
      <c r="EC156" s="20"/>
      <c r="ED156" s="20"/>
      <c r="EE156" s="20"/>
      <c r="EF156" s="20"/>
      <c r="EG156" s="20"/>
      <c r="EH156" s="20"/>
      <c r="EI156" s="20"/>
    </row>
    <row r="157" spans="1:139" x14ac:dyDescent="0.25">
      <c r="A157" s="20"/>
      <c r="B157" s="26" t="s">
        <v>233</v>
      </c>
      <c r="C157" s="27" t="s">
        <v>234</v>
      </c>
      <c r="D157" s="536" t="s">
        <v>13</v>
      </c>
      <c r="E157" s="538">
        <f>-264.44+1.03*E156</f>
        <v>670.20127889109654</v>
      </c>
      <c r="F157" s="159">
        <f>-264.44+1.03*F156</f>
        <v>599.28313186277046</v>
      </c>
      <c r="G157" s="27">
        <f>-264.44+1.03*G156</f>
        <v>562.84574303415411</v>
      </c>
      <c r="H157" s="27">
        <f>-264.44+1.03*H156</f>
        <v>543.34768062152125</v>
      </c>
      <c r="I157" s="27">
        <f t="shared" ref="I157:K157" si="81">-264.44+1.03*I156</f>
        <v>447.83668821305736</v>
      </c>
      <c r="J157" s="27">
        <f t="shared" si="81"/>
        <v>304.73309312687962</v>
      </c>
      <c r="K157" s="28">
        <f t="shared" si="81"/>
        <v>230.70181852354352</v>
      </c>
      <c r="L157" s="20"/>
      <c r="M157" s="20"/>
      <c r="N157" s="20"/>
      <c r="O157" s="20"/>
      <c r="P157" s="20"/>
      <c r="Q157" s="42"/>
      <c r="R157" s="20"/>
      <c r="S157" s="20"/>
      <c r="T157" s="20"/>
      <c r="U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20"/>
      <c r="AM157" s="20"/>
      <c r="AN157" s="20"/>
      <c r="AO157" s="20"/>
      <c r="AP157" s="20"/>
      <c r="AQ157" s="20"/>
      <c r="AR157" s="20"/>
      <c r="AS157" s="20"/>
      <c r="AT157" s="20"/>
      <c r="AU157" s="20"/>
      <c r="AV157" s="20"/>
      <c r="AW157" s="20"/>
      <c r="AX157" s="20"/>
      <c r="AY157" s="20"/>
      <c r="AZ157" s="20"/>
      <c r="BA157" s="20"/>
      <c r="BB157" s="20"/>
      <c r="BC157" s="20"/>
      <c r="BD157" s="20"/>
      <c r="BE157" s="20"/>
      <c r="BF157" s="20"/>
      <c r="BG157" s="20"/>
      <c r="BH157" s="20"/>
      <c r="BI157" s="20"/>
      <c r="BJ157" s="20"/>
      <c r="BK157" s="20"/>
      <c r="BL157" s="20"/>
      <c r="BM157" s="20"/>
      <c r="BN157" s="20"/>
      <c r="BO157" s="20"/>
      <c r="BP157" s="20"/>
      <c r="BQ157" s="20"/>
      <c r="BR157" s="20"/>
      <c r="BS157" s="20"/>
      <c r="BT157" s="20"/>
      <c r="BU157" s="20"/>
      <c r="BV157" s="20"/>
      <c r="BW157" s="20"/>
      <c r="BX157" s="20"/>
      <c r="BY157" s="20"/>
      <c r="BZ157" s="20"/>
      <c r="CA157" s="20"/>
      <c r="CB157" s="20"/>
      <c r="CC157" s="20"/>
      <c r="CD157" s="20"/>
      <c r="CE157" s="20"/>
      <c r="CF157" s="20"/>
      <c r="CG157" s="20"/>
      <c r="CH157" s="20"/>
      <c r="CI157" s="20"/>
      <c r="CJ157" s="20"/>
      <c r="CK157" s="20"/>
      <c r="CL157" s="20"/>
      <c r="CM157" s="20"/>
      <c r="CN157" s="20"/>
      <c r="CO157" s="20"/>
      <c r="CP157" s="20"/>
      <c r="CQ157" s="20"/>
      <c r="CR157" s="20"/>
      <c r="CS157" s="20"/>
      <c r="CT157" s="20"/>
      <c r="CU157" s="20"/>
      <c r="CV157" s="20"/>
      <c r="CW157" s="20"/>
      <c r="CX157" s="20"/>
      <c r="CY157" s="20"/>
      <c r="CZ157" s="20"/>
      <c r="DA157" s="20"/>
      <c r="DB157" s="20"/>
      <c r="DC157" s="20"/>
      <c r="DD157" s="20"/>
      <c r="DE157" s="20"/>
      <c r="DF157" s="20"/>
      <c r="DG157" s="20"/>
      <c r="DH157" s="20"/>
      <c r="DI157" s="20"/>
      <c r="DJ157" s="20"/>
      <c r="DK157" s="20"/>
      <c r="DL157" s="20"/>
      <c r="DM157" s="20"/>
      <c r="DN157" s="20"/>
      <c r="DO157" s="20"/>
      <c r="DP157" s="20"/>
      <c r="DQ157" s="20"/>
      <c r="DR157" s="20"/>
      <c r="DS157" s="20"/>
      <c r="DT157" s="20"/>
      <c r="DU157" s="20"/>
      <c r="DV157" s="20"/>
      <c r="DW157" s="20"/>
      <c r="DX157" s="20"/>
      <c r="DY157" s="20"/>
      <c r="DZ157" s="20"/>
      <c r="EA157" s="20"/>
      <c r="EB157" s="20"/>
      <c r="EC157" s="20"/>
      <c r="ED157" s="20"/>
      <c r="EE157" s="20"/>
      <c r="EF157" s="20"/>
      <c r="EG157" s="20"/>
      <c r="EH157" s="20"/>
      <c r="EI157" s="20"/>
    </row>
    <row r="158" spans="1:139" ht="15.75" thickBot="1" x14ac:dyDescent="0.3">
      <c r="A158" s="20"/>
      <c r="B158" s="29" t="s">
        <v>235</v>
      </c>
      <c r="C158" s="30" t="s">
        <v>236</v>
      </c>
      <c r="D158" s="537" t="s">
        <v>13</v>
      </c>
      <c r="E158" s="539">
        <f>-87.31+0.79*E156</f>
        <v>629.55078672229729</v>
      </c>
      <c r="F158" s="160">
        <f>-87.31+0.79*F156</f>
        <v>575.15725647727049</v>
      </c>
      <c r="G158" s="30">
        <f>-87.31+0.79*G156</f>
        <v>547.21013300677828</v>
      </c>
      <c r="H158" s="30">
        <f>-87.31+0.79*H156</f>
        <v>532.25530843786578</v>
      </c>
      <c r="I158" s="30">
        <f t="shared" ref="I158:K158" si="82">-87.31+0.79*I156</f>
        <v>458.99930455176246</v>
      </c>
      <c r="J158" s="30">
        <f t="shared" si="82"/>
        <v>349.24023647595624</v>
      </c>
      <c r="K158" s="31">
        <f t="shared" si="82"/>
        <v>292.45896760543627</v>
      </c>
      <c r="L158" s="20"/>
      <c r="M158" s="20"/>
      <c r="N158" s="20"/>
      <c r="O158" s="20"/>
      <c r="P158" s="20"/>
      <c r="Q158" s="42"/>
      <c r="R158" s="20"/>
      <c r="S158" s="20"/>
      <c r="T158" s="20"/>
      <c r="U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20"/>
      <c r="AM158" s="20"/>
      <c r="AN158" s="20"/>
      <c r="AO158" s="20"/>
      <c r="AP158" s="20"/>
      <c r="AQ158" s="20"/>
      <c r="AR158" s="20"/>
      <c r="AS158" s="20"/>
      <c r="AT158" s="20"/>
      <c r="AU158" s="20"/>
      <c r="AV158" s="20"/>
      <c r="AW158" s="20"/>
      <c r="AX158" s="20"/>
      <c r="AY158" s="20"/>
      <c r="AZ158" s="20"/>
      <c r="BA158" s="20"/>
      <c r="BB158" s="20"/>
      <c r="BC158" s="20"/>
      <c r="BD158" s="20"/>
      <c r="BE158" s="20"/>
      <c r="BF158" s="20"/>
      <c r="BG158" s="20"/>
      <c r="BH158" s="20"/>
      <c r="BI158" s="20"/>
      <c r="BJ158" s="20"/>
      <c r="BK158" s="20"/>
      <c r="BL158" s="20"/>
      <c r="BM158" s="20"/>
      <c r="BN158" s="20"/>
      <c r="BO158" s="20"/>
      <c r="BP158" s="20"/>
      <c r="BQ158" s="20"/>
      <c r="BR158" s="20"/>
      <c r="BS158" s="20"/>
      <c r="BT158" s="20"/>
      <c r="BU158" s="20"/>
      <c r="BV158" s="20"/>
      <c r="BW158" s="20"/>
      <c r="BX158" s="20"/>
      <c r="BY158" s="20"/>
      <c r="BZ158" s="20"/>
      <c r="CA158" s="20"/>
      <c r="CB158" s="20"/>
      <c r="CC158" s="20"/>
      <c r="CD158" s="20"/>
      <c r="CE158" s="20"/>
      <c r="CF158" s="20"/>
      <c r="CG158" s="20"/>
      <c r="CH158" s="20"/>
      <c r="CI158" s="20"/>
      <c r="CJ158" s="20"/>
      <c r="CK158" s="20"/>
      <c r="CL158" s="20"/>
      <c r="CM158" s="20"/>
      <c r="CN158" s="20"/>
      <c r="CO158" s="20"/>
      <c r="CP158" s="20"/>
      <c r="CQ158" s="20"/>
      <c r="CR158" s="20"/>
      <c r="CS158" s="20"/>
      <c r="CT158" s="20"/>
      <c r="CU158" s="20"/>
      <c r="CV158" s="20"/>
      <c r="CW158" s="20"/>
      <c r="CX158" s="20"/>
      <c r="CY158" s="20"/>
      <c r="CZ158" s="20"/>
      <c r="DA158" s="20"/>
      <c r="DB158" s="20"/>
      <c r="DC158" s="20"/>
      <c r="DD158" s="20"/>
      <c r="DE158" s="20"/>
      <c r="DF158" s="20"/>
      <c r="DG158" s="20"/>
      <c r="DH158" s="20"/>
      <c r="DI158" s="20"/>
      <c r="DJ158" s="20"/>
      <c r="DK158" s="20"/>
      <c r="DL158" s="20"/>
      <c r="DM158" s="20"/>
      <c r="DN158" s="20"/>
      <c r="DO158" s="20"/>
      <c r="DP158" s="20"/>
      <c r="DQ158" s="20"/>
      <c r="DR158" s="20"/>
      <c r="DS158" s="20"/>
      <c r="DT158" s="20"/>
      <c r="DU158" s="20"/>
      <c r="DV158" s="20"/>
      <c r="DW158" s="20"/>
      <c r="DX158" s="20"/>
      <c r="DY158" s="20"/>
      <c r="DZ158" s="20"/>
      <c r="EA158" s="20"/>
      <c r="EB158" s="20"/>
      <c r="EC158" s="20"/>
      <c r="ED158" s="20"/>
      <c r="EE158" s="20"/>
      <c r="EF158" s="20"/>
      <c r="EG158" s="20"/>
      <c r="EH158" s="20"/>
      <c r="EI158" s="20"/>
    </row>
    <row r="159" spans="1:139" ht="15.75" thickBot="1" x14ac:dyDescent="0.3">
      <c r="A159" s="20"/>
      <c r="B159" s="547"/>
      <c r="C159" s="547"/>
      <c r="D159" s="547"/>
      <c r="E159" s="258"/>
      <c r="F159" s="548"/>
      <c r="G159" s="258"/>
      <c r="H159" s="258"/>
      <c r="I159" s="258"/>
      <c r="J159" s="43"/>
      <c r="K159" s="20"/>
      <c r="L159" s="20"/>
      <c r="M159" s="20"/>
      <c r="N159" s="20"/>
      <c r="O159" s="20"/>
      <c r="P159" s="20"/>
      <c r="Q159" s="42"/>
      <c r="R159" s="20"/>
      <c r="S159" s="20"/>
      <c r="T159" s="20"/>
      <c r="U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20"/>
      <c r="AM159" s="20"/>
      <c r="AN159" s="20"/>
      <c r="AO159" s="20"/>
      <c r="AP159" s="20"/>
      <c r="AQ159" s="20"/>
      <c r="AR159" s="20"/>
      <c r="AS159" s="20"/>
      <c r="AT159" s="20"/>
      <c r="AU159" s="20"/>
      <c r="AV159" s="20"/>
      <c r="AW159" s="20"/>
      <c r="AX159" s="20"/>
      <c r="AY159" s="20"/>
      <c r="AZ159" s="20"/>
      <c r="BA159" s="20"/>
      <c r="BB159" s="20"/>
      <c r="BC159" s="20"/>
      <c r="BD159" s="20"/>
      <c r="BE159" s="20"/>
      <c r="BF159" s="20"/>
      <c r="BG159" s="20"/>
      <c r="BH159" s="20"/>
      <c r="BI159" s="20"/>
      <c r="BJ159" s="20"/>
      <c r="BK159" s="20"/>
      <c r="BL159" s="20"/>
      <c r="BM159" s="20"/>
      <c r="BN159" s="20"/>
      <c r="BO159" s="20"/>
      <c r="BP159" s="20"/>
      <c r="BQ159" s="20"/>
      <c r="BR159" s="20"/>
      <c r="BS159" s="20"/>
      <c r="BT159" s="20"/>
      <c r="BU159" s="20"/>
      <c r="BV159" s="20"/>
      <c r="BW159" s="20"/>
      <c r="BX159" s="20"/>
      <c r="BY159" s="20"/>
      <c r="BZ159" s="20"/>
      <c r="CA159" s="20"/>
      <c r="CB159" s="20"/>
      <c r="CC159" s="20"/>
      <c r="CD159" s="20"/>
      <c r="CE159" s="20"/>
      <c r="CF159" s="20"/>
      <c r="CG159" s="20"/>
      <c r="CH159" s="20"/>
      <c r="CI159" s="20"/>
      <c r="CJ159" s="20"/>
      <c r="CK159" s="20"/>
      <c r="CL159" s="20"/>
      <c r="CM159" s="20"/>
      <c r="CN159" s="20"/>
      <c r="CO159" s="20"/>
      <c r="CP159" s="20"/>
      <c r="CQ159" s="20"/>
      <c r="CR159" s="20"/>
      <c r="CS159" s="20"/>
      <c r="CT159" s="20"/>
      <c r="CU159" s="20"/>
      <c r="CV159" s="20"/>
      <c r="CW159" s="20"/>
      <c r="CX159" s="20"/>
      <c r="CY159" s="20"/>
      <c r="CZ159" s="20"/>
      <c r="DA159" s="20"/>
      <c r="DB159" s="20"/>
      <c r="DC159" s="20"/>
      <c r="DD159" s="20"/>
      <c r="DE159" s="20"/>
      <c r="DF159" s="20"/>
      <c r="DG159" s="20"/>
      <c r="DH159" s="20"/>
      <c r="DI159" s="20"/>
      <c r="DJ159" s="20"/>
      <c r="DK159" s="20"/>
      <c r="DL159" s="20"/>
      <c r="DM159" s="20"/>
      <c r="DN159" s="20"/>
      <c r="DO159" s="20"/>
      <c r="DP159" s="20"/>
      <c r="DQ159" s="20"/>
      <c r="DR159" s="20"/>
      <c r="DS159" s="20"/>
      <c r="DT159" s="20"/>
      <c r="DU159" s="20"/>
      <c r="DV159" s="20"/>
      <c r="DW159" s="20"/>
      <c r="DX159" s="20"/>
      <c r="DY159" s="20"/>
      <c r="DZ159" s="20"/>
      <c r="EA159" s="20"/>
      <c r="EB159" s="20"/>
      <c r="EC159" s="20"/>
      <c r="ED159" s="20"/>
      <c r="EE159" s="20"/>
      <c r="EF159" s="20"/>
      <c r="EG159" s="20"/>
      <c r="EH159" s="20"/>
      <c r="EI159" s="20"/>
    </row>
    <row r="160" spans="1:139" ht="15.75" thickBot="1" x14ac:dyDescent="0.3">
      <c r="A160" s="523"/>
      <c r="B160" s="549"/>
      <c r="C160" s="550"/>
      <c r="D160" s="550"/>
      <c r="E160" s="550"/>
      <c r="F160" s="551"/>
      <c r="G160" s="550"/>
      <c r="H160" s="550"/>
      <c r="I160" s="550"/>
      <c r="J160" s="503"/>
      <c r="K160" s="504"/>
      <c r="L160" s="507"/>
      <c r="M160" s="24"/>
      <c r="N160" s="24"/>
      <c r="O160" s="24"/>
      <c r="P160" s="24"/>
      <c r="Q160" s="42"/>
      <c r="R160" s="20"/>
      <c r="S160" s="20"/>
      <c r="T160" s="20"/>
      <c r="U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20"/>
      <c r="AM160" s="20"/>
      <c r="AN160" s="20"/>
      <c r="AO160" s="20"/>
      <c r="AP160" s="20"/>
      <c r="AQ160" s="20"/>
      <c r="AR160" s="20"/>
      <c r="AS160" s="20"/>
      <c r="AT160" s="20"/>
      <c r="AU160" s="20"/>
      <c r="AV160" s="20"/>
      <c r="AW160" s="20"/>
      <c r="AX160" s="20"/>
      <c r="AY160" s="20"/>
      <c r="AZ160" s="20"/>
      <c r="BA160" s="20"/>
      <c r="BB160" s="20"/>
      <c r="BC160" s="20"/>
      <c r="BD160" s="20"/>
      <c r="BE160" s="20"/>
      <c r="BF160" s="20"/>
      <c r="BG160" s="20"/>
      <c r="BH160" s="20"/>
      <c r="BI160" s="20"/>
      <c r="BJ160" s="20"/>
      <c r="BK160" s="20"/>
      <c r="BL160" s="20"/>
      <c r="BM160" s="20"/>
      <c r="BN160" s="20"/>
      <c r="BO160" s="20"/>
      <c r="BP160" s="20"/>
      <c r="BQ160" s="20"/>
      <c r="BR160" s="20"/>
      <c r="BS160" s="20"/>
      <c r="BT160" s="20"/>
      <c r="BU160" s="20"/>
      <c r="BV160" s="20"/>
      <c r="BW160" s="20"/>
      <c r="BX160" s="20"/>
      <c r="BY160" s="20"/>
      <c r="BZ160" s="20"/>
      <c r="CA160" s="20"/>
      <c r="CB160" s="20"/>
      <c r="CC160" s="20"/>
      <c r="CD160" s="20"/>
      <c r="CE160" s="20"/>
      <c r="CF160" s="20"/>
      <c r="CG160" s="20"/>
      <c r="CH160" s="20"/>
      <c r="CI160" s="20"/>
      <c r="CJ160" s="20"/>
      <c r="CK160" s="20"/>
      <c r="CL160" s="20"/>
      <c r="CM160" s="20"/>
      <c r="CN160" s="20"/>
      <c r="CO160" s="20"/>
      <c r="CP160" s="20"/>
      <c r="CQ160" s="20"/>
      <c r="CR160" s="20"/>
      <c r="CS160" s="20"/>
      <c r="CT160" s="20"/>
      <c r="CU160" s="20"/>
      <c r="CV160" s="20"/>
      <c r="CW160" s="20"/>
      <c r="CX160" s="20"/>
      <c r="CY160" s="20"/>
      <c r="CZ160" s="20"/>
      <c r="DA160" s="20"/>
      <c r="DB160" s="20"/>
      <c r="DC160" s="20"/>
      <c r="DD160" s="20"/>
      <c r="DE160" s="20"/>
      <c r="DF160" s="20"/>
      <c r="DG160" s="20"/>
      <c r="DH160" s="20"/>
      <c r="DI160" s="20"/>
      <c r="DJ160" s="20"/>
      <c r="DK160" s="20"/>
      <c r="DL160" s="20"/>
      <c r="DM160" s="20"/>
      <c r="DN160" s="20"/>
      <c r="DO160" s="20"/>
      <c r="DP160" s="20"/>
      <c r="DQ160" s="20"/>
      <c r="DR160" s="20"/>
      <c r="DS160" s="20"/>
      <c r="DT160" s="20"/>
      <c r="DU160" s="20"/>
      <c r="DV160" s="20"/>
      <c r="DW160" s="20"/>
      <c r="DX160" s="20"/>
      <c r="DY160" s="20"/>
      <c r="DZ160" s="20"/>
      <c r="EA160" s="20"/>
      <c r="EB160" s="20"/>
      <c r="EC160" s="20"/>
      <c r="ED160" s="20"/>
      <c r="EE160" s="20"/>
      <c r="EF160" s="20"/>
      <c r="EG160" s="20"/>
      <c r="EH160" s="20"/>
      <c r="EI160" s="20"/>
    </row>
    <row r="161" spans="1:139" ht="15.75" thickBot="1" x14ac:dyDescent="0.3">
      <c r="A161" s="24"/>
      <c r="B161" s="814" t="s">
        <v>192</v>
      </c>
      <c r="C161" s="815"/>
      <c r="D161" s="816"/>
      <c r="E161" s="542">
        <f>+E45</f>
        <v>1</v>
      </c>
      <c r="F161" s="579">
        <f t="shared" ref="F161:K161" si="83">+F45</f>
        <v>2</v>
      </c>
      <c r="G161" s="579">
        <f t="shared" si="83"/>
        <v>3</v>
      </c>
      <c r="H161" s="579">
        <f t="shared" si="83"/>
        <v>4</v>
      </c>
      <c r="I161" s="579">
        <f t="shared" si="83"/>
        <v>5</v>
      </c>
      <c r="J161" s="579">
        <f t="shared" si="83"/>
        <v>6</v>
      </c>
      <c r="K161" s="580">
        <f t="shared" si="83"/>
        <v>7</v>
      </c>
      <c r="L161" s="24"/>
      <c r="M161" s="24"/>
      <c r="N161" s="24"/>
      <c r="O161" s="24"/>
      <c r="P161" s="24"/>
      <c r="Q161" s="42"/>
      <c r="R161" s="20"/>
      <c r="S161" s="20"/>
      <c r="T161" s="20"/>
      <c r="U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  <c r="AM161" s="20"/>
      <c r="AN161" s="20"/>
      <c r="AO161" s="20"/>
      <c r="AP161" s="20"/>
      <c r="AQ161" s="20"/>
      <c r="AR161" s="20"/>
      <c r="AS161" s="20"/>
      <c r="AT161" s="20"/>
      <c r="AU161" s="20"/>
      <c r="AV161" s="20"/>
      <c r="AW161" s="20"/>
      <c r="AX161" s="20"/>
      <c r="AY161" s="20"/>
      <c r="AZ161" s="20"/>
      <c r="BA161" s="20"/>
      <c r="BB161" s="20"/>
      <c r="BC161" s="20"/>
      <c r="BD161" s="20"/>
      <c r="BE161" s="20"/>
      <c r="BF161" s="20"/>
      <c r="BG161" s="20"/>
      <c r="BH161" s="20"/>
      <c r="BI161" s="20"/>
      <c r="BJ161" s="20"/>
      <c r="BK161" s="20"/>
      <c r="BL161" s="20"/>
      <c r="BM161" s="20"/>
      <c r="BN161" s="20"/>
      <c r="BO161" s="20"/>
      <c r="BP161" s="20"/>
      <c r="BQ161" s="20"/>
      <c r="BR161" s="20"/>
      <c r="BS161" s="20"/>
      <c r="BT161" s="20"/>
      <c r="BU161" s="20"/>
      <c r="BV161" s="20"/>
      <c r="BW161" s="20"/>
      <c r="BX161" s="20"/>
      <c r="BY161" s="20"/>
      <c r="BZ161" s="20"/>
      <c r="CA161" s="20"/>
      <c r="CB161" s="20"/>
      <c r="CC161" s="20"/>
      <c r="CD161" s="20"/>
      <c r="CE161" s="20"/>
      <c r="CF161" s="20"/>
      <c r="CG161" s="20"/>
      <c r="CH161" s="20"/>
      <c r="CI161" s="20"/>
      <c r="CJ161" s="20"/>
      <c r="CK161" s="20"/>
      <c r="CL161" s="20"/>
      <c r="CM161" s="20"/>
      <c r="CN161" s="20"/>
      <c r="CO161" s="20"/>
      <c r="CP161" s="20"/>
      <c r="CQ161" s="20"/>
      <c r="CR161" s="20"/>
      <c r="CS161" s="20"/>
      <c r="CT161" s="20"/>
      <c r="CU161" s="20"/>
      <c r="CV161" s="20"/>
      <c r="CW161" s="20"/>
      <c r="CX161" s="20"/>
      <c r="CY161" s="20"/>
      <c r="CZ161" s="20"/>
      <c r="DA161" s="20"/>
      <c r="DB161" s="20"/>
      <c r="DC161" s="20"/>
      <c r="DD161" s="20"/>
      <c r="DE161" s="20"/>
      <c r="DF161" s="20"/>
      <c r="DG161" s="20"/>
      <c r="DH161" s="20"/>
      <c r="DI161" s="20"/>
      <c r="DJ161" s="20"/>
      <c r="DK161" s="20"/>
      <c r="DL161" s="20"/>
      <c r="DM161" s="20"/>
      <c r="DN161" s="20"/>
      <c r="DO161" s="20"/>
      <c r="DP161" s="20"/>
      <c r="DQ161" s="20"/>
      <c r="DR161" s="20"/>
      <c r="DS161" s="20"/>
      <c r="DT161" s="20"/>
      <c r="DU161" s="20"/>
      <c r="DV161" s="20"/>
      <c r="DW161" s="20"/>
      <c r="DX161" s="20"/>
      <c r="DY161" s="20"/>
      <c r="DZ161" s="20"/>
      <c r="EA161" s="20"/>
      <c r="EB161" s="20"/>
      <c r="EC161" s="20"/>
      <c r="ED161" s="20"/>
      <c r="EE161" s="20"/>
      <c r="EF161" s="20"/>
      <c r="EG161" s="20"/>
      <c r="EH161" s="20"/>
      <c r="EI161" s="20"/>
    </row>
    <row r="162" spans="1:139" x14ac:dyDescent="0.25">
      <c r="A162" s="20"/>
      <c r="B162" s="80" t="s">
        <v>237</v>
      </c>
      <c r="C162" s="81" t="s">
        <v>238</v>
      </c>
      <c r="D162" s="485" t="s">
        <v>150</v>
      </c>
      <c r="E162" s="581">
        <f t="shared" ref="E162:K162" si="84">E127+273.15</f>
        <v>1180.5687173699966</v>
      </c>
      <c r="F162" s="582">
        <f t="shared" si="84"/>
        <v>1111.716147439583</v>
      </c>
      <c r="G162" s="583">
        <f t="shared" si="84"/>
        <v>1076.340041780732</v>
      </c>
      <c r="H162" s="583">
        <f t="shared" si="84"/>
        <v>1057.4098840985644</v>
      </c>
      <c r="I162" s="583">
        <f t="shared" si="84"/>
        <v>964.6807652553955</v>
      </c>
      <c r="J162" s="583">
        <f t="shared" si="84"/>
        <v>825.74523604551416</v>
      </c>
      <c r="K162" s="584">
        <f t="shared" si="84"/>
        <v>753.87021215878008</v>
      </c>
      <c r="L162" s="24"/>
      <c r="M162" s="24"/>
      <c r="N162" s="24"/>
      <c r="O162" s="24"/>
      <c r="P162" s="24"/>
      <c r="Q162" s="42"/>
      <c r="R162" s="20"/>
      <c r="S162" s="20"/>
      <c r="T162" s="20"/>
      <c r="U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  <c r="AM162" s="20"/>
      <c r="AN162" s="20"/>
      <c r="AO162" s="20"/>
      <c r="AP162" s="20"/>
      <c r="AQ162" s="20"/>
      <c r="AR162" s="20"/>
      <c r="AS162" s="20"/>
      <c r="AT162" s="20"/>
      <c r="AU162" s="20"/>
      <c r="AV162" s="20"/>
      <c r="AW162" s="20"/>
      <c r="AX162" s="20"/>
      <c r="AY162" s="20"/>
      <c r="AZ162" s="20"/>
      <c r="BA162" s="20"/>
      <c r="BB162" s="20"/>
      <c r="BC162" s="20"/>
      <c r="BD162" s="20"/>
      <c r="BE162" s="20"/>
      <c r="BF162" s="20"/>
      <c r="BG162" s="20"/>
      <c r="BH162" s="20"/>
      <c r="BI162" s="20"/>
      <c r="BJ162" s="20"/>
      <c r="BK162" s="20"/>
      <c r="BL162" s="20"/>
      <c r="BM162" s="20"/>
      <c r="BN162" s="20"/>
      <c r="BO162" s="20"/>
      <c r="BP162" s="20"/>
      <c r="BQ162" s="20"/>
      <c r="BR162" s="20"/>
      <c r="BS162" s="20"/>
      <c r="BT162" s="20"/>
      <c r="BU162" s="20"/>
      <c r="BV162" s="20"/>
      <c r="BW162" s="20"/>
      <c r="BX162" s="20"/>
      <c r="BY162" s="20"/>
      <c r="BZ162" s="20"/>
      <c r="CA162" s="20"/>
      <c r="CB162" s="20"/>
      <c r="CC162" s="20"/>
      <c r="CD162" s="20"/>
      <c r="CE162" s="20"/>
      <c r="CF162" s="20"/>
      <c r="CG162" s="20"/>
      <c r="CH162" s="20"/>
      <c r="CI162" s="20"/>
      <c r="CJ162" s="20"/>
      <c r="CK162" s="20"/>
      <c r="CL162" s="20"/>
      <c r="CM162" s="20"/>
      <c r="CN162" s="20"/>
      <c r="CO162" s="20"/>
      <c r="CP162" s="20"/>
      <c r="CQ162" s="20"/>
      <c r="CR162" s="20"/>
      <c r="CS162" s="20"/>
      <c r="CT162" s="20"/>
      <c r="CU162" s="20"/>
      <c r="CV162" s="20"/>
      <c r="CW162" s="20"/>
      <c r="CX162" s="20"/>
      <c r="CY162" s="20"/>
      <c r="CZ162" s="20"/>
      <c r="DA162" s="20"/>
      <c r="DB162" s="20"/>
      <c r="DC162" s="20"/>
      <c r="DD162" s="20"/>
      <c r="DE162" s="20"/>
      <c r="DF162" s="20"/>
      <c r="DG162" s="20"/>
      <c r="DH162" s="20"/>
      <c r="DI162" s="20"/>
      <c r="DJ162" s="20"/>
      <c r="DK162" s="20"/>
      <c r="DL162" s="20"/>
      <c r="DM162" s="20"/>
      <c r="DN162" s="20"/>
      <c r="DO162" s="20"/>
      <c r="DP162" s="20"/>
      <c r="DQ162" s="20"/>
      <c r="DR162" s="20"/>
      <c r="DS162" s="20"/>
      <c r="DT162" s="20"/>
      <c r="DU162" s="20"/>
      <c r="DV162" s="20"/>
      <c r="DW162" s="20"/>
      <c r="DX162" s="20"/>
      <c r="DY162" s="20"/>
      <c r="DZ162" s="20"/>
      <c r="EA162" s="20"/>
      <c r="EB162" s="20"/>
      <c r="EC162" s="20"/>
      <c r="ED162" s="20"/>
      <c r="EE162" s="20"/>
      <c r="EF162" s="20"/>
      <c r="EG162" s="20"/>
      <c r="EH162" s="20"/>
      <c r="EI162" s="20"/>
    </row>
    <row r="163" spans="1:139" x14ac:dyDescent="0.25">
      <c r="A163" s="20"/>
      <c r="B163" s="80" t="s">
        <v>239</v>
      </c>
      <c r="C163" s="81" t="s">
        <v>240</v>
      </c>
      <c r="D163" s="485" t="s">
        <v>150</v>
      </c>
      <c r="E163" s="575">
        <f t="shared" ref="E163:K163" si="85">E136+273.15</f>
        <v>419.96835027425294</v>
      </c>
      <c r="F163" s="576">
        <f t="shared" si="85"/>
        <v>422.7434005644493</v>
      </c>
      <c r="G163" s="577">
        <f t="shared" si="85"/>
        <v>458.25801751147708</v>
      </c>
      <c r="H163" s="577">
        <f t="shared" si="85"/>
        <v>454.69125545517363</v>
      </c>
      <c r="I163" s="577">
        <f t="shared" si="85"/>
        <v>381.27813312839424</v>
      </c>
      <c r="J163" s="577">
        <f t="shared" si="85"/>
        <v>376.72672700745539</v>
      </c>
      <c r="K163" s="578">
        <f t="shared" si="85"/>
        <v>702.56061289096283</v>
      </c>
      <c r="L163" s="20"/>
      <c r="M163" s="23"/>
      <c r="N163" s="23"/>
      <c r="O163" s="23"/>
      <c r="P163" s="23"/>
      <c r="Q163" s="23"/>
      <c r="R163" s="23"/>
      <c r="S163" s="23"/>
      <c r="T163" s="23"/>
      <c r="U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  <c r="AM163" s="20"/>
      <c r="AN163" s="20"/>
      <c r="AO163" s="20"/>
      <c r="AP163" s="20"/>
      <c r="AQ163" s="20"/>
      <c r="AR163" s="20"/>
      <c r="AS163" s="20"/>
      <c r="AT163" s="20"/>
      <c r="AU163" s="20"/>
      <c r="AV163" s="20"/>
      <c r="AW163" s="20"/>
      <c r="AX163" s="20"/>
      <c r="AY163" s="20"/>
      <c r="AZ163" s="20"/>
      <c r="BA163" s="20"/>
      <c r="BB163" s="20"/>
      <c r="BC163" s="20"/>
      <c r="BD163" s="20"/>
      <c r="BE163" s="20"/>
      <c r="BF163" s="20"/>
      <c r="BG163" s="20"/>
      <c r="BH163" s="20"/>
      <c r="BI163" s="20"/>
      <c r="BJ163" s="20"/>
      <c r="BK163" s="20"/>
      <c r="BL163" s="20"/>
      <c r="BM163" s="20"/>
      <c r="BN163" s="20"/>
      <c r="BO163" s="20"/>
      <c r="BP163" s="20"/>
      <c r="BQ163" s="20"/>
      <c r="BR163" s="20"/>
      <c r="BS163" s="20"/>
      <c r="BT163" s="20"/>
      <c r="BU163" s="20"/>
      <c r="BV163" s="20"/>
      <c r="BW163" s="20"/>
      <c r="BX163" s="20"/>
      <c r="BY163" s="20"/>
      <c r="BZ163" s="20"/>
      <c r="CA163" s="20"/>
      <c r="CB163" s="20"/>
      <c r="CC163" s="20"/>
      <c r="CD163" s="20"/>
      <c r="CE163" s="20"/>
      <c r="CF163" s="20"/>
      <c r="CG163" s="20"/>
      <c r="CH163" s="20"/>
      <c r="CI163" s="20"/>
      <c r="CJ163" s="20"/>
      <c r="CK163" s="20"/>
      <c r="CL163" s="20"/>
      <c r="CM163" s="20"/>
      <c r="CN163" s="20"/>
      <c r="CO163" s="20"/>
      <c r="CP163" s="20"/>
      <c r="CQ163" s="20"/>
      <c r="CR163" s="20"/>
      <c r="CS163" s="20"/>
      <c r="CT163" s="20"/>
      <c r="CU163" s="20"/>
      <c r="CV163" s="20"/>
      <c r="CW163" s="20"/>
      <c r="CX163" s="20"/>
      <c r="CY163" s="20"/>
      <c r="CZ163" s="20"/>
      <c r="DA163" s="20"/>
      <c r="DB163" s="20"/>
      <c r="DC163" s="20"/>
      <c r="DD163" s="20"/>
      <c r="DE163" s="20"/>
      <c r="DF163" s="20"/>
      <c r="DG163" s="20"/>
      <c r="DH163" s="20"/>
      <c r="DI163" s="20"/>
      <c r="DJ163" s="20"/>
      <c r="DK163" s="20"/>
      <c r="DL163" s="20"/>
      <c r="DM163" s="20"/>
      <c r="DN163" s="20"/>
      <c r="DO163" s="20"/>
      <c r="DP163" s="20"/>
      <c r="DQ163" s="20"/>
      <c r="DR163" s="20"/>
      <c r="DS163" s="20"/>
      <c r="DT163" s="20"/>
      <c r="DU163" s="20"/>
      <c r="DV163" s="20"/>
      <c r="DW163" s="20"/>
      <c r="DX163" s="20"/>
      <c r="DY163" s="20"/>
      <c r="DZ163" s="20"/>
      <c r="EA163" s="20"/>
      <c r="EB163" s="20"/>
      <c r="EC163" s="20"/>
      <c r="ED163" s="20"/>
      <c r="EE163" s="20"/>
      <c r="EF163" s="20"/>
      <c r="EG163" s="20"/>
      <c r="EH163" s="20"/>
      <c r="EI163" s="20"/>
    </row>
    <row r="164" spans="1:139" x14ac:dyDescent="0.25">
      <c r="A164" s="20"/>
      <c r="B164" s="80" t="s">
        <v>241</v>
      </c>
      <c r="C164" s="81" t="s">
        <v>242</v>
      </c>
      <c r="D164" s="485" t="s">
        <v>150</v>
      </c>
      <c r="E164" s="575">
        <f t="shared" ref="E164:K165" si="86">E157+273.15</f>
        <v>943.35127889109651</v>
      </c>
      <c r="F164" s="576">
        <f t="shared" si="86"/>
        <v>872.43313186277044</v>
      </c>
      <c r="G164" s="577">
        <f t="shared" si="86"/>
        <v>835.99574303415409</v>
      </c>
      <c r="H164" s="577">
        <f t="shared" si="86"/>
        <v>816.49768062152123</v>
      </c>
      <c r="I164" s="577">
        <f t="shared" si="86"/>
        <v>720.98668821305728</v>
      </c>
      <c r="J164" s="577">
        <f t="shared" si="86"/>
        <v>577.88309312687966</v>
      </c>
      <c r="K164" s="578">
        <f t="shared" si="86"/>
        <v>503.8518185235435</v>
      </c>
      <c r="L164" s="20"/>
      <c r="M164" s="23"/>
      <c r="N164" s="23"/>
      <c r="O164" s="23"/>
      <c r="P164" s="23"/>
      <c r="Q164" s="23"/>
      <c r="R164" s="23"/>
      <c r="S164" s="23"/>
      <c r="T164" s="23"/>
      <c r="U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  <c r="AM164" s="20"/>
      <c r="AN164" s="20"/>
      <c r="AO164" s="20"/>
      <c r="AP164" s="20"/>
      <c r="AQ164" s="20"/>
      <c r="AR164" s="20"/>
      <c r="AS164" s="20"/>
      <c r="AT164" s="20"/>
      <c r="AU164" s="20"/>
      <c r="AV164" s="20"/>
      <c r="AW164" s="20"/>
      <c r="AX164" s="20"/>
      <c r="AY164" s="20"/>
      <c r="AZ164" s="20"/>
      <c r="BA164" s="20"/>
      <c r="BB164" s="20"/>
      <c r="BC164" s="20"/>
      <c r="BD164" s="20"/>
      <c r="BE164" s="20"/>
      <c r="BF164" s="20"/>
      <c r="BG164" s="20"/>
      <c r="BH164" s="20"/>
      <c r="BI164" s="20"/>
      <c r="BJ164" s="20"/>
      <c r="BK164" s="20"/>
      <c r="BL164" s="20"/>
      <c r="BM164" s="20"/>
      <c r="BN164" s="20"/>
      <c r="BO164" s="20"/>
      <c r="BP164" s="20"/>
      <c r="BQ164" s="20"/>
      <c r="BR164" s="20"/>
      <c r="BS164" s="20"/>
      <c r="BT164" s="20"/>
      <c r="BU164" s="20"/>
      <c r="BV164" s="20"/>
      <c r="BW164" s="20"/>
      <c r="BX164" s="20"/>
      <c r="BY164" s="20"/>
      <c r="BZ164" s="20"/>
      <c r="CA164" s="20"/>
      <c r="CB164" s="20"/>
      <c r="CC164" s="20"/>
      <c r="CD164" s="20"/>
      <c r="CE164" s="20"/>
      <c r="CF164" s="20"/>
      <c r="CG164" s="20"/>
      <c r="CH164" s="20"/>
      <c r="CI164" s="20"/>
      <c r="CJ164" s="20"/>
      <c r="CK164" s="20"/>
      <c r="CL164" s="20"/>
      <c r="CM164" s="20"/>
      <c r="CN164" s="20"/>
      <c r="CO164" s="20"/>
      <c r="CP164" s="20"/>
      <c r="CQ164" s="20"/>
      <c r="CR164" s="20"/>
      <c r="CS164" s="20"/>
      <c r="CT164" s="20"/>
      <c r="CU164" s="20"/>
      <c r="CV164" s="20"/>
      <c r="CW164" s="20"/>
      <c r="CX164" s="20"/>
      <c r="CY164" s="20"/>
      <c r="CZ164" s="20"/>
      <c r="DA164" s="20"/>
      <c r="DB164" s="20"/>
      <c r="DC164" s="20"/>
      <c r="DD164" s="20"/>
      <c r="DE164" s="20"/>
      <c r="DF164" s="20"/>
      <c r="DG164" s="20"/>
      <c r="DH164" s="20"/>
      <c r="DI164" s="20"/>
      <c r="DJ164" s="20"/>
      <c r="DK164" s="20"/>
      <c r="DL164" s="20"/>
      <c r="DM164" s="20"/>
      <c r="DN164" s="20"/>
      <c r="DO164" s="20"/>
      <c r="DP164" s="20"/>
      <c r="DQ164" s="20"/>
      <c r="DR164" s="20"/>
      <c r="DS164" s="20"/>
      <c r="DT164" s="20"/>
      <c r="DU164" s="20"/>
      <c r="DV164" s="20"/>
      <c r="DW164" s="20"/>
      <c r="DX164" s="20"/>
      <c r="DY164" s="20"/>
      <c r="DZ164" s="20"/>
      <c r="EA164" s="20"/>
      <c r="EB164" s="20"/>
      <c r="EC164" s="20"/>
      <c r="ED164" s="20"/>
      <c r="EE164" s="20"/>
      <c r="EF164" s="20"/>
      <c r="EG164" s="20"/>
      <c r="EH164" s="20"/>
      <c r="EI164" s="20"/>
    </row>
    <row r="165" spans="1:139" x14ac:dyDescent="0.25">
      <c r="A165" s="20"/>
      <c r="B165" s="80" t="s">
        <v>235</v>
      </c>
      <c r="C165" s="81" t="s">
        <v>243</v>
      </c>
      <c r="D165" s="485" t="s">
        <v>150</v>
      </c>
      <c r="E165" s="575">
        <f t="shared" si="86"/>
        <v>902.70078672229727</v>
      </c>
      <c r="F165" s="576">
        <f t="shared" si="86"/>
        <v>848.30725647727047</v>
      </c>
      <c r="G165" s="577">
        <f t="shared" si="86"/>
        <v>820.36013300677826</v>
      </c>
      <c r="H165" s="577">
        <f t="shared" si="86"/>
        <v>805.40530843786576</v>
      </c>
      <c r="I165" s="577">
        <f t="shared" si="86"/>
        <v>732.1493045517625</v>
      </c>
      <c r="J165" s="577">
        <f t="shared" si="86"/>
        <v>622.39023647595627</v>
      </c>
      <c r="K165" s="578">
        <f t="shared" si="86"/>
        <v>565.60896760543619</v>
      </c>
      <c r="L165" s="20"/>
      <c r="M165" s="23"/>
      <c r="N165" s="23"/>
      <c r="O165" s="23"/>
      <c r="P165" s="23"/>
      <c r="Q165" s="23"/>
      <c r="R165" s="23"/>
      <c r="S165" s="23"/>
      <c r="T165" s="23"/>
      <c r="U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  <c r="AM165" s="20"/>
      <c r="AN165" s="20"/>
      <c r="AO165" s="20"/>
      <c r="AP165" s="20"/>
      <c r="AQ165" s="20"/>
      <c r="AR165" s="20"/>
      <c r="AS165" s="20"/>
      <c r="AT165" s="20"/>
      <c r="AU165" s="20"/>
      <c r="AV165" s="20"/>
      <c r="AW165" s="20"/>
      <c r="AX165" s="20"/>
      <c r="AY165" s="20"/>
      <c r="AZ165" s="20"/>
      <c r="BA165" s="20"/>
      <c r="BB165" s="20"/>
      <c r="BC165" s="20"/>
      <c r="BD165" s="20"/>
      <c r="BE165" s="20"/>
      <c r="BF165" s="20"/>
      <c r="BG165" s="20"/>
      <c r="BH165" s="20"/>
      <c r="BI165" s="20"/>
      <c r="BJ165" s="20"/>
      <c r="BK165" s="20"/>
      <c r="BL165" s="20"/>
      <c r="BM165" s="20"/>
      <c r="BN165" s="20"/>
      <c r="BO165" s="20"/>
      <c r="BP165" s="20"/>
      <c r="BQ165" s="20"/>
      <c r="BR165" s="20"/>
      <c r="BS165" s="20"/>
      <c r="BT165" s="20"/>
      <c r="BU165" s="20"/>
      <c r="BV165" s="20"/>
      <c r="BW165" s="20"/>
      <c r="BX165" s="20"/>
      <c r="BY165" s="20"/>
      <c r="BZ165" s="20"/>
      <c r="CA165" s="20"/>
      <c r="CB165" s="20"/>
      <c r="CC165" s="20"/>
      <c r="CD165" s="20"/>
      <c r="CE165" s="20"/>
      <c r="CF165" s="20"/>
      <c r="CG165" s="20"/>
      <c r="CH165" s="20"/>
      <c r="CI165" s="20"/>
      <c r="CJ165" s="20"/>
      <c r="CK165" s="20"/>
      <c r="CL165" s="20"/>
      <c r="CM165" s="20"/>
      <c r="CN165" s="20"/>
      <c r="CO165" s="20"/>
      <c r="CP165" s="20"/>
      <c r="CQ165" s="20"/>
      <c r="CR165" s="20"/>
      <c r="CS165" s="20"/>
      <c r="CT165" s="20"/>
      <c r="CU165" s="20"/>
      <c r="CV165" s="20"/>
      <c r="CW165" s="20"/>
      <c r="CX165" s="20"/>
      <c r="CY165" s="20"/>
      <c r="CZ165" s="20"/>
      <c r="DA165" s="20"/>
      <c r="DB165" s="20"/>
      <c r="DC165" s="20"/>
      <c r="DD165" s="20"/>
      <c r="DE165" s="20"/>
      <c r="DF165" s="20"/>
      <c r="DG165" s="20"/>
      <c r="DH165" s="20"/>
      <c r="DI165" s="20"/>
      <c r="DJ165" s="20"/>
      <c r="DK165" s="20"/>
      <c r="DL165" s="20"/>
      <c r="DM165" s="20"/>
      <c r="DN165" s="20"/>
      <c r="DO165" s="20"/>
      <c r="DP165" s="20"/>
      <c r="DQ165" s="20"/>
      <c r="DR165" s="20"/>
      <c r="DS165" s="20"/>
      <c r="DT165" s="20"/>
      <c r="DU165" s="20"/>
      <c r="DV165" s="20"/>
      <c r="DW165" s="20"/>
      <c r="DX165" s="20"/>
      <c r="DY165" s="20"/>
      <c r="DZ165" s="20"/>
      <c r="EA165" s="20"/>
      <c r="EB165" s="20"/>
      <c r="EC165" s="20"/>
      <c r="ED165" s="20"/>
      <c r="EE165" s="20"/>
      <c r="EF165" s="20"/>
      <c r="EG165" s="20"/>
      <c r="EH165" s="20"/>
      <c r="EI165" s="20"/>
    </row>
    <row r="166" spans="1:139" x14ac:dyDescent="0.25">
      <c r="A166" s="20"/>
      <c r="B166" s="80" t="s">
        <v>244</v>
      </c>
      <c r="C166" s="85" t="s">
        <v>245</v>
      </c>
      <c r="D166" s="485" t="s">
        <v>246</v>
      </c>
      <c r="E166" s="134">
        <v>5.6699999999999998E-8</v>
      </c>
      <c r="F166" s="161">
        <v>5.6699999999999998E-8</v>
      </c>
      <c r="G166" s="135">
        <v>5.6699999999999998E-8</v>
      </c>
      <c r="H166" s="135">
        <v>5.6699999999999998E-8</v>
      </c>
      <c r="I166" s="135">
        <v>5.6699999999999998E-8</v>
      </c>
      <c r="J166" s="135">
        <v>5.6699999999999998E-8</v>
      </c>
      <c r="K166" s="136">
        <v>5.6699999999999998E-8</v>
      </c>
      <c r="L166" s="20"/>
      <c r="M166" s="23"/>
      <c r="N166" s="23"/>
      <c r="O166" s="23"/>
      <c r="P166" s="23"/>
      <c r="Q166" s="23"/>
      <c r="R166" s="23"/>
      <c r="S166" s="23"/>
      <c r="T166" s="23"/>
      <c r="U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  <c r="AM166" s="20"/>
      <c r="AN166" s="20"/>
      <c r="AO166" s="20"/>
      <c r="AP166" s="20"/>
      <c r="AQ166" s="20"/>
      <c r="AR166" s="20"/>
      <c r="AS166" s="20"/>
      <c r="AT166" s="20"/>
      <c r="AU166" s="20"/>
      <c r="AV166" s="20"/>
      <c r="AW166" s="20"/>
      <c r="AX166" s="20"/>
      <c r="AY166" s="20"/>
      <c r="AZ166" s="20"/>
      <c r="BA166" s="20"/>
      <c r="BB166" s="20"/>
      <c r="BC166" s="20"/>
      <c r="BD166" s="20"/>
      <c r="BE166" s="20"/>
      <c r="BF166" s="20"/>
      <c r="BG166" s="20"/>
      <c r="BH166" s="20"/>
      <c r="BI166" s="20"/>
      <c r="BJ166" s="20"/>
      <c r="BK166" s="20"/>
      <c r="BL166" s="20"/>
      <c r="BM166" s="20"/>
      <c r="BN166" s="20"/>
      <c r="BO166" s="20"/>
      <c r="BP166" s="20"/>
      <c r="BQ166" s="20"/>
      <c r="BR166" s="20"/>
      <c r="BS166" s="20"/>
      <c r="BT166" s="20"/>
      <c r="BU166" s="20"/>
      <c r="BV166" s="20"/>
      <c r="BW166" s="20"/>
      <c r="BX166" s="20"/>
      <c r="BY166" s="20"/>
      <c r="BZ166" s="20"/>
      <c r="CA166" s="20"/>
      <c r="CB166" s="20"/>
      <c r="CC166" s="20"/>
      <c r="CD166" s="20"/>
      <c r="CE166" s="20"/>
      <c r="CF166" s="20"/>
      <c r="CG166" s="20"/>
      <c r="CH166" s="20"/>
      <c r="CI166" s="20"/>
      <c r="CJ166" s="20"/>
      <c r="CK166" s="20"/>
      <c r="CL166" s="20"/>
      <c r="CM166" s="20"/>
      <c r="CN166" s="20"/>
      <c r="CO166" s="20"/>
      <c r="CP166" s="20"/>
      <c r="CQ166" s="20"/>
      <c r="CR166" s="20"/>
      <c r="CS166" s="20"/>
      <c r="CT166" s="20"/>
      <c r="CU166" s="20"/>
      <c r="CV166" s="20"/>
      <c r="CW166" s="20"/>
      <c r="CX166" s="20"/>
      <c r="CY166" s="20"/>
      <c r="CZ166" s="20"/>
      <c r="DA166" s="20"/>
      <c r="DB166" s="20"/>
      <c r="DC166" s="20"/>
      <c r="DD166" s="20"/>
      <c r="DE166" s="20"/>
      <c r="DF166" s="20"/>
      <c r="DG166" s="20"/>
      <c r="DH166" s="20"/>
      <c r="DI166" s="20"/>
      <c r="DJ166" s="20"/>
      <c r="DK166" s="20"/>
      <c r="DL166" s="20"/>
      <c r="DM166" s="20"/>
      <c r="DN166" s="20"/>
      <c r="DO166" s="20"/>
      <c r="DP166" s="20"/>
      <c r="DQ166" s="20"/>
      <c r="DR166" s="20"/>
      <c r="DS166" s="20"/>
      <c r="DT166" s="20"/>
      <c r="DU166" s="20"/>
      <c r="DV166" s="20"/>
      <c r="DW166" s="20"/>
      <c r="DX166" s="20"/>
      <c r="DY166" s="20"/>
      <c r="DZ166" s="20"/>
      <c r="EA166" s="20"/>
      <c r="EB166" s="20"/>
      <c r="EC166" s="20"/>
      <c r="ED166" s="20"/>
      <c r="EE166" s="20"/>
      <c r="EF166" s="20"/>
      <c r="EG166" s="20"/>
      <c r="EH166" s="20"/>
      <c r="EI166" s="20"/>
    </row>
    <row r="167" spans="1:139" x14ac:dyDescent="0.25">
      <c r="A167" s="20"/>
      <c r="B167" s="80" t="s">
        <v>247</v>
      </c>
      <c r="C167" s="81" t="s">
        <v>248</v>
      </c>
      <c r="D167" s="485" t="s">
        <v>122</v>
      </c>
      <c r="E167" s="246">
        <v>0.11940000000000001</v>
      </c>
      <c r="F167" s="386">
        <v>0.12609999999999999</v>
      </c>
      <c r="G167" s="179">
        <v>0.14699999999999999</v>
      </c>
      <c r="H167" s="179">
        <v>0.153</v>
      </c>
      <c r="I167" s="179">
        <v>0.1706</v>
      </c>
      <c r="J167" s="179">
        <v>0.1706</v>
      </c>
      <c r="K167" s="180">
        <v>0.1706</v>
      </c>
      <c r="L167" s="20"/>
      <c r="M167" s="23"/>
      <c r="N167" s="23"/>
      <c r="O167" s="23"/>
      <c r="P167" s="23"/>
      <c r="Q167" s="23"/>
      <c r="R167" s="23"/>
      <c r="S167" s="23"/>
      <c r="T167" s="23"/>
      <c r="U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  <c r="AM167" s="20"/>
      <c r="AN167" s="20"/>
      <c r="AO167" s="20"/>
      <c r="AP167" s="20"/>
      <c r="AQ167" s="20"/>
      <c r="AR167" s="20"/>
      <c r="AS167" s="20"/>
      <c r="AT167" s="20"/>
      <c r="AU167" s="20"/>
      <c r="AV167" s="20"/>
      <c r="AW167" s="20"/>
      <c r="AX167" s="20"/>
      <c r="AY167" s="20"/>
      <c r="AZ167" s="20"/>
      <c r="BA167" s="20"/>
      <c r="BB167" s="20"/>
      <c r="BC167" s="20"/>
      <c r="BD167" s="20"/>
      <c r="BE167" s="20"/>
      <c r="BF167" s="20"/>
      <c r="BG167" s="20"/>
      <c r="BH167" s="20"/>
      <c r="BI167" s="20"/>
      <c r="BJ167" s="20"/>
      <c r="BK167" s="20"/>
      <c r="BL167" s="20"/>
      <c r="BM167" s="20"/>
      <c r="BN167" s="20"/>
      <c r="BO167" s="20"/>
      <c r="BP167" s="20"/>
      <c r="BQ167" s="20"/>
      <c r="BR167" s="20"/>
      <c r="BS167" s="20"/>
      <c r="BT167" s="20"/>
      <c r="BU167" s="20"/>
      <c r="BV167" s="20"/>
      <c r="BW167" s="20"/>
      <c r="BX167" s="20"/>
      <c r="BY167" s="20"/>
      <c r="BZ167" s="20"/>
      <c r="CA167" s="20"/>
      <c r="CB167" s="20"/>
      <c r="CC167" s="20"/>
      <c r="CD167" s="20"/>
      <c r="CE167" s="20"/>
      <c r="CF167" s="20"/>
      <c r="CG167" s="20"/>
      <c r="CH167" s="20"/>
      <c r="CI167" s="20"/>
      <c r="CJ167" s="20"/>
      <c r="CK167" s="20"/>
      <c r="CL167" s="20"/>
      <c r="CM167" s="20"/>
      <c r="CN167" s="20"/>
      <c r="CO167" s="20"/>
      <c r="CP167" s="20"/>
      <c r="CQ167" s="20"/>
      <c r="CR167" s="20"/>
      <c r="CS167" s="20"/>
      <c r="CT167" s="20"/>
      <c r="CU167" s="20"/>
      <c r="CV167" s="20"/>
      <c r="CW167" s="20"/>
      <c r="CX167" s="20"/>
      <c r="CY167" s="20"/>
      <c r="CZ167" s="20"/>
      <c r="DA167" s="20"/>
      <c r="DB167" s="20"/>
      <c r="DC167" s="20"/>
      <c r="DD167" s="20"/>
      <c r="DE167" s="20"/>
      <c r="DF167" s="20"/>
      <c r="DG167" s="20"/>
      <c r="DH167" s="20"/>
      <c r="DI167" s="20"/>
      <c r="DJ167" s="20"/>
      <c r="DK167" s="20"/>
      <c r="DL167" s="20"/>
      <c r="DM167" s="20"/>
      <c r="DN167" s="20"/>
      <c r="DO167" s="20"/>
      <c r="DP167" s="20"/>
      <c r="DQ167" s="20"/>
      <c r="DR167" s="20"/>
      <c r="DS167" s="20"/>
      <c r="DT167" s="20"/>
      <c r="DU167" s="20"/>
      <c r="DV167" s="20"/>
      <c r="DW167" s="20"/>
      <c r="DX167" s="20"/>
      <c r="DY167" s="20"/>
      <c r="DZ167" s="20"/>
      <c r="EA167" s="20"/>
      <c r="EB167" s="20"/>
      <c r="EC167" s="20"/>
      <c r="ED167" s="20"/>
      <c r="EE167" s="20"/>
      <c r="EF167" s="20"/>
      <c r="EG167" s="20"/>
      <c r="EH167" s="20"/>
      <c r="EI167" s="20"/>
    </row>
    <row r="168" spans="1:139" x14ac:dyDescent="0.25">
      <c r="A168" s="20"/>
      <c r="B168" s="80" t="s">
        <v>249</v>
      </c>
      <c r="C168" s="81" t="s">
        <v>250</v>
      </c>
      <c r="D168" s="485" t="s">
        <v>122</v>
      </c>
      <c r="E168" s="246">
        <v>0.4</v>
      </c>
      <c r="F168" s="179">
        <v>0.4</v>
      </c>
      <c r="G168" s="179">
        <v>0.4</v>
      </c>
      <c r="H168" s="179">
        <v>0.4</v>
      </c>
      <c r="I168" s="179">
        <v>0.4</v>
      </c>
      <c r="J168" s="179">
        <v>0.4</v>
      </c>
      <c r="K168" s="180">
        <v>0.4</v>
      </c>
      <c r="L168" s="20"/>
      <c r="M168" s="23"/>
      <c r="N168" s="23"/>
      <c r="O168" s="23"/>
      <c r="P168" s="23"/>
      <c r="Q168" s="23"/>
      <c r="R168" s="23"/>
      <c r="S168" s="23"/>
      <c r="T168" s="23"/>
      <c r="U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  <c r="AM168" s="20"/>
      <c r="AN168" s="20"/>
      <c r="AO168" s="20"/>
      <c r="AP168" s="20"/>
      <c r="AQ168" s="20"/>
      <c r="AR168" s="20"/>
      <c r="AS168" s="20"/>
      <c r="AT168" s="20"/>
      <c r="AU168" s="20"/>
      <c r="AV168" s="20"/>
      <c r="AW168" s="20"/>
      <c r="AX168" s="20"/>
      <c r="AY168" s="20"/>
      <c r="AZ168" s="20"/>
      <c r="BA168" s="20"/>
      <c r="BB168" s="20"/>
      <c r="BC168" s="20"/>
      <c r="BD168" s="20"/>
      <c r="BE168" s="20"/>
      <c r="BF168" s="20"/>
      <c r="BG168" s="20"/>
      <c r="BH168" s="20"/>
      <c r="BI168" s="20"/>
      <c r="BJ168" s="20"/>
      <c r="BK168" s="20"/>
      <c r="BL168" s="20"/>
      <c r="BM168" s="20"/>
      <c r="BN168" s="20"/>
      <c r="BO168" s="20"/>
      <c r="BP168" s="20"/>
      <c r="BQ168" s="20"/>
      <c r="BR168" s="20"/>
      <c r="BS168" s="20"/>
      <c r="BT168" s="20"/>
      <c r="BU168" s="20"/>
      <c r="BV168" s="20"/>
      <c r="BW168" s="20"/>
      <c r="BX168" s="20"/>
      <c r="BY168" s="20"/>
      <c r="BZ168" s="20"/>
      <c r="CA168" s="20"/>
      <c r="CB168" s="20"/>
      <c r="CC168" s="20"/>
      <c r="CD168" s="20"/>
      <c r="CE168" s="20"/>
      <c r="CF168" s="20"/>
      <c r="CG168" s="20"/>
      <c r="CH168" s="20"/>
      <c r="CI168" s="20"/>
      <c r="CJ168" s="20"/>
      <c r="CK168" s="20"/>
      <c r="CL168" s="20"/>
      <c r="CM168" s="20"/>
      <c r="CN168" s="20"/>
      <c r="CO168" s="20"/>
      <c r="CP168" s="20"/>
      <c r="CQ168" s="20"/>
      <c r="CR168" s="20"/>
      <c r="CS168" s="20"/>
      <c r="CT168" s="20"/>
      <c r="CU168" s="20"/>
      <c r="CV168" s="20"/>
      <c r="CW168" s="20"/>
      <c r="CX168" s="20"/>
      <c r="CY168" s="20"/>
      <c r="CZ168" s="20"/>
      <c r="DA168" s="20"/>
      <c r="DB168" s="20"/>
      <c r="DC168" s="20"/>
      <c r="DD168" s="20"/>
      <c r="DE168" s="20"/>
      <c r="DF168" s="20"/>
      <c r="DG168" s="20"/>
      <c r="DH168" s="20"/>
      <c r="DI168" s="20"/>
      <c r="DJ168" s="20"/>
      <c r="DK168" s="20"/>
      <c r="DL168" s="20"/>
      <c r="DM168" s="20"/>
      <c r="DN168" s="20"/>
      <c r="DO168" s="20"/>
      <c r="DP168" s="20"/>
      <c r="DQ168" s="20"/>
      <c r="DR168" s="20"/>
      <c r="DS168" s="20"/>
      <c r="DT168" s="20"/>
      <c r="DU168" s="20"/>
      <c r="DV168" s="20"/>
      <c r="DW168" s="20"/>
      <c r="DX168" s="20"/>
      <c r="DY168" s="20"/>
      <c r="DZ168" s="20"/>
      <c r="EA168" s="20"/>
      <c r="EB168" s="20"/>
      <c r="EC168" s="20"/>
      <c r="ED168" s="20"/>
      <c r="EE168" s="20"/>
      <c r="EF168" s="20"/>
      <c r="EG168" s="20"/>
      <c r="EH168" s="20"/>
      <c r="EI168" s="20"/>
    </row>
    <row r="169" spans="1:139" x14ac:dyDescent="0.25">
      <c r="A169" s="20"/>
      <c r="B169" s="80" t="s">
        <v>251</v>
      </c>
      <c r="C169" s="81" t="s">
        <v>252</v>
      </c>
      <c r="D169" s="485" t="s">
        <v>122</v>
      </c>
      <c r="E169" s="246">
        <v>0.96</v>
      </c>
      <c r="F169" s="386">
        <v>0.96</v>
      </c>
      <c r="G169" s="179">
        <v>0.96</v>
      </c>
      <c r="H169" s="179">
        <v>0.96</v>
      </c>
      <c r="I169" s="179">
        <v>0.96</v>
      </c>
      <c r="J169" s="179">
        <v>0.96</v>
      </c>
      <c r="K169" s="180">
        <v>0.96</v>
      </c>
      <c r="L169" s="20"/>
      <c r="M169" s="23"/>
      <c r="N169" s="23"/>
      <c r="O169" s="23"/>
      <c r="P169" s="23"/>
      <c r="Q169" s="23"/>
      <c r="R169" s="23"/>
      <c r="S169" s="23"/>
      <c r="T169" s="23"/>
      <c r="U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  <c r="AM169" s="20"/>
      <c r="AN169" s="20"/>
      <c r="AO169" s="20"/>
      <c r="AP169" s="20"/>
      <c r="AQ169" s="20"/>
      <c r="AR169" s="20"/>
      <c r="AS169" s="20"/>
      <c r="AT169" s="20"/>
      <c r="AU169" s="20"/>
      <c r="AV169" s="20"/>
      <c r="AW169" s="20"/>
      <c r="AX169" s="20"/>
      <c r="AY169" s="20"/>
      <c r="AZ169" s="20"/>
      <c r="BA169" s="20"/>
      <c r="BB169" s="20"/>
      <c r="BC169" s="20"/>
      <c r="BD169" s="20"/>
      <c r="BE169" s="20"/>
      <c r="BF169" s="20"/>
      <c r="BG169" s="20"/>
      <c r="BH169" s="20"/>
      <c r="BI169" s="20"/>
      <c r="BJ169" s="20"/>
      <c r="BK169" s="20"/>
      <c r="BL169" s="20"/>
      <c r="BM169" s="20"/>
      <c r="BN169" s="20"/>
      <c r="BO169" s="20"/>
      <c r="BP169" s="20"/>
      <c r="BQ169" s="20"/>
      <c r="BR169" s="20"/>
      <c r="BS169" s="20"/>
      <c r="BT169" s="20"/>
      <c r="BU169" s="20"/>
      <c r="BV169" s="20"/>
      <c r="BW169" s="20"/>
      <c r="BX169" s="20"/>
      <c r="BY169" s="20"/>
      <c r="BZ169" s="20"/>
      <c r="CA169" s="20"/>
      <c r="CB169" s="20"/>
      <c r="CC169" s="20"/>
      <c r="CD169" s="20"/>
      <c r="CE169" s="20"/>
      <c r="CF169" s="20"/>
      <c r="CG169" s="20"/>
      <c r="CH169" s="20"/>
      <c r="CI169" s="20"/>
      <c r="CJ169" s="20"/>
      <c r="CK169" s="20"/>
      <c r="CL169" s="20"/>
      <c r="CM169" s="20"/>
      <c r="CN169" s="20"/>
      <c r="CO169" s="20"/>
      <c r="CP169" s="20"/>
      <c r="CQ169" s="20"/>
      <c r="CR169" s="20"/>
      <c r="CS169" s="20"/>
      <c r="CT169" s="20"/>
      <c r="CU169" s="20"/>
      <c r="CV169" s="20"/>
      <c r="CW169" s="20"/>
      <c r="CX169" s="20"/>
      <c r="CY169" s="20"/>
      <c r="CZ169" s="20"/>
      <c r="DA169" s="20"/>
      <c r="DB169" s="20"/>
      <c r="DC169" s="20"/>
      <c r="DD169" s="20"/>
      <c r="DE169" s="20"/>
      <c r="DF169" s="20"/>
      <c r="DG169" s="20"/>
      <c r="DH169" s="20"/>
      <c r="DI169" s="20"/>
      <c r="DJ169" s="20"/>
      <c r="DK169" s="20"/>
      <c r="DL169" s="20"/>
      <c r="DM169" s="20"/>
      <c r="DN169" s="20"/>
      <c r="DO169" s="20"/>
      <c r="DP169" s="20"/>
      <c r="DQ169" s="20"/>
      <c r="DR169" s="20"/>
      <c r="DS169" s="20"/>
      <c r="DT169" s="20"/>
      <c r="DU169" s="20"/>
      <c r="DV169" s="20"/>
      <c r="DW169" s="20"/>
      <c r="DX169" s="20"/>
      <c r="DY169" s="20"/>
      <c r="DZ169" s="20"/>
      <c r="EA169" s="20"/>
      <c r="EB169" s="20"/>
      <c r="EC169" s="20"/>
      <c r="ED169" s="20"/>
      <c r="EE169" s="20"/>
      <c r="EF169" s="20"/>
      <c r="EG169" s="20"/>
      <c r="EH169" s="20"/>
      <c r="EI169" s="20"/>
    </row>
    <row r="170" spans="1:139" x14ac:dyDescent="0.25">
      <c r="A170" s="20"/>
      <c r="B170" s="80" t="s">
        <v>345</v>
      </c>
      <c r="C170" s="81" t="s">
        <v>117</v>
      </c>
      <c r="D170" s="485" t="s">
        <v>28</v>
      </c>
      <c r="E170" s="246">
        <f>+E64</f>
        <v>3.1510000000000002</v>
      </c>
      <c r="F170" s="179">
        <f t="shared" ref="F170:K171" si="87">+F64</f>
        <v>1.7870000000000001</v>
      </c>
      <c r="G170" s="179">
        <f t="shared" si="87"/>
        <v>0.95199999999999996</v>
      </c>
      <c r="H170" s="179">
        <f t="shared" si="87"/>
        <v>0.85899999999999999</v>
      </c>
      <c r="I170" s="179">
        <f t="shared" si="87"/>
        <v>1.6019999999999999</v>
      </c>
      <c r="J170" s="179">
        <f t="shared" si="87"/>
        <v>1.359</v>
      </c>
      <c r="K170" s="180">
        <f t="shared" si="87"/>
        <v>0.70399999999999996</v>
      </c>
      <c r="L170" s="20"/>
      <c r="M170" s="23"/>
      <c r="N170" s="23"/>
      <c r="O170" s="23"/>
      <c r="P170" s="23"/>
      <c r="Q170" s="23"/>
      <c r="R170" s="23"/>
      <c r="S170" s="23"/>
      <c r="T170" s="23"/>
      <c r="U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  <c r="AM170" s="20"/>
      <c r="AN170" s="20"/>
      <c r="AO170" s="20"/>
      <c r="AP170" s="20"/>
      <c r="AQ170" s="20"/>
      <c r="AR170" s="20"/>
      <c r="AS170" s="20"/>
      <c r="AT170" s="20"/>
      <c r="AU170" s="20"/>
      <c r="AV170" s="20"/>
      <c r="AW170" s="20"/>
      <c r="AX170" s="20"/>
      <c r="AY170" s="20"/>
      <c r="AZ170" s="20"/>
      <c r="BA170" s="20"/>
      <c r="BB170" s="20"/>
      <c r="BC170" s="20"/>
      <c r="BD170" s="20"/>
      <c r="BE170" s="20"/>
      <c r="BF170" s="20"/>
      <c r="BG170" s="20"/>
      <c r="BH170" s="20"/>
      <c r="BI170" s="20"/>
      <c r="BJ170" s="20"/>
      <c r="BK170" s="20"/>
      <c r="BL170" s="20"/>
      <c r="BM170" s="20"/>
      <c r="BN170" s="20"/>
      <c r="BO170" s="20"/>
      <c r="BP170" s="20"/>
      <c r="BQ170" s="20"/>
      <c r="BR170" s="20"/>
      <c r="BS170" s="20"/>
      <c r="BT170" s="20"/>
      <c r="BU170" s="20"/>
      <c r="BV170" s="20"/>
      <c r="BW170" s="20"/>
      <c r="BX170" s="20"/>
      <c r="BY170" s="20"/>
      <c r="BZ170" s="20"/>
      <c r="CA170" s="20"/>
      <c r="CB170" s="20"/>
      <c r="CC170" s="20"/>
      <c r="CD170" s="20"/>
      <c r="CE170" s="20"/>
      <c r="CF170" s="20"/>
      <c r="CG170" s="20"/>
      <c r="CH170" s="20"/>
      <c r="CI170" s="20"/>
      <c r="CJ170" s="20"/>
      <c r="CK170" s="20"/>
      <c r="CL170" s="20"/>
      <c r="CM170" s="20"/>
      <c r="CN170" s="20"/>
      <c r="CO170" s="20"/>
      <c r="CP170" s="20"/>
      <c r="CQ170" s="20"/>
      <c r="CR170" s="20"/>
      <c r="CS170" s="20"/>
      <c r="CT170" s="20"/>
      <c r="CU170" s="20"/>
      <c r="CV170" s="20"/>
      <c r="CW170" s="20"/>
      <c r="CX170" s="20"/>
      <c r="CY170" s="20"/>
      <c r="CZ170" s="20"/>
      <c r="DA170" s="20"/>
      <c r="DB170" s="20"/>
      <c r="DC170" s="20"/>
      <c r="DD170" s="20"/>
      <c r="DE170" s="20"/>
      <c r="DF170" s="20"/>
      <c r="DG170" s="20"/>
      <c r="DH170" s="20"/>
      <c r="DI170" s="20"/>
      <c r="DJ170" s="20"/>
      <c r="DK170" s="20"/>
      <c r="DL170" s="20"/>
      <c r="DM170" s="20"/>
      <c r="DN170" s="20"/>
      <c r="DO170" s="20"/>
      <c r="DP170" s="20"/>
      <c r="DQ170" s="20"/>
      <c r="DR170" s="20"/>
      <c r="DS170" s="20"/>
      <c r="DT170" s="20"/>
      <c r="DU170" s="20"/>
      <c r="DV170" s="20"/>
      <c r="DW170" s="20"/>
      <c r="DX170" s="20"/>
      <c r="DY170" s="20"/>
      <c r="DZ170" s="20"/>
      <c r="EA170" s="20"/>
      <c r="EB170" s="20"/>
      <c r="EC170" s="20"/>
      <c r="ED170" s="20"/>
      <c r="EE170" s="20"/>
      <c r="EF170" s="20"/>
      <c r="EG170" s="20"/>
      <c r="EH170" s="20"/>
      <c r="EI170" s="20"/>
    </row>
    <row r="171" spans="1:139" x14ac:dyDescent="0.25">
      <c r="A171" s="20"/>
      <c r="B171" s="80" t="s">
        <v>346</v>
      </c>
      <c r="C171" s="81" t="s">
        <v>118</v>
      </c>
      <c r="D171" s="485" t="s">
        <v>28</v>
      </c>
      <c r="E171" s="246">
        <f>+E65</f>
        <v>2.238</v>
      </c>
      <c r="F171" s="179">
        <f t="shared" si="87"/>
        <v>1.3029999999999999</v>
      </c>
      <c r="G171" s="179">
        <f t="shared" si="87"/>
        <v>0.86099999999999999</v>
      </c>
      <c r="H171" s="179">
        <f t="shared" si="87"/>
        <v>0.93700000000000006</v>
      </c>
      <c r="I171" s="179">
        <f t="shared" si="87"/>
        <v>7.7640000000000002</v>
      </c>
      <c r="J171" s="179">
        <f t="shared" si="87"/>
        <v>7.9459999999999997</v>
      </c>
      <c r="K171" s="180">
        <f t="shared" si="87"/>
        <v>4.2190000000000003</v>
      </c>
      <c r="L171" s="20"/>
      <c r="M171" s="23"/>
      <c r="N171" s="23"/>
      <c r="O171" s="23"/>
      <c r="P171" s="23"/>
      <c r="Q171" s="23"/>
      <c r="R171" s="23"/>
      <c r="S171" s="23"/>
      <c r="T171" s="23"/>
      <c r="U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  <c r="AM171" s="20"/>
      <c r="AN171" s="20"/>
      <c r="AO171" s="20"/>
      <c r="AP171" s="20"/>
      <c r="AQ171" s="20"/>
      <c r="AR171" s="20"/>
      <c r="AS171" s="20"/>
      <c r="AT171" s="20"/>
      <c r="AU171" s="20"/>
      <c r="AV171" s="20"/>
      <c r="AW171" s="20"/>
      <c r="AX171" s="20"/>
      <c r="AY171" s="20"/>
      <c r="AZ171" s="20"/>
      <c r="BA171" s="20"/>
      <c r="BB171" s="20"/>
      <c r="BC171" s="20"/>
      <c r="BD171" s="20"/>
      <c r="BE171" s="20"/>
      <c r="BF171" s="20"/>
      <c r="BG171" s="20"/>
      <c r="BH171" s="20"/>
      <c r="BI171" s="20"/>
      <c r="BJ171" s="20"/>
      <c r="BK171" s="20"/>
      <c r="BL171" s="20"/>
      <c r="BM171" s="20"/>
      <c r="BN171" s="20"/>
      <c r="BO171" s="20"/>
      <c r="BP171" s="20"/>
      <c r="BQ171" s="20"/>
      <c r="BR171" s="20"/>
      <c r="BS171" s="20"/>
      <c r="BT171" s="20"/>
      <c r="BU171" s="20"/>
      <c r="BV171" s="20"/>
      <c r="BW171" s="20"/>
      <c r="BX171" s="20"/>
      <c r="BY171" s="20"/>
      <c r="BZ171" s="20"/>
      <c r="CA171" s="20"/>
      <c r="CB171" s="20"/>
      <c r="CC171" s="20"/>
      <c r="CD171" s="20"/>
      <c r="CE171" s="20"/>
      <c r="CF171" s="20"/>
      <c r="CG171" s="20"/>
      <c r="CH171" s="20"/>
      <c r="CI171" s="20"/>
      <c r="CJ171" s="20"/>
      <c r="CK171" s="20"/>
      <c r="CL171" s="20"/>
      <c r="CM171" s="20"/>
      <c r="CN171" s="20"/>
      <c r="CO171" s="20"/>
      <c r="CP171" s="20"/>
      <c r="CQ171" s="20"/>
      <c r="CR171" s="20"/>
      <c r="CS171" s="20"/>
      <c r="CT171" s="20"/>
      <c r="CU171" s="20"/>
      <c r="CV171" s="20"/>
      <c r="CW171" s="20"/>
      <c r="CX171" s="20"/>
      <c r="CY171" s="20"/>
      <c r="CZ171" s="20"/>
      <c r="DA171" s="20"/>
      <c r="DB171" s="20"/>
      <c r="DC171" s="20"/>
      <c r="DD171" s="20"/>
      <c r="DE171" s="20"/>
      <c r="DF171" s="20"/>
      <c r="DG171" s="20"/>
      <c r="DH171" s="20"/>
      <c r="DI171" s="20"/>
      <c r="DJ171" s="20"/>
      <c r="DK171" s="20"/>
      <c r="DL171" s="20"/>
      <c r="DM171" s="20"/>
      <c r="DN171" s="20"/>
      <c r="DO171" s="20"/>
      <c r="DP171" s="20"/>
      <c r="DQ171" s="20"/>
      <c r="DR171" s="20"/>
      <c r="DS171" s="20"/>
      <c r="DT171" s="20"/>
      <c r="DU171" s="20"/>
      <c r="DV171" s="20"/>
      <c r="DW171" s="20"/>
      <c r="DX171" s="20"/>
      <c r="DY171" s="20"/>
      <c r="DZ171" s="20"/>
      <c r="EA171" s="20"/>
      <c r="EB171" s="20"/>
      <c r="EC171" s="20"/>
      <c r="ED171" s="20"/>
      <c r="EE171" s="20"/>
      <c r="EF171" s="20"/>
      <c r="EG171" s="20"/>
      <c r="EH171" s="20"/>
      <c r="EI171" s="20"/>
    </row>
    <row r="172" spans="1:139" x14ac:dyDescent="0.25">
      <c r="A172" s="20"/>
      <c r="B172" s="80" t="s">
        <v>119</v>
      </c>
      <c r="C172" s="85" t="s">
        <v>120</v>
      </c>
      <c r="D172" s="485" t="s">
        <v>28</v>
      </c>
      <c r="E172" s="246">
        <f>+E68</f>
        <v>2.1160000000000001</v>
      </c>
      <c r="F172" s="179">
        <f t="shared" ref="F172:K172" si="88">+F68</f>
        <v>1.583</v>
      </c>
      <c r="G172" s="179">
        <f t="shared" si="88"/>
        <v>0.57699999999999996</v>
      </c>
      <c r="H172" s="179">
        <f t="shared" si="88"/>
        <v>0.57699999999999996</v>
      </c>
      <c r="I172" s="179">
        <f t="shared" si="88"/>
        <v>7.6449999999999996</v>
      </c>
      <c r="J172" s="179">
        <f t="shared" si="88"/>
        <v>7.6449999999999996</v>
      </c>
      <c r="K172" s="180">
        <f t="shared" si="88"/>
        <v>3.89</v>
      </c>
      <c r="L172" s="20"/>
      <c r="M172" s="23"/>
      <c r="N172" s="23"/>
      <c r="O172" s="23"/>
      <c r="P172" s="23"/>
      <c r="Q172" s="23"/>
      <c r="R172" s="23"/>
      <c r="S172" s="23"/>
      <c r="T172" s="23"/>
      <c r="U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  <c r="AM172" s="20"/>
      <c r="AN172" s="20"/>
      <c r="AO172" s="20"/>
      <c r="AP172" s="20"/>
      <c r="AQ172" s="20"/>
      <c r="AR172" s="20"/>
      <c r="AS172" s="20"/>
      <c r="AT172" s="20"/>
      <c r="AU172" s="20"/>
      <c r="AV172" s="20"/>
      <c r="AW172" s="20"/>
      <c r="AX172" s="20"/>
      <c r="AY172" s="20"/>
      <c r="AZ172" s="20"/>
      <c r="BA172" s="20"/>
      <c r="BB172" s="20"/>
      <c r="BC172" s="20"/>
      <c r="BD172" s="20"/>
      <c r="BE172" s="20"/>
      <c r="BF172" s="20"/>
      <c r="BG172" s="20"/>
      <c r="BH172" s="20"/>
      <c r="BI172" s="20"/>
      <c r="BJ172" s="20"/>
      <c r="BK172" s="20"/>
      <c r="BL172" s="20"/>
      <c r="BM172" s="20"/>
      <c r="BN172" s="20"/>
      <c r="BO172" s="20"/>
      <c r="BP172" s="20"/>
      <c r="BQ172" s="20"/>
      <c r="BR172" s="20"/>
      <c r="BS172" s="20"/>
      <c r="BT172" s="20"/>
      <c r="BU172" s="20"/>
      <c r="BV172" s="20"/>
      <c r="BW172" s="20"/>
      <c r="BX172" s="20"/>
      <c r="BY172" s="20"/>
      <c r="BZ172" s="20"/>
      <c r="CA172" s="20"/>
      <c r="CB172" s="20"/>
      <c r="CC172" s="20"/>
      <c r="CD172" s="20"/>
      <c r="CE172" s="20"/>
      <c r="CF172" s="20"/>
      <c r="CG172" s="20"/>
      <c r="CH172" s="20"/>
      <c r="CI172" s="20"/>
      <c r="CJ172" s="20"/>
      <c r="CK172" s="20"/>
      <c r="CL172" s="20"/>
      <c r="CM172" s="20"/>
      <c r="CN172" s="20"/>
      <c r="CO172" s="20"/>
      <c r="CP172" s="20"/>
      <c r="CQ172" s="20"/>
      <c r="CR172" s="20"/>
      <c r="CS172" s="20"/>
      <c r="CT172" s="20"/>
      <c r="CU172" s="20"/>
      <c r="CV172" s="20"/>
      <c r="CW172" s="20"/>
      <c r="CX172" s="20"/>
      <c r="CY172" s="20"/>
      <c r="CZ172" s="20"/>
      <c r="DA172" s="20"/>
      <c r="DB172" s="20"/>
      <c r="DC172" s="20"/>
      <c r="DD172" s="20"/>
      <c r="DE172" s="20"/>
      <c r="DF172" s="20"/>
      <c r="DG172" s="20"/>
      <c r="DH172" s="20"/>
      <c r="DI172" s="20"/>
      <c r="DJ172" s="20"/>
      <c r="DK172" s="20"/>
      <c r="DL172" s="20"/>
      <c r="DM172" s="20"/>
      <c r="DN172" s="20"/>
      <c r="DO172" s="20"/>
      <c r="DP172" s="20"/>
      <c r="DQ172" s="20"/>
      <c r="DR172" s="20"/>
      <c r="DS172" s="20"/>
      <c r="DT172" s="20"/>
      <c r="DU172" s="20"/>
      <c r="DV172" s="20"/>
      <c r="DW172" s="20"/>
      <c r="DX172" s="20"/>
      <c r="DY172" s="20"/>
      <c r="DZ172" s="20"/>
      <c r="EA172" s="20"/>
      <c r="EB172" s="20"/>
      <c r="EC172" s="20"/>
      <c r="ED172" s="20"/>
      <c r="EE172" s="20"/>
      <c r="EF172" s="20"/>
      <c r="EG172" s="20"/>
      <c r="EH172" s="20"/>
      <c r="EI172" s="20"/>
    </row>
    <row r="173" spans="1:139" x14ac:dyDescent="0.25">
      <c r="A173" s="20"/>
      <c r="B173" s="80" t="s">
        <v>253</v>
      </c>
      <c r="C173" s="81" t="s">
        <v>254</v>
      </c>
      <c r="D173" s="485" t="s">
        <v>44</v>
      </c>
      <c r="E173" s="246">
        <v>0.4</v>
      </c>
      <c r="F173" s="179">
        <v>0.4</v>
      </c>
      <c r="G173" s="179">
        <v>0.4</v>
      </c>
      <c r="H173" s="179">
        <v>0.4</v>
      </c>
      <c r="I173" s="179">
        <v>0.2</v>
      </c>
      <c r="J173" s="179">
        <v>0.2</v>
      </c>
      <c r="K173" s="180">
        <v>0.2</v>
      </c>
      <c r="L173" s="20"/>
      <c r="M173" s="23"/>
      <c r="N173" s="23"/>
      <c r="O173" s="23"/>
      <c r="P173" s="23"/>
      <c r="Q173" s="23"/>
      <c r="R173" s="23"/>
      <c r="S173" s="23"/>
      <c r="T173" s="23"/>
      <c r="U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  <c r="AM173" s="20"/>
      <c r="AN173" s="20"/>
      <c r="AO173" s="20"/>
      <c r="AP173" s="20"/>
      <c r="AQ173" s="20"/>
      <c r="AR173" s="20"/>
      <c r="AS173" s="20"/>
      <c r="AT173" s="20"/>
      <c r="AU173" s="20"/>
      <c r="AV173" s="20"/>
      <c r="AW173" s="20"/>
      <c r="AX173" s="20"/>
      <c r="AY173" s="20"/>
      <c r="AZ173" s="20"/>
      <c r="BA173" s="20"/>
      <c r="BB173" s="20"/>
      <c r="BC173" s="20"/>
      <c r="BD173" s="20"/>
      <c r="BE173" s="20"/>
      <c r="BF173" s="20"/>
      <c r="BG173" s="20"/>
      <c r="BH173" s="20"/>
      <c r="BI173" s="20"/>
      <c r="BJ173" s="20"/>
      <c r="BK173" s="20"/>
      <c r="BL173" s="20"/>
      <c r="BM173" s="20"/>
      <c r="BN173" s="20"/>
      <c r="BO173" s="20"/>
      <c r="BP173" s="20"/>
      <c r="BQ173" s="20"/>
      <c r="BR173" s="20"/>
      <c r="BS173" s="20"/>
      <c r="BT173" s="20"/>
      <c r="BU173" s="20"/>
      <c r="BV173" s="20"/>
      <c r="BW173" s="20"/>
      <c r="BX173" s="20"/>
      <c r="BY173" s="20"/>
      <c r="BZ173" s="20"/>
      <c r="CA173" s="20"/>
      <c r="CB173" s="20"/>
      <c r="CC173" s="20"/>
      <c r="CD173" s="20"/>
      <c r="CE173" s="20"/>
      <c r="CF173" s="20"/>
      <c r="CG173" s="20"/>
      <c r="CH173" s="20"/>
      <c r="CI173" s="20"/>
      <c r="CJ173" s="20"/>
      <c r="CK173" s="20"/>
      <c r="CL173" s="20"/>
      <c r="CM173" s="20"/>
      <c r="CN173" s="20"/>
      <c r="CO173" s="20"/>
      <c r="CP173" s="20"/>
      <c r="CQ173" s="20"/>
      <c r="CR173" s="20"/>
      <c r="CS173" s="20"/>
      <c r="CT173" s="20"/>
      <c r="CU173" s="20"/>
      <c r="CV173" s="20"/>
      <c r="CW173" s="20"/>
      <c r="CX173" s="20"/>
      <c r="CY173" s="20"/>
      <c r="CZ173" s="20"/>
      <c r="DA173" s="20"/>
      <c r="DB173" s="20"/>
      <c r="DC173" s="20"/>
      <c r="DD173" s="20"/>
      <c r="DE173" s="20"/>
      <c r="DF173" s="20"/>
      <c r="DG173" s="20"/>
      <c r="DH173" s="20"/>
      <c r="DI173" s="20"/>
      <c r="DJ173" s="20"/>
      <c r="DK173" s="20"/>
      <c r="DL173" s="20"/>
      <c r="DM173" s="20"/>
      <c r="DN173" s="20"/>
      <c r="DO173" s="20"/>
      <c r="DP173" s="20"/>
      <c r="DQ173" s="20"/>
      <c r="DR173" s="20"/>
      <c r="DS173" s="20"/>
      <c r="DT173" s="20"/>
      <c r="DU173" s="20"/>
      <c r="DV173" s="20"/>
      <c r="DW173" s="20"/>
      <c r="DX173" s="20"/>
      <c r="DY173" s="20"/>
      <c r="DZ173" s="20"/>
      <c r="EA173" s="20"/>
      <c r="EB173" s="20"/>
      <c r="EC173" s="20"/>
      <c r="ED173" s="20"/>
      <c r="EE173" s="20"/>
      <c r="EF173" s="20"/>
      <c r="EG173" s="20"/>
      <c r="EH173" s="20"/>
      <c r="EI173" s="20"/>
    </row>
    <row r="174" spans="1:139" x14ac:dyDescent="0.25">
      <c r="A174" s="20"/>
      <c r="B174" s="80" t="s">
        <v>255</v>
      </c>
      <c r="C174" s="81" t="s">
        <v>256</v>
      </c>
      <c r="D174" s="485" t="s">
        <v>44</v>
      </c>
      <c r="E174" s="246">
        <v>0.2</v>
      </c>
      <c r="F174" s="179">
        <v>0.2</v>
      </c>
      <c r="G174" s="179">
        <v>0.2</v>
      </c>
      <c r="H174" s="179">
        <v>0.2</v>
      </c>
      <c r="I174" s="179">
        <v>0.6</v>
      </c>
      <c r="J174" s="179">
        <v>0.6</v>
      </c>
      <c r="K174" s="180">
        <v>0.6</v>
      </c>
      <c r="L174" s="20"/>
      <c r="M174" s="20"/>
      <c r="N174" s="20"/>
      <c r="O174" s="20"/>
      <c r="P174" s="20"/>
      <c r="Q174" s="42"/>
      <c r="R174" s="20"/>
      <c r="S174" s="20"/>
      <c r="T174" s="20"/>
      <c r="U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  <c r="AM174" s="20"/>
      <c r="AN174" s="20"/>
      <c r="AO174" s="20"/>
      <c r="AP174" s="20"/>
      <c r="AQ174" s="20"/>
      <c r="AR174" s="20"/>
      <c r="AS174" s="20"/>
      <c r="AT174" s="20"/>
      <c r="AU174" s="20"/>
      <c r="AV174" s="20"/>
      <c r="AW174" s="20"/>
      <c r="AX174" s="20"/>
      <c r="AY174" s="20"/>
      <c r="AZ174" s="20"/>
      <c r="BA174" s="20"/>
      <c r="BB174" s="20"/>
      <c r="BC174" s="20"/>
      <c r="BD174" s="20"/>
      <c r="BE174" s="20"/>
      <c r="BF174" s="20"/>
      <c r="BG174" s="20"/>
      <c r="BH174" s="20"/>
      <c r="BI174" s="20"/>
      <c r="BJ174" s="20"/>
      <c r="BK174" s="20"/>
      <c r="BL174" s="20"/>
      <c r="BM174" s="20"/>
      <c r="BN174" s="20"/>
      <c r="BO174" s="20"/>
      <c r="BP174" s="20"/>
      <c r="BQ174" s="20"/>
      <c r="BR174" s="20"/>
      <c r="BS174" s="20"/>
      <c r="BT174" s="20"/>
      <c r="BU174" s="20"/>
      <c r="BV174" s="20"/>
      <c r="BW174" s="20"/>
      <c r="BX174" s="20"/>
      <c r="BY174" s="20"/>
      <c r="BZ174" s="20"/>
      <c r="CA174" s="20"/>
      <c r="CB174" s="20"/>
      <c r="CC174" s="20"/>
      <c r="CD174" s="20"/>
      <c r="CE174" s="20"/>
      <c r="CF174" s="20"/>
      <c r="CG174" s="20"/>
      <c r="CH174" s="20"/>
      <c r="CI174" s="20"/>
      <c r="CJ174" s="20"/>
      <c r="CK174" s="20"/>
      <c r="CL174" s="20"/>
      <c r="CM174" s="20"/>
      <c r="CN174" s="20"/>
      <c r="CO174" s="20"/>
      <c r="CP174" s="20"/>
      <c r="CQ174" s="20"/>
      <c r="CR174" s="20"/>
      <c r="CS174" s="20"/>
      <c r="CT174" s="20"/>
      <c r="CU174" s="20"/>
      <c r="CV174" s="20"/>
      <c r="CW174" s="20"/>
      <c r="CX174" s="20"/>
      <c r="CY174" s="20"/>
      <c r="CZ174" s="20"/>
      <c r="DA174" s="20"/>
      <c r="DB174" s="20"/>
      <c r="DC174" s="20"/>
      <c r="DD174" s="20"/>
      <c r="DE174" s="20"/>
      <c r="DF174" s="20"/>
      <c r="DG174" s="20"/>
      <c r="DH174" s="20"/>
      <c r="DI174" s="20"/>
      <c r="DJ174" s="20"/>
      <c r="DK174" s="20"/>
      <c r="DL174" s="20"/>
      <c r="DM174" s="20"/>
      <c r="DN174" s="20"/>
      <c r="DO174" s="20"/>
      <c r="DP174" s="20"/>
      <c r="DQ174" s="20"/>
      <c r="DR174" s="20"/>
      <c r="DS174" s="20"/>
      <c r="DT174" s="20"/>
      <c r="DU174" s="20"/>
      <c r="DV174" s="20"/>
      <c r="DW174" s="20"/>
      <c r="DX174" s="20"/>
      <c r="DY174" s="20"/>
      <c r="DZ174" s="20"/>
      <c r="EA174" s="20"/>
      <c r="EB174" s="20"/>
      <c r="EC174" s="20"/>
      <c r="ED174" s="20"/>
      <c r="EE174" s="20"/>
      <c r="EF174" s="20"/>
      <c r="EG174" s="20"/>
      <c r="EH174" s="20"/>
      <c r="EI174" s="20"/>
    </row>
    <row r="175" spans="1:139" x14ac:dyDescent="0.25">
      <c r="A175" s="20"/>
      <c r="B175" s="137" t="s">
        <v>257</v>
      </c>
      <c r="C175" s="98" t="s">
        <v>258</v>
      </c>
      <c r="D175" s="99" t="s">
        <v>19</v>
      </c>
      <c r="E175" s="642">
        <f>2*(E166*(E164^4-E163^4)/((1-E168)/(E172*E168)+1/(E172*E173)+(1-E169)/(E170/E169)))/1000</f>
        <v>45.349082088433178</v>
      </c>
      <c r="F175" s="321">
        <f t="shared" ref="F175:K175" si="89">2*(F166*(F164^4-F163^4)/((1-F168)/(F172*F168)+1/(F172*F173)+(1-F169)/(F170/F169)))/1000</f>
        <v>24.358891261020883</v>
      </c>
      <c r="G175" s="321">
        <f t="shared" si="89"/>
        <v>7.2265339333178247</v>
      </c>
      <c r="H175" s="321">
        <f t="shared" si="89"/>
        <v>6.5289475936904209</v>
      </c>
      <c r="I175" s="321">
        <f t="shared" si="89"/>
        <v>32.310528806431911</v>
      </c>
      <c r="J175" s="321">
        <f t="shared" si="89"/>
        <v>11.795828540756789</v>
      </c>
      <c r="K175" s="652">
        <f t="shared" si="89"/>
        <v>-11.776023697151174</v>
      </c>
      <c r="L175" s="20"/>
      <c r="M175" s="20"/>
      <c r="N175" s="20"/>
      <c r="O175" s="20"/>
      <c r="P175" s="20"/>
      <c r="Q175" s="42"/>
      <c r="R175" s="20"/>
      <c r="S175" s="20"/>
      <c r="T175" s="20"/>
      <c r="U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  <c r="AM175" s="20"/>
      <c r="AN175" s="20"/>
      <c r="AO175" s="20"/>
      <c r="AP175" s="20"/>
      <c r="AQ175" s="20"/>
      <c r="AR175" s="20"/>
      <c r="AS175" s="20"/>
      <c r="AT175" s="20"/>
      <c r="AU175" s="20"/>
      <c r="AV175" s="20"/>
      <c r="AW175" s="20"/>
      <c r="AX175" s="20"/>
      <c r="AY175" s="20"/>
      <c r="AZ175" s="20"/>
      <c r="BA175" s="20"/>
      <c r="BB175" s="20"/>
      <c r="BC175" s="20"/>
      <c r="BD175" s="20"/>
      <c r="BE175" s="20"/>
      <c r="BF175" s="20"/>
      <c r="BG175" s="20"/>
      <c r="BH175" s="20"/>
      <c r="BI175" s="20"/>
      <c r="BJ175" s="20"/>
      <c r="BK175" s="20"/>
      <c r="BL175" s="20"/>
      <c r="BM175" s="20"/>
      <c r="BN175" s="20"/>
      <c r="BO175" s="20"/>
      <c r="BP175" s="20"/>
      <c r="BQ175" s="20"/>
      <c r="BR175" s="20"/>
      <c r="BS175" s="20"/>
      <c r="BT175" s="20"/>
      <c r="BU175" s="20"/>
      <c r="BV175" s="20"/>
      <c r="BW175" s="20"/>
      <c r="BX175" s="20"/>
      <c r="BY175" s="20"/>
      <c r="BZ175" s="20"/>
      <c r="CA175" s="20"/>
      <c r="CB175" s="20"/>
      <c r="CC175" s="20"/>
      <c r="CD175" s="20"/>
      <c r="CE175" s="20"/>
      <c r="CF175" s="20"/>
      <c r="CG175" s="20"/>
      <c r="CH175" s="20"/>
      <c r="CI175" s="20"/>
      <c r="CJ175" s="20"/>
      <c r="CK175" s="20"/>
      <c r="CL175" s="20"/>
      <c r="CM175" s="20"/>
      <c r="CN175" s="20"/>
      <c r="CO175" s="20"/>
      <c r="CP175" s="20"/>
      <c r="CQ175" s="20"/>
      <c r="CR175" s="20"/>
      <c r="CS175" s="20"/>
      <c r="CT175" s="20"/>
      <c r="CU175" s="20"/>
      <c r="CV175" s="20"/>
      <c r="CW175" s="20"/>
      <c r="CX175" s="20"/>
      <c r="CY175" s="20"/>
      <c r="CZ175" s="20"/>
      <c r="DA175" s="20"/>
      <c r="DB175" s="20"/>
      <c r="DC175" s="20"/>
      <c r="DD175" s="20"/>
      <c r="DE175" s="20"/>
      <c r="DF175" s="20"/>
      <c r="DG175" s="20"/>
      <c r="DH175" s="20"/>
      <c r="DI175" s="20"/>
      <c r="DJ175" s="20"/>
      <c r="DK175" s="20"/>
      <c r="DL175" s="20"/>
      <c r="DM175" s="20"/>
      <c r="DN175" s="20"/>
      <c r="DO175" s="20"/>
      <c r="DP175" s="20"/>
      <c r="DQ175" s="20"/>
      <c r="DR175" s="20"/>
      <c r="DS175" s="20"/>
      <c r="DT175" s="20"/>
      <c r="DU175" s="20"/>
      <c r="DV175" s="20"/>
      <c r="DW175" s="20"/>
      <c r="DX175" s="20"/>
      <c r="DY175" s="20"/>
      <c r="DZ175" s="20"/>
      <c r="EA175" s="20"/>
      <c r="EB175" s="20"/>
      <c r="EC175" s="20"/>
      <c r="ED175" s="20"/>
      <c r="EE175" s="20"/>
      <c r="EF175" s="20"/>
      <c r="EG175" s="20"/>
      <c r="EH175" s="20"/>
      <c r="EI175" s="20"/>
    </row>
    <row r="176" spans="1:139" x14ac:dyDescent="0.25">
      <c r="A176" s="20"/>
      <c r="B176" s="137" t="s">
        <v>259</v>
      </c>
      <c r="C176" s="98" t="s">
        <v>260</v>
      </c>
      <c r="D176" s="99" t="s">
        <v>19</v>
      </c>
      <c r="E176" s="642">
        <f>(E166*(E165^4-E163^4)/((1-E168)/(E172*E168)+1/(E172*E174)+(1-E169)/(E171/E169)))/1000</f>
        <v>11.617261135301632</v>
      </c>
      <c r="F176" s="321">
        <f t="shared" ref="F176:K176" si="90">(F166*(F165^4-F163^4)/((1-F168)/(F172*F168)+1/(F172*F174)+(1-F169)/(F171/F169)))/1000</f>
        <v>6.6621085902685921</v>
      </c>
      <c r="G176" s="321">
        <f t="shared" si="90"/>
        <v>2.0495466151353732</v>
      </c>
      <c r="H176" s="321">
        <f t="shared" si="90"/>
        <v>1.8958579077141056</v>
      </c>
      <c r="I176" s="321">
        <f t="shared" si="90"/>
        <v>36.010149980857143</v>
      </c>
      <c r="J176" s="321">
        <f t="shared" si="90"/>
        <v>17.578162069902778</v>
      </c>
      <c r="K176" s="652">
        <f t="shared" si="90"/>
        <v>-9.7320942753924005</v>
      </c>
      <c r="L176" s="20"/>
      <c r="M176" s="20"/>
      <c r="N176" s="20"/>
      <c r="O176" s="20"/>
      <c r="P176" s="20"/>
      <c r="Q176" s="42"/>
      <c r="R176" s="20"/>
      <c r="S176" s="20"/>
      <c r="T176" s="20"/>
      <c r="U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  <c r="AM176" s="20"/>
      <c r="AN176" s="20"/>
      <c r="AO176" s="20"/>
      <c r="AP176" s="20"/>
      <c r="AQ176" s="20"/>
      <c r="AR176" s="20"/>
      <c r="AS176" s="20"/>
      <c r="AT176" s="20"/>
      <c r="AU176" s="20"/>
      <c r="AV176" s="20"/>
      <c r="AW176" s="20"/>
      <c r="AX176" s="20"/>
      <c r="AY176" s="20"/>
      <c r="AZ176" s="20"/>
      <c r="BA176" s="20"/>
      <c r="BB176" s="20"/>
      <c r="BC176" s="20"/>
      <c r="BD176" s="20"/>
      <c r="BE176" s="20"/>
      <c r="BF176" s="20"/>
      <c r="BG176" s="20"/>
      <c r="BH176" s="20"/>
      <c r="BI176" s="20"/>
      <c r="BJ176" s="20"/>
      <c r="BK176" s="20"/>
      <c r="BL176" s="20"/>
      <c r="BM176" s="20"/>
      <c r="BN176" s="20"/>
      <c r="BO176" s="20"/>
      <c r="BP176" s="20"/>
      <c r="BQ176" s="20"/>
      <c r="BR176" s="20"/>
      <c r="BS176" s="20"/>
      <c r="BT176" s="20"/>
      <c r="BU176" s="20"/>
      <c r="BV176" s="20"/>
      <c r="BW176" s="20"/>
      <c r="BX176" s="20"/>
      <c r="BY176" s="20"/>
      <c r="BZ176" s="20"/>
      <c r="CA176" s="20"/>
      <c r="CB176" s="20"/>
      <c r="CC176" s="20"/>
      <c r="CD176" s="20"/>
      <c r="CE176" s="20"/>
      <c r="CF176" s="20"/>
      <c r="CG176" s="20"/>
      <c r="CH176" s="20"/>
      <c r="CI176" s="20"/>
      <c r="CJ176" s="20"/>
      <c r="CK176" s="20"/>
      <c r="CL176" s="20"/>
      <c r="CM176" s="20"/>
      <c r="CN176" s="20"/>
      <c r="CO176" s="20"/>
      <c r="CP176" s="20"/>
      <c r="CQ176" s="20"/>
      <c r="CR176" s="20"/>
      <c r="CS176" s="20"/>
      <c r="CT176" s="20"/>
      <c r="CU176" s="20"/>
      <c r="CV176" s="20"/>
      <c r="CW176" s="20"/>
      <c r="CX176" s="20"/>
      <c r="CY176" s="20"/>
      <c r="CZ176" s="20"/>
      <c r="DA176" s="20"/>
      <c r="DB176" s="20"/>
      <c r="DC176" s="20"/>
      <c r="DD176" s="20"/>
      <c r="DE176" s="20"/>
      <c r="DF176" s="20"/>
      <c r="DG176" s="20"/>
      <c r="DH176" s="20"/>
      <c r="DI176" s="20"/>
      <c r="DJ176" s="20"/>
      <c r="DK176" s="20"/>
      <c r="DL176" s="20"/>
      <c r="DM176" s="20"/>
      <c r="DN176" s="20"/>
      <c r="DO176" s="20"/>
      <c r="DP176" s="20"/>
      <c r="DQ176" s="20"/>
      <c r="DR176" s="20"/>
      <c r="DS176" s="20"/>
      <c r="DT176" s="20"/>
      <c r="DU176" s="20"/>
      <c r="DV176" s="20"/>
      <c r="DW176" s="20"/>
      <c r="DX176" s="20"/>
      <c r="DY176" s="20"/>
      <c r="DZ176" s="20"/>
      <c r="EA176" s="20"/>
      <c r="EB176" s="20"/>
      <c r="EC176" s="20"/>
      <c r="ED176" s="20"/>
      <c r="EE176" s="20"/>
      <c r="EF176" s="20"/>
      <c r="EG176" s="20"/>
      <c r="EH176" s="20"/>
      <c r="EI176" s="20"/>
    </row>
    <row r="177" spans="1:139" x14ac:dyDescent="0.25">
      <c r="A177" s="20"/>
      <c r="B177" s="137" t="s">
        <v>261</v>
      </c>
      <c r="C177" s="98" t="s">
        <v>262</v>
      </c>
      <c r="D177" s="99" t="s">
        <v>19</v>
      </c>
      <c r="E177" s="80">
        <f>((E166*E172*E168*E167*(E162^4-E163^4))/(1-(1-E168)*(1-E167)))/1000</f>
        <v>23.222362056395877</v>
      </c>
      <c r="F177" s="623">
        <f t="shared" ref="F177:K177" si="91">((F166*F172*F168*F167*(F162^4-F163^4))/(1-(1-F168)*(1-F167)))/1000</f>
        <v>14.234465596674552</v>
      </c>
      <c r="G177" s="81">
        <f>((G166*G172*G168*G167*(G162^4-G163^4))/(1-(1-G168)*(1-G167)))/1000</f>
        <v>5.1147759610313779</v>
      </c>
      <c r="H177" s="81">
        <f t="shared" si="91"/>
        <v>4.9157201196176885</v>
      </c>
      <c r="I177" s="81">
        <f t="shared" si="91"/>
        <v>49.749612319812726</v>
      </c>
      <c r="J177" s="81">
        <f t="shared" si="91"/>
        <v>26.189911079570066</v>
      </c>
      <c r="K177" s="82">
        <f t="shared" si="91"/>
        <v>2.3775711488380868</v>
      </c>
      <c r="L177" s="20"/>
      <c r="M177" s="20"/>
      <c r="N177" s="20"/>
      <c r="O177" s="20"/>
      <c r="P177" s="20"/>
      <c r="Q177" s="42"/>
      <c r="R177" s="20"/>
      <c r="S177" s="20"/>
      <c r="T177" s="20"/>
      <c r="U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  <c r="AM177" s="20"/>
      <c r="AN177" s="20"/>
      <c r="AO177" s="20"/>
      <c r="AP177" s="20"/>
      <c r="AQ177" s="20"/>
      <c r="AR177" s="20"/>
      <c r="AS177" s="20"/>
      <c r="AT177" s="20"/>
      <c r="AU177" s="20"/>
      <c r="AV177" s="20"/>
      <c r="AW177" s="20"/>
      <c r="AX177" s="20"/>
      <c r="AY177" s="20"/>
      <c r="AZ177" s="20"/>
      <c r="BA177" s="20"/>
      <c r="BB177" s="20"/>
      <c r="BC177" s="20"/>
      <c r="BD177" s="20"/>
      <c r="BE177" s="20"/>
      <c r="BF177" s="20"/>
      <c r="BG177" s="20"/>
      <c r="BH177" s="20"/>
      <c r="BI177" s="20"/>
      <c r="BJ177" s="20"/>
      <c r="BK177" s="20"/>
      <c r="BL177" s="20"/>
      <c r="BM177" s="20"/>
      <c r="BN177" s="20"/>
      <c r="BO177" s="20"/>
      <c r="BP177" s="20"/>
      <c r="BQ177" s="20"/>
      <c r="BR177" s="20"/>
      <c r="BS177" s="20"/>
      <c r="BT177" s="20"/>
      <c r="BU177" s="20"/>
      <c r="BV177" s="20"/>
      <c r="BW177" s="20"/>
      <c r="BX177" s="20"/>
      <c r="BY177" s="20"/>
      <c r="BZ177" s="20"/>
      <c r="CA177" s="20"/>
      <c r="CB177" s="20"/>
      <c r="CC177" s="20"/>
      <c r="CD177" s="20"/>
      <c r="CE177" s="20"/>
      <c r="CF177" s="20"/>
      <c r="CG177" s="20"/>
      <c r="CH177" s="20"/>
      <c r="CI177" s="20"/>
      <c r="CJ177" s="20"/>
      <c r="CK177" s="20"/>
      <c r="CL177" s="20"/>
      <c r="CM177" s="20"/>
      <c r="CN177" s="20"/>
      <c r="CO177" s="20"/>
      <c r="CP177" s="20"/>
      <c r="CQ177" s="20"/>
      <c r="CR177" s="20"/>
      <c r="CS177" s="20"/>
      <c r="CT177" s="20"/>
      <c r="CU177" s="20"/>
      <c r="CV177" s="20"/>
      <c r="CW177" s="20"/>
      <c r="CX177" s="20"/>
      <c r="CY177" s="20"/>
      <c r="CZ177" s="20"/>
      <c r="DA177" s="20"/>
      <c r="DB177" s="20"/>
      <c r="DC177" s="20"/>
      <c r="DD177" s="20"/>
      <c r="DE177" s="20"/>
      <c r="DF177" s="20"/>
      <c r="DG177" s="20"/>
      <c r="DH177" s="20"/>
      <c r="DI177" s="20"/>
      <c r="DJ177" s="20"/>
      <c r="DK177" s="20"/>
      <c r="DL177" s="20"/>
      <c r="DM177" s="20"/>
      <c r="DN177" s="20"/>
      <c r="DO177" s="20"/>
      <c r="DP177" s="20"/>
      <c r="DQ177" s="20"/>
      <c r="DR177" s="20"/>
      <c r="DS177" s="20"/>
      <c r="DT177" s="20"/>
      <c r="DU177" s="20"/>
      <c r="DV177" s="20"/>
      <c r="DW177" s="20"/>
      <c r="DX177" s="20"/>
      <c r="DY177" s="20"/>
      <c r="DZ177" s="20"/>
      <c r="EA177" s="20"/>
      <c r="EB177" s="20"/>
      <c r="EC177" s="20"/>
      <c r="ED177" s="20"/>
      <c r="EE177" s="20"/>
      <c r="EF177" s="20"/>
      <c r="EG177" s="20"/>
      <c r="EH177" s="20"/>
      <c r="EI177" s="20"/>
    </row>
    <row r="178" spans="1:139" ht="15.75" thickBot="1" x14ac:dyDescent="0.3">
      <c r="A178" s="20"/>
      <c r="B178" s="460" t="s">
        <v>263</v>
      </c>
      <c r="C178" s="461" t="s">
        <v>264</v>
      </c>
      <c r="D178" s="114" t="s">
        <v>19</v>
      </c>
      <c r="E178" s="651">
        <f>SUM(E175:E177)</f>
        <v>80.188705280130691</v>
      </c>
      <c r="F178" s="653">
        <f t="shared" ref="F178:K178" si="92">SUM(F175:F177)</f>
        <v>45.255465447964028</v>
      </c>
      <c r="G178" s="653">
        <f t="shared" si="92"/>
        <v>14.390856509484575</v>
      </c>
      <c r="H178" s="653">
        <f t="shared" si="92"/>
        <v>13.340525621022215</v>
      </c>
      <c r="I178" s="653">
        <f t="shared" si="92"/>
        <v>118.07029110710178</v>
      </c>
      <c r="J178" s="653">
        <f t="shared" si="92"/>
        <v>55.563901690229635</v>
      </c>
      <c r="K178" s="654">
        <f t="shared" si="92"/>
        <v>-19.130546823705487</v>
      </c>
      <c r="L178" s="20"/>
      <c r="M178" s="20"/>
      <c r="N178" s="20"/>
      <c r="O178" s="20"/>
      <c r="P178" s="20"/>
      <c r="Q178" s="42"/>
      <c r="R178" s="20"/>
      <c r="S178" s="20"/>
      <c r="T178" s="20"/>
      <c r="U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  <c r="AM178" s="20"/>
      <c r="AN178" s="20"/>
      <c r="AO178" s="20"/>
      <c r="AP178" s="20"/>
      <c r="AQ178" s="20"/>
      <c r="AR178" s="20"/>
      <c r="AS178" s="20"/>
      <c r="AT178" s="20"/>
      <c r="AU178" s="20"/>
      <c r="AV178" s="20"/>
      <c r="AW178" s="20"/>
      <c r="AX178" s="20"/>
      <c r="AY178" s="20"/>
      <c r="AZ178" s="20"/>
      <c r="BA178" s="20"/>
      <c r="BB178" s="20"/>
      <c r="BC178" s="20"/>
      <c r="BD178" s="20"/>
      <c r="BE178" s="20"/>
      <c r="BF178" s="20"/>
      <c r="BG178" s="20"/>
      <c r="BH178" s="20"/>
      <c r="BI178" s="20"/>
      <c r="BJ178" s="20"/>
      <c r="BK178" s="20"/>
      <c r="BL178" s="20"/>
      <c r="BM178" s="20"/>
      <c r="BN178" s="20"/>
      <c r="BO178" s="20"/>
      <c r="BP178" s="20"/>
      <c r="BQ178" s="20"/>
      <c r="BR178" s="20"/>
      <c r="BS178" s="20"/>
      <c r="BT178" s="20"/>
      <c r="BU178" s="20"/>
      <c r="BV178" s="20"/>
      <c r="BW178" s="20"/>
      <c r="BX178" s="20"/>
      <c r="BY178" s="20"/>
      <c r="BZ178" s="20"/>
      <c r="CA178" s="20"/>
      <c r="CB178" s="20"/>
      <c r="CC178" s="20"/>
      <c r="CD178" s="20"/>
      <c r="CE178" s="20"/>
      <c r="CF178" s="20"/>
      <c r="CG178" s="20"/>
      <c r="CH178" s="20"/>
      <c r="CI178" s="20"/>
      <c r="CJ178" s="20"/>
      <c r="CK178" s="20"/>
      <c r="CL178" s="20"/>
      <c r="CM178" s="20"/>
      <c r="CN178" s="20"/>
      <c r="CO178" s="20"/>
      <c r="CP178" s="20"/>
      <c r="CQ178" s="20"/>
      <c r="CR178" s="20"/>
      <c r="CS178" s="20"/>
      <c r="CT178" s="20"/>
      <c r="CU178" s="20"/>
      <c r="CV178" s="20"/>
      <c r="CW178" s="20"/>
      <c r="CX178" s="20"/>
      <c r="CY178" s="20"/>
      <c r="CZ178" s="20"/>
      <c r="DA178" s="20"/>
      <c r="DB178" s="20"/>
      <c r="DC178" s="20"/>
      <c r="DD178" s="20"/>
      <c r="DE178" s="20"/>
      <c r="DF178" s="20"/>
      <c r="DG178" s="20"/>
      <c r="DH178" s="20"/>
      <c r="DI178" s="20"/>
      <c r="DJ178" s="20"/>
      <c r="DK178" s="20"/>
      <c r="DL178" s="20"/>
      <c r="DM178" s="20"/>
      <c r="DN178" s="20"/>
      <c r="DO178" s="20"/>
      <c r="DP178" s="20"/>
      <c r="DQ178" s="20"/>
      <c r="DR178" s="20"/>
      <c r="DS178" s="20"/>
      <c r="DT178" s="20"/>
      <c r="DU178" s="20"/>
      <c r="DV178" s="20"/>
      <c r="DW178" s="20"/>
      <c r="DX178" s="20"/>
      <c r="DY178" s="20"/>
      <c r="DZ178" s="20"/>
      <c r="EA178" s="20"/>
      <c r="EB178" s="20"/>
      <c r="EC178" s="20"/>
      <c r="ED178" s="20"/>
      <c r="EE178" s="20"/>
      <c r="EF178" s="20"/>
      <c r="EG178" s="20"/>
      <c r="EH178" s="20"/>
      <c r="EI178" s="20"/>
    </row>
    <row r="179" spans="1:139" ht="15.75" thickBot="1" x14ac:dyDescent="0.3">
      <c r="A179" s="20"/>
      <c r="E179">
        <f>52010/1000</f>
        <v>52.01</v>
      </c>
      <c r="F179" s="245">
        <f>18687.7/1000</f>
        <v>18.6877</v>
      </c>
      <c r="G179" s="245">
        <f>51227.9/1000</f>
        <v>51.227899999999998</v>
      </c>
      <c r="H179">
        <f>38455.3/1000</f>
        <v>38.455300000000001</v>
      </c>
      <c r="I179" s="245">
        <f>23504.9/1000</f>
        <v>23.504900000000003</v>
      </c>
      <c r="J179" s="43">
        <f>+SUM(E179:H179)</f>
        <v>160.3809</v>
      </c>
      <c r="K179" s="20"/>
      <c r="L179" s="20"/>
      <c r="M179" s="20"/>
      <c r="N179" s="20"/>
      <c r="O179" s="20"/>
      <c r="P179" s="20"/>
      <c r="Q179" s="42"/>
      <c r="R179" s="20"/>
      <c r="S179" s="20"/>
      <c r="T179" s="20"/>
      <c r="U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  <c r="AM179" s="20"/>
      <c r="AN179" s="20"/>
      <c r="AO179" s="20"/>
      <c r="AP179" s="20"/>
      <c r="AQ179" s="20"/>
      <c r="AR179" s="20"/>
      <c r="AS179" s="20"/>
      <c r="AT179" s="20"/>
      <c r="AU179" s="20"/>
      <c r="AV179" s="20"/>
      <c r="AW179" s="20"/>
      <c r="AX179" s="20"/>
      <c r="AY179" s="20"/>
      <c r="AZ179" s="20"/>
      <c r="BA179" s="20"/>
      <c r="BB179" s="20"/>
      <c r="BC179" s="20"/>
      <c r="BD179" s="20"/>
      <c r="BE179" s="20"/>
      <c r="BF179" s="20"/>
      <c r="BG179" s="20"/>
      <c r="BH179" s="20"/>
      <c r="BI179" s="20"/>
      <c r="BJ179" s="20"/>
      <c r="BK179" s="20"/>
      <c r="BL179" s="20"/>
      <c r="BM179" s="20"/>
      <c r="BN179" s="20"/>
      <c r="BO179" s="20"/>
      <c r="BP179" s="20"/>
      <c r="BQ179" s="20"/>
      <c r="BR179" s="20"/>
      <c r="BS179" s="20"/>
      <c r="BT179" s="20"/>
      <c r="BU179" s="20"/>
      <c r="BV179" s="20"/>
      <c r="BW179" s="20"/>
      <c r="BX179" s="20"/>
      <c r="BY179" s="20"/>
      <c r="BZ179" s="20"/>
      <c r="CA179" s="20"/>
      <c r="CB179" s="20"/>
      <c r="CC179" s="20"/>
      <c r="CD179" s="20"/>
      <c r="CE179" s="20"/>
      <c r="CF179" s="20"/>
      <c r="CG179" s="20"/>
      <c r="CH179" s="20"/>
      <c r="CI179" s="20"/>
      <c r="CJ179" s="20"/>
      <c r="CK179" s="20"/>
      <c r="CL179" s="20"/>
      <c r="CM179" s="20"/>
      <c r="CN179" s="20"/>
      <c r="CO179" s="20"/>
      <c r="CP179" s="20"/>
      <c r="CQ179" s="20"/>
      <c r="CR179" s="20"/>
      <c r="CS179" s="20"/>
      <c r="CT179" s="20"/>
      <c r="CU179" s="20"/>
      <c r="CV179" s="20"/>
      <c r="CW179" s="20"/>
      <c r="CX179" s="20"/>
      <c r="CY179" s="20"/>
      <c r="CZ179" s="20"/>
      <c r="DA179" s="20"/>
      <c r="DB179" s="20"/>
      <c r="DC179" s="20"/>
      <c r="DD179" s="20"/>
      <c r="DE179" s="20"/>
      <c r="DF179" s="20"/>
      <c r="DG179" s="20"/>
      <c r="DH179" s="20"/>
      <c r="DI179" s="20"/>
      <c r="DJ179" s="20"/>
      <c r="DK179" s="20"/>
      <c r="DL179" s="20"/>
      <c r="DM179" s="20"/>
      <c r="DN179" s="20"/>
      <c r="DO179" s="20"/>
      <c r="DP179" s="20"/>
      <c r="DQ179" s="20"/>
      <c r="DR179" s="20"/>
      <c r="DS179" s="20"/>
      <c r="DT179" s="20"/>
      <c r="DU179" s="20"/>
      <c r="DV179" s="20"/>
      <c r="DW179" s="20"/>
      <c r="DX179" s="20"/>
      <c r="DY179" s="20"/>
      <c r="DZ179" s="20"/>
      <c r="EA179" s="20"/>
      <c r="EB179" s="20"/>
      <c r="EC179" s="20"/>
      <c r="ED179" s="20"/>
      <c r="EE179" s="20"/>
      <c r="EF179" s="20"/>
      <c r="EG179" s="20"/>
      <c r="EH179" s="20"/>
      <c r="EI179" s="20"/>
    </row>
    <row r="180" spans="1:139" x14ac:dyDescent="0.25">
      <c r="A180" s="20"/>
      <c r="B180" s="120" t="s">
        <v>270</v>
      </c>
      <c r="C180" s="121" t="s">
        <v>69</v>
      </c>
      <c r="D180" s="544" t="s">
        <v>190</v>
      </c>
      <c r="E180" s="277">
        <f>E178+E152</f>
        <v>90.918672497383454</v>
      </c>
      <c r="F180" s="162">
        <f>F178+F152</f>
        <v>54.177969847978034</v>
      </c>
      <c r="G180" s="75">
        <f>G178+G152</f>
        <v>17.236461616523982</v>
      </c>
      <c r="H180" s="75">
        <f>H178+H152</f>
        <v>16.235789286371137</v>
      </c>
      <c r="I180" s="75">
        <f t="shared" ref="I180:J180" si="93">I178+I152</f>
        <v>177.02662907100057</v>
      </c>
      <c r="J180" s="75">
        <f t="shared" si="93"/>
        <v>110.33620059354239</v>
      </c>
      <c r="K180" s="76">
        <f>K178+K152</f>
        <v>-16.041009933912136</v>
      </c>
      <c r="M180" s="409">
        <f>+SUM(E180:J180)</f>
        <v>465.93172291279956</v>
      </c>
      <c r="N180" s="20"/>
      <c r="O180" s="20"/>
      <c r="P180" s="20"/>
      <c r="Q180" s="42"/>
      <c r="R180" s="20"/>
      <c r="S180" s="20"/>
      <c r="T180" s="20"/>
      <c r="U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  <c r="AM180" s="20"/>
      <c r="AN180" s="20"/>
      <c r="AO180" s="20"/>
      <c r="AP180" s="20"/>
      <c r="AQ180" s="20"/>
      <c r="AR180" s="20"/>
      <c r="AS180" s="20"/>
      <c r="AT180" s="20"/>
      <c r="AU180" s="20"/>
      <c r="AV180" s="20"/>
      <c r="AW180" s="20"/>
      <c r="AX180" s="20"/>
      <c r="AY180" s="20"/>
      <c r="AZ180" s="20"/>
      <c r="BA180" s="20"/>
      <c r="BB180" s="20"/>
      <c r="BC180" s="20"/>
      <c r="BD180" s="20"/>
      <c r="BE180" s="20"/>
      <c r="BF180" s="20"/>
      <c r="BG180" s="20"/>
      <c r="BH180" s="20"/>
      <c r="BI180" s="20"/>
      <c r="BJ180" s="20"/>
      <c r="BK180" s="20"/>
      <c r="BL180" s="20"/>
      <c r="BM180" s="20"/>
      <c r="BN180" s="20"/>
      <c r="BO180" s="20"/>
      <c r="BP180" s="20"/>
      <c r="BQ180" s="20"/>
      <c r="BR180" s="20"/>
      <c r="BS180" s="20"/>
      <c r="BT180" s="20"/>
      <c r="BU180" s="20"/>
      <c r="BV180" s="20"/>
      <c r="BW180" s="20"/>
      <c r="BX180" s="20"/>
      <c r="BY180" s="20"/>
      <c r="BZ180" s="20"/>
      <c r="CA180" s="20"/>
      <c r="CB180" s="20"/>
      <c r="CC180" s="20"/>
      <c r="CD180" s="20"/>
      <c r="CE180" s="20"/>
      <c r="CF180" s="20"/>
      <c r="CG180" s="20"/>
      <c r="CH180" s="20"/>
      <c r="CI180" s="20"/>
      <c r="CJ180" s="20"/>
      <c r="CK180" s="20"/>
      <c r="CL180" s="20"/>
      <c r="CM180" s="20"/>
      <c r="CN180" s="20"/>
      <c r="CO180" s="20"/>
      <c r="CP180" s="20"/>
      <c r="CQ180" s="20"/>
      <c r="CR180" s="20"/>
      <c r="CS180" s="20"/>
      <c r="CT180" s="20"/>
      <c r="CU180" s="20"/>
      <c r="CV180" s="20"/>
      <c r="CW180" s="20"/>
      <c r="CX180" s="20"/>
      <c r="CY180" s="20"/>
      <c r="CZ180" s="20"/>
      <c r="DA180" s="20"/>
      <c r="DB180" s="20"/>
      <c r="DC180" s="20"/>
      <c r="DD180" s="20"/>
      <c r="DE180" s="20"/>
      <c r="DF180" s="20"/>
      <c r="DG180" s="20"/>
      <c r="DH180" s="20"/>
      <c r="DI180" s="20"/>
      <c r="DJ180" s="20"/>
      <c r="DK180" s="20"/>
      <c r="DL180" s="20"/>
      <c r="DM180" s="20"/>
      <c r="DN180" s="20"/>
      <c r="DO180" s="20"/>
      <c r="DP180" s="20"/>
      <c r="DQ180" s="20"/>
      <c r="DR180" s="20"/>
      <c r="DS180" s="20"/>
      <c r="DT180" s="20"/>
      <c r="DU180" s="20"/>
      <c r="DV180" s="20"/>
      <c r="DW180" s="20"/>
      <c r="DX180" s="20"/>
      <c r="DY180" s="20"/>
      <c r="DZ180" s="20"/>
      <c r="EA180" s="20"/>
      <c r="EB180" s="20"/>
      <c r="EC180" s="20"/>
      <c r="ED180" s="20"/>
      <c r="EE180" s="20"/>
      <c r="EF180" s="20"/>
      <c r="EG180" s="20"/>
      <c r="EH180" s="20"/>
      <c r="EI180" s="20"/>
    </row>
    <row r="181" spans="1:139" ht="15.75" thickBot="1" x14ac:dyDescent="0.3">
      <c r="A181" s="20"/>
      <c r="B181" s="65" t="s">
        <v>323</v>
      </c>
      <c r="C181" s="66" t="s">
        <v>324</v>
      </c>
      <c r="D181" s="275" t="s">
        <v>190</v>
      </c>
      <c r="E181" s="278">
        <f>+E74</f>
        <v>90.918672489008344</v>
      </c>
      <c r="F181" s="163">
        <f t="shared" ref="F181:I181" si="94">+F74</f>
        <v>54.177969844151811</v>
      </c>
      <c r="G181" s="57">
        <f t="shared" si="94"/>
        <v>17.236461615171365</v>
      </c>
      <c r="H181" s="57">
        <f t="shared" si="94"/>
        <v>16.235789286086202</v>
      </c>
      <c r="I181" s="57">
        <f t="shared" si="94"/>
        <v>177.02662885745661</v>
      </c>
      <c r="J181" s="543">
        <f>+J74</f>
        <v>110.33620078093864</v>
      </c>
      <c r="K181" s="546">
        <f>+K74</f>
        <v>25.890381188217681</v>
      </c>
      <c r="M181" s="409">
        <f>+SUM(E181:J181)</f>
        <v>465.931722872813</v>
      </c>
      <c r="N181" s="20"/>
      <c r="O181" s="20"/>
      <c r="P181" s="20"/>
      <c r="Q181" s="42"/>
      <c r="R181" s="20"/>
      <c r="S181" s="20"/>
      <c r="T181" s="20"/>
      <c r="U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  <c r="AM181" s="20"/>
      <c r="AN181" s="20"/>
      <c r="AO181" s="20"/>
      <c r="AP181" s="20"/>
      <c r="AQ181" s="20"/>
      <c r="AR181" s="20"/>
      <c r="AS181" s="20"/>
      <c r="AT181" s="20"/>
      <c r="AU181" s="20"/>
      <c r="AV181" s="20"/>
      <c r="AW181" s="20"/>
      <c r="AX181" s="20"/>
      <c r="AY181" s="20"/>
      <c r="AZ181" s="20"/>
      <c r="BA181" s="20"/>
      <c r="BB181" s="20"/>
      <c r="BC181" s="20"/>
      <c r="BD181" s="20"/>
      <c r="BE181" s="20"/>
      <c r="BF181" s="20"/>
      <c r="BG181" s="20"/>
      <c r="BH181" s="20"/>
      <c r="BI181" s="20"/>
      <c r="BJ181" s="20"/>
      <c r="BK181" s="20"/>
      <c r="BL181" s="20"/>
      <c r="BM181" s="20"/>
      <c r="BN181" s="20"/>
      <c r="BO181" s="20"/>
      <c r="BP181" s="20"/>
      <c r="BQ181" s="20"/>
      <c r="BR181" s="20"/>
      <c r="BS181" s="20"/>
      <c r="BT181" s="20"/>
      <c r="BU181" s="20"/>
      <c r="BV181" s="20"/>
      <c r="BW181" s="20"/>
      <c r="BX181" s="20"/>
      <c r="BY181" s="20"/>
      <c r="BZ181" s="20"/>
      <c r="CA181" s="20"/>
      <c r="CB181" s="20"/>
      <c r="CC181" s="20"/>
      <c r="CD181" s="20"/>
      <c r="CE181" s="20"/>
      <c r="CF181" s="20"/>
      <c r="CG181" s="20"/>
      <c r="CH181" s="20"/>
      <c r="CI181" s="20"/>
      <c r="CJ181" s="20"/>
      <c r="CK181" s="20"/>
      <c r="CL181" s="20"/>
      <c r="CM181" s="20"/>
      <c r="CN181" s="20"/>
      <c r="CO181" s="20"/>
      <c r="CP181" s="20"/>
      <c r="CQ181" s="20"/>
      <c r="CR181" s="20"/>
      <c r="CS181" s="20"/>
      <c r="CT181" s="20"/>
      <c r="CU181" s="20"/>
      <c r="CV181" s="20"/>
      <c r="CW181" s="20"/>
      <c r="CX181" s="20"/>
      <c r="CY181" s="20"/>
      <c r="CZ181" s="20"/>
      <c r="DA181" s="20"/>
      <c r="DB181" s="20"/>
      <c r="DC181" s="20"/>
      <c r="DD181" s="20"/>
      <c r="DE181" s="20"/>
      <c r="DF181" s="20"/>
      <c r="DG181" s="20"/>
      <c r="DH181" s="20"/>
      <c r="DI181" s="20"/>
      <c r="DJ181" s="20"/>
      <c r="DK181" s="20"/>
      <c r="DL181" s="20"/>
      <c r="DM181" s="20"/>
      <c r="DN181" s="20"/>
      <c r="DO181" s="20"/>
      <c r="DP181" s="20"/>
      <c r="DQ181" s="20"/>
      <c r="DR181" s="20"/>
      <c r="DS181" s="20"/>
      <c r="DT181" s="20"/>
      <c r="DU181" s="20"/>
      <c r="DV181" s="20"/>
      <c r="DW181" s="20"/>
      <c r="DX181" s="20"/>
      <c r="DY181" s="20"/>
      <c r="DZ181" s="20"/>
      <c r="EA181" s="20"/>
      <c r="EB181" s="20"/>
      <c r="EC181" s="20"/>
      <c r="ED181" s="20"/>
      <c r="EE181" s="20"/>
      <c r="EF181" s="20"/>
      <c r="EG181" s="20"/>
      <c r="EH181" s="20"/>
      <c r="EI181" s="20"/>
    </row>
    <row r="182" spans="1:139" ht="15.75" thickBot="1" x14ac:dyDescent="0.3">
      <c r="A182" s="20"/>
      <c r="B182" s="122" t="s">
        <v>325</v>
      </c>
      <c r="C182" s="123"/>
      <c r="D182" s="545"/>
      <c r="E182" s="279">
        <f>ABS(E180-E181)</f>
        <v>8.3751103829854401E-9</v>
      </c>
      <c r="F182" s="53">
        <f t="shared" ref="F182:K182" si="95">ABS(F180-F181)</f>
        <v>3.8262228940766363E-9</v>
      </c>
      <c r="G182" s="53">
        <f t="shared" si="95"/>
        <v>1.3526175735023571E-9</v>
      </c>
      <c r="H182" s="53">
        <f t="shared" si="95"/>
        <v>2.8493474246715778E-10</v>
      </c>
      <c r="I182" s="53">
        <f t="shared" si="95"/>
        <v>2.1354395585149177E-7</v>
      </c>
      <c r="J182" s="53">
        <f t="shared" si="95"/>
        <v>1.8739625318175968E-7</v>
      </c>
      <c r="K182" s="54">
        <f t="shared" si="95"/>
        <v>41.931391122129817</v>
      </c>
      <c r="M182" s="618">
        <f>+SUM(E182:J182)</f>
        <v>4.1477909462628304E-7</v>
      </c>
      <c r="N182" s="20"/>
      <c r="O182" s="20"/>
      <c r="P182" s="20"/>
      <c r="Q182" s="42"/>
      <c r="R182" s="20"/>
      <c r="S182" s="20"/>
      <c r="T182" s="20"/>
      <c r="U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  <c r="AM182" s="20"/>
      <c r="AN182" s="20"/>
      <c r="AO182" s="20"/>
      <c r="AP182" s="20"/>
      <c r="AQ182" s="20"/>
      <c r="AR182" s="20"/>
      <c r="AS182" s="20"/>
      <c r="AT182" s="20"/>
      <c r="AU182" s="20"/>
      <c r="AV182" s="20"/>
      <c r="AW182" s="20"/>
      <c r="AX182" s="20"/>
      <c r="AY182" s="20"/>
      <c r="AZ182" s="20"/>
      <c r="BA182" s="20"/>
      <c r="BB182" s="20"/>
      <c r="BC182" s="20"/>
      <c r="BD182" s="20"/>
      <c r="BE182" s="20"/>
      <c r="BF182" s="20"/>
      <c r="BG182" s="20"/>
      <c r="BH182" s="20"/>
      <c r="BI182" s="20"/>
      <c r="BJ182" s="20"/>
      <c r="BK182" s="20"/>
      <c r="BL182" s="20"/>
      <c r="BM182" s="20"/>
      <c r="BN182" s="20"/>
      <c r="BO182" s="20"/>
      <c r="BP182" s="20"/>
      <c r="BQ182" s="20"/>
      <c r="BR182" s="20"/>
      <c r="BS182" s="20"/>
      <c r="BT182" s="20"/>
      <c r="BU182" s="20"/>
      <c r="BV182" s="20"/>
      <c r="BW182" s="20"/>
      <c r="BX182" s="20"/>
      <c r="BY182" s="20"/>
      <c r="BZ182" s="20"/>
      <c r="CA182" s="20"/>
      <c r="CB182" s="20"/>
      <c r="CC182" s="20"/>
      <c r="CD182" s="20"/>
      <c r="CE182" s="20"/>
      <c r="CF182" s="20"/>
      <c r="CG182" s="20"/>
      <c r="CH182" s="20"/>
      <c r="CI182" s="20"/>
      <c r="CJ182" s="20"/>
      <c r="CK182" s="20"/>
      <c r="CL182" s="20"/>
      <c r="CM182" s="20"/>
      <c r="CN182" s="20"/>
      <c r="CO182" s="20"/>
      <c r="CP182" s="20"/>
      <c r="CQ182" s="20"/>
      <c r="CR182" s="20"/>
      <c r="CS182" s="20"/>
      <c r="CT182" s="20"/>
      <c r="CU182" s="20"/>
      <c r="CV182" s="20"/>
      <c r="CW182" s="20"/>
      <c r="CX182" s="20"/>
      <c r="CY182" s="20"/>
      <c r="CZ182" s="20"/>
      <c r="DA182" s="20"/>
      <c r="DB182" s="20"/>
      <c r="DC182" s="20"/>
      <c r="DD182" s="20"/>
      <c r="DE182" s="20"/>
      <c r="DF182" s="20"/>
      <c r="DG182" s="20"/>
      <c r="DH182" s="20"/>
      <c r="DI182" s="20"/>
      <c r="DJ182" s="20"/>
      <c r="DK182" s="20"/>
      <c r="DL182" s="20"/>
      <c r="DM182" s="20"/>
      <c r="DN182" s="20"/>
      <c r="DO182" s="20"/>
      <c r="DP182" s="20"/>
      <c r="DQ182" s="20"/>
      <c r="DR182" s="20"/>
      <c r="DS182" s="20"/>
      <c r="DT182" s="20"/>
      <c r="DU182" s="20"/>
      <c r="DV182" s="20"/>
      <c r="DW182" s="20"/>
      <c r="DX182" s="20"/>
      <c r="DY182" s="20"/>
      <c r="DZ182" s="20"/>
      <c r="EA182" s="20"/>
      <c r="EB182" s="20"/>
      <c r="EC182" s="20"/>
      <c r="ED182" s="20"/>
      <c r="EE182" s="20"/>
      <c r="EF182" s="20"/>
      <c r="EG182" s="20"/>
      <c r="EH182" s="20"/>
      <c r="EI182" s="20"/>
    </row>
    <row r="183" spans="1:139" ht="15.75" thickBot="1" x14ac:dyDescent="0.3">
      <c r="A183" s="20"/>
      <c r="B183" s="20"/>
      <c r="C183" s="20"/>
      <c r="D183" s="36"/>
      <c r="E183" s="20"/>
      <c r="F183" s="43"/>
      <c r="G183" s="20"/>
      <c r="H183" s="20"/>
      <c r="I183" s="20"/>
      <c r="J183" s="43"/>
      <c r="K183" s="20"/>
      <c r="L183" s="296">
        <v>5</v>
      </c>
      <c r="M183" s="20">
        <v>1</v>
      </c>
      <c r="N183" s="20"/>
      <c r="O183" s="20"/>
      <c r="P183" s="20"/>
      <c r="Q183" s="42"/>
      <c r="R183" s="20"/>
      <c r="S183" s="20"/>
      <c r="T183" s="20"/>
      <c r="U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  <c r="AM183" s="20"/>
      <c r="AN183" s="20"/>
      <c r="AO183" s="20"/>
      <c r="AP183" s="20"/>
      <c r="AQ183" s="20"/>
      <c r="AR183" s="20"/>
      <c r="AS183" s="20"/>
      <c r="AT183" s="20"/>
      <c r="AU183" s="20"/>
      <c r="AV183" s="20"/>
      <c r="AW183" s="20"/>
      <c r="AX183" s="20"/>
      <c r="AY183" s="20"/>
      <c r="AZ183" s="20"/>
      <c r="BA183" s="20"/>
      <c r="BB183" s="20"/>
      <c r="BC183" s="20"/>
      <c r="BD183" s="20"/>
      <c r="BE183" s="20"/>
      <c r="BF183" s="20"/>
      <c r="BG183" s="20"/>
      <c r="BH183" s="20"/>
      <c r="BI183" s="20"/>
      <c r="BJ183" s="20"/>
      <c r="BK183" s="20"/>
      <c r="BL183" s="20"/>
      <c r="BM183" s="20"/>
      <c r="BN183" s="20"/>
      <c r="BO183" s="20"/>
      <c r="BP183" s="20"/>
      <c r="BQ183" s="20"/>
      <c r="BR183" s="20"/>
      <c r="BS183" s="20"/>
      <c r="BT183" s="20"/>
      <c r="BU183" s="20"/>
      <c r="BV183" s="20"/>
      <c r="BW183" s="20"/>
      <c r="BX183" s="20"/>
      <c r="BY183" s="20"/>
      <c r="BZ183" s="20"/>
      <c r="CA183" s="20"/>
      <c r="CB183" s="20"/>
      <c r="CC183" s="20"/>
      <c r="CD183" s="20"/>
      <c r="CE183" s="20"/>
      <c r="CF183" s="20"/>
      <c r="CG183" s="20"/>
      <c r="CH183" s="20"/>
      <c r="CI183" s="20"/>
      <c r="CJ183" s="20"/>
      <c r="CK183" s="20"/>
      <c r="CL183" s="20"/>
      <c r="CM183" s="20"/>
      <c r="CN183" s="20"/>
      <c r="CO183" s="20"/>
      <c r="CP183" s="20"/>
      <c r="CQ183" s="20"/>
      <c r="CR183" s="20"/>
      <c r="CS183" s="20"/>
      <c r="CT183" s="20"/>
      <c r="CU183" s="20"/>
      <c r="CV183" s="20"/>
      <c r="CW183" s="20"/>
      <c r="CX183" s="20"/>
      <c r="CY183" s="20"/>
      <c r="CZ183" s="20"/>
      <c r="DA183" s="20"/>
      <c r="DB183" s="20"/>
      <c r="DC183" s="20"/>
      <c r="DD183" s="20"/>
      <c r="DE183" s="20"/>
      <c r="DF183" s="20"/>
      <c r="DG183" s="20"/>
      <c r="DH183" s="20"/>
      <c r="DI183" s="20"/>
      <c r="DJ183" s="20"/>
      <c r="DK183" s="20"/>
      <c r="DL183" s="20"/>
      <c r="DM183" s="20"/>
      <c r="DN183" s="20"/>
      <c r="DO183" s="20"/>
      <c r="DP183" s="20"/>
      <c r="DQ183" s="20"/>
      <c r="DR183" s="20"/>
      <c r="DS183" s="20"/>
      <c r="DT183" s="20"/>
      <c r="DU183" s="20"/>
      <c r="DV183" s="20"/>
      <c r="DW183" s="20"/>
      <c r="DX183" s="20"/>
      <c r="DY183" s="20"/>
      <c r="DZ183" s="20"/>
      <c r="EA183" s="20"/>
      <c r="EB183" s="20"/>
      <c r="EC183" s="20"/>
      <c r="ED183" s="20"/>
      <c r="EE183" s="20"/>
      <c r="EF183" s="20"/>
      <c r="EG183" s="20"/>
      <c r="EH183" s="20"/>
      <c r="EI183" s="20"/>
    </row>
    <row r="184" spans="1:139" s="243" customFormat="1" ht="15.75" thickBot="1" x14ac:dyDescent="0.3">
      <c r="A184" s="817" t="s">
        <v>326</v>
      </c>
      <c r="B184" s="818"/>
      <c r="C184" s="818"/>
      <c r="D184" s="818"/>
      <c r="E184" s="818"/>
      <c r="F184" s="818"/>
      <c r="G184" s="818"/>
      <c r="H184" s="818"/>
      <c r="I184" s="818"/>
      <c r="J184" s="818"/>
      <c r="K184" s="818"/>
      <c r="L184" s="818"/>
      <c r="M184" s="818"/>
      <c r="N184" s="818"/>
      <c r="O184" s="818"/>
      <c r="P184" s="818"/>
      <c r="Q184" s="818"/>
      <c r="R184" s="818"/>
      <c r="S184" s="818"/>
      <c r="T184" s="818"/>
      <c r="U184" s="819"/>
      <c r="V184" s="630"/>
    </row>
    <row r="185" spans="1:139" ht="15.75" thickBot="1" x14ac:dyDescent="0.3">
      <c r="A185" s="20"/>
      <c r="B185" s="20"/>
      <c r="C185" s="20"/>
      <c r="D185" s="36"/>
      <c r="E185" s="20"/>
      <c r="F185" s="43"/>
      <c r="G185" s="20"/>
      <c r="H185" s="20"/>
      <c r="I185" s="20"/>
      <c r="J185" s="43"/>
      <c r="K185" s="20"/>
      <c r="L185" s="20"/>
      <c r="M185" s="20"/>
      <c r="N185" s="20"/>
      <c r="O185" s="20"/>
      <c r="P185" s="20"/>
      <c r="R185" s="20"/>
      <c r="S185" s="20"/>
      <c r="T185" s="20"/>
      <c r="U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  <c r="AM185" s="20"/>
      <c r="AN185" s="20"/>
      <c r="AO185" s="20"/>
      <c r="AP185" s="20"/>
      <c r="AQ185" s="20"/>
      <c r="AR185" s="20"/>
      <c r="AS185" s="20"/>
      <c r="AT185" s="20"/>
      <c r="AU185" s="20"/>
      <c r="AV185" s="20"/>
      <c r="AW185" s="20"/>
      <c r="AX185" s="20"/>
      <c r="AY185" s="20"/>
      <c r="AZ185" s="20"/>
      <c r="BA185" s="20"/>
      <c r="BB185" s="20"/>
      <c r="BC185" s="20"/>
      <c r="BD185" s="20"/>
    </row>
    <row r="186" spans="1:139" ht="15.75" thickBot="1" x14ac:dyDescent="0.3">
      <c r="A186" s="820" t="s">
        <v>327</v>
      </c>
      <c r="B186" s="821"/>
      <c r="C186" s="821"/>
      <c r="D186" s="821"/>
      <c r="E186" s="821"/>
      <c r="F186" s="821"/>
      <c r="G186" s="821"/>
      <c r="H186" s="821"/>
      <c r="I186" s="821"/>
      <c r="J186" s="821"/>
      <c r="K186" s="821"/>
      <c r="L186" s="821"/>
      <c r="M186" s="821"/>
      <c r="N186" s="821"/>
      <c r="O186" s="821"/>
      <c r="P186" s="821"/>
      <c r="Q186" s="821"/>
      <c r="R186" s="821"/>
      <c r="S186" s="821"/>
      <c r="T186" s="821"/>
      <c r="U186" s="822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  <c r="AM186" s="20"/>
      <c r="AN186" s="20"/>
      <c r="AO186" s="20"/>
      <c r="AP186" s="20"/>
      <c r="AQ186" s="20"/>
      <c r="AR186" s="20"/>
      <c r="AS186" s="20"/>
      <c r="AT186" s="20"/>
      <c r="AU186" s="20"/>
      <c r="AV186" s="20"/>
      <c r="AW186" s="20"/>
      <c r="AX186" s="20"/>
      <c r="AY186" s="20"/>
      <c r="AZ186" s="20"/>
      <c r="BA186" s="20"/>
      <c r="BB186" s="20"/>
      <c r="BC186" s="20"/>
      <c r="BD186" s="20"/>
    </row>
    <row r="187" spans="1:139" ht="15.75" thickBot="1" x14ac:dyDescent="0.3">
      <c r="A187" s="20"/>
      <c r="B187" s="20"/>
      <c r="C187" s="20"/>
      <c r="D187" s="36"/>
      <c r="E187" s="20"/>
      <c r="F187" s="43"/>
      <c r="G187" s="20"/>
      <c r="H187" s="20"/>
      <c r="I187" s="20"/>
      <c r="J187" s="43"/>
      <c r="K187" s="20"/>
      <c r="L187" s="20"/>
      <c r="M187" s="20"/>
      <c r="N187" s="20"/>
      <c r="O187" s="20"/>
      <c r="P187" s="20"/>
      <c r="Q187" s="42"/>
      <c r="R187" s="20"/>
      <c r="S187" s="20"/>
      <c r="T187" s="20"/>
      <c r="U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  <c r="AM187" s="20"/>
      <c r="AN187" s="20"/>
      <c r="AO187" s="20"/>
      <c r="AP187" s="20"/>
      <c r="AQ187" s="20"/>
      <c r="AR187" s="20"/>
      <c r="AS187" s="20"/>
      <c r="AT187" s="20"/>
      <c r="AU187" s="20"/>
      <c r="AV187" s="20"/>
      <c r="AW187" s="20"/>
      <c r="AX187" s="20"/>
      <c r="AY187" s="20"/>
      <c r="AZ187" s="20"/>
      <c r="BA187" s="20"/>
      <c r="BB187" s="20"/>
      <c r="BC187" s="20"/>
      <c r="BD187" s="20"/>
    </row>
    <row r="188" spans="1:139" ht="15.75" thickBot="1" x14ac:dyDescent="0.3">
      <c r="A188" s="20"/>
      <c r="B188" s="46" t="s">
        <v>225</v>
      </c>
      <c r="C188" s="47" t="s">
        <v>226</v>
      </c>
      <c r="D188" s="272" t="s">
        <v>28</v>
      </c>
      <c r="E188" s="73">
        <f>+E149</f>
        <v>2.1160000000000001</v>
      </c>
      <c r="F188" s="165">
        <f t="shared" ref="F188:K188" si="96">+F149</f>
        <v>1.583</v>
      </c>
      <c r="G188" s="73">
        <f t="shared" si="96"/>
        <v>0.57699999999999996</v>
      </c>
      <c r="H188" s="73">
        <f t="shared" si="96"/>
        <v>0.57699999999999996</v>
      </c>
      <c r="I188" s="73">
        <f t="shared" si="96"/>
        <v>7.6449999999999996</v>
      </c>
      <c r="J188" s="73">
        <f t="shared" si="96"/>
        <v>7.6449999999999996</v>
      </c>
      <c r="K188" s="74">
        <f t="shared" si="96"/>
        <v>3.89</v>
      </c>
      <c r="L188" s="20"/>
      <c r="M188" s="20"/>
      <c r="N188" s="20"/>
      <c r="O188" s="20"/>
      <c r="P188" s="20"/>
      <c r="Q188" s="42"/>
      <c r="R188" s="20"/>
      <c r="S188" s="20"/>
      <c r="T188" s="20"/>
      <c r="U188" s="20"/>
      <c r="W188" s="20"/>
      <c r="X188" s="20"/>
      <c r="Y188" s="24"/>
      <c r="Z188" s="24"/>
      <c r="AA188" s="24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  <c r="AM188" s="20"/>
      <c r="AN188" s="20"/>
      <c r="AO188" s="20"/>
      <c r="AP188" s="20"/>
      <c r="AQ188" s="20"/>
      <c r="AR188" s="20"/>
      <c r="AS188" s="20"/>
      <c r="AT188" s="20"/>
      <c r="AU188" s="20"/>
      <c r="AV188" s="20"/>
      <c r="AW188" s="20"/>
      <c r="AX188" s="20"/>
      <c r="AY188" s="20"/>
      <c r="AZ188" s="20"/>
      <c r="BA188" s="20"/>
      <c r="BB188" s="20"/>
      <c r="BC188" s="20"/>
      <c r="BD188" s="20"/>
    </row>
    <row r="189" spans="1:139" x14ac:dyDescent="0.25">
      <c r="A189" s="20"/>
      <c r="B189" s="48" t="s">
        <v>319</v>
      </c>
      <c r="C189" s="49" t="s">
        <v>320</v>
      </c>
      <c r="D189" s="273" t="s">
        <v>133</v>
      </c>
      <c r="E189" s="75">
        <f>+E79</f>
        <v>98.002273422335264</v>
      </c>
      <c r="F189" s="162">
        <f t="shared" ref="F189:K189" si="97">+F79</f>
        <v>100.10458290330737</v>
      </c>
      <c r="G189" s="75">
        <f t="shared" si="97"/>
        <v>105.65392926933572</v>
      </c>
      <c r="H189" s="75">
        <f t="shared" si="97"/>
        <v>105.48607216138734</v>
      </c>
      <c r="I189" s="75">
        <f t="shared" si="97"/>
        <v>97.156611809466611</v>
      </c>
      <c r="J189" s="75">
        <f t="shared" si="97"/>
        <v>96.925601995499576</v>
      </c>
      <c r="K189" s="76">
        <f t="shared" si="97"/>
        <v>426.22381691399164</v>
      </c>
      <c r="L189" s="20"/>
      <c r="M189" s="644" t="s">
        <v>587</v>
      </c>
      <c r="N189" s="555"/>
      <c r="O189" s="555" t="s">
        <v>588</v>
      </c>
      <c r="P189" s="645"/>
      <c r="Q189" s="646" t="s">
        <v>594</v>
      </c>
      <c r="R189" s="645"/>
      <c r="S189" s="555" t="s">
        <v>596</v>
      </c>
      <c r="T189" s="645"/>
      <c r="U189" s="555" t="s">
        <v>597</v>
      </c>
      <c r="V189" s="646"/>
      <c r="W189" s="555" t="s">
        <v>598</v>
      </c>
      <c r="X189" s="556"/>
      <c r="Y189" s="24"/>
      <c r="Z189" s="24"/>
      <c r="AA189" s="24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  <c r="AM189" s="20"/>
      <c r="AN189" s="20"/>
      <c r="AO189" s="20"/>
      <c r="AP189" s="20"/>
      <c r="AQ189" s="20"/>
      <c r="AR189" s="20"/>
      <c r="AS189" s="20"/>
      <c r="AT189" s="20"/>
      <c r="AU189" s="20"/>
      <c r="AV189" s="20"/>
      <c r="AW189" s="20"/>
      <c r="AX189" s="20"/>
      <c r="AY189" s="20"/>
      <c r="AZ189" s="20"/>
      <c r="BA189" s="20"/>
      <c r="BB189" s="20"/>
      <c r="BC189" s="20"/>
      <c r="BD189" s="20"/>
    </row>
    <row r="190" spans="1:139" ht="15.75" thickBot="1" x14ac:dyDescent="0.3">
      <c r="A190" s="20"/>
      <c r="B190" s="51" t="s">
        <v>314</v>
      </c>
      <c r="C190" s="52" t="s">
        <v>315</v>
      </c>
      <c r="D190" s="276" t="s">
        <v>190</v>
      </c>
      <c r="E190" s="53">
        <f>+E180</f>
        <v>90.918672497383454</v>
      </c>
      <c r="F190" s="164">
        <f t="shared" ref="F190:K190" si="98">+F180</f>
        <v>54.177969847978034</v>
      </c>
      <c r="G190" s="53">
        <f t="shared" si="98"/>
        <v>17.236461616523982</v>
      </c>
      <c r="H190" s="53">
        <f t="shared" si="98"/>
        <v>16.235789286371137</v>
      </c>
      <c r="I190" s="53">
        <f t="shared" si="98"/>
        <v>177.02662907100057</v>
      </c>
      <c r="J190" s="53">
        <f t="shared" si="98"/>
        <v>110.33620059354239</v>
      </c>
      <c r="K190" s="54">
        <f t="shared" si="98"/>
        <v>-16.041009933912136</v>
      </c>
      <c r="L190" s="20"/>
      <c r="M190" s="647" t="s">
        <v>582</v>
      </c>
      <c r="N190" s="554"/>
      <c r="O190" s="554" t="s">
        <v>589</v>
      </c>
      <c r="P190" s="402"/>
      <c r="Q190" s="643" t="s">
        <v>595</v>
      </c>
      <c r="R190" s="402"/>
      <c r="S190" s="554" t="s">
        <v>603</v>
      </c>
      <c r="T190" s="402"/>
      <c r="U190" s="554" t="s">
        <v>608</v>
      </c>
      <c r="V190" s="643"/>
      <c r="W190" s="554" t="s">
        <v>613</v>
      </c>
      <c r="X190" s="557"/>
      <c r="Y190" s="24"/>
      <c r="Z190" s="24"/>
      <c r="AA190" s="24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  <c r="AM190" s="20"/>
      <c r="AN190" s="20"/>
      <c r="AO190" s="20"/>
      <c r="AP190" s="20"/>
      <c r="AQ190" s="20"/>
      <c r="AR190" s="20"/>
      <c r="AS190" s="20"/>
      <c r="AT190" s="20"/>
      <c r="AU190" s="20"/>
      <c r="AV190" s="20"/>
      <c r="AW190" s="20"/>
      <c r="AX190" s="20"/>
      <c r="AY190" s="20"/>
      <c r="AZ190" s="20"/>
      <c r="BA190" s="20"/>
      <c r="BB190" s="20"/>
      <c r="BC190" s="20"/>
      <c r="BD190" s="20"/>
    </row>
    <row r="191" spans="1:139" x14ac:dyDescent="0.25">
      <c r="A191" s="20"/>
      <c r="B191" s="77" t="s">
        <v>301</v>
      </c>
      <c r="C191" s="50" t="s">
        <v>310</v>
      </c>
      <c r="D191" s="273" t="s">
        <v>133</v>
      </c>
      <c r="E191" s="75">
        <f>+E119</f>
        <v>864.43395556027474</v>
      </c>
      <c r="F191" s="162">
        <f>+F119</f>
        <v>812.69833931889104</v>
      </c>
      <c r="G191" s="75">
        <f>+G119</f>
        <v>793.68174424257302</v>
      </c>
      <c r="H191" s="75">
        <f>+H119</f>
        <v>774.83802395455564</v>
      </c>
      <c r="I191" s="75">
        <f>+I119</f>
        <v>608.22350655623541</v>
      </c>
      <c r="J191" s="75">
        <f t="shared" ref="J191:K191" si="99">+J119</f>
        <v>496.96696553479285</v>
      </c>
      <c r="K191" s="76">
        <f t="shared" si="99"/>
        <v>464.47345878276735</v>
      </c>
      <c r="L191" s="20"/>
      <c r="M191" s="647" t="s">
        <v>583</v>
      </c>
      <c r="N191" s="554"/>
      <c r="O191" s="554" t="s">
        <v>590</v>
      </c>
      <c r="P191" s="402"/>
      <c r="Q191" s="643" t="s">
        <v>599</v>
      </c>
      <c r="R191" s="402"/>
      <c r="S191" s="554" t="s">
        <v>604</v>
      </c>
      <c r="T191" s="402"/>
      <c r="U191" s="554" t="s">
        <v>609</v>
      </c>
      <c r="V191" s="643"/>
      <c r="W191" s="554" t="s">
        <v>614</v>
      </c>
      <c r="X191" s="557"/>
      <c r="Y191" s="24"/>
      <c r="Z191" s="24"/>
      <c r="AA191" s="24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  <c r="AM191" s="20"/>
      <c r="AN191" s="20"/>
      <c r="AO191" s="20"/>
      <c r="AP191" s="20"/>
      <c r="AQ191" s="20"/>
      <c r="AR191" s="20"/>
      <c r="AS191" s="20"/>
      <c r="AT191" s="20"/>
      <c r="AU191" s="20"/>
      <c r="AV191" s="20"/>
      <c r="AW191" s="20"/>
      <c r="AX191" s="20"/>
      <c r="AY191" s="20"/>
      <c r="AZ191" s="20"/>
      <c r="BA191" s="20"/>
      <c r="BB191" s="20"/>
      <c r="BC191" s="20"/>
      <c r="BD191" s="20"/>
    </row>
    <row r="192" spans="1:139" x14ac:dyDescent="0.25">
      <c r="A192" s="20"/>
      <c r="B192" s="55" t="s">
        <v>229</v>
      </c>
      <c r="C192" s="56" t="s">
        <v>230</v>
      </c>
      <c r="D192" s="274" t="s">
        <v>19</v>
      </c>
      <c r="E192" s="57">
        <f>+E152</f>
        <v>10.729967217252765</v>
      </c>
      <c r="F192" s="163">
        <f>+F152</f>
        <v>8.9225044000140077</v>
      </c>
      <c r="G192" s="57">
        <f>+G152</f>
        <v>2.8456051070394071</v>
      </c>
      <c r="H192" s="57">
        <f>+H152</f>
        <v>2.8952636653489225</v>
      </c>
      <c r="I192" s="57">
        <f>+I152</f>
        <v>58.956337963898783</v>
      </c>
      <c r="J192" s="57">
        <f t="shared" ref="J192:K192" si="100">+J152</f>
        <v>54.772298903312752</v>
      </c>
      <c r="K192" s="58">
        <f t="shared" si="100"/>
        <v>3.0895368897933508</v>
      </c>
      <c r="L192" s="20"/>
      <c r="M192" s="647" t="s">
        <v>584</v>
      </c>
      <c r="N192" s="554"/>
      <c r="O192" s="554" t="s">
        <v>591</v>
      </c>
      <c r="P192" s="402"/>
      <c r="Q192" s="643" t="s">
        <v>600</v>
      </c>
      <c r="R192" s="402"/>
      <c r="S192" s="554" t="s">
        <v>605</v>
      </c>
      <c r="T192" s="402"/>
      <c r="U192" s="554" t="s">
        <v>610</v>
      </c>
      <c r="V192" s="643"/>
      <c r="W192" s="554" t="s">
        <v>615</v>
      </c>
      <c r="X192" s="557"/>
      <c r="Y192" s="24"/>
      <c r="Z192" s="24"/>
      <c r="AA192" s="24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  <c r="AM192" s="20"/>
      <c r="AN192" s="20"/>
      <c r="AO192" s="20"/>
      <c r="AP192" s="20"/>
      <c r="AQ192" s="20"/>
      <c r="AR192" s="20"/>
      <c r="AS192" s="20"/>
      <c r="AT192" s="20"/>
      <c r="AU192" s="20"/>
      <c r="AV192" s="20"/>
      <c r="AW192" s="20"/>
      <c r="AX192" s="20"/>
      <c r="AY192" s="20"/>
      <c r="AZ192" s="20"/>
      <c r="BA192" s="20"/>
      <c r="BB192" s="20"/>
      <c r="BC192" s="20"/>
      <c r="BD192" s="20"/>
    </row>
    <row r="193" spans="1:56" x14ac:dyDescent="0.25">
      <c r="A193" s="20"/>
      <c r="B193" s="55" t="s">
        <v>328</v>
      </c>
      <c r="C193" s="56" t="s">
        <v>264</v>
      </c>
      <c r="D193" s="274" t="s">
        <v>19</v>
      </c>
      <c r="E193" s="57">
        <f>+E178</f>
        <v>80.188705280130691</v>
      </c>
      <c r="F193" s="163">
        <f t="shared" ref="F193:K193" si="101">+F178</f>
        <v>45.255465447964028</v>
      </c>
      <c r="G193" s="57">
        <f t="shared" si="101"/>
        <v>14.390856509484575</v>
      </c>
      <c r="H193" s="57">
        <f t="shared" si="101"/>
        <v>13.340525621022215</v>
      </c>
      <c r="I193" s="57">
        <f t="shared" si="101"/>
        <v>118.07029110710178</v>
      </c>
      <c r="J193" s="57">
        <f t="shared" si="101"/>
        <v>55.563901690229635</v>
      </c>
      <c r="K193" s="58">
        <f t="shared" si="101"/>
        <v>-19.130546823705487</v>
      </c>
      <c r="L193" s="20"/>
      <c r="M193" s="647" t="s">
        <v>585</v>
      </c>
      <c r="N193" s="554"/>
      <c r="O193" s="554" t="s">
        <v>592</v>
      </c>
      <c r="P193" s="402"/>
      <c r="Q193" s="643" t="s">
        <v>601</v>
      </c>
      <c r="R193" s="402"/>
      <c r="S193" s="554" t="s">
        <v>606</v>
      </c>
      <c r="T193" s="402"/>
      <c r="U193" s="554" t="s">
        <v>611</v>
      </c>
      <c r="V193" s="643"/>
      <c r="W193" s="554" t="s">
        <v>616</v>
      </c>
      <c r="X193" s="557"/>
      <c r="Y193" s="24"/>
      <c r="Z193" s="24"/>
      <c r="AA193" s="24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  <c r="AM193" s="20"/>
      <c r="AN193" s="20"/>
      <c r="AO193" s="20"/>
      <c r="AP193" s="20"/>
      <c r="AQ193" s="20"/>
      <c r="AR193" s="20"/>
      <c r="AS193" s="20"/>
      <c r="AT193" s="20"/>
      <c r="AU193" s="20"/>
      <c r="AV193" s="20"/>
      <c r="AW193" s="20"/>
      <c r="AX193" s="20"/>
      <c r="AY193" s="20"/>
      <c r="AZ193" s="20"/>
      <c r="BA193" s="20"/>
      <c r="BB193" s="20"/>
      <c r="BC193" s="20"/>
      <c r="BD193" s="20"/>
    </row>
    <row r="194" spans="1:56" ht="15.75" thickBot="1" x14ac:dyDescent="0.3">
      <c r="A194" s="20"/>
      <c r="B194" s="78" t="s">
        <v>304</v>
      </c>
      <c r="C194" s="59" t="s">
        <v>308</v>
      </c>
      <c r="D194" s="275" t="s">
        <v>190</v>
      </c>
      <c r="E194" s="57">
        <f>+E117</f>
        <v>913.85348197491419</v>
      </c>
      <c r="F194" s="163">
        <f>+F117</f>
        <v>852.26501265016032</v>
      </c>
      <c r="G194" s="57">
        <f>+G117</f>
        <v>829.77300442469584</v>
      </c>
      <c r="H194" s="57">
        <f>+H117</f>
        <v>807.56484057228681</v>
      </c>
      <c r="I194" s="57">
        <f>+I117</f>
        <v>614.85201392390422</v>
      </c>
      <c r="J194" s="57">
        <f t="shared" ref="J194:K194" si="102">+J117</f>
        <v>490.26505886498717</v>
      </c>
      <c r="K194" s="58">
        <f t="shared" si="102"/>
        <v>454.55091699756343</v>
      </c>
      <c r="L194" s="20"/>
      <c r="M194" s="648" t="s">
        <v>586</v>
      </c>
      <c r="N194" s="558"/>
      <c r="O194" s="558" t="s">
        <v>593</v>
      </c>
      <c r="P194" s="649"/>
      <c r="Q194" s="650" t="s">
        <v>602</v>
      </c>
      <c r="R194" s="649"/>
      <c r="S194" s="558" t="s">
        <v>607</v>
      </c>
      <c r="T194" s="649"/>
      <c r="U194" s="558" t="s">
        <v>612</v>
      </c>
      <c r="V194" s="650"/>
      <c r="W194" s="558" t="s">
        <v>617</v>
      </c>
      <c r="X194" s="559"/>
      <c r="Y194" s="24"/>
      <c r="Z194" s="24"/>
      <c r="AA194" s="24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  <c r="AM194" s="20"/>
      <c r="AN194" s="20"/>
      <c r="AO194" s="20"/>
      <c r="AP194" s="20"/>
      <c r="AQ194" s="20"/>
      <c r="AR194" s="20"/>
      <c r="AS194" s="20"/>
      <c r="AT194" s="20"/>
      <c r="AU194" s="20"/>
      <c r="AV194" s="20"/>
      <c r="AW194" s="20"/>
      <c r="AX194" s="20"/>
      <c r="AY194" s="20"/>
      <c r="AZ194" s="20"/>
      <c r="BA194" s="20"/>
      <c r="BB194" s="20"/>
      <c r="BC194" s="20"/>
      <c r="BD194" s="20"/>
    </row>
    <row r="195" spans="1:56" x14ac:dyDescent="0.25">
      <c r="A195" s="20"/>
      <c r="B195" s="78" t="s">
        <v>339</v>
      </c>
      <c r="C195" s="59" t="s">
        <v>340</v>
      </c>
      <c r="D195" s="275" t="s">
        <v>38</v>
      </c>
      <c r="E195" s="57">
        <f>+E78-F78</f>
        <v>143.97433403189484</v>
      </c>
      <c r="F195" s="163">
        <f>+F78-D3</f>
        <v>172.97780742253457</v>
      </c>
      <c r="G195" s="57">
        <f>+G78-F78</f>
        <v>-203.91647850806751</v>
      </c>
      <c r="H195" s="57">
        <f>+H78-G78</f>
        <v>0</v>
      </c>
      <c r="I195" s="57">
        <f>+AG65</f>
        <v>0</v>
      </c>
      <c r="J195" s="57">
        <f>+J68</f>
        <v>7.6449999999999996</v>
      </c>
      <c r="K195" s="58">
        <f>+K68</f>
        <v>3.89</v>
      </c>
      <c r="L195" s="20"/>
      <c r="M195" s="20"/>
      <c r="N195" s="20"/>
      <c r="O195" s="20"/>
      <c r="P195" s="20"/>
      <c r="Q195" s="42"/>
      <c r="R195" s="20"/>
      <c r="S195" s="20"/>
      <c r="T195" s="20"/>
      <c r="U195" s="20"/>
      <c r="W195" s="20"/>
      <c r="X195" s="20"/>
      <c r="Y195" s="24"/>
      <c r="Z195" s="24"/>
      <c r="AA195" s="24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  <c r="AM195" s="20"/>
      <c r="AN195" s="20"/>
      <c r="AO195" s="20"/>
      <c r="AP195" s="20"/>
      <c r="AQ195" s="20"/>
      <c r="AR195" s="20"/>
      <c r="AS195" s="20"/>
      <c r="AT195" s="20"/>
      <c r="AU195" s="20"/>
      <c r="AV195" s="20"/>
      <c r="AW195" s="20"/>
      <c r="AX195" s="20"/>
      <c r="AY195" s="20"/>
      <c r="AZ195" s="20"/>
      <c r="BA195" s="20"/>
      <c r="BB195" s="20"/>
      <c r="BC195" s="20"/>
      <c r="BD195" s="20"/>
    </row>
    <row r="196" spans="1:56" ht="15.75" thickBot="1" x14ac:dyDescent="0.3">
      <c r="A196" s="20"/>
      <c r="B196" s="51" t="s">
        <v>281</v>
      </c>
      <c r="C196" s="52" t="s">
        <v>282</v>
      </c>
      <c r="D196" s="276" t="s">
        <v>133</v>
      </c>
      <c r="E196" s="53">
        <f>+E88</f>
        <v>108.74738023610269</v>
      </c>
      <c r="F196" s="53">
        <f t="shared" ref="F196:K196" si="103">+F88</f>
        <v>124.32271137330768</v>
      </c>
      <c r="G196" s="53">
        <f t="shared" si="103"/>
        <v>167.46237142605719</v>
      </c>
      <c r="H196" s="53">
        <f t="shared" si="103"/>
        <v>164.92003712997158</v>
      </c>
      <c r="I196" s="53">
        <f t="shared" si="103"/>
        <v>101.28907374472749</v>
      </c>
      <c r="J196" s="53">
        <f t="shared" si="103"/>
        <v>99.314115025409322</v>
      </c>
      <c r="K196" s="54">
        <f t="shared" si="103"/>
        <v>427.44488179100256</v>
      </c>
      <c r="L196" s="20"/>
      <c r="M196" s="20"/>
      <c r="N196" s="20"/>
      <c r="O196" s="20"/>
      <c r="P196" s="20"/>
      <c r="Q196" s="42"/>
      <c r="R196" s="20"/>
      <c r="S196" s="20"/>
      <c r="T196" s="20"/>
      <c r="U196" s="20"/>
      <c r="W196" s="20"/>
      <c r="X196" s="20"/>
      <c r="Y196" s="24"/>
      <c r="Z196" s="24"/>
      <c r="AA196" s="24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  <c r="AM196" s="20"/>
      <c r="AN196" s="20"/>
      <c r="AO196" s="20"/>
      <c r="AP196" s="20"/>
      <c r="AQ196" s="20"/>
      <c r="AR196" s="20"/>
      <c r="AS196" s="20"/>
      <c r="AT196" s="20"/>
      <c r="AU196" s="20"/>
      <c r="AV196" s="20"/>
      <c r="AW196" s="20"/>
      <c r="AX196" s="20"/>
      <c r="AY196" s="20"/>
      <c r="AZ196" s="20"/>
      <c r="BA196" s="20"/>
      <c r="BB196" s="20"/>
      <c r="BC196" s="20"/>
      <c r="BD196" s="20"/>
    </row>
    <row r="197" spans="1:56" ht="15.75" thickBot="1" x14ac:dyDescent="0.3">
      <c r="A197" s="20"/>
      <c r="B197" s="20"/>
      <c r="C197" s="20"/>
      <c r="D197" s="36"/>
      <c r="E197" s="20"/>
      <c r="F197" s="43"/>
      <c r="G197" s="20"/>
      <c r="H197" s="20"/>
      <c r="I197" s="20"/>
      <c r="J197" s="43"/>
      <c r="K197" s="20"/>
      <c r="L197" s="20"/>
      <c r="M197" s="20"/>
      <c r="N197" s="20"/>
      <c r="O197" s="20"/>
      <c r="P197" s="20"/>
      <c r="Q197" s="42"/>
      <c r="R197" s="20"/>
      <c r="S197" s="20"/>
      <c r="T197" s="20"/>
      <c r="U197" s="20"/>
      <c r="W197" s="20"/>
      <c r="X197" s="20"/>
      <c r="Y197" s="24"/>
      <c r="Z197" s="24"/>
      <c r="AA197" s="24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  <c r="AM197" s="20"/>
      <c r="AN197" s="20"/>
      <c r="AO197" s="20"/>
      <c r="AP197" s="20"/>
      <c r="AQ197" s="20"/>
      <c r="AR197" s="20"/>
      <c r="AS197" s="20"/>
      <c r="AT197" s="20"/>
      <c r="AU197" s="20"/>
      <c r="AV197" s="20"/>
      <c r="AW197" s="20"/>
      <c r="AX197" s="20"/>
      <c r="AY197" s="20"/>
      <c r="AZ197" s="20"/>
      <c r="BA197" s="20"/>
      <c r="BB197" s="20"/>
      <c r="BC197" s="20"/>
      <c r="BD197" s="20"/>
    </row>
    <row r="198" spans="1:56" x14ac:dyDescent="0.25">
      <c r="A198" s="20"/>
      <c r="B198" s="60" t="s">
        <v>2</v>
      </c>
      <c r="C198" s="61" t="s">
        <v>3</v>
      </c>
      <c r="D198" s="61">
        <v>258</v>
      </c>
      <c r="E198" s="62" t="s">
        <v>4</v>
      </c>
      <c r="F198" s="655">
        <f>+K99</f>
        <v>0.88164176576693998</v>
      </c>
      <c r="G198" s="20"/>
      <c r="H198" s="20"/>
      <c r="I198" s="20"/>
      <c r="J198" s="43"/>
      <c r="K198" s="20"/>
      <c r="L198" s="20"/>
      <c r="M198" s="20"/>
      <c r="N198" s="20"/>
      <c r="O198" s="20"/>
      <c r="P198" s="20"/>
      <c r="Q198" s="42"/>
      <c r="R198" s="20"/>
      <c r="S198" s="20"/>
      <c r="T198" s="20"/>
      <c r="U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  <c r="AM198" s="20"/>
      <c r="AN198" s="20"/>
      <c r="AO198" s="20"/>
      <c r="AP198" s="20"/>
      <c r="AQ198" s="20"/>
      <c r="AR198" s="20"/>
      <c r="AS198" s="20"/>
      <c r="AT198" s="20"/>
      <c r="AU198" s="20"/>
      <c r="AV198" s="20"/>
      <c r="AW198" s="20"/>
      <c r="AX198" s="20"/>
      <c r="AY198" s="20"/>
      <c r="AZ198" s="20"/>
      <c r="BA198" s="20"/>
      <c r="BB198" s="20"/>
      <c r="BC198" s="20"/>
      <c r="BD198" s="20"/>
    </row>
    <row r="199" spans="1:56" x14ac:dyDescent="0.25">
      <c r="A199" s="20"/>
      <c r="B199" s="63" t="s">
        <v>75</v>
      </c>
      <c r="C199" s="56" t="s">
        <v>76</v>
      </c>
      <c r="D199" s="56">
        <f>+D4*D3</f>
        <v>536.37040686147782</v>
      </c>
      <c r="E199" s="64" t="s">
        <v>4</v>
      </c>
      <c r="F199" s="43"/>
      <c r="G199" s="20"/>
      <c r="H199" s="20"/>
      <c r="I199" s="20"/>
      <c r="J199" s="43"/>
      <c r="K199" s="20"/>
      <c r="L199" s="20"/>
      <c r="M199" s="20"/>
      <c r="N199" s="20"/>
      <c r="O199" s="20"/>
      <c r="P199" s="20"/>
      <c r="Q199" s="42"/>
      <c r="R199" s="20"/>
      <c r="S199" s="20"/>
      <c r="T199" s="20"/>
      <c r="U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  <c r="AM199" s="20"/>
      <c r="AN199" s="20"/>
      <c r="AO199" s="20"/>
      <c r="AP199" s="20"/>
      <c r="AQ199" s="20"/>
      <c r="AR199" s="20"/>
      <c r="AS199" s="20"/>
      <c r="AT199" s="20"/>
      <c r="AU199" s="20"/>
      <c r="AV199" s="20"/>
      <c r="AW199" s="20"/>
      <c r="AX199" s="20"/>
      <c r="AY199" s="20"/>
      <c r="AZ199" s="20"/>
      <c r="BA199" s="20"/>
      <c r="BB199" s="20"/>
      <c r="BC199" s="20"/>
      <c r="BD199" s="20"/>
    </row>
    <row r="200" spans="1:56" x14ac:dyDescent="0.25">
      <c r="A200" s="20"/>
      <c r="B200" s="65" t="s">
        <v>146</v>
      </c>
      <c r="C200" s="66"/>
      <c r="D200" s="67">
        <f>+D14</f>
        <v>0.52</v>
      </c>
      <c r="E200" s="68" t="s">
        <v>6</v>
      </c>
      <c r="F200" s="43"/>
      <c r="G200" s="20"/>
      <c r="H200" s="20"/>
      <c r="I200" s="20"/>
      <c r="J200" s="43"/>
      <c r="K200" s="20"/>
      <c r="L200" s="20"/>
      <c r="M200" s="20"/>
      <c r="N200" s="20"/>
      <c r="O200" s="20"/>
      <c r="P200" s="20"/>
      <c r="Q200" s="42"/>
      <c r="R200" s="20"/>
      <c r="S200" s="20"/>
      <c r="T200" s="20"/>
      <c r="U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  <c r="AM200" s="20"/>
      <c r="AN200" s="20"/>
      <c r="AO200" s="20"/>
      <c r="AP200" s="20"/>
      <c r="AQ200" s="20"/>
      <c r="AR200" s="20"/>
      <c r="AS200" s="20"/>
      <c r="AT200" s="20"/>
      <c r="AU200" s="20"/>
      <c r="AV200" s="20"/>
      <c r="AW200" s="20"/>
      <c r="AX200" s="20"/>
      <c r="AY200" s="20"/>
      <c r="AZ200" s="20"/>
      <c r="BA200" s="20"/>
      <c r="BB200" s="20"/>
      <c r="BC200" s="20"/>
      <c r="BD200" s="20"/>
    </row>
    <row r="201" spans="1:56" ht="15.75" thickBot="1" x14ac:dyDescent="0.3">
      <c r="A201" s="20"/>
      <c r="B201" s="69" t="s">
        <v>329</v>
      </c>
      <c r="C201" s="70" t="s">
        <v>5</v>
      </c>
      <c r="D201" s="71">
        <f>M180/K110</f>
        <v>0.44662418942713278</v>
      </c>
      <c r="E201" s="72" t="s">
        <v>6</v>
      </c>
      <c r="F201" s="43"/>
      <c r="G201" s="20"/>
      <c r="H201" s="20"/>
      <c r="I201" s="20"/>
      <c r="J201" s="43"/>
      <c r="K201" s="20"/>
      <c r="L201" s="20"/>
      <c r="M201" s="20"/>
      <c r="N201" s="20"/>
      <c r="O201" s="20"/>
      <c r="P201" s="20"/>
      <c r="Q201" s="42"/>
      <c r="R201" s="20"/>
      <c r="S201" s="20"/>
      <c r="T201" s="20"/>
      <c r="U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  <c r="AM201" s="20"/>
      <c r="AN201" s="20"/>
      <c r="AO201" s="20"/>
      <c r="AP201" s="20"/>
      <c r="AQ201" s="20"/>
      <c r="AR201" s="20"/>
      <c r="AS201" s="20"/>
      <c r="AT201" s="20"/>
      <c r="AU201" s="20"/>
      <c r="AV201" s="20"/>
      <c r="AW201" s="20"/>
      <c r="AX201" s="20"/>
      <c r="AY201" s="20"/>
      <c r="AZ201" s="20"/>
      <c r="BA201" s="20"/>
      <c r="BB201" s="20"/>
      <c r="BC201" s="20"/>
      <c r="BD201" s="20"/>
    </row>
    <row r="202" spans="1:56" x14ac:dyDescent="0.25">
      <c r="A202" s="20"/>
      <c r="B202" s="20"/>
      <c r="C202" s="20"/>
      <c r="D202" s="628">
        <f>+D6</f>
        <v>0.48041708718074705</v>
      </c>
      <c r="E202" s="628">
        <f>+SUM(E180:K180)/Q21</f>
        <v>0.41546055964496448</v>
      </c>
      <c r="F202" s="43"/>
      <c r="G202" s="20"/>
      <c r="H202" s="20"/>
      <c r="I202" s="20"/>
      <c r="J202" s="43"/>
      <c r="K202" s="20"/>
      <c r="L202" s="20"/>
      <c r="M202" s="20"/>
      <c r="N202" s="20"/>
      <c r="O202" s="20"/>
      <c r="P202" s="20"/>
      <c r="Q202" s="42"/>
      <c r="R202" s="20"/>
      <c r="S202" s="20"/>
      <c r="T202" s="20"/>
      <c r="U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  <c r="AM202" s="20"/>
      <c r="AN202" s="20"/>
      <c r="AO202" s="20"/>
      <c r="AP202" s="20"/>
      <c r="AQ202" s="20"/>
      <c r="AR202" s="20"/>
      <c r="AS202" s="20"/>
      <c r="AT202" s="20"/>
      <c r="AU202" s="20"/>
      <c r="AV202" s="20"/>
      <c r="AW202" s="20"/>
      <c r="AX202" s="20"/>
      <c r="AY202" s="20"/>
      <c r="AZ202" s="20"/>
      <c r="BA202" s="20"/>
      <c r="BB202" s="20"/>
      <c r="BC202" s="20"/>
      <c r="BD202" s="20"/>
    </row>
    <row r="203" spans="1:56" ht="15.75" thickBot="1" x14ac:dyDescent="0.3">
      <c r="A203" s="823"/>
      <c r="B203" s="824"/>
      <c r="C203" s="824"/>
      <c r="D203" s="824"/>
      <c r="E203" s="824"/>
      <c r="F203" s="824"/>
      <c r="G203" s="824"/>
      <c r="H203" s="824"/>
      <c r="I203" s="824"/>
      <c r="J203" s="824"/>
      <c r="K203" s="824"/>
      <c r="L203" s="824"/>
      <c r="M203" s="824"/>
      <c r="N203" s="824"/>
      <c r="O203" s="824"/>
      <c r="P203" s="824"/>
      <c r="Q203" s="824"/>
      <c r="R203" s="824"/>
      <c r="S203" s="824"/>
      <c r="T203" s="824"/>
      <c r="U203" s="825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  <c r="AM203" s="20"/>
      <c r="AN203" s="20"/>
      <c r="AO203" s="20"/>
      <c r="AP203" s="20"/>
      <c r="AQ203" s="20"/>
      <c r="AR203" s="20"/>
      <c r="AS203" s="20"/>
      <c r="AT203" s="20"/>
      <c r="AU203" s="20"/>
      <c r="AV203" s="20"/>
      <c r="AW203" s="20"/>
      <c r="AX203" s="20"/>
      <c r="AY203" s="20"/>
      <c r="AZ203" s="20"/>
      <c r="BA203" s="20"/>
      <c r="BB203" s="20"/>
      <c r="BC203" s="20"/>
      <c r="BD203" s="20"/>
    </row>
    <row r="204" spans="1:56" ht="15.75" thickBot="1" x14ac:dyDescent="0.3">
      <c r="A204" s="506"/>
      <c r="B204" s="327"/>
      <c r="C204" s="327"/>
      <c r="D204" s="327"/>
      <c r="E204" s="327"/>
      <c r="F204" s="503"/>
      <c r="G204" s="327"/>
      <c r="H204" s="327"/>
      <c r="I204" s="327"/>
      <c r="J204" s="503"/>
      <c r="K204" s="327"/>
      <c r="L204" s="504"/>
      <c r="M204" s="504"/>
      <c r="N204" s="507"/>
      <c r="O204" s="507"/>
      <c r="P204" s="507"/>
      <c r="Q204" s="124"/>
      <c r="R204" s="507"/>
      <c r="S204" s="507"/>
      <c r="T204" s="507"/>
      <c r="U204" s="507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  <c r="AM204" s="20"/>
      <c r="AN204" s="20"/>
      <c r="AO204" s="20"/>
      <c r="AP204" s="20"/>
      <c r="AQ204" s="20"/>
      <c r="AR204" s="20"/>
      <c r="AS204" s="20"/>
      <c r="AT204" s="20"/>
      <c r="AU204" s="20"/>
      <c r="AV204" s="20"/>
      <c r="AW204" s="20"/>
      <c r="AX204" s="20"/>
      <c r="AY204" s="20"/>
      <c r="AZ204" s="20"/>
      <c r="BA204" s="20"/>
      <c r="BB204" s="20"/>
      <c r="BC204" s="20"/>
      <c r="BD204" s="20"/>
    </row>
    <row r="205" spans="1:56" ht="15.75" thickBot="1" x14ac:dyDescent="0.3">
      <c r="A205" s="505"/>
      <c r="B205" s="805" t="s">
        <v>342</v>
      </c>
      <c r="C205" s="806"/>
      <c r="D205" s="806"/>
      <c r="E205" s="806"/>
      <c r="F205" s="806"/>
      <c r="G205" s="806"/>
      <c r="H205" s="806"/>
      <c r="I205" s="806"/>
      <c r="J205" s="806"/>
      <c r="K205" s="806"/>
      <c r="L205" s="806"/>
      <c r="M205" s="807"/>
      <c r="N205" s="24"/>
      <c r="O205" s="24"/>
      <c r="P205" s="24"/>
      <c r="Q205" s="42"/>
      <c r="R205" s="24"/>
      <c r="S205" s="24"/>
      <c r="T205" s="24"/>
      <c r="U205" s="24"/>
      <c r="AH205" s="20"/>
      <c r="AI205" s="20"/>
      <c r="AJ205" s="20"/>
      <c r="AK205" s="20"/>
      <c r="AL205" s="20"/>
      <c r="AM205" s="20"/>
      <c r="AN205" s="20"/>
      <c r="AO205" s="20"/>
      <c r="AP205" s="20"/>
      <c r="AQ205" s="20"/>
      <c r="AR205" s="20"/>
      <c r="AS205" s="20"/>
      <c r="AT205" s="20"/>
      <c r="AU205" s="20"/>
      <c r="AV205" s="20"/>
      <c r="AW205" s="20"/>
      <c r="AX205" s="20"/>
      <c r="AY205" s="20"/>
      <c r="AZ205" s="20"/>
      <c r="BA205" s="20"/>
      <c r="BB205" s="20"/>
      <c r="BC205" s="20"/>
      <c r="BD205" s="20"/>
    </row>
    <row r="206" spans="1:56" ht="39.6" customHeight="1" x14ac:dyDescent="0.25">
      <c r="A206" s="42"/>
      <c r="B206" s="513" t="s">
        <v>330</v>
      </c>
      <c r="C206" s="514" t="s">
        <v>331</v>
      </c>
      <c r="D206" s="808" t="s">
        <v>332</v>
      </c>
      <c r="E206" s="808"/>
      <c r="F206" s="808"/>
      <c r="G206" s="809" t="s">
        <v>333</v>
      </c>
      <c r="H206" s="809"/>
      <c r="I206" s="809"/>
      <c r="J206" s="809"/>
      <c r="K206" s="809"/>
      <c r="L206" s="809"/>
      <c r="M206" s="810"/>
      <c r="N206" s="20"/>
      <c r="O206" s="20"/>
      <c r="P206" s="20"/>
      <c r="Q206" s="42"/>
      <c r="R206" s="20"/>
      <c r="S206" s="20"/>
      <c r="T206" s="20"/>
      <c r="U206" s="20"/>
      <c r="AH206" s="20"/>
      <c r="AI206" s="20"/>
      <c r="AJ206" s="20"/>
      <c r="AK206" s="20"/>
      <c r="AL206" s="20"/>
      <c r="AM206" s="20"/>
      <c r="AN206" s="20"/>
      <c r="AO206" s="20"/>
      <c r="AP206" s="20"/>
      <c r="AQ206" s="20"/>
      <c r="AR206" s="20"/>
      <c r="AS206" s="20"/>
      <c r="AT206" s="20"/>
      <c r="AU206" s="20"/>
      <c r="AV206" s="20"/>
      <c r="AW206" s="20"/>
      <c r="AX206" s="20"/>
      <c r="AY206" s="20"/>
      <c r="AZ206" s="20"/>
      <c r="BA206" s="20"/>
      <c r="BB206" s="20"/>
      <c r="BC206" s="20"/>
      <c r="BD206" s="20"/>
    </row>
    <row r="207" spans="1:56" ht="60" x14ac:dyDescent="0.25">
      <c r="A207" s="42"/>
      <c r="B207" s="509"/>
      <c r="C207" s="126"/>
      <c r="D207" s="242" t="s">
        <v>343</v>
      </c>
      <c r="E207" s="253" t="s">
        <v>355</v>
      </c>
      <c r="F207" s="126" t="s">
        <v>341</v>
      </c>
      <c r="G207" s="126" t="s">
        <v>334</v>
      </c>
      <c r="H207" s="126" t="s">
        <v>335</v>
      </c>
      <c r="I207" s="242" t="s">
        <v>336</v>
      </c>
      <c r="J207" s="126" t="s">
        <v>337</v>
      </c>
      <c r="K207" s="242" t="s">
        <v>338</v>
      </c>
      <c r="L207" s="242" t="s">
        <v>352</v>
      </c>
      <c r="M207" s="252" t="s">
        <v>353</v>
      </c>
      <c r="N207" s="20"/>
      <c r="O207" s="20"/>
      <c r="P207" s="20"/>
      <c r="Q207" s="42"/>
      <c r="R207" s="20"/>
      <c r="S207" s="20"/>
      <c r="T207" s="20"/>
      <c r="U207" s="20"/>
      <c r="AH207" s="20"/>
      <c r="AI207" s="20"/>
      <c r="AJ207" s="20"/>
      <c r="AK207" s="20"/>
      <c r="AL207" s="20"/>
      <c r="AM207" s="20"/>
      <c r="AN207" s="20"/>
      <c r="AO207" s="20"/>
      <c r="AP207" s="20"/>
      <c r="AQ207" s="20"/>
      <c r="AR207" s="20"/>
      <c r="AS207" s="20"/>
      <c r="AT207" s="20"/>
      <c r="AU207" s="20"/>
      <c r="AV207" s="20"/>
      <c r="AW207" s="20"/>
      <c r="AX207" s="20"/>
      <c r="AY207" s="20"/>
      <c r="AZ207" s="20"/>
      <c r="BA207" s="20"/>
      <c r="BB207" s="20"/>
      <c r="BC207" s="20"/>
      <c r="BD207" s="20"/>
    </row>
    <row r="208" spans="1:56" x14ac:dyDescent="0.25">
      <c r="A208" s="42"/>
      <c r="B208" s="510">
        <v>1</v>
      </c>
      <c r="C208" s="127">
        <f>+E188</f>
        <v>2.1160000000000001</v>
      </c>
      <c r="D208" s="508">
        <f>+E79</f>
        <v>98.002273422335264</v>
      </c>
      <c r="E208" s="166">
        <f>+E196</f>
        <v>108.74738023610269</v>
      </c>
      <c r="F208" s="127">
        <f>+E195</f>
        <v>143.97433403189484</v>
      </c>
      <c r="G208" s="127">
        <f>+E190</f>
        <v>90.918672497383454</v>
      </c>
      <c r="H208" s="127">
        <f>+E191</f>
        <v>864.43395556027474</v>
      </c>
      <c r="I208" s="166">
        <f>+E192</f>
        <v>10.729967217252765</v>
      </c>
      <c r="J208" s="127">
        <f>+E193</f>
        <v>80.188705280130691</v>
      </c>
      <c r="K208" s="166">
        <f>+E194</f>
        <v>913.85348197491419</v>
      </c>
      <c r="L208" s="254">
        <f>+I208/C208</f>
        <v>5.070872976017375</v>
      </c>
      <c r="M208" s="255">
        <f>+J208/C208</f>
        <v>37.896363553937</v>
      </c>
      <c r="N208" s="20"/>
      <c r="O208" s="20"/>
      <c r="P208" s="20"/>
      <c r="Q208" s="42"/>
      <c r="R208" s="20"/>
      <c r="S208" s="20"/>
      <c r="T208" s="20"/>
      <c r="U208" s="20"/>
      <c r="AH208" s="20"/>
      <c r="AI208" s="20"/>
      <c r="AJ208" s="20"/>
      <c r="AK208" s="20"/>
      <c r="AL208" s="20"/>
      <c r="AM208" s="20"/>
      <c r="AN208" s="20"/>
      <c r="AO208" s="20"/>
      <c r="AP208" s="20"/>
      <c r="AQ208" s="20"/>
      <c r="AR208" s="20"/>
      <c r="AS208" s="20"/>
      <c r="AT208" s="20"/>
      <c r="AU208" s="20"/>
      <c r="AV208" s="20"/>
      <c r="AW208" s="20"/>
      <c r="AX208" s="20"/>
      <c r="AY208" s="20"/>
      <c r="AZ208" s="20"/>
      <c r="BA208" s="20"/>
      <c r="BB208" s="20"/>
      <c r="BC208" s="20"/>
      <c r="BD208" s="20"/>
    </row>
    <row r="209" spans="1:56" x14ac:dyDescent="0.25">
      <c r="A209" s="42"/>
      <c r="B209" s="510">
        <v>2</v>
      </c>
      <c r="C209" s="127">
        <f>+F188</f>
        <v>1.583</v>
      </c>
      <c r="D209" s="508">
        <f>+F79</f>
        <v>100.10458290330737</v>
      </c>
      <c r="E209" s="166">
        <f>+F196</f>
        <v>124.32271137330768</v>
      </c>
      <c r="F209" s="127">
        <f>+F195</f>
        <v>172.97780742253457</v>
      </c>
      <c r="G209" s="127">
        <f>+F190</f>
        <v>54.177969847978034</v>
      </c>
      <c r="H209" s="127">
        <f>+F191</f>
        <v>812.69833931889104</v>
      </c>
      <c r="I209" s="166">
        <f>+F192</f>
        <v>8.9225044000140077</v>
      </c>
      <c r="J209" s="127">
        <f>+F193</f>
        <v>45.255465447964028</v>
      </c>
      <c r="K209" s="166">
        <f>+F194</f>
        <v>852.26501265016032</v>
      </c>
      <c r="L209" s="254">
        <f>+I209/C209</f>
        <v>5.6364525584422029</v>
      </c>
      <c r="M209" s="255">
        <f>+J209/C209</f>
        <v>28.588417844576139</v>
      </c>
      <c r="N209" s="20"/>
      <c r="O209" s="20"/>
      <c r="P209" s="20"/>
      <c r="Q209" s="42"/>
      <c r="R209" s="20"/>
      <c r="S209" s="20"/>
      <c r="T209" s="20"/>
      <c r="U209" s="20"/>
      <c r="AH209" s="20"/>
      <c r="AI209" s="20"/>
      <c r="AJ209" s="20"/>
      <c r="AK209" s="20"/>
      <c r="AL209" s="20"/>
      <c r="AM209" s="20"/>
      <c r="AN209" s="20"/>
      <c r="AO209" s="20"/>
      <c r="AP209" s="20"/>
      <c r="AQ209" s="20"/>
      <c r="AR209" s="20"/>
      <c r="AS209" s="20"/>
      <c r="AT209" s="20"/>
      <c r="AU209" s="20"/>
      <c r="AV209" s="20"/>
      <c r="AW209" s="20"/>
      <c r="AX209" s="20"/>
      <c r="AY209" s="20"/>
      <c r="AZ209" s="20"/>
      <c r="BA209" s="20"/>
      <c r="BB209" s="20"/>
      <c r="BC209" s="20"/>
      <c r="BD209" s="20"/>
    </row>
    <row r="210" spans="1:56" ht="15" customHeight="1" x14ac:dyDescent="0.25">
      <c r="A210" s="42"/>
      <c r="B210" s="510">
        <v>3</v>
      </c>
      <c r="C210" s="127">
        <f>+AF113</f>
        <v>0</v>
      </c>
      <c r="D210" s="508">
        <f>+G79</f>
        <v>105.65392926933572</v>
      </c>
      <c r="E210" s="166">
        <f>+G196</f>
        <v>167.46237142605719</v>
      </c>
      <c r="F210" s="127">
        <f>+G195</f>
        <v>-203.91647850806751</v>
      </c>
      <c r="G210" s="127">
        <f>+G190</f>
        <v>17.236461616523982</v>
      </c>
      <c r="H210" s="127">
        <f>+G191</f>
        <v>793.68174424257302</v>
      </c>
      <c r="I210" s="166">
        <f>+G192</f>
        <v>2.8456051070394071</v>
      </c>
      <c r="J210" s="127">
        <f>+G193</f>
        <v>14.390856509484575</v>
      </c>
      <c r="K210" s="166">
        <f>+G194</f>
        <v>829.77300442469584</v>
      </c>
      <c r="L210" s="254" t="e">
        <f>+I210/C210</f>
        <v>#DIV/0!</v>
      </c>
      <c r="M210" s="255" t="e">
        <f>+J210/C210</f>
        <v>#DIV/0!</v>
      </c>
      <c r="N210" s="20"/>
      <c r="O210" s="20"/>
      <c r="P210" s="20"/>
      <c r="Q210" s="42"/>
      <c r="R210" s="20"/>
      <c r="S210" s="20"/>
      <c r="T210" s="20"/>
      <c r="U210" s="20"/>
      <c r="AH210" s="20"/>
      <c r="AI210" s="20"/>
      <c r="AJ210" s="20"/>
      <c r="AK210" s="20"/>
      <c r="AL210" s="20"/>
      <c r="AM210" s="20"/>
      <c r="AN210" s="20"/>
      <c r="AO210" s="20"/>
      <c r="AP210" s="20"/>
      <c r="AQ210" s="20"/>
      <c r="AR210" s="20"/>
      <c r="AS210" s="20"/>
      <c r="AT210" s="20"/>
      <c r="AU210" s="20"/>
      <c r="AV210" s="20"/>
      <c r="AW210" s="20"/>
      <c r="AX210" s="20"/>
      <c r="AY210" s="20"/>
      <c r="AZ210" s="20"/>
      <c r="BA210" s="20"/>
      <c r="BB210" s="20"/>
      <c r="BC210" s="20"/>
      <c r="BD210" s="20"/>
    </row>
    <row r="211" spans="1:56" x14ac:dyDescent="0.25">
      <c r="A211" s="42"/>
      <c r="B211" s="510">
        <v>4</v>
      </c>
      <c r="C211" s="127">
        <f>+AG113</f>
        <v>0</v>
      </c>
      <c r="D211" s="508">
        <f>+H79</f>
        <v>105.48607216138734</v>
      </c>
      <c r="E211" s="166">
        <f>+H196</f>
        <v>164.92003712997158</v>
      </c>
      <c r="F211" s="127">
        <f>+H195</f>
        <v>0</v>
      </c>
      <c r="G211" s="127">
        <f>+H190</f>
        <v>16.235789286371137</v>
      </c>
      <c r="H211" s="127">
        <f>+H191</f>
        <v>774.83802395455564</v>
      </c>
      <c r="I211" s="166">
        <f>+H192</f>
        <v>2.8952636653489225</v>
      </c>
      <c r="J211" s="127">
        <f>+H193</f>
        <v>13.340525621022215</v>
      </c>
      <c r="K211" s="166">
        <f>+H194</f>
        <v>807.56484057228681</v>
      </c>
      <c r="L211" s="254" t="e">
        <f>+I211/C211</f>
        <v>#DIV/0!</v>
      </c>
      <c r="M211" s="255" t="e">
        <f>+J211/C211</f>
        <v>#DIV/0!</v>
      </c>
      <c r="N211" s="20"/>
      <c r="O211" s="20"/>
      <c r="P211" s="20"/>
      <c r="Q211" s="42"/>
      <c r="R211" s="20"/>
      <c r="S211" s="20"/>
      <c r="T211" s="20"/>
      <c r="U211" s="20"/>
      <c r="AH211" s="20"/>
      <c r="AI211" s="20"/>
      <c r="AJ211" s="20"/>
      <c r="AK211" s="20"/>
      <c r="AL211" s="20"/>
      <c r="AM211" s="20"/>
      <c r="AN211" s="20"/>
      <c r="AO211" s="20"/>
      <c r="AP211" s="20"/>
      <c r="AQ211" s="20"/>
      <c r="AR211" s="20"/>
      <c r="AS211" s="20"/>
      <c r="AT211" s="20"/>
      <c r="AU211" s="20"/>
      <c r="AV211" s="20"/>
      <c r="AW211" s="20"/>
      <c r="AX211" s="20"/>
      <c r="AY211" s="20"/>
      <c r="AZ211" s="20"/>
      <c r="BA211" s="20"/>
      <c r="BB211" s="20"/>
      <c r="BC211" s="20"/>
      <c r="BD211" s="20"/>
    </row>
    <row r="212" spans="1:56" x14ac:dyDescent="0.25">
      <c r="A212" s="42"/>
      <c r="B212" s="510">
        <v>5</v>
      </c>
      <c r="C212" s="127">
        <f>+AH113</f>
        <v>0</v>
      </c>
      <c r="D212" s="508">
        <f>+I79</f>
        <v>97.156611809466611</v>
      </c>
      <c r="E212" s="166">
        <f>+I196</f>
        <v>101.28907374472749</v>
      </c>
      <c r="F212" s="127">
        <f>+I195</f>
        <v>0</v>
      </c>
      <c r="G212" s="127">
        <f>+I190</f>
        <v>177.02662907100057</v>
      </c>
      <c r="H212" s="127">
        <f>+I191</f>
        <v>608.22350655623541</v>
      </c>
      <c r="I212" s="166">
        <f>+I192</f>
        <v>58.956337963898783</v>
      </c>
      <c r="J212" s="127">
        <f>+I193</f>
        <v>118.07029110710178</v>
      </c>
      <c r="K212" s="166">
        <f>+I194</f>
        <v>614.85201392390422</v>
      </c>
      <c r="L212" s="254" t="e">
        <f>+I212/C212</f>
        <v>#DIV/0!</v>
      </c>
      <c r="M212" s="255" t="e">
        <f>+J212/C212</f>
        <v>#DIV/0!</v>
      </c>
      <c r="N212" s="20"/>
      <c r="O212" s="20"/>
      <c r="P212" s="20"/>
      <c r="Q212" s="42"/>
      <c r="R212" s="20"/>
      <c r="S212" s="20"/>
      <c r="T212" s="20"/>
      <c r="U212" s="20"/>
      <c r="AH212" s="20"/>
      <c r="AI212" s="20"/>
      <c r="AJ212" s="20"/>
      <c r="AK212" s="20"/>
      <c r="AL212" s="20"/>
      <c r="AM212" s="20"/>
      <c r="AN212" s="20"/>
      <c r="AO212" s="20"/>
      <c r="AP212" s="20"/>
      <c r="AQ212" s="20"/>
      <c r="AR212" s="20"/>
      <c r="AS212" s="20"/>
      <c r="AT212" s="20"/>
      <c r="AU212" s="20"/>
      <c r="AV212" s="20"/>
      <c r="AW212" s="20"/>
      <c r="AX212" s="20"/>
      <c r="AY212" s="20"/>
      <c r="AZ212" s="20"/>
      <c r="BA212" s="20"/>
      <c r="BB212" s="20"/>
      <c r="BC212" s="20"/>
      <c r="BD212" s="20"/>
    </row>
    <row r="213" spans="1:56" x14ac:dyDescent="0.25">
      <c r="A213" s="42"/>
      <c r="B213" s="510">
        <v>6</v>
      </c>
      <c r="C213" s="127">
        <f t="shared" ref="C213:C214" si="104">+AH114</f>
        <v>0</v>
      </c>
      <c r="D213" s="508">
        <f t="shared" ref="D213:D214" si="105">+I80</f>
        <v>5.5484889852957554E-4</v>
      </c>
      <c r="E213" s="166">
        <f t="shared" ref="E213:E214" si="106">+I197</f>
        <v>0</v>
      </c>
      <c r="F213" s="127">
        <f t="shared" ref="F213:F214" si="107">+I196</f>
        <v>101.28907374472749</v>
      </c>
      <c r="G213" s="127">
        <f t="shared" ref="G213:G214" si="108">+I191</f>
        <v>608.22350655623541</v>
      </c>
      <c r="H213" s="127">
        <f t="shared" ref="H213:H214" si="109">+I192</f>
        <v>58.956337963898783</v>
      </c>
      <c r="I213" s="166">
        <f t="shared" ref="I213:I214" si="110">+I193</f>
        <v>118.07029110710178</v>
      </c>
      <c r="J213" s="127">
        <f t="shared" ref="J213:J214" si="111">+I194</f>
        <v>614.85201392390422</v>
      </c>
      <c r="K213" s="166">
        <f t="shared" ref="K213:K214" si="112">+I195</f>
        <v>0</v>
      </c>
      <c r="L213" s="254" t="e">
        <f t="shared" ref="L213:L214" si="113">+I213/C213</f>
        <v>#DIV/0!</v>
      </c>
      <c r="M213" s="255" t="e">
        <f t="shared" ref="M213:M214" si="114">+J213/C213</f>
        <v>#DIV/0!</v>
      </c>
      <c r="N213" s="24"/>
      <c r="O213" s="24"/>
      <c r="P213" s="24"/>
      <c r="Q213" s="42"/>
      <c r="R213" s="24"/>
      <c r="S213" s="24"/>
      <c r="T213" s="20"/>
      <c r="U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  <c r="AM213" s="20"/>
      <c r="AN213" s="20"/>
      <c r="AO213" s="20"/>
      <c r="AP213" s="20"/>
      <c r="AQ213" s="20"/>
      <c r="AR213" s="20"/>
      <c r="AS213" s="20"/>
      <c r="AT213" s="20"/>
      <c r="AU213" s="20"/>
      <c r="AV213" s="20"/>
      <c r="AW213" s="20"/>
      <c r="AX213" s="20"/>
      <c r="AY213" s="20"/>
      <c r="AZ213" s="20"/>
      <c r="BA213" s="20"/>
      <c r="BB213" s="20"/>
      <c r="BC213" s="20"/>
      <c r="BD213" s="20"/>
    </row>
    <row r="214" spans="1:56" ht="15.75" thickBot="1" x14ac:dyDescent="0.3">
      <c r="A214" s="505"/>
      <c r="B214" s="511">
        <v>7</v>
      </c>
      <c r="C214" s="128">
        <f t="shared" si="104"/>
        <v>0</v>
      </c>
      <c r="D214" s="512">
        <f t="shared" si="105"/>
        <v>5.5460000000000002E-2</v>
      </c>
      <c r="E214" s="167">
        <f t="shared" si="106"/>
        <v>0</v>
      </c>
      <c r="F214" s="128">
        <f t="shared" si="107"/>
        <v>0</v>
      </c>
      <c r="G214" s="128">
        <f t="shared" si="108"/>
        <v>58.956337963898783</v>
      </c>
      <c r="H214" s="128">
        <f t="shared" si="109"/>
        <v>118.07029110710178</v>
      </c>
      <c r="I214" s="167">
        <f t="shared" si="110"/>
        <v>614.85201392390422</v>
      </c>
      <c r="J214" s="128">
        <f t="shared" si="111"/>
        <v>0</v>
      </c>
      <c r="K214" s="167">
        <f t="shared" si="112"/>
        <v>101.28907374472749</v>
      </c>
      <c r="L214" s="256" t="e">
        <f t="shared" si="113"/>
        <v>#DIV/0!</v>
      </c>
      <c r="M214" s="257" t="e">
        <f t="shared" si="114"/>
        <v>#DIV/0!</v>
      </c>
      <c r="N214" s="37"/>
      <c r="O214" s="37"/>
      <c r="P214" s="37"/>
      <c r="Q214" s="42"/>
      <c r="R214" s="24"/>
      <c r="S214" s="24"/>
      <c r="T214" s="20"/>
      <c r="U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  <c r="AM214" s="20"/>
      <c r="AN214" s="20"/>
      <c r="AO214" s="20"/>
      <c r="AP214" s="20"/>
      <c r="AQ214" s="20"/>
      <c r="AR214" s="20"/>
      <c r="AS214" s="20"/>
      <c r="AT214" s="20"/>
      <c r="AU214" s="20"/>
      <c r="AV214" s="20"/>
      <c r="AW214" s="20"/>
      <c r="AX214" s="20"/>
      <c r="AY214" s="20"/>
      <c r="AZ214" s="20"/>
      <c r="BA214" s="20"/>
      <c r="BB214" s="20"/>
      <c r="BC214" s="20"/>
      <c r="BD214" s="20"/>
    </row>
    <row r="215" spans="1:56" x14ac:dyDescent="0.25">
      <c r="A215" s="42"/>
      <c r="B215" s="42"/>
      <c r="C215" s="42"/>
      <c r="D215" s="36"/>
      <c r="E215" s="20"/>
      <c r="F215" s="43"/>
      <c r="G215" s="20"/>
      <c r="H215" s="20"/>
      <c r="I215" s="20"/>
      <c r="J215" s="43"/>
      <c r="K215" s="20"/>
      <c r="L215" s="20"/>
      <c r="M215" s="20"/>
      <c r="N215" s="24"/>
      <c r="O215" s="24"/>
      <c r="P215" s="24"/>
      <c r="Q215" s="42"/>
      <c r="R215" s="24"/>
      <c r="S215" s="24"/>
      <c r="T215" s="20"/>
      <c r="U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  <c r="AM215" s="20"/>
      <c r="AN215" s="20"/>
      <c r="AO215" s="20"/>
      <c r="AP215" s="20"/>
      <c r="AQ215" s="20"/>
      <c r="AR215" s="20"/>
      <c r="AS215" s="20"/>
      <c r="AT215" s="20"/>
      <c r="AU215" s="20"/>
      <c r="AV215" s="20"/>
      <c r="AW215" s="20"/>
      <c r="AX215" s="20"/>
      <c r="AY215" s="20"/>
      <c r="AZ215" s="20"/>
      <c r="BA215" s="20"/>
      <c r="BB215" s="20"/>
      <c r="BC215" s="20"/>
      <c r="BD215" s="20"/>
    </row>
    <row r="216" spans="1:56" x14ac:dyDescent="0.25">
      <c r="A216" s="42"/>
      <c r="B216" s="42"/>
      <c r="C216" s="42"/>
      <c r="D216" s="36"/>
      <c r="E216" s="20"/>
      <c r="F216" s="43"/>
      <c r="G216" s="20"/>
      <c r="H216" s="20"/>
      <c r="I216" s="20"/>
      <c r="J216" s="43"/>
      <c r="K216" s="20"/>
      <c r="L216" s="20"/>
      <c r="M216" s="20"/>
      <c r="N216" s="24"/>
      <c r="O216" s="24"/>
      <c r="P216" s="24"/>
      <c r="Q216" s="42"/>
      <c r="R216" s="24"/>
      <c r="S216" s="24"/>
      <c r="T216" s="20"/>
      <c r="U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  <c r="AM216" s="20"/>
      <c r="AN216" s="20"/>
      <c r="AO216" s="20"/>
      <c r="AP216" s="20"/>
      <c r="AQ216" s="20"/>
      <c r="AR216" s="20"/>
      <c r="AS216" s="20"/>
      <c r="AT216" s="20"/>
      <c r="AU216" s="20"/>
      <c r="AV216" s="20"/>
      <c r="AW216" s="20"/>
      <c r="AX216" s="20"/>
      <c r="AY216" s="20"/>
      <c r="AZ216" s="20"/>
      <c r="BA216" s="20"/>
      <c r="BB216" s="20"/>
      <c r="BC216" s="20"/>
      <c r="BD216" s="20"/>
    </row>
    <row r="217" spans="1:56" x14ac:dyDescent="0.25">
      <c r="A217" s="42"/>
      <c r="B217" s="42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  <c r="AM217" s="20"/>
      <c r="AN217" s="20"/>
      <c r="AO217" s="20"/>
      <c r="AP217" s="20"/>
      <c r="AQ217" s="20"/>
      <c r="AR217" s="20"/>
      <c r="AS217" s="20"/>
      <c r="AT217" s="20"/>
      <c r="AU217" s="20"/>
      <c r="AV217" s="20"/>
      <c r="AW217" s="20"/>
      <c r="AX217" s="20"/>
      <c r="AY217" s="20"/>
      <c r="AZ217" s="20"/>
      <c r="BA217" s="20"/>
      <c r="BB217" s="20"/>
      <c r="BC217" s="20"/>
      <c r="BD217" s="20"/>
    </row>
    <row r="218" spans="1:56" x14ac:dyDescent="0.25">
      <c r="A218" s="42"/>
      <c r="B218" s="42"/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24"/>
      <c r="P218" s="24"/>
      <c r="Q218" s="42"/>
      <c r="R218" s="24"/>
      <c r="S218" s="24"/>
      <c r="T218" s="20"/>
      <c r="U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  <c r="AM218" s="20"/>
      <c r="AN218" s="20"/>
      <c r="AO218" s="20"/>
      <c r="AP218" s="20"/>
      <c r="AQ218" s="20"/>
      <c r="AR218" s="20"/>
      <c r="AS218" s="20"/>
      <c r="AT218" s="20"/>
      <c r="AU218" s="20"/>
      <c r="AV218" s="20"/>
      <c r="AW218" s="20"/>
      <c r="AX218" s="20"/>
      <c r="AY218" s="20"/>
      <c r="AZ218" s="20"/>
      <c r="BA218" s="20"/>
      <c r="BB218" s="20"/>
      <c r="BC218" s="20"/>
      <c r="BD218" s="20"/>
    </row>
    <row r="219" spans="1:56" x14ac:dyDescent="0.25">
      <c r="A219" s="42"/>
      <c r="B219" s="42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24"/>
      <c r="P219" s="24"/>
      <c r="Q219" s="42"/>
      <c r="R219" s="24"/>
      <c r="S219" s="24"/>
      <c r="T219" s="20"/>
      <c r="U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  <c r="AM219" s="20"/>
      <c r="AN219" s="20"/>
      <c r="AO219" s="20"/>
      <c r="AP219" s="20"/>
      <c r="AQ219" s="20"/>
      <c r="AR219" s="20"/>
      <c r="AS219" s="20"/>
      <c r="AT219" s="20"/>
      <c r="AU219" s="20"/>
      <c r="AV219" s="20"/>
      <c r="AW219" s="20"/>
      <c r="AX219" s="20"/>
      <c r="AY219" s="20"/>
      <c r="AZ219" s="20"/>
      <c r="BA219" s="20"/>
      <c r="BB219" s="20"/>
      <c r="BC219" s="20"/>
      <c r="BD219" s="20"/>
    </row>
    <row r="220" spans="1:56" x14ac:dyDescent="0.25">
      <c r="A220" s="42"/>
      <c r="B220" s="42"/>
      <c r="C220" s="42"/>
      <c r="D220" s="42"/>
      <c r="E220" s="42"/>
      <c r="F220" s="145"/>
      <c r="G220" s="42"/>
      <c r="H220" s="42"/>
      <c r="I220" s="42"/>
      <c r="J220" s="145"/>
      <c r="K220" s="42"/>
      <c r="L220" s="20"/>
      <c r="M220" s="20"/>
      <c r="N220" s="24"/>
      <c r="O220" s="24"/>
      <c r="P220" s="24"/>
      <c r="Q220" s="42"/>
      <c r="R220" s="24"/>
      <c r="S220" s="24"/>
      <c r="T220" s="20"/>
      <c r="U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  <c r="AM220" s="20"/>
      <c r="AN220" s="20"/>
      <c r="AO220" s="20"/>
      <c r="AP220" s="20"/>
      <c r="AQ220" s="20"/>
      <c r="AR220" s="20"/>
      <c r="AS220" s="20"/>
      <c r="AT220" s="20"/>
      <c r="AU220" s="20"/>
      <c r="AV220" s="20"/>
      <c r="AW220" s="20"/>
      <c r="AX220" s="20"/>
      <c r="AY220" s="20"/>
      <c r="AZ220" s="20"/>
      <c r="BA220" s="20"/>
      <c r="BB220" s="20"/>
      <c r="BC220" s="20"/>
      <c r="BD220" s="20"/>
    </row>
    <row r="221" spans="1:56" x14ac:dyDescent="0.25">
      <c r="A221" s="42"/>
      <c r="B221" s="42"/>
      <c r="C221" s="42"/>
      <c r="D221" s="36"/>
      <c r="E221" s="42"/>
      <c r="F221" s="145"/>
      <c r="G221" s="42"/>
      <c r="H221" s="42"/>
      <c r="I221" s="42"/>
      <c r="J221" s="145"/>
      <c r="K221" s="42"/>
      <c r="L221" s="20"/>
      <c r="M221" s="20"/>
      <c r="N221" s="20"/>
      <c r="O221" s="20"/>
      <c r="P221" s="20"/>
      <c r="Q221" s="42"/>
      <c r="R221" s="20"/>
      <c r="S221" s="20"/>
      <c r="T221" s="20"/>
      <c r="U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  <c r="AM221" s="20"/>
      <c r="AN221" s="20"/>
      <c r="AO221" s="20"/>
      <c r="AP221" s="20"/>
      <c r="AQ221" s="20"/>
      <c r="AR221" s="20"/>
      <c r="AS221" s="20"/>
      <c r="AT221" s="20"/>
      <c r="AU221" s="20"/>
      <c r="AV221" s="20"/>
      <c r="AW221" s="20"/>
      <c r="AX221" s="20"/>
      <c r="AY221" s="20"/>
      <c r="AZ221" s="20"/>
      <c r="BA221" s="20"/>
      <c r="BB221" s="20"/>
      <c r="BC221" s="20"/>
      <c r="BD221" s="20"/>
    </row>
    <row r="222" spans="1:56" x14ac:dyDescent="0.25">
      <c r="A222" s="42"/>
      <c r="B222" s="42"/>
      <c r="C222" s="42"/>
      <c r="D222" s="36"/>
      <c r="E222" s="42"/>
      <c r="F222" s="145"/>
      <c r="G222" s="42"/>
      <c r="H222" s="42"/>
      <c r="I222" s="42"/>
      <c r="J222" s="145"/>
      <c r="K222" s="42"/>
      <c r="L222" s="20"/>
      <c r="M222" s="20"/>
      <c r="N222" s="20"/>
      <c r="O222" s="20"/>
      <c r="P222" s="20"/>
      <c r="Q222" s="42"/>
      <c r="R222" s="20"/>
      <c r="S222" s="20"/>
      <c r="T222" s="20"/>
      <c r="U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  <c r="AM222" s="20"/>
      <c r="AN222" s="20"/>
      <c r="AO222" s="20"/>
      <c r="AP222" s="20"/>
      <c r="AQ222" s="20"/>
      <c r="AR222" s="20"/>
      <c r="AS222" s="20"/>
      <c r="AT222" s="20"/>
      <c r="AU222" s="20"/>
      <c r="AV222" s="20"/>
      <c r="AW222" s="20"/>
      <c r="AX222" s="20"/>
      <c r="AY222" s="20"/>
      <c r="AZ222" s="20"/>
      <c r="BA222" s="20"/>
      <c r="BB222" s="20"/>
      <c r="BC222" s="20"/>
      <c r="BD222" s="20"/>
    </row>
    <row r="223" spans="1:56" x14ac:dyDescent="0.25">
      <c r="A223" s="42"/>
      <c r="B223" s="42"/>
      <c r="C223" s="42"/>
      <c r="D223" s="36"/>
      <c r="E223" s="42"/>
      <c r="F223" s="145"/>
      <c r="G223" s="42"/>
      <c r="H223" s="42"/>
      <c r="I223" s="42"/>
      <c r="J223" s="145"/>
      <c r="K223" s="42"/>
      <c r="L223" s="20"/>
      <c r="M223" s="20"/>
      <c r="N223" s="20"/>
      <c r="O223" s="20"/>
      <c r="P223" s="20"/>
      <c r="Q223" s="42"/>
      <c r="R223" s="20"/>
      <c r="S223" s="20"/>
      <c r="T223" s="20"/>
      <c r="U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  <c r="AM223" s="20"/>
      <c r="AN223" s="20"/>
      <c r="AO223" s="20"/>
      <c r="AP223" s="20"/>
      <c r="AQ223" s="20"/>
      <c r="AR223" s="20"/>
      <c r="AS223" s="20"/>
      <c r="AT223" s="20"/>
      <c r="AU223" s="20"/>
      <c r="AV223" s="20"/>
      <c r="AW223" s="20"/>
      <c r="AX223" s="20"/>
      <c r="AY223" s="20"/>
      <c r="AZ223" s="20"/>
      <c r="BA223" s="20"/>
      <c r="BB223" s="20"/>
      <c r="BC223" s="20"/>
      <c r="BD223" s="20"/>
    </row>
    <row r="224" spans="1:56" x14ac:dyDescent="0.25">
      <c r="A224" s="20"/>
      <c r="B224" s="20"/>
      <c r="C224" s="20"/>
      <c r="D224" s="36"/>
      <c r="E224" s="20"/>
      <c r="F224" s="43"/>
      <c r="G224" s="20"/>
      <c r="H224" s="20"/>
      <c r="I224" s="20"/>
      <c r="J224" s="43"/>
      <c r="K224" s="20"/>
      <c r="L224" s="20"/>
      <c r="M224" s="20"/>
      <c r="N224" s="20"/>
      <c r="O224" s="20"/>
      <c r="P224" s="20"/>
      <c r="Q224" s="42"/>
      <c r="R224" s="20"/>
      <c r="S224" s="20"/>
      <c r="T224" s="20"/>
      <c r="U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  <c r="AM224" s="20"/>
      <c r="AN224" s="20"/>
      <c r="AO224" s="20"/>
      <c r="AP224" s="20"/>
      <c r="AQ224" s="20"/>
      <c r="AR224" s="20"/>
      <c r="AS224" s="20"/>
      <c r="AT224" s="20"/>
      <c r="AU224" s="20"/>
      <c r="AV224" s="20"/>
      <c r="AW224" s="20"/>
      <c r="AX224" s="20"/>
      <c r="AY224" s="20"/>
      <c r="AZ224" s="20"/>
      <c r="BA224" s="20"/>
      <c r="BB224" s="20"/>
      <c r="BC224" s="20"/>
      <c r="BD224" s="20"/>
    </row>
    <row r="225" spans="1:21" x14ac:dyDescent="0.25">
      <c r="A225" s="20"/>
      <c r="B225" s="20"/>
      <c r="C225" s="20"/>
      <c r="D225" s="36"/>
      <c r="E225" s="20"/>
      <c r="F225" s="43"/>
      <c r="G225" s="20"/>
      <c r="H225" s="20"/>
      <c r="I225" s="20"/>
      <c r="J225" s="43"/>
      <c r="K225" s="20"/>
      <c r="L225" s="20"/>
      <c r="M225" s="20"/>
      <c r="N225" s="20"/>
      <c r="O225" s="20"/>
      <c r="P225" s="20"/>
      <c r="Q225" s="42"/>
      <c r="R225" s="20"/>
      <c r="S225" s="20"/>
      <c r="T225" s="20"/>
      <c r="U225" s="20"/>
    </row>
    <row r="226" spans="1:21" x14ac:dyDescent="0.25">
      <c r="A226" s="20"/>
      <c r="B226" s="20"/>
      <c r="C226" s="20"/>
      <c r="D226" s="36"/>
      <c r="E226" s="20"/>
      <c r="F226" s="43"/>
      <c r="G226" s="20"/>
      <c r="H226" s="20"/>
      <c r="I226" s="20"/>
      <c r="J226" s="43"/>
      <c r="K226" s="20"/>
      <c r="L226" s="20"/>
      <c r="M226" s="20"/>
      <c r="N226" s="20"/>
      <c r="O226" s="20"/>
      <c r="P226" s="20"/>
      <c r="Q226" s="42"/>
      <c r="R226" s="20"/>
      <c r="S226" s="20"/>
      <c r="T226" s="20"/>
      <c r="U226" s="20"/>
    </row>
    <row r="227" spans="1:21" x14ac:dyDescent="0.25">
      <c r="A227" s="20"/>
      <c r="B227" s="20"/>
      <c r="C227" s="20"/>
      <c r="D227" s="36"/>
      <c r="E227" s="20"/>
      <c r="F227" s="43"/>
      <c r="G227" s="20"/>
      <c r="H227" s="20"/>
      <c r="I227" s="20"/>
      <c r="J227" s="43"/>
      <c r="K227" s="20"/>
      <c r="L227" s="20"/>
      <c r="M227" s="20"/>
      <c r="N227" s="20"/>
      <c r="O227" s="20"/>
      <c r="P227" s="20"/>
      <c r="Q227" s="42"/>
      <c r="R227" s="20"/>
      <c r="S227" s="20"/>
      <c r="T227" s="20"/>
      <c r="U227" s="20"/>
    </row>
    <row r="228" spans="1:21" x14ac:dyDescent="0.25">
      <c r="A228" s="20"/>
      <c r="B228" s="20"/>
      <c r="C228" s="20"/>
      <c r="D228" s="36"/>
      <c r="E228" s="20"/>
      <c r="F228" s="43"/>
      <c r="G228" s="20"/>
      <c r="H228" s="20"/>
      <c r="I228" s="20"/>
      <c r="J228" s="43"/>
      <c r="K228" s="20"/>
      <c r="L228" s="20"/>
      <c r="M228" s="20"/>
      <c r="N228" s="20"/>
      <c r="O228" s="20"/>
      <c r="P228" s="20"/>
      <c r="Q228" s="42"/>
      <c r="R228" s="20"/>
      <c r="S228" s="20"/>
      <c r="T228" s="20"/>
      <c r="U228" s="20"/>
    </row>
    <row r="229" spans="1:21" x14ac:dyDescent="0.25">
      <c r="A229" s="20"/>
      <c r="B229" s="20"/>
      <c r="C229" s="20"/>
      <c r="D229" s="36"/>
      <c r="E229" s="20"/>
      <c r="F229" s="43"/>
      <c r="G229" s="20"/>
      <c r="H229" s="20"/>
      <c r="I229" s="20"/>
      <c r="J229" s="43"/>
      <c r="K229" s="20"/>
      <c r="L229" s="20"/>
      <c r="M229" s="20"/>
      <c r="N229" s="20"/>
      <c r="O229" s="20"/>
      <c r="P229" s="20"/>
      <c r="Q229" s="42"/>
      <c r="R229" s="20"/>
      <c r="S229" s="20"/>
      <c r="T229" s="20"/>
      <c r="U229" s="20"/>
    </row>
    <row r="230" spans="1:21" x14ac:dyDescent="0.25">
      <c r="A230" s="20"/>
      <c r="B230" s="20"/>
      <c r="C230" s="20"/>
      <c r="D230" s="36"/>
      <c r="E230" s="20"/>
      <c r="F230" s="43"/>
      <c r="G230" s="20"/>
      <c r="H230" s="20"/>
      <c r="I230" s="20"/>
      <c r="J230" s="43"/>
      <c r="K230" s="20"/>
      <c r="L230" s="20"/>
      <c r="M230" s="20"/>
      <c r="N230" s="20"/>
      <c r="O230" s="20"/>
      <c r="P230" s="20"/>
      <c r="Q230" s="42"/>
      <c r="R230" s="20"/>
      <c r="S230" s="20"/>
      <c r="T230" s="20"/>
      <c r="U230" s="20"/>
    </row>
    <row r="231" spans="1:21" x14ac:dyDescent="0.25">
      <c r="A231" s="20"/>
      <c r="B231" s="20"/>
      <c r="C231" s="20"/>
      <c r="D231" s="36"/>
      <c r="E231" s="20"/>
      <c r="F231" s="43"/>
      <c r="G231" s="20"/>
      <c r="H231" s="20"/>
      <c r="I231" s="20"/>
      <c r="J231" s="43"/>
      <c r="K231" s="20"/>
      <c r="L231" s="20"/>
      <c r="M231" s="20"/>
      <c r="N231" s="20"/>
      <c r="O231" s="20"/>
      <c r="P231" s="20"/>
      <c r="Q231" s="42"/>
      <c r="R231" s="20"/>
      <c r="S231" s="20"/>
      <c r="T231" s="20"/>
      <c r="U231" s="20"/>
    </row>
    <row r="232" spans="1:21" x14ac:dyDescent="0.25">
      <c r="A232" s="20"/>
      <c r="B232" s="20"/>
      <c r="C232" s="20"/>
      <c r="D232" s="36"/>
      <c r="E232" s="20"/>
      <c r="F232" s="43"/>
      <c r="G232" s="20"/>
      <c r="H232" s="20"/>
      <c r="I232" s="20"/>
      <c r="J232" s="43"/>
      <c r="K232" s="20"/>
      <c r="L232" s="20"/>
      <c r="M232" s="20"/>
      <c r="N232" s="20"/>
      <c r="O232" s="20"/>
      <c r="P232" s="20"/>
      <c r="Q232" s="42"/>
      <c r="R232" s="20"/>
      <c r="S232" s="20"/>
      <c r="T232" s="20"/>
      <c r="U232" s="20"/>
    </row>
    <row r="233" spans="1:21" x14ac:dyDescent="0.25">
      <c r="A233" s="20"/>
      <c r="B233" s="20"/>
      <c r="C233" s="20"/>
      <c r="D233" s="36"/>
      <c r="E233" s="20"/>
      <c r="F233" s="43"/>
      <c r="G233" s="20"/>
      <c r="H233" s="20"/>
      <c r="I233" s="20"/>
      <c r="J233" s="43"/>
      <c r="K233" s="20"/>
      <c r="L233" s="20"/>
      <c r="M233" s="20"/>
      <c r="N233" s="20"/>
      <c r="O233" s="20"/>
      <c r="P233" s="20"/>
      <c r="Q233" s="42"/>
      <c r="R233" s="20"/>
      <c r="S233" s="20"/>
      <c r="T233" s="20"/>
      <c r="U233" s="20"/>
    </row>
    <row r="234" spans="1:21" x14ac:dyDescent="0.25">
      <c r="A234" s="20"/>
      <c r="B234" s="20"/>
      <c r="C234" s="20"/>
      <c r="D234" s="36"/>
      <c r="E234" s="20"/>
      <c r="F234" s="43"/>
      <c r="G234" s="20"/>
      <c r="H234" s="20"/>
      <c r="I234" s="20"/>
      <c r="J234" s="43"/>
      <c r="K234" s="20"/>
      <c r="L234" s="20"/>
      <c r="M234" s="20"/>
      <c r="N234" s="20"/>
      <c r="O234" s="20"/>
      <c r="P234" s="20"/>
      <c r="Q234" s="42"/>
      <c r="R234" s="20"/>
      <c r="S234" s="20"/>
      <c r="T234" s="20"/>
      <c r="U234" s="20"/>
    </row>
    <row r="235" spans="1:21" x14ac:dyDescent="0.25">
      <c r="A235" s="20"/>
      <c r="B235" s="20"/>
      <c r="C235" s="20"/>
      <c r="D235" s="36"/>
      <c r="E235" s="20"/>
      <c r="F235" s="43"/>
      <c r="G235" s="20"/>
      <c r="H235" s="20"/>
      <c r="I235" s="20"/>
      <c r="J235" s="43"/>
      <c r="K235" s="20"/>
      <c r="L235" s="20"/>
      <c r="M235" s="20"/>
      <c r="N235" s="20"/>
      <c r="O235" s="20"/>
      <c r="P235" s="20"/>
      <c r="Q235" s="42"/>
      <c r="R235" s="20"/>
      <c r="S235" s="20"/>
      <c r="T235" s="20"/>
      <c r="U235" s="20"/>
    </row>
    <row r="236" spans="1:21" x14ac:dyDescent="0.25">
      <c r="A236" s="20"/>
      <c r="B236" s="20"/>
      <c r="C236" s="20"/>
      <c r="D236" s="36"/>
      <c r="E236" s="20"/>
      <c r="F236" s="43"/>
      <c r="G236" s="20"/>
      <c r="H236" s="20"/>
      <c r="I236" s="20"/>
      <c r="J236" s="43"/>
      <c r="K236" s="20"/>
      <c r="L236" s="20"/>
      <c r="M236" s="20"/>
      <c r="N236" s="20"/>
      <c r="O236" s="20"/>
      <c r="P236" s="20"/>
      <c r="Q236" s="42"/>
      <c r="R236" s="20"/>
      <c r="S236" s="20"/>
      <c r="T236" s="20"/>
      <c r="U236" s="20"/>
    </row>
    <row r="237" spans="1:21" x14ac:dyDescent="0.25">
      <c r="A237" s="20"/>
      <c r="B237" s="20"/>
      <c r="C237" s="20"/>
      <c r="D237" s="36"/>
      <c r="E237" s="20"/>
      <c r="F237" s="43"/>
      <c r="G237" s="20"/>
      <c r="H237" s="20"/>
      <c r="I237" s="20"/>
      <c r="J237" s="43"/>
      <c r="K237" s="20"/>
      <c r="L237" s="20"/>
      <c r="M237" s="20"/>
      <c r="N237" s="20"/>
      <c r="O237" s="20"/>
      <c r="P237" s="20"/>
      <c r="Q237" s="42"/>
      <c r="R237" s="20"/>
      <c r="S237" s="20"/>
      <c r="T237" s="20"/>
      <c r="U237" s="20"/>
    </row>
    <row r="238" spans="1:21" x14ac:dyDescent="0.25">
      <c r="A238" s="20"/>
      <c r="B238" s="20"/>
      <c r="C238" s="20"/>
      <c r="D238" s="36"/>
      <c r="E238" s="20"/>
      <c r="F238" s="43"/>
      <c r="G238" s="20"/>
      <c r="H238" s="20"/>
      <c r="I238" s="20"/>
      <c r="J238" s="43"/>
      <c r="K238" s="20"/>
      <c r="L238" s="20"/>
      <c r="M238" s="20"/>
      <c r="N238" s="20"/>
      <c r="O238" s="20"/>
      <c r="P238" s="20"/>
      <c r="Q238" s="42"/>
      <c r="R238" s="20"/>
      <c r="S238" s="20"/>
      <c r="T238" s="20"/>
      <c r="U238" s="20"/>
    </row>
    <row r="239" spans="1:21" x14ac:dyDescent="0.25">
      <c r="A239" s="20"/>
      <c r="B239" s="20"/>
      <c r="C239" s="20"/>
      <c r="D239" s="36"/>
      <c r="E239" s="20"/>
      <c r="F239" s="43"/>
      <c r="G239" s="20"/>
      <c r="H239" s="20"/>
      <c r="I239" s="20"/>
      <c r="J239" s="43"/>
      <c r="K239" s="20"/>
      <c r="L239" s="20"/>
      <c r="M239" s="20"/>
      <c r="N239" s="20"/>
      <c r="O239" s="20"/>
      <c r="P239" s="20"/>
      <c r="Q239" s="42"/>
      <c r="R239" s="20"/>
      <c r="S239" s="20"/>
      <c r="T239" s="20"/>
      <c r="U239" s="20"/>
    </row>
    <row r="240" spans="1:21" x14ac:dyDescent="0.25">
      <c r="A240" s="20"/>
      <c r="B240" s="20"/>
      <c r="C240" s="20"/>
      <c r="D240" s="36"/>
      <c r="E240" s="20"/>
      <c r="F240" s="43"/>
      <c r="G240" s="20"/>
      <c r="H240" s="20"/>
      <c r="I240" s="20"/>
      <c r="J240" s="43"/>
      <c r="K240" s="20"/>
      <c r="L240" s="20"/>
      <c r="M240" s="20"/>
      <c r="N240" s="20"/>
      <c r="O240" s="20"/>
      <c r="P240" s="20"/>
      <c r="Q240" s="42"/>
      <c r="R240" s="20"/>
      <c r="S240" s="20"/>
      <c r="T240" s="20"/>
      <c r="U240" s="20"/>
    </row>
    <row r="241" spans="1:21" x14ac:dyDescent="0.25">
      <c r="A241" s="20"/>
      <c r="B241" s="20"/>
      <c r="C241" s="20"/>
      <c r="D241" s="36"/>
      <c r="E241" s="20"/>
      <c r="F241" s="43"/>
      <c r="G241" s="20"/>
      <c r="H241" s="20"/>
      <c r="I241" s="20"/>
      <c r="J241" s="43"/>
      <c r="K241" s="20"/>
      <c r="L241" s="20"/>
      <c r="M241" s="20"/>
      <c r="N241" s="20"/>
      <c r="O241" s="20"/>
      <c r="P241" s="20"/>
      <c r="Q241" s="42"/>
      <c r="R241" s="20"/>
      <c r="S241" s="20"/>
      <c r="T241" s="20"/>
      <c r="U241" s="20"/>
    </row>
    <row r="242" spans="1:21" x14ac:dyDescent="0.25">
      <c r="A242" s="20"/>
      <c r="B242" s="20"/>
      <c r="C242" s="20"/>
      <c r="D242" s="36"/>
      <c r="E242" s="20"/>
      <c r="F242" s="43"/>
      <c r="G242" s="20"/>
      <c r="H242" s="20"/>
      <c r="I242" s="20"/>
      <c r="J242" s="43"/>
      <c r="K242" s="20"/>
      <c r="L242" s="20"/>
      <c r="M242" s="20"/>
      <c r="N242" s="20"/>
      <c r="O242" s="20"/>
      <c r="P242" s="20"/>
      <c r="Q242" s="42"/>
      <c r="R242" s="20"/>
      <c r="S242" s="20"/>
      <c r="T242" s="20"/>
      <c r="U242" s="20"/>
    </row>
    <row r="243" spans="1:21" x14ac:dyDescent="0.25">
      <c r="A243" s="20"/>
      <c r="B243" s="20"/>
      <c r="C243" s="20"/>
      <c r="D243" s="36"/>
      <c r="E243" s="20"/>
      <c r="F243" s="43"/>
      <c r="G243" s="20"/>
      <c r="H243" s="20"/>
      <c r="I243" s="20"/>
      <c r="J243" s="43"/>
      <c r="K243" s="20"/>
      <c r="L243" s="20"/>
      <c r="M243" s="20"/>
      <c r="N243" s="20"/>
      <c r="O243" s="20"/>
      <c r="P243" s="20"/>
      <c r="Q243" s="42"/>
      <c r="R243" s="20"/>
      <c r="S243" s="20"/>
      <c r="T243" s="20"/>
      <c r="U243" s="20"/>
    </row>
    <row r="244" spans="1:21" x14ac:dyDescent="0.25">
      <c r="A244" s="20"/>
      <c r="B244" s="20"/>
      <c r="C244" s="20"/>
      <c r="D244" s="36"/>
      <c r="E244" s="20"/>
      <c r="F244" s="43"/>
      <c r="G244" s="20"/>
      <c r="H244" s="20"/>
      <c r="I244" s="20"/>
      <c r="J244" s="43"/>
      <c r="K244" s="20"/>
      <c r="L244" s="20"/>
      <c r="M244" s="20"/>
      <c r="N244" s="20"/>
      <c r="O244" s="20"/>
      <c r="P244" s="20"/>
      <c r="Q244" s="42"/>
      <c r="R244" s="20"/>
      <c r="S244" s="20"/>
      <c r="T244" s="20"/>
      <c r="U244" s="20"/>
    </row>
    <row r="245" spans="1:21" x14ac:dyDescent="0.25">
      <c r="A245" s="20"/>
      <c r="B245" s="20"/>
      <c r="C245" s="20"/>
      <c r="D245" s="36"/>
      <c r="E245" s="20"/>
      <c r="F245" s="43"/>
      <c r="G245" s="20"/>
      <c r="H245" s="20"/>
      <c r="I245" s="20"/>
      <c r="J245" s="43"/>
      <c r="K245" s="20"/>
      <c r="L245" s="20"/>
      <c r="M245" s="20"/>
      <c r="N245" s="20"/>
      <c r="O245" s="20"/>
      <c r="P245" s="20"/>
      <c r="Q245" s="42"/>
      <c r="R245" s="20"/>
      <c r="S245" s="20"/>
      <c r="T245" s="20"/>
      <c r="U245" s="20"/>
    </row>
    <row r="246" spans="1:21" x14ac:dyDescent="0.25">
      <c r="A246" s="20"/>
      <c r="B246" s="20"/>
      <c r="C246" s="20"/>
      <c r="D246" s="36"/>
      <c r="E246" s="20"/>
      <c r="F246" s="43"/>
      <c r="G246" s="20"/>
      <c r="H246" s="20"/>
      <c r="I246" s="20"/>
      <c r="J246" s="43"/>
      <c r="K246" s="20"/>
      <c r="L246" s="20"/>
      <c r="M246" s="20"/>
      <c r="N246" s="20"/>
      <c r="O246" s="20"/>
      <c r="P246" s="20"/>
      <c r="Q246" s="42"/>
      <c r="R246" s="20"/>
      <c r="S246" s="20"/>
      <c r="T246" s="20"/>
      <c r="U246" s="20"/>
    </row>
    <row r="247" spans="1:21" x14ac:dyDescent="0.25">
      <c r="A247" s="20"/>
      <c r="B247" s="20"/>
      <c r="C247" s="20"/>
      <c r="D247" s="36"/>
      <c r="E247" s="20"/>
      <c r="F247" s="43"/>
      <c r="G247" s="20"/>
      <c r="H247" s="20"/>
      <c r="I247" s="20"/>
      <c r="J247" s="43"/>
      <c r="K247" s="20"/>
      <c r="L247" s="20"/>
      <c r="M247" s="20"/>
      <c r="N247" s="20"/>
      <c r="O247" s="20"/>
      <c r="P247" s="20"/>
      <c r="Q247" s="42"/>
      <c r="R247" s="20"/>
      <c r="S247" s="20"/>
      <c r="T247" s="20"/>
      <c r="U247" s="20"/>
    </row>
    <row r="248" spans="1:21" x14ac:dyDescent="0.25">
      <c r="A248" s="20"/>
      <c r="B248" s="20"/>
      <c r="C248" s="20"/>
      <c r="D248" s="36"/>
      <c r="E248" s="20"/>
      <c r="F248" s="43"/>
      <c r="G248" s="20"/>
      <c r="H248" s="20"/>
      <c r="I248" s="20"/>
      <c r="J248" s="43"/>
      <c r="K248" s="20"/>
      <c r="L248" s="20"/>
      <c r="M248" s="20"/>
      <c r="N248" s="20"/>
      <c r="O248" s="20"/>
      <c r="P248" s="20"/>
      <c r="Q248" s="42"/>
      <c r="R248" s="20"/>
      <c r="S248" s="20"/>
      <c r="T248" s="20"/>
      <c r="U248" s="20"/>
    </row>
    <row r="249" spans="1:21" x14ac:dyDescent="0.25">
      <c r="A249" s="20"/>
      <c r="B249" s="20"/>
      <c r="C249" s="20"/>
      <c r="D249" s="36"/>
      <c r="E249" s="20"/>
      <c r="F249" s="43"/>
      <c r="G249" s="20"/>
      <c r="H249" s="20"/>
      <c r="I249" s="20"/>
      <c r="J249" s="43"/>
      <c r="K249" s="20"/>
      <c r="L249" s="20"/>
      <c r="M249" s="20"/>
      <c r="N249" s="20"/>
      <c r="O249" s="20"/>
      <c r="P249" s="20"/>
      <c r="Q249" s="42"/>
      <c r="R249" s="20"/>
      <c r="S249" s="20"/>
      <c r="T249" s="20"/>
      <c r="U249" s="20"/>
    </row>
    <row r="250" spans="1:21" x14ac:dyDescent="0.25">
      <c r="A250" s="20"/>
      <c r="B250" s="20"/>
      <c r="C250" s="20"/>
      <c r="D250" s="36"/>
      <c r="E250" s="20"/>
      <c r="F250" s="43"/>
      <c r="G250" s="20"/>
      <c r="H250" s="20"/>
      <c r="I250" s="20"/>
      <c r="J250" s="43"/>
      <c r="K250" s="20"/>
      <c r="L250" s="20"/>
      <c r="M250" s="20"/>
      <c r="N250" s="20"/>
      <c r="O250" s="20"/>
      <c r="P250" s="20"/>
      <c r="Q250" s="42"/>
      <c r="R250" s="20"/>
      <c r="S250" s="20"/>
      <c r="T250" s="20"/>
      <c r="U250" s="20"/>
    </row>
    <row r="251" spans="1:21" x14ac:dyDescent="0.25">
      <c r="A251" s="20"/>
      <c r="B251" s="20"/>
      <c r="C251" s="20"/>
      <c r="D251" s="36"/>
      <c r="E251" s="20"/>
      <c r="F251" s="43"/>
      <c r="G251" s="20"/>
      <c r="H251" s="20"/>
      <c r="I251" s="20"/>
      <c r="J251" s="43"/>
      <c r="K251" s="20"/>
      <c r="L251" s="20"/>
      <c r="M251" s="20"/>
      <c r="N251" s="20"/>
      <c r="O251" s="20"/>
      <c r="P251" s="20"/>
      <c r="Q251" s="42"/>
      <c r="R251" s="20"/>
      <c r="S251" s="20"/>
      <c r="T251" s="20"/>
      <c r="U251" s="20"/>
    </row>
    <row r="252" spans="1:21" x14ac:dyDescent="0.25">
      <c r="A252" s="20"/>
      <c r="B252" s="20"/>
      <c r="C252" s="20"/>
      <c r="D252" s="36"/>
      <c r="E252" s="20"/>
      <c r="F252" s="43"/>
      <c r="G252" s="20"/>
      <c r="H252" s="20"/>
      <c r="I252" s="20"/>
      <c r="J252" s="43"/>
      <c r="K252" s="20"/>
      <c r="L252" s="20"/>
      <c r="M252" s="20"/>
      <c r="N252" s="20"/>
      <c r="O252" s="20"/>
      <c r="P252" s="20"/>
      <c r="Q252" s="42"/>
      <c r="R252" s="20"/>
      <c r="S252" s="20"/>
      <c r="T252" s="20"/>
      <c r="U252" s="20"/>
    </row>
    <row r="253" spans="1:21" x14ac:dyDescent="0.25">
      <c r="A253" s="20"/>
      <c r="B253" s="20"/>
      <c r="C253" s="20"/>
      <c r="D253" s="36"/>
      <c r="E253" s="20"/>
      <c r="F253" s="43"/>
      <c r="G253" s="20"/>
      <c r="H253" s="20"/>
      <c r="I253" s="20"/>
      <c r="J253" s="43"/>
      <c r="K253" s="20"/>
      <c r="L253" s="20"/>
      <c r="M253" s="20"/>
      <c r="N253" s="20"/>
      <c r="O253" s="20"/>
      <c r="P253" s="20"/>
      <c r="Q253" s="42"/>
      <c r="R253" s="20"/>
      <c r="S253" s="20"/>
      <c r="T253" s="20"/>
      <c r="U253" s="20"/>
    </row>
    <row r="254" spans="1:21" x14ac:dyDescent="0.25">
      <c r="A254" s="20"/>
      <c r="B254" s="20"/>
      <c r="C254" s="20"/>
      <c r="D254" s="36"/>
      <c r="E254" s="20"/>
      <c r="F254" s="43"/>
      <c r="G254" s="20"/>
      <c r="H254" s="20"/>
      <c r="I254" s="20"/>
      <c r="J254" s="43"/>
      <c r="K254" s="20"/>
      <c r="L254" s="20"/>
      <c r="M254" s="20"/>
      <c r="N254" s="20"/>
      <c r="O254" s="20"/>
      <c r="P254" s="20"/>
      <c r="Q254" s="42"/>
      <c r="R254" s="20"/>
      <c r="S254" s="20"/>
      <c r="T254" s="20"/>
      <c r="U254" s="20"/>
    </row>
    <row r="255" spans="1:21" x14ac:dyDescent="0.25">
      <c r="A255" s="20"/>
      <c r="B255" s="20"/>
      <c r="C255" s="20"/>
      <c r="D255" s="36"/>
      <c r="E255" s="20"/>
      <c r="F255" s="43"/>
      <c r="G255" s="20"/>
      <c r="H255" s="20"/>
      <c r="I255" s="20"/>
      <c r="J255" s="43"/>
      <c r="K255" s="20"/>
      <c r="L255" s="20"/>
      <c r="M255" s="20"/>
      <c r="N255" s="20"/>
      <c r="O255" s="20"/>
      <c r="P255" s="20"/>
      <c r="Q255" s="42"/>
      <c r="R255" s="20"/>
      <c r="S255" s="20"/>
      <c r="T255" s="20"/>
      <c r="U255" s="20"/>
    </row>
    <row r="256" spans="1:21" x14ac:dyDescent="0.25">
      <c r="A256" s="20"/>
      <c r="B256" s="20"/>
      <c r="C256" s="20"/>
      <c r="D256" s="36"/>
      <c r="E256" s="20"/>
      <c r="F256" s="43"/>
      <c r="G256" s="20"/>
      <c r="H256" s="20"/>
      <c r="I256" s="20"/>
      <c r="J256" s="43"/>
      <c r="K256" s="20"/>
      <c r="L256" s="20"/>
      <c r="M256" s="20"/>
      <c r="N256" s="20"/>
      <c r="O256" s="20"/>
      <c r="P256" s="20"/>
      <c r="Q256" s="42"/>
      <c r="R256" s="20"/>
      <c r="S256" s="20"/>
      <c r="T256" s="20"/>
      <c r="U256" s="20"/>
    </row>
    <row r="257" spans="1:21" x14ac:dyDescent="0.25">
      <c r="A257" s="20"/>
      <c r="B257" s="20"/>
      <c r="C257" s="20"/>
      <c r="D257" s="36"/>
      <c r="E257" s="20"/>
      <c r="F257" s="43"/>
      <c r="G257" s="20"/>
      <c r="H257" s="20"/>
      <c r="I257" s="20"/>
      <c r="J257" s="43"/>
      <c r="K257" s="20"/>
      <c r="L257" s="20"/>
      <c r="M257" s="20"/>
      <c r="N257" s="20"/>
      <c r="O257" s="20"/>
      <c r="P257" s="20"/>
      <c r="Q257" s="42"/>
      <c r="R257" s="20"/>
      <c r="S257" s="20"/>
      <c r="T257" s="20"/>
      <c r="U257" s="20"/>
    </row>
    <row r="258" spans="1:21" x14ac:dyDescent="0.25">
      <c r="A258" s="20"/>
      <c r="B258" s="20"/>
      <c r="C258" s="20"/>
      <c r="D258" s="36"/>
      <c r="E258" s="20"/>
      <c r="F258" s="43"/>
      <c r="G258" s="20"/>
      <c r="H258" s="20"/>
      <c r="I258" s="20"/>
      <c r="J258" s="43"/>
      <c r="K258" s="20"/>
      <c r="L258" s="20"/>
      <c r="M258" s="20"/>
      <c r="N258" s="20"/>
      <c r="O258" s="20"/>
      <c r="P258" s="20"/>
      <c r="Q258" s="42"/>
      <c r="R258" s="20"/>
      <c r="S258" s="20"/>
      <c r="T258" s="20"/>
      <c r="U258" s="20"/>
    </row>
    <row r="259" spans="1:21" x14ac:dyDescent="0.25">
      <c r="A259" s="20"/>
      <c r="B259" s="20"/>
      <c r="C259" s="20"/>
      <c r="D259" s="36"/>
      <c r="E259" s="20"/>
      <c r="F259" s="43"/>
      <c r="G259" s="20"/>
      <c r="H259" s="20"/>
      <c r="I259" s="20"/>
      <c r="J259" s="43"/>
      <c r="K259" s="20"/>
      <c r="L259" s="20"/>
      <c r="M259" s="20"/>
      <c r="N259" s="20"/>
      <c r="O259" s="20"/>
      <c r="P259" s="20"/>
      <c r="Q259" s="42"/>
      <c r="R259" s="20"/>
      <c r="S259" s="20"/>
      <c r="T259" s="20"/>
      <c r="U259" s="20"/>
    </row>
    <row r="260" spans="1:21" x14ac:dyDescent="0.25">
      <c r="A260" s="20"/>
      <c r="B260" s="20"/>
      <c r="C260" s="20"/>
      <c r="D260" s="36"/>
      <c r="E260" s="20"/>
      <c r="F260" s="43"/>
      <c r="G260" s="20"/>
      <c r="H260" s="20"/>
      <c r="I260" s="20"/>
      <c r="J260" s="43"/>
      <c r="K260" s="20"/>
      <c r="L260" s="20"/>
      <c r="M260" s="20"/>
      <c r="N260" s="20"/>
      <c r="O260" s="20"/>
      <c r="P260" s="20"/>
      <c r="Q260" s="42"/>
      <c r="R260" s="20"/>
      <c r="S260" s="20"/>
      <c r="T260" s="20"/>
      <c r="U260" s="20"/>
    </row>
    <row r="261" spans="1:21" x14ac:dyDescent="0.25">
      <c r="A261" s="20"/>
      <c r="B261" s="20"/>
      <c r="C261" s="20"/>
      <c r="D261" s="36"/>
      <c r="E261" s="20"/>
      <c r="F261" s="43"/>
      <c r="G261" s="20"/>
      <c r="H261" s="20"/>
      <c r="I261" s="20"/>
      <c r="J261" s="43"/>
      <c r="K261" s="20"/>
      <c r="L261" s="20"/>
      <c r="M261" s="20"/>
      <c r="N261" s="20"/>
      <c r="O261" s="20"/>
      <c r="P261" s="20"/>
      <c r="Q261" s="42"/>
      <c r="R261" s="20"/>
      <c r="S261" s="20"/>
      <c r="T261" s="20"/>
      <c r="U261" s="20"/>
    </row>
    <row r="262" spans="1:21" x14ac:dyDescent="0.25">
      <c r="A262" s="20"/>
      <c r="B262" s="20"/>
      <c r="C262" s="20"/>
      <c r="D262" s="36"/>
      <c r="E262" s="20"/>
      <c r="F262" s="43"/>
      <c r="G262" s="20"/>
      <c r="H262" s="20"/>
      <c r="I262" s="20"/>
      <c r="J262" s="43"/>
      <c r="K262" s="20"/>
      <c r="L262" s="20"/>
      <c r="M262" s="20"/>
      <c r="N262" s="20"/>
      <c r="O262" s="20"/>
      <c r="P262" s="20"/>
      <c r="Q262" s="42"/>
      <c r="R262" s="20"/>
      <c r="S262" s="20"/>
      <c r="T262" s="20"/>
      <c r="U262" s="20"/>
    </row>
    <row r="263" spans="1:21" x14ac:dyDescent="0.25">
      <c r="A263" s="20"/>
      <c r="B263" s="20"/>
      <c r="C263" s="20"/>
      <c r="D263" s="36"/>
      <c r="E263" s="20"/>
      <c r="F263" s="43"/>
      <c r="G263" s="20"/>
      <c r="H263" s="20"/>
      <c r="I263" s="20"/>
      <c r="J263" s="43"/>
      <c r="K263" s="20"/>
      <c r="L263" s="20"/>
      <c r="M263" s="20"/>
      <c r="N263" s="20"/>
      <c r="O263" s="20"/>
      <c r="P263" s="20"/>
      <c r="Q263" s="42"/>
      <c r="R263" s="20"/>
      <c r="S263" s="20"/>
      <c r="T263" s="20"/>
      <c r="U263" s="20"/>
    </row>
    <row r="264" spans="1:21" x14ac:dyDescent="0.25">
      <c r="A264" s="20"/>
      <c r="B264" s="20"/>
      <c r="C264" s="20"/>
      <c r="D264" s="36"/>
      <c r="E264" s="20"/>
      <c r="F264" s="43"/>
      <c r="G264" s="20"/>
      <c r="H264" s="20"/>
      <c r="I264" s="20"/>
      <c r="J264" s="43"/>
      <c r="K264" s="20"/>
      <c r="L264" s="20"/>
      <c r="M264" s="20"/>
      <c r="N264" s="20"/>
      <c r="O264" s="20"/>
      <c r="P264" s="20"/>
      <c r="Q264" s="42"/>
      <c r="R264" s="20"/>
      <c r="S264" s="20"/>
      <c r="T264" s="20"/>
      <c r="U264" s="20"/>
    </row>
    <row r="265" spans="1:21" x14ac:dyDescent="0.25">
      <c r="A265" s="20"/>
      <c r="B265" s="20"/>
      <c r="C265" s="20"/>
      <c r="D265" s="36"/>
      <c r="E265" s="20"/>
      <c r="F265" s="43"/>
      <c r="G265" s="20"/>
      <c r="H265" s="20"/>
      <c r="I265" s="20"/>
      <c r="J265" s="43"/>
      <c r="K265" s="20"/>
      <c r="L265" s="20"/>
      <c r="M265" s="20"/>
      <c r="N265" s="20"/>
      <c r="O265" s="20"/>
      <c r="P265" s="20"/>
      <c r="Q265" s="42"/>
      <c r="R265" s="20"/>
      <c r="S265" s="20"/>
      <c r="T265" s="20"/>
      <c r="U265" s="20"/>
    </row>
    <row r="266" spans="1:21" x14ac:dyDescent="0.25">
      <c r="A266" s="20"/>
      <c r="B266" s="20"/>
      <c r="C266" s="20"/>
      <c r="D266" s="36"/>
      <c r="E266" s="20"/>
      <c r="F266" s="43"/>
      <c r="G266" s="20"/>
      <c r="H266" s="20"/>
      <c r="I266" s="20"/>
      <c r="J266" s="43"/>
      <c r="K266" s="20"/>
      <c r="L266" s="20"/>
      <c r="M266" s="20"/>
      <c r="N266" s="20"/>
      <c r="O266" s="20"/>
      <c r="P266" s="20"/>
      <c r="Q266" s="42"/>
      <c r="R266" s="20"/>
      <c r="S266" s="20"/>
      <c r="T266" s="20"/>
      <c r="U266" s="20"/>
    </row>
    <row r="267" spans="1:21" x14ac:dyDescent="0.25">
      <c r="A267" s="20"/>
      <c r="B267" s="20"/>
      <c r="C267" s="20"/>
      <c r="D267" s="36"/>
      <c r="E267" s="20"/>
      <c r="F267" s="43"/>
      <c r="G267" s="20"/>
      <c r="H267" s="20"/>
      <c r="I267" s="20"/>
      <c r="J267" s="43"/>
      <c r="K267" s="20"/>
      <c r="L267" s="20"/>
      <c r="M267" s="20"/>
      <c r="N267" s="20"/>
      <c r="O267" s="20"/>
      <c r="P267" s="20"/>
      <c r="Q267" s="42"/>
      <c r="R267" s="20"/>
      <c r="S267" s="20"/>
      <c r="T267" s="20"/>
      <c r="U267" s="20"/>
    </row>
    <row r="268" spans="1:21" x14ac:dyDescent="0.25">
      <c r="A268" s="20"/>
      <c r="B268" s="20"/>
      <c r="C268" s="20"/>
      <c r="D268" s="36"/>
      <c r="E268" s="20"/>
      <c r="F268" s="43"/>
      <c r="G268" s="20"/>
      <c r="H268" s="20"/>
      <c r="I268" s="20"/>
      <c r="J268" s="43"/>
      <c r="K268" s="20"/>
      <c r="L268" s="20"/>
      <c r="M268" s="20"/>
      <c r="N268" s="20"/>
      <c r="O268" s="20"/>
      <c r="P268" s="20"/>
      <c r="Q268" s="42"/>
      <c r="R268" s="20"/>
      <c r="S268" s="20"/>
      <c r="T268" s="20"/>
      <c r="U268" s="20"/>
    </row>
    <row r="269" spans="1:21" x14ac:dyDescent="0.25">
      <c r="A269" s="20"/>
      <c r="B269" s="20"/>
      <c r="C269" s="20"/>
      <c r="D269" s="36"/>
      <c r="E269" s="20"/>
      <c r="F269" s="43"/>
      <c r="G269" s="20"/>
      <c r="H269" s="20"/>
      <c r="I269" s="20"/>
      <c r="J269" s="43"/>
      <c r="K269" s="20"/>
      <c r="L269" s="20"/>
      <c r="M269" s="20"/>
      <c r="N269" s="20"/>
      <c r="O269" s="20"/>
      <c r="P269" s="20"/>
      <c r="Q269" s="42"/>
      <c r="R269" s="20"/>
      <c r="S269" s="20"/>
      <c r="T269" s="20"/>
      <c r="U269" s="20"/>
    </row>
    <row r="270" spans="1:21" x14ac:dyDescent="0.25">
      <c r="A270" s="20"/>
      <c r="B270" s="20"/>
      <c r="C270" s="20"/>
      <c r="D270" s="36"/>
      <c r="E270" s="20"/>
      <c r="F270" s="43"/>
      <c r="G270" s="20"/>
      <c r="H270" s="20"/>
      <c r="I270" s="20"/>
      <c r="J270" s="43"/>
      <c r="K270" s="20"/>
      <c r="L270" s="20"/>
      <c r="M270" s="20"/>
      <c r="N270" s="20"/>
      <c r="O270" s="20"/>
      <c r="P270" s="20"/>
      <c r="Q270" s="42"/>
      <c r="R270" s="20"/>
      <c r="S270" s="20"/>
      <c r="T270" s="20"/>
      <c r="U270" s="20"/>
    </row>
    <row r="271" spans="1:21" x14ac:dyDescent="0.25">
      <c r="A271" s="20"/>
      <c r="B271" s="20"/>
      <c r="C271" s="20"/>
      <c r="D271" s="36"/>
      <c r="E271" s="20"/>
      <c r="F271" s="43"/>
      <c r="G271" s="20"/>
      <c r="H271" s="20"/>
      <c r="I271" s="20"/>
      <c r="J271" s="43"/>
      <c r="K271" s="20"/>
      <c r="L271" s="20"/>
      <c r="M271" s="20"/>
      <c r="N271" s="20"/>
      <c r="O271" s="20"/>
      <c r="P271" s="20"/>
      <c r="Q271" s="42"/>
      <c r="R271" s="20"/>
      <c r="S271" s="20"/>
      <c r="T271" s="20"/>
      <c r="U271" s="20"/>
    </row>
    <row r="272" spans="1:21" x14ac:dyDescent="0.25">
      <c r="A272" s="20"/>
      <c r="B272" s="20"/>
      <c r="C272" s="20"/>
      <c r="D272" s="36"/>
      <c r="E272" s="20"/>
      <c r="F272" s="43"/>
      <c r="G272" s="20"/>
      <c r="H272" s="20"/>
      <c r="I272" s="20"/>
      <c r="J272" s="43"/>
      <c r="K272" s="20"/>
      <c r="L272" s="20"/>
      <c r="M272" s="20"/>
      <c r="N272" s="20"/>
      <c r="O272" s="20"/>
      <c r="P272" s="20"/>
      <c r="Q272" s="42"/>
      <c r="R272" s="20"/>
      <c r="S272" s="20"/>
      <c r="T272" s="20"/>
      <c r="U272" s="20"/>
    </row>
    <row r="273" spans="1:21" x14ac:dyDescent="0.25">
      <c r="A273" s="20"/>
      <c r="B273" s="20"/>
      <c r="C273" s="20"/>
      <c r="D273" s="36"/>
      <c r="E273" s="20"/>
      <c r="F273" s="43"/>
      <c r="G273" s="20"/>
      <c r="H273" s="20"/>
      <c r="I273" s="20"/>
      <c r="J273" s="43"/>
      <c r="K273" s="20"/>
      <c r="L273" s="20"/>
      <c r="M273" s="20"/>
      <c r="N273" s="20"/>
      <c r="O273" s="20"/>
      <c r="P273" s="20"/>
      <c r="Q273" s="42"/>
      <c r="R273" s="20"/>
      <c r="S273" s="20"/>
      <c r="T273" s="20"/>
      <c r="U273" s="20"/>
    </row>
    <row r="274" spans="1:21" x14ac:dyDescent="0.25">
      <c r="A274" s="20"/>
      <c r="B274" s="20"/>
      <c r="C274" s="20"/>
      <c r="D274" s="36"/>
      <c r="E274" s="20"/>
      <c r="F274" s="43"/>
      <c r="G274" s="20"/>
      <c r="H274" s="20"/>
      <c r="I274" s="20"/>
      <c r="J274" s="43"/>
      <c r="K274" s="20"/>
      <c r="L274" s="20"/>
      <c r="M274" s="20"/>
      <c r="N274" s="20"/>
      <c r="O274" s="20"/>
      <c r="P274" s="20"/>
      <c r="Q274" s="42"/>
      <c r="R274" s="20"/>
      <c r="S274" s="20"/>
      <c r="T274" s="20"/>
      <c r="U274" s="20"/>
    </row>
    <row r="275" spans="1:21" x14ac:dyDescent="0.25">
      <c r="A275" s="20"/>
      <c r="B275" s="20"/>
      <c r="C275" s="20"/>
      <c r="D275" s="36"/>
      <c r="E275" s="20"/>
      <c r="F275" s="43"/>
      <c r="G275" s="20"/>
      <c r="H275" s="20"/>
      <c r="I275" s="20"/>
      <c r="J275" s="43"/>
      <c r="K275" s="20"/>
      <c r="L275" s="20"/>
      <c r="M275" s="20"/>
      <c r="N275" s="20"/>
      <c r="O275" s="20"/>
      <c r="P275" s="20"/>
      <c r="Q275" s="42"/>
      <c r="R275" s="20"/>
      <c r="S275" s="20"/>
      <c r="T275" s="20"/>
      <c r="U275" s="20"/>
    </row>
    <row r="276" spans="1:21" x14ac:dyDescent="0.25">
      <c r="A276" s="20"/>
      <c r="B276" s="20"/>
      <c r="C276" s="20"/>
      <c r="D276" s="36"/>
      <c r="E276" s="20"/>
      <c r="F276" s="43"/>
      <c r="G276" s="20"/>
      <c r="H276" s="20"/>
      <c r="I276" s="20"/>
      <c r="J276" s="43"/>
      <c r="K276" s="20"/>
      <c r="L276" s="20"/>
      <c r="M276" s="20"/>
      <c r="N276" s="20"/>
      <c r="O276" s="20"/>
      <c r="P276" s="20"/>
      <c r="Q276" s="42"/>
      <c r="R276" s="20"/>
      <c r="S276" s="20"/>
      <c r="T276" s="20"/>
      <c r="U276" s="20"/>
    </row>
    <row r="277" spans="1:21" x14ac:dyDescent="0.25">
      <c r="A277" s="20"/>
      <c r="B277" s="20"/>
      <c r="C277" s="20"/>
      <c r="D277" s="36"/>
      <c r="E277" s="20"/>
      <c r="F277" s="43"/>
      <c r="G277" s="20"/>
      <c r="H277" s="20"/>
      <c r="I277" s="20"/>
      <c r="J277" s="43"/>
      <c r="K277" s="20"/>
      <c r="L277" s="20"/>
      <c r="M277" s="20"/>
      <c r="N277" s="20"/>
      <c r="O277" s="20"/>
      <c r="P277" s="20"/>
      <c r="Q277" s="42"/>
      <c r="R277" s="20"/>
      <c r="S277" s="20"/>
      <c r="T277" s="20"/>
      <c r="U277" s="20"/>
    </row>
    <row r="278" spans="1:21" x14ac:dyDescent="0.25">
      <c r="A278" s="20"/>
      <c r="B278" s="20"/>
      <c r="C278" s="20"/>
      <c r="D278" s="36"/>
      <c r="E278" s="20"/>
      <c r="F278" s="43"/>
      <c r="G278" s="20"/>
      <c r="H278" s="20"/>
      <c r="I278" s="20"/>
      <c r="J278" s="43"/>
      <c r="K278" s="20"/>
      <c r="L278" s="20"/>
      <c r="M278" s="20"/>
      <c r="N278" s="20"/>
      <c r="O278" s="20"/>
      <c r="P278" s="20"/>
      <c r="Q278" s="42"/>
      <c r="R278" s="20"/>
      <c r="S278" s="20"/>
      <c r="T278" s="20"/>
      <c r="U278" s="20"/>
    </row>
    <row r="279" spans="1:21" x14ac:dyDescent="0.25">
      <c r="A279" s="20"/>
      <c r="B279" s="20"/>
      <c r="C279" s="20"/>
      <c r="D279" s="36"/>
      <c r="E279" s="20"/>
      <c r="F279" s="43"/>
      <c r="G279" s="20"/>
      <c r="H279" s="20"/>
      <c r="I279" s="20"/>
      <c r="J279" s="43"/>
      <c r="K279" s="20"/>
      <c r="L279" s="20"/>
      <c r="M279" s="20"/>
      <c r="N279" s="20"/>
      <c r="O279" s="20"/>
      <c r="P279" s="20"/>
      <c r="Q279" s="42"/>
      <c r="R279" s="20"/>
      <c r="S279" s="20"/>
      <c r="T279" s="20"/>
      <c r="U279" s="20"/>
    </row>
    <row r="280" spans="1:21" x14ac:dyDescent="0.25">
      <c r="A280" s="20"/>
      <c r="B280" s="20"/>
      <c r="C280" s="20"/>
      <c r="D280" s="36"/>
      <c r="E280" s="20"/>
      <c r="F280" s="43"/>
      <c r="G280" s="20"/>
      <c r="H280" s="20"/>
      <c r="I280" s="20"/>
      <c r="J280" s="43"/>
      <c r="K280" s="20"/>
      <c r="L280" s="20"/>
      <c r="M280" s="20"/>
      <c r="N280" s="20"/>
      <c r="O280" s="20"/>
      <c r="P280" s="20"/>
      <c r="Q280" s="42"/>
      <c r="R280" s="20"/>
      <c r="S280" s="20"/>
      <c r="T280" s="20"/>
      <c r="U280" s="20"/>
    </row>
    <row r="281" spans="1:21" x14ac:dyDescent="0.25">
      <c r="A281" s="20"/>
      <c r="B281" s="20"/>
      <c r="C281" s="20"/>
      <c r="D281" s="36"/>
      <c r="E281" s="20"/>
      <c r="F281" s="43"/>
      <c r="G281" s="20"/>
      <c r="H281" s="20"/>
      <c r="I281" s="20"/>
      <c r="J281" s="43"/>
      <c r="K281" s="20"/>
      <c r="L281" s="20"/>
      <c r="M281" s="20"/>
      <c r="N281" s="20"/>
      <c r="O281" s="20"/>
      <c r="P281" s="20"/>
      <c r="Q281" s="42"/>
      <c r="R281" s="20"/>
      <c r="S281" s="20"/>
      <c r="T281" s="20"/>
      <c r="U281" s="20"/>
    </row>
    <row r="282" spans="1:21" x14ac:dyDescent="0.25">
      <c r="A282" s="20"/>
      <c r="B282" s="20"/>
      <c r="C282" s="20"/>
      <c r="D282" s="36"/>
      <c r="E282" s="20"/>
      <c r="F282" s="43"/>
      <c r="G282" s="20"/>
      <c r="H282" s="20"/>
      <c r="I282" s="20"/>
      <c r="J282" s="43"/>
      <c r="K282" s="20"/>
      <c r="L282" s="20"/>
      <c r="M282" s="20"/>
      <c r="N282" s="20"/>
      <c r="O282" s="20"/>
      <c r="P282" s="20"/>
      <c r="Q282" s="42"/>
      <c r="R282" s="20"/>
      <c r="S282" s="20"/>
      <c r="T282" s="20"/>
      <c r="U282" s="20"/>
    </row>
    <row r="283" spans="1:21" x14ac:dyDescent="0.25">
      <c r="A283" s="20"/>
      <c r="B283" s="20"/>
      <c r="C283" s="20"/>
      <c r="D283" s="36"/>
      <c r="E283" s="20"/>
      <c r="F283" s="43"/>
      <c r="G283" s="20"/>
      <c r="H283" s="20"/>
      <c r="I283" s="20"/>
      <c r="J283" s="43"/>
      <c r="K283" s="20"/>
      <c r="L283" s="20"/>
      <c r="M283" s="20"/>
      <c r="N283" s="20"/>
      <c r="O283" s="20"/>
      <c r="P283" s="20"/>
      <c r="Q283" s="42"/>
      <c r="R283" s="20"/>
      <c r="S283" s="20"/>
      <c r="T283" s="20"/>
      <c r="U283" s="20"/>
    </row>
    <row r="284" spans="1:21" x14ac:dyDescent="0.25">
      <c r="A284" s="20"/>
      <c r="B284" s="20"/>
      <c r="C284" s="20"/>
      <c r="D284" s="36"/>
      <c r="E284" s="20"/>
      <c r="F284" s="43"/>
      <c r="G284" s="20"/>
      <c r="H284" s="20"/>
      <c r="I284" s="20"/>
      <c r="J284" s="43"/>
      <c r="K284" s="20"/>
      <c r="L284" s="20"/>
      <c r="M284" s="20"/>
      <c r="N284" s="20"/>
      <c r="O284" s="20"/>
      <c r="P284" s="20"/>
      <c r="Q284" s="42"/>
      <c r="R284" s="20"/>
      <c r="S284" s="20"/>
      <c r="T284" s="20"/>
      <c r="U284" s="20"/>
    </row>
    <row r="285" spans="1:21" x14ac:dyDescent="0.25">
      <c r="A285" s="20"/>
      <c r="B285" s="20"/>
      <c r="C285" s="20"/>
      <c r="D285" s="36"/>
      <c r="E285" s="20"/>
      <c r="F285" s="43"/>
      <c r="G285" s="20"/>
      <c r="H285" s="20"/>
      <c r="I285" s="20"/>
      <c r="J285" s="43"/>
      <c r="K285" s="20"/>
      <c r="L285" s="20"/>
      <c r="M285" s="20"/>
      <c r="N285" s="20"/>
      <c r="O285" s="20"/>
      <c r="P285" s="20"/>
      <c r="Q285" s="42"/>
      <c r="R285" s="20"/>
      <c r="S285" s="20"/>
      <c r="T285" s="20"/>
      <c r="U285" s="20"/>
    </row>
    <row r="286" spans="1:21" x14ac:dyDescent="0.25">
      <c r="A286" s="20"/>
      <c r="B286" s="20"/>
      <c r="C286" s="20"/>
      <c r="D286" s="36"/>
      <c r="E286" s="20"/>
      <c r="F286" s="43"/>
      <c r="G286" s="20"/>
      <c r="H286" s="20"/>
      <c r="I286" s="20"/>
      <c r="J286" s="43"/>
      <c r="K286" s="20"/>
      <c r="L286" s="20"/>
      <c r="M286" s="20"/>
      <c r="N286" s="20"/>
      <c r="O286" s="20"/>
      <c r="P286" s="20"/>
      <c r="Q286" s="42"/>
      <c r="R286" s="20"/>
      <c r="S286" s="20"/>
      <c r="T286" s="20"/>
      <c r="U286" s="20"/>
    </row>
    <row r="287" spans="1:21" x14ac:dyDescent="0.25">
      <c r="A287" s="20"/>
      <c r="B287" s="20"/>
      <c r="C287" s="20"/>
      <c r="D287" s="36"/>
      <c r="E287" s="20"/>
      <c r="F287" s="43"/>
      <c r="G287" s="20"/>
      <c r="H287" s="20"/>
      <c r="I287" s="20"/>
      <c r="J287" s="43"/>
      <c r="K287" s="20"/>
      <c r="L287" s="20"/>
      <c r="M287" s="20"/>
      <c r="N287" s="20"/>
      <c r="O287" s="20"/>
      <c r="P287" s="20"/>
      <c r="Q287" s="42"/>
      <c r="R287" s="20"/>
      <c r="S287" s="20"/>
      <c r="T287" s="20"/>
      <c r="U287" s="20"/>
    </row>
    <row r="288" spans="1:21" x14ac:dyDescent="0.25">
      <c r="A288" s="20"/>
      <c r="B288" s="20"/>
      <c r="C288" s="20"/>
      <c r="D288" s="36"/>
      <c r="E288" s="20"/>
      <c r="F288" s="43"/>
      <c r="G288" s="20"/>
      <c r="H288" s="20"/>
      <c r="I288" s="20"/>
      <c r="J288" s="43"/>
      <c r="K288" s="20"/>
      <c r="L288" s="20"/>
      <c r="M288" s="20"/>
      <c r="N288" s="20"/>
      <c r="O288" s="20"/>
      <c r="P288" s="20"/>
      <c r="Q288" s="42"/>
      <c r="R288" s="20"/>
      <c r="S288" s="20"/>
      <c r="T288" s="20"/>
      <c r="U288" s="20"/>
    </row>
    <row r="289" spans="1:21" x14ac:dyDescent="0.25">
      <c r="A289" s="20"/>
      <c r="B289" s="20"/>
      <c r="C289" s="20"/>
      <c r="D289" s="36"/>
      <c r="E289" s="20"/>
      <c r="F289" s="43"/>
      <c r="G289" s="20"/>
      <c r="H289" s="20"/>
      <c r="I289" s="20"/>
      <c r="J289" s="43"/>
      <c r="K289" s="20"/>
      <c r="L289" s="20"/>
      <c r="M289" s="20"/>
      <c r="N289" s="20"/>
      <c r="O289" s="20"/>
      <c r="P289" s="20"/>
      <c r="Q289" s="42"/>
      <c r="R289" s="20"/>
      <c r="S289" s="20"/>
      <c r="T289" s="20"/>
      <c r="U289" s="20"/>
    </row>
    <row r="290" spans="1:21" x14ac:dyDescent="0.25">
      <c r="A290" s="20"/>
      <c r="B290" s="20"/>
      <c r="C290" s="20"/>
      <c r="D290" s="36"/>
      <c r="E290" s="20"/>
      <c r="F290" s="43"/>
      <c r="G290" s="20"/>
      <c r="H290" s="20"/>
      <c r="I290" s="20"/>
      <c r="J290" s="43"/>
      <c r="K290" s="20"/>
      <c r="L290" s="20"/>
      <c r="M290" s="20"/>
      <c r="N290" s="20"/>
      <c r="O290" s="20"/>
      <c r="P290" s="20"/>
      <c r="Q290" s="42"/>
      <c r="R290" s="20"/>
      <c r="S290" s="20"/>
      <c r="T290" s="20"/>
      <c r="U290" s="20"/>
    </row>
    <row r="291" spans="1:21" x14ac:dyDescent="0.25">
      <c r="A291" s="20"/>
      <c r="B291" s="20"/>
      <c r="C291" s="20"/>
      <c r="D291" s="36"/>
      <c r="E291" s="20"/>
      <c r="F291" s="43"/>
      <c r="G291" s="20"/>
      <c r="H291" s="20"/>
      <c r="I291" s="20"/>
      <c r="J291" s="43"/>
      <c r="K291" s="20"/>
      <c r="L291" s="20"/>
      <c r="M291" s="20"/>
      <c r="N291" s="20"/>
      <c r="O291" s="20"/>
      <c r="P291" s="20"/>
      <c r="Q291" s="42"/>
      <c r="R291" s="20"/>
      <c r="S291" s="20"/>
      <c r="T291" s="20"/>
      <c r="U291" s="20"/>
    </row>
    <row r="292" spans="1:21" x14ac:dyDescent="0.25">
      <c r="A292" s="20"/>
      <c r="B292" s="20"/>
      <c r="C292" s="20"/>
      <c r="D292" s="36"/>
      <c r="E292" s="20"/>
      <c r="F292" s="43"/>
      <c r="G292" s="20"/>
      <c r="H292" s="20"/>
      <c r="I292" s="20"/>
      <c r="J292" s="43"/>
      <c r="K292" s="20"/>
      <c r="L292" s="20"/>
      <c r="M292" s="20"/>
      <c r="N292" s="20"/>
      <c r="O292" s="20"/>
      <c r="P292" s="20"/>
      <c r="Q292" s="42"/>
      <c r="R292" s="20"/>
      <c r="S292" s="20"/>
      <c r="T292" s="20"/>
      <c r="U292" s="20"/>
    </row>
    <row r="293" spans="1:21" x14ac:dyDescent="0.25">
      <c r="A293" s="20"/>
      <c r="B293" s="20"/>
      <c r="C293" s="20"/>
      <c r="D293" s="36"/>
      <c r="E293" s="20"/>
      <c r="F293" s="43"/>
      <c r="G293" s="20"/>
      <c r="H293" s="20"/>
      <c r="I293" s="20"/>
      <c r="J293" s="43"/>
      <c r="K293" s="20"/>
      <c r="L293" s="20"/>
      <c r="M293" s="20"/>
      <c r="N293" s="20"/>
      <c r="O293" s="20"/>
      <c r="P293" s="20"/>
      <c r="Q293" s="42"/>
      <c r="R293" s="20"/>
      <c r="S293" s="20"/>
      <c r="T293" s="20"/>
      <c r="U293" s="20"/>
    </row>
    <row r="294" spans="1:21" x14ac:dyDescent="0.25">
      <c r="A294" s="20"/>
      <c r="B294" s="20"/>
      <c r="C294" s="20"/>
      <c r="D294" s="36"/>
      <c r="E294" s="20"/>
      <c r="F294" s="43"/>
      <c r="G294" s="20"/>
      <c r="H294" s="20"/>
      <c r="I294" s="20"/>
      <c r="J294" s="43"/>
      <c r="K294" s="20"/>
      <c r="L294" s="20"/>
      <c r="M294" s="20"/>
      <c r="N294" s="20"/>
      <c r="O294" s="20"/>
      <c r="P294" s="20"/>
      <c r="Q294" s="42"/>
      <c r="R294" s="20"/>
      <c r="S294" s="20"/>
      <c r="T294" s="20"/>
      <c r="U294" s="20"/>
    </row>
    <row r="295" spans="1:21" x14ac:dyDescent="0.25">
      <c r="A295" s="20"/>
      <c r="B295" s="20"/>
      <c r="C295" s="20"/>
      <c r="D295" s="36"/>
      <c r="E295" s="20"/>
      <c r="F295" s="43"/>
      <c r="G295" s="20"/>
      <c r="H295" s="20"/>
      <c r="I295" s="20"/>
      <c r="J295" s="43"/>
      <c r="K295" s="20"/>
      <c r="L295" s="20"/>
      <c r="M295" s="20"/>
      <c r="N295" s="20"/>
      <c r="O295" s="20"/>
      <c r="P295" s="20"/>
      <c r="Q295" s="42"/>
      <c r="R295" s="20"/>
      <c r="S295" s="20"/>
      <c r="T295" s="20"/>
      <c r="U295" s="20"/>
    </row>
  </sheetData>
  <mergeCells count="102">
    <mergeCell ref="B205:M205"/>
    <mergeCell ref="D206:F206"/>
    <mergeCell ref="G206:M206"/>
    <mergeCell ref="B126:D126"/>
    <mergeCell ref="A154:U154"/>
    <mergeCell ref="B161:D161"/>
    <mergeCell ref="A184:U184"/>
    <mergeCell ref="A186:U186"/>
    <mergeCell ref="A203:U203"/>
    <mergeCell ref="S101:T101"/>
    <mergeCell ref="F102:H102"/>
    <mergeCell ref="N102:O102"/>
    <mergeCell ref="A124:U124"/>
    <mergeCell ref="N103:O103"/>
    <mergeCell ref="N104:O104"/>
    <mergeCell ref="N105:O105"/>
    <mergeCell ref="N107:O107"/>
    <mergeCell ref="N108:O108"/>
    <mergeCell ref="N109:O109"/>
    <mergeCell ref="N110:O110"/>
    <mergeCell ref="N111:O111"/>
    <mergeCell ref="E113:F113"/>
    <mergeCell ref="H113:I113"/>
    <mergeCell ref="O114:P114"/>
    <mergeCell ref="N95:O95"/>
    <mergeCell ref="N96:O96"/>
    <mergeCell ref="N97:O97"/>
    <mergeCell ref="N98:O98"/>
    <mergeCell ref="B99:D99"/>
    <mergeCell ref="N99:O99"/>
    <mergeCell ref="N100:O100"/>
    <mergeCell ref="N101:P101"/>
    <mergeCell ref="Q101:R101"/>
    <mergeCell ref="H20:I20"/>
    <mergeCell ref="N20:O20"/>
    <mergeCell ref="H21:I21"/>
    <mergeCell ref="N21:O21"/>
    <mergeCell ref="H22:I22"/>
    <mergeCell ref="N22:O22"/>
    <mergeCell ref="N94:O94"/>
    <mergeCell ref="A24:U24"/>
    <mergeCell ref="N28:R29"/>
    <mergeCell ref="N30:R32"/>
    <mergeCell ref="N36:O36"/>
    <mergeCell ref="A43:U43"/>
    <mergeCell ref="A71:U71"/>
    <mergeCell ref="A91:U91"/>
    <mergeCell ref="F93:H93"/>
    <mergeCell ref="N93:P93"/>
    <mergeCell ref="Q93:R93"/>
    <mergeCell ref="S93:T93"/>
    <mergeCell ref="M73:N73"/>
    <mergeCell ref="M74:N74"/>
    <mergeCell ref="M75:N75"/>
    <mergeCell ref="M76:N76"/>
    <mergeCell ref="M87:N87"/>
    <mergeCell ref="M88:N88"/>
    <mergeCell ref="H19:I19"/>
    <mergeCell ref="H13:I13"/>
    <mergeCell ref="N13:O13"/>
    <mergeCell ref="H14:I14"/>
    <mergeCell ref="N14:O14"/>
    <mergeCell ref="H15:I15"/>
    <mergeCell ref="N15:R15"/>
    <mergeCell ref="N16:O16"/>
    <mergeCell ref="H17:L17"/>
    <mergeCell ref="N17:O17"/>
    <mergeCell ref="H18:I18"/>
    <mergeCell ref="N18:O18"/>
    <mergeCell ref="H2:L2"/>
    <mergeCell ref="N2:R2"/>
    <mergeCell ref="H3:I3"/>
    <mergeCell ref="N3:R3"/>
    <mergeCell ref="H4:I4"/>
    <mergeCell ref="N4:O4"/>
    <mergeCell ref="N9:O9"/>
    <mergeCell ref="H10:I10"/>
    <mergeCell ref="N10:O10"/>
    <mergeCell ref="H8:I8"/>
    <mergeCell ref="N8:O8"/>
    <mergeCell ref="H9:I9"/>
    <mergeCell ref="H12:I12"/>
    <mergeCell ref="N12:O12"/>
    <mergeCell ref="AK4:AL4"/>
    <mergeCell ref="H5:I5"/>
    <mergeCell ref="N5:O5"/>
    <mergeCell ref="H6:I6"/>
    <mergeCell ref="N6:O6"/>
    <mergeCell ref="H7:I7"/>
    <mergeCell ref="N7:R7"/>
    <mergeCell ref="H11:I11"/>
    <mergeCell ref="N11:R11"/>
    <mergeCell ref="M82:N82"/>
    <mergeCell ref="M83:N83"/>
    <mergeCell ref="M84:N84"/>
    <mergeCell ref="M85:N85"/>
    <mergeCell ref="M86:N86"/>
    <mergeCell ref="M77:N77"/>
    <mergeCell ref="M78:N78"/>
    <mergeCell ref="M79:N79"/>
    <mergeCell ref="M80:N80"/>
    <mergeCell ref="M81:N81"/>
  </mergeCells>
  <dataValidations disablePrompts="1" count="2">
    <dataValidation type="list" allowBlank="1" showInputMessage="1" showErrorMessage="1" sqref="P108" xr:uid="{ABB68A54-5F21-49CE-98DD-C7A226DC0EBE}">
      <formula1>$R$107:$R$109</formula1>
    </dataValidation>
    <dataValidation type="list" allowBlank="1" showInputMessage="1" showErrorMessage="1" sqref="S96" xr:uid="{F31B3FFD-6AF8-4EC7-9CAC-50B5C6B0B013}">
      <formula1>$AG$5:$AK$5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YE_2">
                <anchor moveWithCells="1" sizeWithCells="1">
                  <from>
                    <xdr:col>14</xdr:col>
                    <xdr:colOff>95250</xdr:colOff>
                    <xdr:row>179</xdr:row>
                    <xdr:rowOff>19050</xdr:rowOff>
                  </from>
                  <to>
                    <xdr:col>16</xdr:col>
                    <xdr:colOff>57150</xdr:colOff>
                    <xdr:row>181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9" tint="0.59999389629810485"/>
  </sheetPr>
  <dimension ref="A1:EI295"/>
  <sheetViews>
    <sheetView zoomScaleNormal="100" workbookViewId="0">
      <selection activeCell="F13" sqref="F13"/>
    </sheetView>
  </sheetViews>
  <sheetFormatPr baseColWidth="10" defaultColWidth="8.7109375" defaultRowHeight="15" x14ac:dyDescent="0.25"/>
  <cols>
    <col min="2" max="2" width="36.7109375" bestFit="1" customWidth="1"/>
    <col min="3" max="3" width="9.7109375" bestFit="1" customWidth="1"/>
    <col min="4" max="4" width="10" style="38" customWidth="1"/>
    <col min="5" max="5" width="10" customWidth="1"/>
    <col min="6" max="6" width="10" style="150" customWidth="1"/>
    <col min="7" max="9" width="10" customWidth="1"/>
    <col min="10" max="10" width="10" style="150" customWidth="1"/>
    <col min="11" max="16" width="10" customWidth="1"/>
    <col min="17" max="17" width="10" style="464" customWidth="1"/>
    <col min="18" max="21" width="10" customWidth="1"/>
    <col min="22" max="22" width="8.28515625" style="830" bestFit="1" customWidth="1"/>
    <col min="32" max="32" width="16.140625" bestFit="1" customWidth="1"/>
  </cols>
  <sheetData>
    <row r="1" spans="1:139" ht="15.75" thickBot="1" x14ac:dyDescent="0.3">
      <c r="A1" s="20"/>
      <c r="B1" s="20"/>
      <c r="C1" s="20"/>
      <c r="D1" s="36"/>
      <c r="E1" s="20"/>
      <c r="F1" s="43"/>
      <c r="G1" s="20"/>
      <c r="H1" s="20"/>
      <c r="I1" s="20"/>
      <c r="J1" s="43"/>
      <c r="K1" s="20"/>
      <c r="L1" s="20"/>
      <c r="M1" s="20"/>
      <c r="N1" s="20"/>
      <c r="O1" s="20"/>
      <c r="P1" s="20"/>
      <c r="R1" s="20"/>
      <c r="S1" s="20"/>
      <c r="T1" s="20"/>
      <c r="U1" s="20"/>
      <c r="V1" s="829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  <c r="DJ1" s="20"/>
      <c r="DK1" s="20"/>
      <c r="DL1" s="20"/>
      <c r="DM1" s="20"/>
      <c r="DN1" s="20"/>
      <c r="DO1" s="20"/>
      <c r="DP1" s="20"/>
      <c r="DQ1" s="20"/>
      <c r="DR1" s="20"/>
      <c r="DS1" s="20"/>
      <c r="DT1" s="20"/>
      <c r="DU1" s="20"/>
      <c r="DV1" s="20"/>
      <c r="DW1" s="20"/>
      <c r="DX1" s="20"/>
      <c r="DY1" s="20"/>
      <c r="DZ1" s="20"/>
      <c r="EA1" s="20"/>
      <c r="EB1" s="20"/>
      <c r="EC1" s="20"/>
      <c r="ED1" s="20"/>
      <c r="EE1" s="20"/>
      <c r="EF1" s="20"/>
      <c r="EG1" s="20"/>
      <c r="EH1" s="20"/>
      <c r="EI1" s="20"/>
    </row>
    <row r="2" spans="1:139" ht="15.75" thickBot="1" x14ac:dyDescent="0.3">
      <c r="A2" s="20"/>
      <c r="B2" s="139" t="s">
        <v>0</v>
      </c>
      <c r="C2" s="140"/>
      <c r="D2" s="140"/>
      <c r="E2" s="141"/>
      <c r="F2" s="21"/>
      <c r="G2" s="20"/>
      <c r="H2" s="696" t="s">
        <v>1</v>
      </c>
      <c r="I2" s="697"/>
      <c r="J2" s="697"/>
      <c r="K2" s="697"/>
      <c r="L2" s="698"/>
      <c r="M2" s="20"/>
      <c r="N2" s="699" t="s">
        <v>425</v>
      </c>
      <c r="O2" s="700"/>
      <c r="P2" s="700"/>
      <c r="Q2" s="700"/>
      <c r="R2" s="701"/>
      <c r="S2" s="20"/>
      <c r="T2" s="20"/>
      <c r="U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  <c r="DR2" s="20"/>
      <c r="DS2" s="20"/>
      <c r="DT2" s="20"/>
      <c r="DU2" s="20"/>
      <c r="DV2" s="20"/>
      <c r="DW2" s="20"/>
      <c r="DX2" s="20"/>
      <c r="DY2" s="20"/>
      <c r="DZ2" s="20"/>
      <c r="EA2" s="20"/>
      <c r="EB2" s="20"/>
      <c r="EC2" s="20"/>
      <c r="ED2" s="20"/>
      <c r="EE2" s="20"/>
      <c r="EF2" s="20"/>
      <c r="EG2" s="20"/>
      <c r="EH2" s="20"/>
      <c r="EI2" s="20"/>
    </row>
    <row r="3" spans="1:139" ht="15.75" thickBot="1" x14ac:dyDescent="0.3">
      <c r="A3" s="20"/>
      <c r="B3" s="1" t="s">
        <v>2</v>
      </c>
      <c r="C3" s="2" t="s">
        <v>3</v>
      </c>
      <c r="D3" s="2">
        <v>149.83297644539613</v>
      </c>
      <c r="E3" s="3" t="s">
        <v>4</v>
      </c>
      <c r="F3" s="21" t="s">
        <v>439</v>
      </c>
      <c r="G3" s="20"/>
      <c r="H3" s="702" t="s">
        <v>400</v>
      </c>
      <c r="I3" s="703"/>
      <c r="J3" s="336" t="s">
        <v>432</v>
      </c>
      <c r="K3" s="312">
        <f>K4/D16</f>
        <v>1458.3333333333335</v>
      </c>
      <c r="L3" s="300" t="s">
        <v>4</v>
      </c>
      <c r="M3" s="20"/>
      <c r="N3" s="704" t="s">
        <v>201</v>
      </c>
      <c r="O3" s="705"/>
      <c r="P3" s="705"/>
      <c r="Q3" s="705"/>
      <c r="R3" s="706"/>
      <c r="S3" s="20"/>
      <c r="T3" s="20"/>
      <c r="U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S3" s="20"/>
      <c r="BT3" s="20"/>
      <c r="BU3" s="20"/>
      <c r="BV3" s="20"/>
      <c r="BW3" s="20"/>
      <c r="BX3" s="20"/>
      <c r="BY3" s="20"/>
      <c r="BZ3" s="20"/>
      <c r="CA3" s="20"/>
      <c r="CB3" s="20"/>
      <c r="CC3" s="20"/>
      <c r="CD3" s="20"/>
      <c r="CE3" s="20"/>
      <c r="CF3" s="20"/>
      <c r="CG3" s="20"/>
      <c r="CH3" s="20"/>
      <c r="CI3" s="20"/>
      <c r="CJ3" s="20"/>
      <c r="CK3" s="20"/>
      <c r="CL3" s="20"/>
      <c r="CM3" s="20"/>
      <c r="CN3" s="20"/>
      <c r="CO3" s="20"/>
      <c r="CP3" s="20"/>
      <c r="CQ3" s="20"/>
      <c r="CR3" s="20"/>
      <c r="CS3" s="20"/>
      <c r="CT3" s="20"/>
      <c r="CU3" s="20"/>
      <c r="CV3" s="20"/>
      <c r="CW3" s="20"/>
      <c r="CX3" s="20"/>
      <c r="CY3" s="20"/>
      <c r="CZ3" s="20"/>
      <c r="DA3" s="20"/>
      <c r="DB3" s="20"/>
      <c r="DC3" s="20"/>
      <c r="DD3" s="20"/>
      <c r="DE3" s="20"/>
      <c r="DF3" s="20"/>
      <c r="DG3" s="20"/>
      <c r="DH3" s="20"/>
      <c r="DI3" s="20"/>
      <c r="DJ3" s="20"/>
      <c r="DK3" s="20"/>
      <c r="DL3" s="20"/>
      <c r="DM3" s="20"/>
      <c r="DN3" s="20"/>
      <c r="DO3" s="20"/>
      <c r="DP3" s="20"/>
      <c r="DQ3" s="20"/>
      <c r="DR3" s="20"/>
      <c r="DS3" s="20"/>
      <c r="DT3" s="20"/>
      <c r="DU3" s="20"/>
      <c r="DV3" s="20"/>
      <c r="DW3" s="20"/>
      <c r="DX3" s="20"/>
      <c r="DY3" s="20"/>
      <c r="DZ3" s="20"/>
      <c r="EA3" s="20"/>
      <c r="EB3" s="20"/>
      <c r="EC3" s="20"/>
      <c r="ED3" s="20"/>
      <c r="EE3" s="20"/>
      <c r="EF3" s="20"/>
      <c r="EG3" s="20"/>
      <c r="EH3" s="20"/>
      <c r="EI3" s="20"/>
    </row>
    <row r="4" spans="1:139" ht="15.75" thickBot="1" x14ac:dyDescent="0.3">
      <c r="A4" s="20"/>
      <c r="B4" s="4" t="s">
        <v>75</v>
      </c>
      <c r="C4" s="5" t="s">
        <v>76</v>
      </c>
      <c r="D4" s="292">
        <v>4.43289234396733</v>
      </c>
      <c r="E4" s="7" t="s">
        <v>77</v>
      </c>
      <c r="F4" s="294">
        <f>K15/D3</f>
        <v>3.7350617330265456</v>
      </c>
      <c r="G4" s="20"/>
      <c r="H4" s="707" t="s">
        <v>399</v>
      </c>
      <c r="I4" s="708"/>
      <c r="J4" s="335" t="s">
        <v>433</v>
      </c>
      <c r="K4" s="313">
        <f>+K6/(1-D7)</f>
        <v>875</v>
      </c>
      <c r="L4" s="298" t="s">
        <v>4</v>
      </c>
      <c r="M4" s="20"/>
      <c r="N4" s="709" t="s">
        <v>418</v>
      </c>
      <c r="O4" s="710"/>
      <c r="P4" s="299" t="s">
        <v>51</v>
      </c>
      <c r="Q4" s="336">
        <f>997.39+4.46*D9</f>
        <v>1073.21</v>
      </c>
      <c r="R4" s="300" t="s">
        <v>52</v>
      </c>
      <c r="S4" s="20"/>
      <c r="T4" s="20"/>
      <c r="U4" s="20"/>
      <c r="W4" s="20"/>
      <c r="X4" s="20"/>
      <c r="Y4" s="20"/>
      <c r="Z4" s="364"/>
      <c r="AA4" s="364"/>
      <c r="AB4" s="364"/>
      <c r="AC4" s="364"/>
      <c r="AD4" s="364"/>
      <c r="AE4" s="22"/>
      <c r="AF4" s="516" t="s">
        <v>366</v>
      </c>
      <c r="AG4" s="555">
        <v>0.155</v>
      </c>
      <c r="AH4" s="555" t="s">
        <v>367</v>
      </c>
      <c r="AI4" s="555">
        <f>+Q22</f>
        <v>1.3409327846735974</v>
      </c>
      <c r="AJ4" s="556"/>
      <c r="AK4" s="668" t="s">
        <v>368</v>
      </c>
      <c r="AL4" s="669"/>
      <c r="AM4" s="517"/>
      <c r="AN4" s="517"/>
      <c r="AO4" s="517"/>
      <c r="AP4" s="517"/>
      <c r="AQ4" s="517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  <c r="DR4" s="20"/>
      <c r="DS4" s="20"/>
      <c r="DT4" s="20"/>
      <c r="DU4" s="20"/>
      <c r="DV4" s="20"/>
      <c r="DW4" s="20"/>
      <c r="DX4" s="20"/>
      <c r="DY4" s="20"/>
      <c r="DZ4" s="20"/>
      <c r="EA4" s="20"/>
      <c r="EB4" s="20"/>
      <c r="EC4" s="20"/>
      <c r="ED4" s="20"/>
      <c r="EE4" s="20"/>
      <c r="EF4" s="20"/>
      <c r="EG4" s="20"/>
      <c r="EH4" s="20"/>
      <c r="EI4" s="20"/>
    </row>
    <row r="5" spans="1:139" x14ac:dyDescent="0.25">
      <c r="A5" s="20"/>
      <c r="B5" s="8" t="s">
        <v>78</v>
      </c>
      <c r="C5" s="9" t="s">
        <v>42</v>
      </c>
      <c r="D5" s="661">
        <v>7</v>
      </c>
      <c r="E5" s="10" t="s">
        <v>44</v>
      </c>
      <c r="F5" s="21"/>
      <c r="G5" s="20"/>
      <c r="H5" s="711" t="s">
        <v>416</v>
      </c>
      <c r="I5" s="712"/>
      <c r="J5" s="333" t="s">
        <v>434</v>
      </c>
      <c r="K5" s="315">
        <f>+K4*D7</f>
        <v>17.5</v>
      </c>
      <c r="L5" s="298" t="s">
        <v>4</v>
      </c>
      <c r="M5" s="20"/>
      <c r="N5" s="713" t="s">
        <v>419</v>
      </c>
      <c r="O5" s="714"/>
      <c r="P5" s="301" t="s">
        <v>55</v>
      </c>
      <c r="Q5" s="335">
        <f>997.39+4.46*D10</f>
        <v>1095.51</v>
      </c>
      <c r="R5" s="298" t="s">
        <v>52</v>
      </c>
      <c r="S5" s="20"/>
      <c r="T5" s="20"/>
      <c r="U5" s="20"/>
      <c r="W5" s="20"/>
      <c r="X5" s="20"/>
      <c r="Y5" s="20"/>
      <c r="Z5" s="364"/>
      <c r="AA5" s="364"/>
      <c r="AB5" s="364"/>
      <c r="AC5" s="364"/>
      <c r="AD5" s="364"/>
      <c r="AE5" s="22"/>
      <c r="AF5" s="518" t="s">
        <v>370</v>
      </c>
      <c r="AG5" s="554">
        <v>0.75</v>
      </c>
      <c r="AH5" s="554">
        <v>1</v>
      </c>
      <c r="AI5" s="554">
        <v>1.25</v>
      </c>
      <c r="AJ5" s="557">
        <v>1.5</v>
      </c>
      <c r="AK5" s="37">
        <f>IF($D$3&lt;40,AL5,IF($AK$11=$AG$11,AG5,IF($AK$11=$AH$11,AH5,IF($AK$11=$AI$11,AI5,AJ5))))</f>
        <v>1.25</v>
      </c>
      <c r="AL5" s="552">
        <v>0.5</v>
      </c>
      <c r="AM5" s="517"/>
      <c r="AN5" s="517"/>
      <c r="AO5" s="517"/>
      <c r="AP5" s="517"/>
      <c r="AQ5" s="517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  <c r="DR5" s="20"/>
      <c r="DS5" s="20"/>
      <c r="DT5" s="20"/>
      <c r="DU5" s="20"/>
      <c r="DV5" s="20"/>
      <c r="DW5" s="20"/>
      <c r="DX5" s="20"/>
      <c r="DY5" s="20"/>
      <c r="DZ5" s="20"/>
      <c r="EA5" s="20"/>
      <c r="EB5" s="20"/>
      <c r="EC5" s="20"/>
      <c r="ED5" s="20"/>
      <c r="EE5" s="20"/>
      <c r="EF5" s="20"/>
      <c r="EG5" s="20"/>
      <c r="EH5" s="20"/>
      <c r="EI5" s="20"/>
    </row>
    <row r="6" spans="1:139" ht="15.75" thickBot="1" x14ac:dyDescent="0.3">
      <c r="A6" s="20"/>
      <c r="B6" s="17" t="s">
        <v>329</v>
      </c>
      <c r="C6" s="18" t="s">
        <v>5</v>
      </c>
      <c r="D6" s="45">
        <f>+K21/Q21</f>
        <v>0.38796152973347353</v>
      </c>
      <c r="E6" s="19" t="s">
        <v>6</v>
      </c>
      <c r="F6" s="21"/>
      <c r="G6" s="20"/>
      <c r="H6" s="711" t="s">
        <v>415</v>
      </c>
      <c r="I6" s="712"/>
      <c r="J6" s="335" t="s">
        <v>435</v>
      </c>
      <c r="K6" s="315">
        <f>+K8/(1-D8)</f>
        <v>857.5</v>
      </c>
      <c r="L6" s="298" t="s">
        <v>4</v>
      </c>
      <c r="M6" s="20"/>
      <c r="N6" s="715" t="s">
        <v>420</v>
      </c>
      <c r="O6" s="716"/>
      <c r="P6" s="302" t="s">
        <v>58</v>
      </c>
      <c r="Q6" s="334">
        <f>997.39+4.46*D11</f>
        <v>1331.8899999999999</v>
      </c>
      <c r="R6" s="303" t="s">
        <v>52</v>
      </c>
      <c r="S6" s="20"/>
      <c r="T6" s="20"/>
      <c r="U6" s="20"/>
      <c r="W6" s="20"/>
      <c r="X6" s="20"/>
      <c r="Y6" s="20"/>
      <c r="Z6" s="364"/>
      <c r="AA6" s="364"/>
      <c r="AB6" s="364"/>
      <c r="AC6" s="364"/>
      <c r="AD6" s="364"/>
      <c r="AE6" s="22"/>
      <c r="AF6" s="518" t="s">
        <v>373</v>
      </c>
      <c r="AG6" s="554">
        <f>ROUNDUP(($AI$4/($AG$4*AG5)),0.001)</f>
        <v>12</v>
      </c>
      <c r="AH6" s="554">
        <f t="shared" ref="AH6:AJ6" si="0">ROUNDUP(($AI$4/($AG$4*AH5)),0.001)</f>
        <v>9</v>
      </c>
      <c r="AI6" s="554">
        <f t="shared" si="0"/>
        <v>7</v>
      </c>
      <c r="AJ6" s="557">
        <f t="shared" si="0"/>
        <v>6</v>
      </c>
      <c r="AK6" s="37">
        <f>IF($D$3&lt;40,AL6,IF($AK$11=$AG$11,AG6,IF($AK$11=$AH$11,AH6,IF($AK$11=$AI$11,AI6,AJ6))))</f>
        <v>7</v>
      </c>
      <c r="AL6" s="520">
        <f>ROUNDUP(($AI$4/($AG$4*AL5)),0.001)</f>
        <v>18</v>
      </c>
      <c r="AM6" s="517"/>
      <c r="AN6" s="517"/>
      <c r="AO6" s="517"/>
      <c r="AP6" s="517"/>
      <c r="AQ6" s="517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</row>
    <row r="7" spans="1:139" ht="15.75" thickBot="1" x14ac:dyDescent="0.3">
      <c r="A7" s="20"/>
      <c r="B7" s="4" t="s">
        <v>10</v>
      </c>
      <c r="C7" s="5" t="s">
        <v>11</v>
      </c>
      <c r="D7" s="6">
        <v>0.02</v>
      </c>
      <c r="E7" s="7" t="s">
        <v>6</v>
      </c>
      <c r="F7" s="21"/>
      <c r="G7" s="20"/>
      <c r="H7" s="711" t="s">
        <v>14</v>
      </c>
      <c r="I7" s="712"/>
      <c r="J7" s="333" t="s">
        <v>436</v>
      </c>
      <c r="K7" s="315">
        <f>+K6*D8</f>
        <v>34.300000000000004</v>
      </c>
      <c r="L7" s="298" t="s">
        <v>4</v>
      </c>
      <c r="M7" s="20"/>
      <c r="N7" s="717" t="s">
        <v>405</v>
      </c>
      <c r="O7" s="718"/>
      <c r="P7" s="718"/>
      <c r="Q7" s="718"/>
      <c r="R7" s="719"/>
      <c r="S7" s="20"/>
      <c r="T7" s="20"/>
      <c r="U7" s="20"/>
      <c r="W7" s="20"/>
      <c r="X7" s="20"/>
      <c r="Y7" s="20"/>
      <c r="Z7" s="364"/>
      <c r="AA7" s="364"/>
      <c r="AB7" s="364"/>
      <c r="AC7" s="364"/>
      <c r="AD7" s="364"/>
      <c r="AE7" s="22"/>
      <c r="AF7" s="518" t="s">
        <v>375</v>
      </c>
      <c r="AG7" s="554">
        <f>IF(AG6&gt;7,ROUNDUP(AG6/2,0.1),AG6)</f>
        <v>6</v>
      </c>
      <c r="AH7" s="554">
        <f>IF(AH6&gt;7,ROUNDUP(AH6/2,0.1),AH6)</f>
        <v>5</v>
      </c>
      <c r="AI7" s="554">
        <f>IF(AI6&gt;7,ROUNDUP(AI6/2,0.1),AI6)</f>
        <v>7</v>
      </c>
      <c r="AJ7" s="557">
        <f>IF(AJ6&gt;7,ROUNDUP(AJ6/2,0.1),AJ6)</f>
        <v>6</v>
      </c>
      <c r="AK7" s="37">
        <f>IF($D$3&lt;40,AL7,IF($AK$11=$AG$11,AG7,IF($AK$11=$AH$11,AH7,IF($AK$11=$AI$11,AI7,AJ7))))</f>
        <v>7</v>
      </c>
      <c r="AL7" s="520">
        <f>IF(AL6&gt;7,ROUNDUP(AL6/2,0.1),AL6)</f>
        <v>9</v>
      </c>
      <c r="AM7" s="517"/>
      <c r="AN7" s="517"/>
      <c r="AO7" s="517"/>
      <c r="AP7" s="517"/>
      <c r="AQ7" s="517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</row>
    <row r="8" spans="1:139" x14ac:dyDescent="0.25">
      <c r="A8" s="20"/>
      <c r="B8" s="4" t="s">
        <v>14</v>
      </c>
      <c r="C8" s="5" t="s">
        <v>15</v>
      </c>
      <c r="D8" s="6">
        <v>0.04</v>
      </c>
      <c r="E8" s="7" t="s">
        <v>6</v>
      </c>
      <c r="F8" s="21"/>
      <c r="G8" s="20"/>
      <c r="H8" s="711" t="s">
        <v>414</v>
      </c>
      <c r="I8" s="712"/>
      <c r="J8" s="335" t="s">
        <v>437</v>
      </c>
      <c r="K8" s="315">
        <f>+D3*D13/D9</f>
        <v>823.19999999999993</v>
      </c>
      <c r="L8" s="298" t="s">
        <v>4</v>
      </c>
      <c r="M8" s="20"/>
      <c r="N8" s="709" t="s">
        <v>421</v>
      </c>
      <c r="O8" s="710"/>
      <c r="P8" s="336" t="s">
        <v>12</v>
      </c>
      <c r="Q8" s="336">
        <f>D22+0.2209*EXP(0.0557*D10)</f>
        <v>97.331960342879725</v>
      </c>
      <c r="R8" s="300" t="s">
        <v>13</v>
      </c>
      <c r="S8" s="20"/>
      <c r="T8" s="20"/>
      <c r="U8" s="20"/>
      <c r="W8" s="20"/>
      <c r="X8" s="20"/>
      <c r="Y8" s="20"/>
      <c r="Z8" s="364"/>
      <c r="AA8" s="364"/>
      <c r="AB8" s="364"/>
      <c r="AC8" s="364"/>
      <c r="AD8" s="364"/>
      <c r="AE8" s="22"/>
      <c r="AF8" s="518" t="s">
        <v>379</v>
      </c>
      <c r="AG8" s="554">
        <f>IF(AG6&lt;7,1,ROUNDUP(AG6/AG7,0.1))</f>
        <v>2</v>
      </c>
      <c r="AH8" s="554">
        <f>IF(AH6&lt;7,1,ROUNDUP(AH6/AH7,0.1))</f>
        <v>2</v>
      </c>
      <c r="AI8" s="554">
        <f>IF(AI6&lt;7,1,ROUNDUP(AI6/AI7,0.1))</f>
        <v>1</v>
      </c>
      <c r="AJ8" s="557">
        <f>IF(AJ6&lt;7,1,ROUNDUP(AJ6/AJ7,0.1))</f>
        <v>1</v>
      </c>
      <c r="AK8" s="37">
        <f>IF($D$3&lt;40,AL8,IF($AK$11=$AG$11,AG8,IF($AK$11=$AH$11,AH8,IF($AK$11=$AI$11,AI8,AJ8))))</f>
        <v>1</v>
      </c>
      <c r="AL8" s="520">
        <f>IF(AL6&lt;7,1,ROUNDUP(AL6/AL7,0.1))</f>
        <v>2</v>
      </c>
      <c r="AM8" s="517"/>
      <c r="AN8" s="517"/>
      <c r="AO8" s="517"/>
      <c r="AP8" s="517"/>
      <c r="AQ8" s="517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20"/>
      <c r="DV8" s="20"/>
      <c r="DW8" s="20"/>
      <c r="DX8" s="20"/>
      <c r="DY8" s="20"/>
      <c r="DZ8" s="20"/>
      <c r="EA8" s="20"/>
      <c r="EB8" s="20"/>
      <c r="EC8" s="20"/>
      <c r="ED8" s="20"/>
      <c r="EE8" s="20"/>
      <c r="EF8" s="20"/>
      <c r="EG8" s="20"/>
      <c r="EH8" s="20"/>
      <c r="EI8" s="20"/>
    </row>
    <row r="9" spans="1:139" x14ac:dyDescent="0.25">
      <c r="A9" s="20"/>
      <c r="B9" s="1" t="s">
        <v>20</v>
      </c>
      <c r="C9" s="2" t="s">
        <v>21</v>
      </c>
      <c r="D9" s="2">
        <v>17</v>
      </c>
      <c r="E9" s="3" t="s">
        <v>22</v>
      </c>
      <c r="F9" s="21"/>
      <c r="G9" s="20"/>
      <c r="H9" s="707" t="s">
        <v>401</v>
      </c>
      <c r="I9" s="708"/>
      <c r="J9" s="335" t="s">
        <v>438</v>
      </c>
      <c r="K9" s="313">
        <f>K6-D3</f>
        <v>707.66702355460393</v>
      </c>
      <c r="L9" s="298" t="s">
        <v>4</v>
      </c>
      <c r="M9" s="20"/>
      <c r="N9" s="713" t="s">
        <v>422</v>
      </c>
      <c r="O9" s="714"/>
      <c r="P9" s="335" t="s">
        <v>16</v>
      </c>
      <c r="Q9" s="335">
        <f>D22+0.2209*EXP(0.0557*D11)</f>
        <v>110.98294297073372</v>
      </c>
      <c r="R9" s="298" t="s">
        <v>13</v>
      </c>
      <c r="S9" s="20"/>
      <c r="T9" s="20"/>
      <c r="U9" s="20"/>
      <c r="W9" s="20"/>
      <c r="X9" s="20"/>
      <c r="Y9" s="20"/>
      <c r="Z9" s="364"/>
      <c r="AA9" s="364"/>
      <c r="AB9" s="364"/>
      <c r="AC9" s="364"/>
      <c r="AD9" s="364"/>
      <c r="AE9" s="22"/>
      <c r="AF9" s="518" t="s">
        <v>382</v>
      </c>
      <c r="AG9" s="554">
        <f>AG7*AG8</f>
        <v>12</v>
      </c>
      <c r="AH9" s="554">
        <f>AH7*AH8</f>
        <v>10</v>
      </c>
      <c r="AI9" s="554">
        <f>AI7*AI8</f>
        <v>7</v>
      </c>
      <c r="AJ9" s="557">
        <f>AJ7*AJ8</f>
        <v>6</v>
      </c>
      <c r="AK9" s="37">
        <f>IF($D$3&lt;40,AL9,IF($AK$11=$AG$11,AG9,IF($AK$11=$AH$11,AH9,IF($AK$11=$AI$11,AI9,AJ9))))</f>
        <v>7</v>
      </c>
      <c r="AL9" s="520">
        <f>AL7*AL8</f>
        <v>18</v>
      </c>
      <c r="AM9" s="517"/>
      <c r="AN9" s="517"/>
      <c r="AO9" s="517"/>
      <c r="AP9" s="517"/>
      <c r="AQ9" s="517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  <c r="DR9" s="20"/>
      <c r="DS9" s="20"/>
      <c r="DT9" s="20"/>
      <c r="DU9" s="20"/>
      <c r="DV9" s="20"/>
      <c r="DW9" s="20"/>
      <c r="DX9" s="20"/>
      <c r="DY9" s="20"/>
      <c r="DZ9" s="20"/>
      <c r="EA9" s="20"/>
      <c r="EB9" s="20"/>
      <c r="EC9" s="20"/>
      <c r="ED9" s="20"/>
      <c r="EE9" s="20"/>
      <c r="EF9" s="20"/>
      <c r="EG9" s="20"/>
      <c r="EH9" s="20"/>
      <c r="EI9" s="20"/>
    </row>
    <row r="10" spans="1:139" ht="15.75" thickBot="1" x14ac:dyDescent="0.3">
      <c r="A10" s="20"/>
      <c r="B10" s="1" t="s">
        <v>24</v>
      </c>
      <c r="C10" s="2" t="s">
        <v>25</v>
      </c>
      <c r="D10" s="2">
        <v>22</v>
      </c>
      <c r="E10" s="3" t="s">
        <v>22</v>
      </c>
      <c r="F10" s="21"/>
      <c r="G10" s="20"/>
      <c r="H10" s="707" t="s">
        <v>404</v>
      </c>
      <c r="I10" s="708"/>
      <c r="J10" s="335" t="s">
        <v>435</v>
      </c>
      <c r="K10" s="313">
        <f>+K6</f>
        <v>857.5</v>
      </c>
      <c r="L10" s="298" t="s">
        <v>4</v>
      </c>
      <c r="M10" s="20"/>
      <c r="N10" s="715" t="s">
        <v>423</v>
      </c>
      <c r="O10" s="716"/>
      <c r="P10" s="334" t="s">
        <v>23</v>
      </c>
      <c r="Q10" s="334">
        <f>D22+0.2209*EXP(0.0557*D12)</f>
        <v>136.71813336403685</v>
      </c>
      <c r="R10" s="303" t="s">
        <v>13</v>
      </c>
      <c r="S10" s="20"/>
      <c r="T10" s="20"/>
      <c r="U10" s="20"/>
      <c r="W10" s="20"/>
      <c r="X10" s="20"/>
      <c r="Y10" s="20"/>
      <c r="Z10" s="364"/>
      <c r="AA10" s="364"/>
      <c r="AB10" s="364"/>
      <c r="AC10" s="364"/>
      <c r="AD10" s="364"/>
      <c r="AE10" s="22"/>
      <c r="AF10" s="518" t="s">
        <v>383</v>
      </c>
      <c r="AG10" s="554">
        <f>IF($AG$4*AG7&lt;0.62,5,$AG$4*AG7)</f>
        <v>0.92999999999999994</v>
      </c>
      <c r="AH10" s="554">
        <f t="shared" ref="AH10:AJ10" si="1">IF($AG$4*AH7&lt;0.62,5,$AG$4*AH7)</f>
        <v>0.77500000000000002</v>
      </c>
      <c r="AI10" s="554">
        <f t="shared" si="1"/>
        <v>1.085</v>
      </c>
      <c r="AJ10" s="557">
        <f t="shared" si="1"/>
        <v>0.92999999999999994</v>
      </c>
      <c r="AK10" s="37">
        <f>IF($D$3&lt;40,AL10,IF($AK$11=$AG$11,AG10,IF($AK$11=AH11,AH10,IF($AK$11=$AI$11,AI10,AJ10))))</f>
        <v>1.085</v>
      </c>
      <c r="AL10" s="520">
        <f>$AG$4*AL7</f>
        <v>1.395</v>
      </c>
      <c r="AM10" s="517"/>
      <c r="AN10" s="517"/>
      <c r="AO10" s="517"/>
      <c r="AP10" s="517"/>
      <c r="AQ10" s="517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</row>
    <row r="11" spans="1:139" ht="15.75" thickBot="1" x14ac:dyDescent="0.3">
      <c r="A11" s="20"/>
      <c r="B11" s="1" t="s">
        <v>29</v>
      </c>
      <c r="C11" s="2" t="s">
        <v>30</v>
      </c>
      <c r="D11" s="2">
        <v>75</v>
      </c>
      <c r="E11" s="3" t="s">
        <v>22</v>
      </c>
      <c r="F11" s="21"/>
      <c r="G11" s="20"/>
      <c r="H11" s="707" t="s">
        <v>402</v>
      </c>
      <c r="I11" s="708"/>
      <c r="J11" s="335" t="s">
        <v>36</v>
      </c>
      <c r="K11" s="313">
        <f>+K8</f>
        <v>823.19999999999993</v>
      </c>
      <c r="L11" s="298" t="s">
        <v>4</v>
      </c>
      <c r="M11" s="20"/>
      <c r="N11" s="696" t="s">
        <v>424</v>
      </c>
      <c r="O11" s="697"/>
      <c r="P11" s="697"/>
      <c r="Q11" s="697"/>
      <c r="R11" s="698"/>
      <c r="S11" s="20"/>
      <c r="T11" s="20"/>
      <c r="U11" s="20"/>
      <c r="W11" s="20"/>
      <c r="X11" s="20"/>
      <c r="Y11" s="20"/>
      <c r="Z11" s="364"/>
      <c r="AA11" s="364"/>
      <c r="AB11" s="364"/>
      <c r="AC11" s="364"/>
      <c r="AD11" s="364"/>
      <c r="AE11" s="22"/>
      <c r="AF11" s="521" t="s">
        <v>367</v>
      </c>
      <c r="AG11" s="558">
        <f>AG5*AG8*AG10</f>
        <v>1.395</v>
      </c>
      <c r="AH11" s="558">
        <f>AH5*AH8*AH10</f>
        <v>1.55</v>
      </c>
      <c r="AI11" s="558">
        <f>AI5*AI8*AI10</f>
        <v>1.35625</v>
      </c>
      <c r="AJ11" s="559">
        <f>AJ5*AJ8*AJ10</f>
        <v>1.395</v>
      </c>
      <c r="AK11" s="553">
        <f>IF(D3&lt;40,AL11,MIN(AG11:AJ11))</f>
        <v>1.35625</v>
      </c>
      <c r="AL11" s="522">
        <f>(AL5*AL8)*($AG$4*AL7)</f>
        <v>1.395</v>
      </c>
      <c r="AM11" s="517"/>
      <c r="AN11" s="517"/>
      <c r="AO11" s="517"/>
      <c r="AP11" s="517"/>
      <c r="AQ11" s="517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</row>
    <row r="12" spans="1:139" x14ac:dyDescent="0.25">
      <c r="A12" s="20"/>
      <c r="B12" s="1" t="s">
        <v>34</v>
      </c>
      <c r="C12" s="2" t="s">
        <v>35</v>
      </c>
      <c r="D12" s="2">
        <v>93.4</v>
      </c>
      <c r="E12" s="3" t="s">
        <v>22</v>
      </c>
      <c r="F12" s="21"/>
      <c r="G12" s="20"/>
      <c r="H12" s="707" t="s">
        <v>403</v>
      </c>
      <c r="I12" s="708"/>
      <c r="J12" s="335" t="s">
        <v>40</v>
      </c>
      <c r="K12" s="313">
        <f>K11*D10/D11</f>
        <v>241.47199999999998</v>
      </c>
      <c r="L12" s="298" t="s">
        <v>4</v>
      </c>
      <c r="M12" s="20"/>
      <c r="N12" s="713" t="s">
        <v>421</v>
      </c>
      <c r="O12" s="714"/>
      <c r="P12" s="301" t="s">
        <v>32</v>
      </c>
      <c r="Q12" s="335">
        <f>2492.9-2.0523*((D22+Q8)/2)-0.0030752*((D22+Q8)/2)^2</f>
        <v>2265.0093657063012</v>
      </c>
      <c r="R12" s="298" t="s">
        <v>33</v>
      </c>
      <c r="S12" s="20"/>
      <c r="T12" s="20"/>
      <c r="U12" s="20"/>
      <c r="W12" s="20"/>
      <c r="X12" s="20"/>
      <c r="Y12" s="20"/>
      <c r="Z12" s="364"/>
      <c r="AA12" s="364"/>
      <c r="AB12" s="364"/>
      <c r="AC12" s="364"/>
      <c r="AD12" s="364"/>
      <c r="AE12" s="22"/>
      <c r="AF12" s="518"/>
      <c r="AG12" s="519"/>
      <c r="AH12" s="20"/>
      <c r="AI12" s="20"/>
      <c r="AJ12" s="20"/>
      <c r="AK12" s="20"/>
      <c r="AL12" s="20"/>
      <c r="AM12" s="517"/>
      <c r="AN12" s="517"/>
      <c r="AO12" s="517"/>
      <c r="AP12" s="517"/>
      <c r="AQ12" s="517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  <c r="EA12" s="20"/>
      <c r="EB12" s="20"/>
      <c r="EC12" s="20"/>
      <c r="ED12" s="20"/>
      <c r="EE12" s="20"/>
      <c r="EF12" s="20"/>
      <c r="EG12" s="20"/>
      <c r="EH12" s="20"/>
      <c r="EI12" s="20"/>
    </row>
    <row r="13" spans="1:139" ht="15.75" thickBot="1" x14ac:dyDescent="0.3">
      <c r="A13" s="20"/>
      <c r="B13" s="1" t="s">
        <v>39</v>
      </c>
      <c r="C13" s="5" t="s">
        <v>35</v>
      </c>
      <c r="D13" s="2">
        <f>D12</f>
        <v>93.4</v>
      </c>
      <c r="E13" s="3" t="s">
        <v>22</v>
      </c>
      <c r="F13" s="21"/>
      <c r="G13" s="20"/>
      <c r="H13" s="720" t="s">
        <v>426</v>
      </c>
      <c r="I13" s="721"/>
      <c r="J13" s="297" t="s">
        <v>409</v>
      </c>
      <c r="K13" s="315">
        <f>D3*D4</f>
        <v>664.19345415863381</v>
      </c>
      <c r="L13" s="298" t="s">
        <v>4</v>
      </c>
      <c r="M13" s="20"/>
      <c r="N13" s="713" t="s">
        <v>422</v>
      </c>
      <c r="O13" s="714"/>
      <c r="P13" s="301" t="s">
        <v>32</v>
      </c>
      <c r="Q13" s="335">
        <f>2492.9-2.0523*((Q8+Q9)/2)-0.0030752*((Q8+Q9)/2)^2</f>
        <v>2245.7755098976954</v>
      </c>
      <c r="R13" s="298" t="s">
        <v>33</v>
      </c>
      <c r="S13" s="125"/>
      <c r="T13" s="20"/>
      <c r="U13" s="20"/>
      <c r="W13" s="20"/>
      <c r="X13" s="20"/>
      <c r="Y13" s="20"/>
      <c r="Z13" s="364"/>
      <c r="AA13" s="364"/>
      <c r="AB13" s="364"/>
      <c r="AC13" s="364"/>
      <c r="AD13" s="364"/>
      <c r="AE13" s="22"/>
      <c r="AF13" s="521"/>
      <c r="AG13" s="524"/>
      <c r="AH13" s="20"/>
      <c r="AI13" s="20"/>
      <c r="AJ13" s="20"/>
      <c r="AK13" s="20"/>
      <c r="AL13" s="20"/>
      <c r="AM13" s="517"/>
      <c r="AN13" s="517"/>
      <c r="AO13" s="517"/>
      <c r="AP13" s="517"/>
      <c r="AQ13" s="517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  <c r="DR13" s="20"/>
      <c r="DS13" s="20"/>
      <c r="DT13" s="20"/>
      <c r="DU13" s="20"/>
      <c r="DV13" s="20"/>
      <c r="DW13" s="20"/>
      <c r="DX13" s="20"/>
      <c r="DY13" s="20"/>
      <c r="DZ13" s="20"/>
      <c r="EA13" s="20"/>
      <c r="EB13" s="20"/>
      <c r="EC13" s="20"/>
      <c r="ED13" s="20"/>
      <c r="EE13" s="20"/>
      <c r="EF13" s="20"/>
      <c r="EG13" s="20"/>
      <c r="EH13" s="20"/>
      <c r="EI13" s="20"/>
    </row>
    <row r="14" spans="1:139" ht="15.75" thickBot="1" x14ac:dyDescent="0.3">
      <c r="A14" s="20"/>
      <c r="B14" s="4" t="s">
        <v>45</v>
      </c>
      <c r="C14" s="5" t="s">
        <v>46</v>
      </c>
      <c r="D14" s="6">
        <v>0.52</v>
      </c>
      <c r="E14" s="7" t="s">
        <v>6</v>
      </c>
      <c r="F14" s="21"/>
      <c r="G14" s="20"/>
      <c r="H14" s="707" t="s">
        <v>427</v>
      </c>
      <c r="I14" s="708"/>
      <c r="J14" s="335" t="s">
        <v>37</v>
      </c>
      <c r="K14" s="313">
        <f>K3-K4</f>
        <v>583.33333333333348</v>
      </c>
      <c r="L14" s="298" t="s">
        <v>4</v>
      </c>
      <c r="M14" s="20"/>
      <c r="N14" s="715" t="s">
        <v>423</v>
      </c>
      <c r="O14" s="716"/>
      <c r="P14" s="302" t="s">
        <v>32</v>
      </c>
      <c r="Q14" s="334">
        <f>2492.9-2.0523*((Q9+Q10)/2)-0.0030752*((Q9+Q10)/2)^2</f>
        <v>2191.5511836295354</v>
      </c>
      <c r="R14" s="303" t="s">
        <v>33</v>
      </c>
      <c r="S14" s="22"/>
      <c r="T14" s="20"/>
      <c r="U14" s="20"/>
      <c r="W14" s="20"/>
      <c r="X14" s="20"/>
      <c r="Y14" s="20"/>
      <c r="Z14" s="364"/>
      <c r="AA14" s="364"/>
      <c r="AB14" s="364"/>
      <c r="AC14" s="364"/>
      <c r="AD14" s="364"/>
      <c r="AE14" s="22"/>
      <c r="AF14" s="22"/>
      <c r="AG14" s="22"/>
      <c r="AH14" s="22"/>
      <c r="AI14" s="22"/>
      <c r="AJ14" s="22"/>
      <c r="AK14" s="22"/>
      <c r="AL14" s="22"/>
      <c r="AM14" s="517"/>
      <c r="AN14" s="517"/>
      <c r="AO14" s="517"/>
      <c r="AP14" s="517"/>
      <c r="AQ14" s="517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</row>
    <row r="15" spans="1:139" ht="15.75" thickBot="1" x14ac:dyDescent="0.3">
      <c r="A15" s="20"/>
      <c r="B15" s="4" t="s">
        <v>49</v>
      </c>
      <c r="C15" s="11" t="s">
        <v>50</v>
      </c>
      <c r="D15" s="12">
        <v>1.8</v>
      </c>
      <c r="E15" s="7"/>
      <c r="F15" s="21"/>
      <c r="G15" s="20"/>
      <c r="H15" s="743" t="s">
        <v>428</v>
      </c>
      <c r="I15" s="744"/>
      <c r="J15" s="339" t="s">
        <v>408</v>
      </c>
      <c r="K15" s="314">
        <f>K14*((100%-D20)/(100%-D14))</f>
        <v>559.63541666666686</v>
      </c>
      <c r="L15" s="303" t="s">
        <v>4</v>
      </c>
      <c r="M15" s="20"/>
      <c r="N15" s="696" t="s">
        <v>406</v>
      </c>
      <c r="O15" s="697"/>
      <c r="P15" s="697"/>
      <c r="Q15" s="697"/>
      <c r="R15" s="698"/>
      <c r="S15" s="22"/>
      <c r="T15" s="20"/>
      <c r="U15" s="20"/>
      <c r="W15" s="20"/>
      <c r="X15" s="20"/>
      <c r="Y15" s="20"/>
      <c r="Z15" s="364"/>
      <c r="AA15" s="364"/>
      <c r="AB15" s="364"/>
      <c r="AC15" s="364"/>
      <c r="AD15" s="364"/>
      <c r="AE15" s="22"/>
      <c r="AF15" s="22"/>
      <c r="AG15" s="22"/>
      <c r="AH15" s="22"/>
      <c r="AI15" s="22"/>
      <c r="AJ15" s="22"/>
      <c r="AK15" s="22"/>
      <c r="AL15" s="22"/>
      <c r="AM15" s="517"/>
      <c r="AN15" s="517"/>
      <c r="AO15" s="517"/>
      <c r="AP15" s="517"/>
      <c r="AQ15" s="517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20"/>
      <c r="DT15" s="20"/>
      <c r="DU15" s="20"/>
      <c r="DV15" s="20"/>
      <c r="DW15" s="20"/>
      <c r="DX15" s="20"/>
      <c r="DY15" s="20"/>
      <c r="DZ15" s="20"/>
      <c r="EA15" s="20"/>
      <c r="EB15" s="20"/>
      <c r="EC15" s="20"/>
      <c r="ED15" s="20"/>
      <c r="EE15" s="20"/>
      <c r="EF15" s="20"/>
      <c r="EG15" s="20"/>
      <c r="EH15" s="20"/>
      <c r="EI15" s="20"/>
    </row>
    <row r="16" spans="1:139" ht="15.75" thickBot="1" x14ac:dyDescent="0.3">
      <c r="A16" s="20"/>
      <c r="B16" s="1" t="s">
        <v>53</v>
      </c>
      <c r="C16" s="2" t="s">
        <v>54</v>
      </c>
      <c r="D16" s="13">
        <v>0.6</v>
      </c>
      <c r="E16" s="3" t="s">
        <v>6</v>
      </c>
      <c r="F16" s="21"/>
      <c r="G16" s="20"/>
      <c r="H16" s="24"/>
      <c r="I16" s="24"/>
      <c r="J16" s="24"/>
      <c r="K16" s="145"/>
      <c r="L16" s="145"/>
      <c r="M16" s="20"/>
      <c r="N16" s="713" t="s">
        <v>429</v>
      </c>
      <c r="O16" s="714"/>
      <c r="P16" s="335" t="s">
        <v>47</v>
      </c>
      <c r="Q16" s="335">
        <f>4.18*(1-0.006*D9)</f>
        <v>3.7536399999999999</v>
      </c>
      <c r="R16" s="298" t="s">
        <v>48</v>
      </c>
      <c r="S16" s="22"/>
      <c r="T16" s="364"/>
      <c r="U16" s="20"/>
      <c r="W16" s="20"/>
      <c r="X16" s="20"/>
      <c r="Y16" s="20"/>
      <c r="Z16" s="364"/>
      <c r="AA16" s="364"/>
      <c r="AB16" s="364"/>
      <c r="AC16" s="364"/>
      <c r="AD16" s="364"/>
      <c r="AE16" s="22"/>
      <c r="AF16" s="22"/>
      <c r="AG16" s="22"/>
      <c r="AH16" s="22"/>
      <c r="AI16" s="22"/>
      <c r="AJ16" s="22">
        <f>Q102^(1/3)</f>
        <v>1.6472591102225702</v>
      </c>
      <c r="AK16" s="22"/>
      <c r="AL16" s="22"/>
      <c r="AM16" s="517"/>
      <c r="AN16" s="517"/>
      <c r="AO16" s="517"/>
      <c r="AP16" s="517"/>
      <c r="AQ16" s="517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</row>
    <row r="17" spans="1:139" ht="15.75" thickBot="1" x14ac:dyDescent="0.3">
      <c r="A17" s="20"/>
      <c r="B17" s="1" t="s">
        <v>56</v>
      </c>
      <c r="C17" s="2" t="s">
        <v>57</v>
      </c>
      <c r="D17" s="13">
        <v>0.14000000000000001</v>
      </c>
      <c r="E17" s="3" t="s">
        <v>6</v>
      </c>
      <c r="F17" s="21"/>
      <c r="G17" s="20"/>
      <c r="H17" s="717" t="s">
        <v>417</v>
      </c>
      <c r="I17" s="718"/>
      <c r="J17" s="718"/>
      <c r="K17" s="718"/>
      <c r="L17" s="719"/>
      <c r="M17" s="20"/>
      <c r="N17" s="713" t="s">
        <v>430</v>
      </c>
      <c r="O17" s="714"/>
      <c r="P17" s="335" t="s">
        <v>47</v>
      </c>
      <c r="Q17" s="335">
        <f>4.18*(1-0.006*D10)</f>
        <v>3.6282399999999999</v>
      </c>
      <c r="R17" s="298" t="s">
        <v>48</v>
      </c>
      <c r="S17" s="21"/>
      <c r="T17" s="20"/>
      <c r="U17" s="20"/>
      <c r="W17" s="20"/>
      <c r="X17" s="20"/>
      <c r="Y17" s="20"/>
      <c r="Z17" s="20"/>
      <c r="AA17" s="20"/>
      <c r="AB17" s="20"/>
      <c r="AC17" s="364"/>
      <c r="AD17" s="364"/>
      <c r="AE17" s="22"/>
      <c r="AF17" s="22"/>
      <c r="AG17" s="22"/>
      <c r="AH17" s="22"/>
      <c r="AI17" s="22"/>
      <c r="AJ17" s="22"/>
      <c r="AK17" s="22"/>
      <c r="AL17" s="22"/>
      <c r="AM17" s="517"/>
      <c r="AN17" s="517"/>
      <c r="AO17" s="517"/>
      <c r="AP17" s="517"/>
      <c r="AQ17" s="517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</row>
    <row r="18" spans="1:139" ht="15.75" thickBot="1" x14ac:dyDescent="0.3">
      <c r="A18" s="20"/>
      <c r="B18" s="1" t="s">
        <v>59</v>
      </c>
      <c r="C18" s="2" t="s">
        <v>60</v>
      </c>
      <c r="D18" s="2">
        <v>1062</v>
      </c>
      <c r="E18" s="3" t="s">
        <v>61</v>
      </c>
      <c r="F18" s="21"/>
      <c r="G18" s="20"/>
      <c r="H18" s="709" t="s">
        <v>407</v>
      </c>
      <c r="I18" s="710"/>
      <c r="J18" s="336" t="s">
        <v>62</v>
      </c>
      <c r="K18" s="336">
        <f>(K10*Q16*(Q8-D19)+(K10-K11)*Q12)/3600</f>
        <v>86.252236380310308</v>
      </c>
      <c r="L18" s="300" t="s">
        <v>19</v>
      </c>
      <c r="M18" s="20"/>
      <c r="N18" s="715" t="s">
        <v>431</v>
      </c>
      <c r="O18" s="716"/>
      <c r="P18" s="334" t="s">
        <v>47</v>
      </c>
      <c r="Q18" s="334">
        <f>4.18*(1-0.006*D11)</f>
        <v>2.2989999999999999</v>
      </c>
      <c r="R18" s="303" t="s">
        <v>48</v>
      </c>
      <c r="S18" s="125"/>
      <c r="T18" s="20"/>
      <c r="U18" s="20"/>
      <c r="W18" s="20"/>
      <c r="X18" s="20"/>
      <c r="Y18" s="20"/>
      <c r="Z18" s="20"/>
      <c r="AA18" s="20"/>
      <c r="AB18" s="20"/>
      <c r="AC18" s="364"/>
      <c r="AD18" s="364"/>
      <c r="AE18" s="22"/>
      <c r="AF18" s="22"/>
      <c r="AG18" s="22"/>
      <c r="AH18" s="22"/>
      <c r="AI18" s="22"/>
      <c r="AJ18" s="22"/>
      <c r="AK18" s="22"/>
      <c r="AL18" s="22"/>
      <c r="AM18" s="517"/>
      <c r="AN18" s="517"/>
      <c r="AO18" s="517"/>
      <c r="AP18" s="517"/>
      <c r="AQ18" s="517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0"/>
      <c r="CR18" s="20"/>
      <c r="CS18" s="20"/>
      <c r="CT18" s="20"/>
      <c r="CU18" s="20"/>
      <c r="CV18" s="20"/>
      <c r="CW18" s="20"/>
      <c r="CX18" s="20"/>
      <c r="CY18" s="20"/>
      <c r="CZ18" s="20"/>
      <c r="DA18" s="20"/>
      <c r="DB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20"/>
      <c r="EI18" s="20"/>
    </row>
    <row r="19" spans="1:139" ht="15.75" thickBot="1" x14ac:dyDescent="0.3">
      <c r="A19" s="20"/>
      <c r="B19" s="14" t="s">
        <v>63</v>
      </c>
      <c r="C19" s="15" t="s">
        <v>64</v>
      </c>
      <c r="D19" s="15">
        <v>25</v>
      </c>
      <c r="E19" s="16" t="s">
        <v>13</v>
      </c>
      <c r="F19" s="21"/>
      <c r="G19" s="20"/>
      <c r="H19" s="713" t="s">
        <v>410</v>
      </c>
      <c r="I19" s="714"/>
      <c r="J19" s="335" t="s">
        <v>65</v>
      </c>
      <c r="K19" s="335">
        <f>(K11*Q17*(Q9-Q8)+(K11-K12)*Q13)/3600</f>
        <v>374.22300070710531</v>
      </c>
      <c r="L19" s="298" t="s">
        <v>19</v>
      </c>
      <c r="M19" s="20"/>
      <c r="N19" s="145"/>
      <c r="O19" s="24"/>
      <c r="P19" s="24"/>
      <c r="Q19" s="24"/>
      <c r="R19" s="24"/>
      <c r="S19" s="125"/>
      <c r="T19" s="20"/>
      <c r="U19" s="20"/>
      <c r="W19" s="20"/>
      <c r="X19" s="20"/>
      <c r="Y19" s="20"/>
      <c r="Z19" s="20"/>
      <c r="AA19" s="20"/>
      <c r="AB19" s="20"/>
      <c r="AC19" s="517"/>
      <c r="AD19" s="517"/>
      <c r="AE19" s="517"/>
      <c r="AF19" s="517"/>
      <c r="AG19" s="517"/>
      <c r="AH19" s="517"/>
      <c r="AI19" s="517"/>
      <c r="AJ19" s="517"/>
      <c r="AK19" s="517"/>
      <c r="AL19" s="517"/>
      <c r="AM19" s="517"/>
      <c r="AN19" s="517"/>
      <c r="AO19" s="517"/>
      <c r="AP19" s="517"/>
      <c r="AQ19" s="517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0"/>
      <c r="CD19" s="20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20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20"/>
      <c r="EI19" s="20"/>
    </row>
    <row r="20" spans="1:139" x14ac:dyDescent="0.25">
      <c r="A20" s="20"/>
      <c r="B20" s="304" t="s">
        <v>66</v>
      </c>
      <c r="C20" s="305" t="s">
        <v>67</v>
      </c>
      <c r="D20" s="306">
        <f>((K4-K4*(D16+D17))-(K4-K4*(D16+D17))*(D9/100))/(K4*(1-D16))</f>
        <v>0.53949999999999998</v>
      </c>
      <c r="E20" s="307" t="s">
        <v>6</v>
      </c>
      <c r="F20" s="21"/>
      <c r="G20" s="20"/>
      <c r="H20" s="713" t="s">
        <v>411</v>
      </c>
      <c r="I20" s="714"/>
      <c r="J20" s="335" t="s">
        <v>68</v>
      </c>
      <c r="K20" s="335">
        <f>(K12*Q18*(Q10-Q9)+(K12-D3)*Q14)/3600</f>
        <v>59.755097324319777</v>
      </c>
      <c r="L20" s="298" t="s">
        <v>19</v>
      </c>
      <c r="M20" s="20"/>
      <c r="N20" s="704" t="s">
        <v>7</v>
      </c>
      <c r="O20" s="705"/>
      <c r="P20" s="337" t="s">
        <v>8</v>
      </c>
      <c r="Q20" s="337">
        <f>17.85-20.35*D14</f>
        <v>7.2680000000000007</v>
      </c>
      <c r="R20" s="340" t="s">
        <v>9</v>
      </c>
      <c r="S20" s="21"/>
      <c r="T20" s="20"/>
      <c r="U20" s="20"/>
      <c r="W20" s="20"/>
      <c r="X20" s="20"/>
      <c r="Y20" s="20"/>
      <c r="Z20" s="20"/>
      <c r="AA20" s="20"/>
      <c r="AB20" s="20"/>
      <c r="AC20" s="517"/>
      <c r="AD20" s="517"/>
      <c r="AE20" s="517"/>
      <c r="AF20" s="517"/>
      <c r="AG20" s="517"/>
      <c r="AH20" s="517"/>
      <c r="AI20" s="517"/>
      <c r="AJ20" s="517"/>
      <c r="AK20" s="517"/>
      <c r="AL20" s="517"/>
      <c r="AM20" s="517"/>
      <c r="AN20" s="517"/>
      <c r="AO20" s="517"/>
      <c r="AP20" s="517"/>
      <c r="AQ20" s="517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</row>
    <row r="21" spans="1:139" x14ac:dyDescent="0.25">
      <c r="A21" s="20"/>
      <c r="B21" s="304" t="s">
        <v>70</v>
      </c>
      <c r="C21" s="305" t="s">
        <v>71</v>
      </c>
      <c r="D21" s="308">
        <f>760*EXP(-0.0001158*D18)</f>
        <v>672.05409330988732</v>
      </c>
      <c r="E21" s="307" t="s">
        <v>72</v>
      </c>
      <c r="F21" s="21"/>
      <c r="G21" s="20"/>
      <c r="H21" s="713" t="s">
        <v>412</v>
      </c>
      <c r="I21" s="714"/>
      <c r="J21" s="335" t="s">
        <v>69</v>
      </c>
      <c r="K21" s="335">
        <f>SUM(K18:K20)</f>
        <v>520.23033441173538</v>
      </c>
      <c r="L21" s="298" t="s">
        <v>19</v>
      </c>
      <c r="M21" s="20"/>
      <c r="N21" s="741" t="s">
        <v>17</v>
      </c>
      <c r="O21" s="742"/>
      <c r="P21" s="338" t="s">
        <v>18</v>
      </c>
      <c r="Q21" s="338">
        <f>(D4*D3)*Q20/3.6</f>
        <v>1340.9327846735976</v>
      </c>
      <c r="R21" s="316" t="s">
        <v>19</v>
      </c>
      <c r="S21" s="21"/>
      <c r="T21" s="20"/>
      <c r="U21" s="20"/>
      <c r="W21" s="20"/>
      <c r="X21" s="20"/>
      <c r="Y21" s="20"/>
      <c r="Z21" s="20"/>
      <c r="AA21" s="20"/>
      <c r="AB21" s="20"/>
      <c r="AC21" s="517"/>
      <c r="AD21" s="517"/>
      <c r="AE21" s="517"/>
      <c r="AF21" s="517"/>
      <c r="AG21" s="517"/>
      <c r="AH21" s="517"/>
      <c r="AI21" s="517"/>
      <c r="AJ21" s="517"/>
      <c r="AK21" s="517"/>
      <c r="AL21" s="517"/>
      <c r="AM21" s="517"/>
      <c r="AN21" s="517"/>
      <c r="AO21" s="517"/>
      <c r="AP21" s="517"/>
      <c r="AQ21" s="517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0"/>
      <c r="CD21" s="20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0"/>
      <c r="CR21" s="20"/>
      <c r="CS21" s="20"/>
      <c r="CT21" s="20"/>
      <c r="CU21" s="20"/>
      <c r="CV21" s="20"/>
      <c r="CW21" s="20"/>
      <c r="CX21" s="20"/>
      <c r="CY21" s="20"/>
      <c r="CZ21" s="20"/>
      <c r="DA21" s="20"/>
      <c r="DB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20"/>
      <c r="EG21" s="20"/>
      <c r="EH21" s="20"/>
      <c r="EI21" s="20"/>
    </row>
    <row r="22" spans="1:139" ht="15.75" thickBot="1" x14ac:dyDescent="0.3">
      <c r="A22" s="20"/>
      <c r="B22" s="309" t="s">
        <v>73</v>
      </c>
      <c r="C22" s="310" t="s">
        <v>74</v>
      </c>
      <c r="D22" s="310">
        <f>-227.03+3816.44/(18.3036-LN(7.5*(D21*133.3224/1000)))</f>
        <v>96.579679202909716</v>
      </c>
      <c r="E22" s="311" t="s">
        <v>13</v>
      </c>
      <c r="F22" s="21"/>
      <c r="G22" s="20"/>
      <c r="H22" s="715" t="s">
        <v>413</v>
      </c>
      <c r="I22" s="716"/>
      <c r="J22" s="334" t="s">
        <v>69</v>
      </c>
      <c r="K22" s="334">
        <f>(K8*(Q10-D19)*Q16+K9*((Q12+Q14)/2))/3600</f>
        <v>533.91364024770689</v>
      </c>
      <c r="L22" s="303" t="s">
        <v>19</v>
      </c>
      <c r="M22" s="20"/>
      <c r="N22" s="739" t="s">
        <v>26</v>
      </c>
      <c r="O22" s="740"/>
      <c r="P22" s="339" t="s">
        <v>27</v>
      </c>
      <c r="Q22" s="339">
        <f>Q21/1000</f>
        <v>1.3409327846735974</v>
      </c>
      <c r="R22" s="317" t="s">
        <v>28</v>
      </c>
      <c r="S22" s="21"/>
      <c r="T22" s="20"/>
      <c r="U22" s="20"/>
      <c r="W22" s="20"/>
      <c r="X22" s="20"/>
      <c r="Y22" s="20"/>
      <c r="Z22" s="20"/>
      <c r="AA22" s="20"/>
      <c r="AB22" s="20"/>
      <c r="AC22" s="517"/>
      <c r="AD22" s="517"/>
      <c r="AE22" s="517"/>
      <c r="AF22" s="517"/>
      <c r="AG22" s="517"/>
      <c r="AH22" s="517"/>
      <c r="AI22" s="517"/>
      <c r="AJ22" s="517"/>
      <c r="AK22" s="517"/>
      <c r="AL22" s="517"/>
      <c r="AM22" s="517"/>
      <c r="AN22" s="517"/>
      <c r="AO22" s="517"/>
      <c r="AP22" s="517"/>
      <c r="AQ22" s="517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20"/>
      <c r="EH22" s="20"/>
      <c r="EI22" s="20"/>
    </row>
    <row r="23" spans="1:139" ht="15.75" thickBot="1" x14ac:dyDescent="0.3">
      <c r="A23" s="20"/>
      <c r="B23" s="293"/>
      <c r="C23" s="293"/>
      <c r="D23" s="293"/>
      <c r="E23" s="293"/>
      <c r="F23" s="21"/>
      <c r="G23" s="20"/>
      <c r="H23" s="20"/>
      <c r="I23" s="20"/>
      <c r="J23" s="43"/>
      <c r="K23" s="20"/>
      <c r="L23" s="22"/>
      <c r="M23" s="22"/>
      <c r="N23" s="22"/>
      <c r="O23" s="22"/>
      <c r="P23" s="22"/>
      <c r="R23" s="22"/>
      <c r="S23" s="22"/>
      <c r="T23" s="20"/>
      <c r="U23" s="20"/>
      <c r="W23" s="20"/>
      <c r="X23" s="20"/>
      <c r="Y23" s="20"/>
      <c r="Z23" s="20"/>
      <c r="AA23" s="20"/>
      <c r="AB23" s="20"/>
      <c r="AC23" s="517"/>
      <c r="AD23" s="517"/>
      <c r="AE23" s="517"/>
      <c r="AF23" s="517"/>
      <c r="AG23" s="517"/>
      <c r="AH23" s="517"/>
      <c r="AI23" s="517"/>
      <c r="AJ23" s="517"/>
      <c r="AK23" s="517"/>
      <c r="AL23" s="517"/>
      <c r="AM23" s="517"/>
      <c r="AN23" s="517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20"/>
      <c r="EG23" s="20"/>
      <c r="EH23" s="20"/>
      <c r="EI23" s="20"/>
    </row>
    <row r="24" spans="1:139" ht="15.75" thickBot="1" x14ac:dyDescent="0.3">
      <c r="A24" s="758" t="s">
        <v>565</v>
      </c>
      <c r="B24" s="759"/>
      <c r="C24" s="759"/>
      <c r="D24" s="759"/>
      <c r="E24" s="759"/>
      <c r="F24" s="759"/>
      <c r="G24" s="759"/>
      <c r="H24" s="759"/>
      <c r="I24" s="759"/>
      <c r="J24" s="759"/>
      <c r="K24" s="759"/>
      <c r="L24" s="759"/>
      <c r="M24" s="759"/>
      <c r="N24" s="759"/>
      <c r="O24" s="759"/>
      <c r="P24" s="759"/>
      <c r="Q24" s="759"/>
      <c r="R24" s="759"/>
      <c r="S24" s="759"/>
      <c r="T24" s="759"/>
      <c r="U24" s="760"/>
      <c r="W24" s="20"/>
      <c r="X24" s="20"/>
      <c r="Y24" s="20"/>
      <c r="Z24" s="20"/>
      <c r="AA24" s="20"/>
      <c r="AB24" s="20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20"/>
      <c r="EI24" s="20"/>
    </row>
    <row r="25" spans="1:139" ht="15.75" thickBot="1" x14ac:dyDescent="0.3">
      <c r="A25" s="124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W25" s="20"/>
      <c r="X25" s="20"/>
      <c r="Y25" s="20"/>
      <c r="Z25" s="20"/>
      <c r="AA25" s="20"/>
      <c r="AB25" s="20"/>
      <c r="AC25" s="517"/>
      <c r="AD25" s="517"/>
      <c r="AE25" s="517"/>
      <c r="AF25" s="517"/>
      <c r="AG25" s="517"/>
      <c r="AH25" s="517"/>
      <c r="AI25" s="517"/>
      <c r="AJ25" s="517"/>
      <c r="AK25" s="517"/>
      <c r="AL25" s="517"/>
      <c r="AM25" s="517"/>
      <c r="AN25" s="517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</row>
    <row r="26" spans="1:139" x14ac:dyDescent="0.25">
      <c r="A26" s="42"/>
      <c r="B26" s="79" t="s">
        <v>514</v>
      </c>
      <c r="C26" s="215" t="s">
        <v>513</v>
      </c>
      <c r="D26" s="201" t="s">
        <v>44</v>
      </c>
      <c r="E26" s="201">
        <v>1</v>
      </c>
      <c r="F26" s="201">
        <v>2</v>
      </c>
      <c r="G26" s="201">
        <v>3</v>
      </c>
      <c r="H26" s="201">
        <v>4</v>
      </c>
      <c r="I26" s="201">
        <v>5</v>
      </c>
      <c r="J26" s="201">
        <v>6</v>
      </c>
      <c r="K26" s="201">
        <v>7</v>
      </c>
      <c r="L26" s="469">
        <v>8</v>
      </c>
      <c r="M26" s="42"/>
      <c r="N26" s="20"/>
      <c r="O26" s="20"/>
      <c r="P26" s="20"/>
      <c r="Q26" s="42"/>
      <c r="R26" s="42"/>
      <c r="S26" s="42"/>
      <c r="T26" s="42"/>
      <c r="U26" s="42"/>
      <c r="W26" s="20"/>
      <c r="X26" s="20"/>
      <c r="Y26" s="20"/>
      <c r="Z26" s="20"/>
      <c r="AA26" s="20"/>
      <c r="AB26" s="20"/>
      <c r="AC26" s="517"/>
      <c r="AD26" s="517"/>
      <c r="AE26" s="517"/>
      <c r="AF26" s="517"/>
      <c r="AG26" s="517"/>
      <c r="AH26" s="517"/>
      <c r="AI26" s="517"/>
      <c r="AJ26" s="517"/>
      <c r="AK26" s="517"/>
      <c r="AL26" s="517"/>
      <c r="AM26" s="517"/>
      <c r="AN26" s="517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</row>
    <row r="27" spans="1:139" ht="15.75" thickBot="1" x14ac:dyDescent="0.3">
      <c r="A27" s="42"/>
      <c r="B27" s="420" t="s">
        <v>83</v>
      </c>
      <c r="C27" s="418" t="s">
        <v>512</v>
      </c>
      <c r="D27" s="216" t="s">
        <v>44</v>
      </c>
      <c r="E27" s="470" t="s">
        <v>511</v>
      </c>
      <c r="F27" s="470" t="s">
        <v>510</v>
      </c>
      <c r="G27" s="470" t="s">
        <v>510</v>
      </c>
      <c r="H27" s="470" t="s">
        <v>510</v>
      </c>
      <c r="I27" s="470" t="s">
        <v>580</v>
      </c>
      <c r="J27" s="470" t="s">
        <v>43</v>
      </c>
      <c r="K27" s="470" t="s">
        <v>43</v>
      </c>
      <c r="L27" s="471" t="s">
        <v>43</v>
      </c>
      <c r="M27" s="20"/>
      <c r="N27" s="20"/>
      <c r="O27" s="20"/>
      <c r="P27" s="20"/>
      <c r="Q27" s="42"/>
      <c r="R27" s="42"/>
      <c r="S27" s="42"/>
      <c r="T27" s="42"/>
      <c r="U27" s="42"/>
      <c r="W27" s="20"/>
      <c r="X27" s="20"/>
      <c r="Y27" s="20"/>
      <c r="Z27" s="20"/>
      <c r="AA27" s="20"/>
      <c r="AB27" s="20"/>
      <c r="AC27" s="517"/>
      <c r="AD27" s="517"/>
      <c r="AE27" s="517"/>
      <c r="AF27" s="517"/>
      <c r="AG27" s="517"/>
      <c r="AH27" s="517"/>
      <c r="AI27" s="517"/>
      <c r="AJ27" s="517"/>
      <c r="AK27" s="517"/>
      <c r="AL27" s="517"/>
      <c r="AM27" s="517"/>
      <c r="AN27" s="517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</row>
    <row r="28" spans="1:139" ht="15" customHeight="1" x14ac:dyDescent="0.25">
      <c r="A28" s="42"/>
      <c r="B28" s="80" t="s">
        <v>123</v>
      </c>
      <c r="C28" s="81" t="s">
        <v>124</v>
      </c>
      <c r="D28" s="81" t="s">
        <v>44</v>
      </c>
      <c r="E28" s="81">
        <v>4</v>
      </c>
      <c r="F28" s="449">
        <v>5</v>
      </c>
      <c r="G28" s="81">
        <v>6</v>
      </c>
      <c r="H28" s="81">
        <v>6</v>
      </c>
      <c r="I28" s="81">
        <v>3</v>
      </c>
      <c r="J28" s="81">
        <v>2</v>
      </c>
      <c r="K28" s="217">
        <v>1</v>
      </c>
      <c r="L28" s="396" t="s">
        <v>193</v>
      </c>
      <c r="M28" s="20"/>
      <c r="N28" s="761" t="s">
        <v>568</v>
      </c>
      <c r="O28" s="762"/>
      <c r="P28" s="762"/>
      <c r="Q28" s="762"/>
      <c r="R28" s="763"/>
      <c r="S28" s="42"/>
      <c r="T28" s="42"/>
      <c r="U28" s="42"/>
      <c r="W28" s="20"/>
      <c r="X28" s="20"/>
      <c r="Y28" s="20"/>
      <c r="Z28" s="20"/>
      <c r="AA28" s="20"/>
      <c r="AB28" s="20"/>
      <c r="AC28" s="517"/>
      <c r="AD28" s="517"/>
      <c r="AE28" s="517"/>
      <c r="AF28" s="517"/>
      <c r="AG28" s="517"/>
      <c r="AH28" s="517"/>
      <c r="AI28" s="517"/>
      <c r="AJ28" s="517"/>
      <c r="AK28" s="517"/>
      <c r="AL28" s="517"/>
      <c r="AM28" s="517"/>
      <c r="AN28" s="517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</row>
    <row r="29" spans="1:139" ht="15.75" customHeight="1" thickBot="1" x14ac:dyDescent="0.3">
      <c r="A29" s="42"/>
      <c r="B29" s="394" t="s">
        <v>125</v>
      </c>
      <c r="C29" s="393" t="s">
        <v>140</v>
      </c>
      <c r="D29" s="393" t="s">
        <v>126</v>
      </c>
      <c r="E29" s="391">
        <f>+I30</f>
        <v>35</v>
      </c>
      <c r="F29" s="392">
        <f>+E30</f>
        <v>55</v>
      </c>
      <c r="G29" s="391">
        <f>+F30</f>
        <v>65</v>
      </c>
      <c r="H29" s="391">
        <f>+G29</f>
        <v>65</v>
      </c>
      <c r="I29" s="391">
        <f>+J30</f>
        <v>22</v>
      </c>
      <c r="J29" s="391">
        <f>+K30</f>
        <v>18</v>
      </c>
      <c r="K29" s="390">
        <f>+D9</f>
        <v>17</v>
      </c>
      <c r="L29" s="395">
        <f>+K29</f>
        <v>17</v>
      </c>
      <c r="M29" s="20"/>
      <c r="N29" s="764"/>
      <c r="O29" s="765"/>
      <c r="P29" s="765"/>
      <c r="Q29" s="765"/>
      <c r="R29" s="766"/>
      <c r="S29" s="42"/>
      <c r="T29" s="42"/>
      <c r="U29" s="42"/>
      <c r="W29" s="20"/>
      <c r="X29" s="20"/>
      <c r="Y29" s="20"/>
      <c r="Z29" s="20"/>
      <c r="AA29" s="20"/>
      <c r="AB29" s="20"/>
      <c r="AC29" s="517"/>
      <c r="AD29" s="517"/>
      <c r="AE29" s="517"/>
      <c r="AF29" s="517"/>
      <c r="AG29" s="517"/>
      <c r="AH29" s="517"/>
      <c r="AI29" s="517"/>
      <c r="AJ29" s="517"/>
      <c r="AK29" s="517"/>
      <c r="AL29" s="517"/>
      <c r="AM29" s="517"/>
      <c r="AN29" s="517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</row>
    <row r="30" spans="1:139" ht="15.75" customHeight="1" x14ac:dyDescent="0.25">
      <c r="A30" s="42"/>
      <c r="B30" s="394" t="s">
        <v>127</v>
      </c>
      <c r="C30" s="393" t="s">
        <v>141</v>
      </c>
      <c r="D30" s="393" t="s">
        <v>126</v>
      </c>
      <c r="E30" s="391">
        <v>55</v>
      </c>
      <c r="F30" s="392">
        <v>65</v>
      </c>
      <c r="G30" s="391">
        <f>+D12</f>
        <v>93.4</v>
      </c>
      <c r="H30" s="391">
        <f>+G30</f>
        <v>93.4</v>
      </c>
      <c r="I30" s="391">
        <v>35</v>
      </c>
      <c r="J30" s="391">
        <v>22</v>
      </c>
      <c r="K30" s="390">
        <v>18</v>
      </c>
      <c r="L30" s="465">
        <f>+G29</f>
        <v>65</v>
      </c>
      <c r="M30" s="20"/>
      <c r="N30" s="767" t="s">
        <v>567</v>
      </c>
      <c r="O30" s="768"/>
      <c r="P30" s="768"/>
      <c r="Q30" s="768"/>
      <c r="R30" s="769"/>
      <c r="S30" s="42"/>
      <c r="T30" s="42"/>
      <c r="U30" s="42"/>
      <c r="W30" s="20"/>
      <c r="X30" s="20"/>
      <c r="Y30" s="20"/>
      <c r="Z30" s="20"/>
      <c r="AA30" s="20"/>
      <c r="AB30" s="20"/>
      <c r="AC30" s="517"/>
      <c r="AD30" s="517"/>
      <c r="AE30" s="517"/>
      <c r="AF30" s="517"/>
      <c r="AG30" s="517"/>
      <c r="AH30" s="517"/>
      <c r="AI30" s="517"/>
      <c r="AJ30" s="517"/>
      <c r="AK30" s="517"/>
      <c r="AL30" s="517"/>
      <c r="AM30" s="517"/>
      <c r="AN30" s="517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</row>
    <row r="31" spans="1:139" x14ac:dyDescent="0.25">
      <c r="A31" s="42"/>
      <c r="B31" s="448" t="s">
        <v>128</v>
      </c>
      <c r="C31" s="81" t="s">
        <v>142</v>
      </c>
      <c r="D31" s="81" t="s">
        <v>126</v>
      </c>
      <c r="E31" s="81">
        <f t="shared" ref="E31:H31" si="2">(E29+E30)/2</f>
        <v>45</v>
      </c>
      <c r="F31" s="449">
        <f t="shared" si="2"/>
        <v>60</v>
      </c>
      <c r="G31" s="81">
        <f t="shared" si="2"/>
        <v>79.2</v>
      </c>
      <c r="H31" s="81">
        <f t="shared" si="2"/>
        <v>79.2</v>
      </c>
      <c r="I31" s="81">
        <f>(I29+I30)/2</f>
        <v>28.5</v>
      </c>
      <c r="J31" s="81">
        <f>(J29+J30)/2</f>
        <v>20</v>
      </c>
      <c r="K31" s="81">
        <f>(K29+K30)/2</f>
        <v>17.5</v>
      </c>
      <c r="L31" s="82">
        <f>(L29+L30)/2</f>
        <v>41</v>
      </c>
      <c r="M31" s="20"/>
      <c r="N31" s="770"/>
      <c r="O31" s="771"/>
      <c r="P31" s="771"/>
      <c r="Q31" s="771"/>
      <c r="R31" s="772"/>
      <c r="S31" s="42"/>
      <c r="T31" s="42"/>
      <c r="U31" s="42"/>
      <c r="W31" s="20"/>
      <c r="X31" s="20"/>
      <c r="Y31" s="20"/>
      <c r="Z31" s="20"/>
      <c r="AA31" s="20"/>
      <c r="AB31" s="20"/>
      <c r="AC31" s="517"/>
      <c r="AD31" s="517"/>
      <c r="AE31" s="517"/>
      <c r="AF31" s="517"/>
      <c r="AG31" s="517"/>
      <c r="AH31" s="517"/>
      <c r="AI31" s="517"/>
      <c r="AJ31" s="517"/>
      <c r="AK31" s="517"/>
      <c r="AL31" s="517"/>
      <c r="AM31" s="517"/>
      <c r="AN31" s="517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</row>
    <row r="32" spans="1:139" ht="15.75" thickBot="1" x14ac:dyDescent="0.3">
      <c r="A32" s="42"/>
      <c r="B32" s="80" t="s">
        <v>322</v>
      </c>
      <c r="C32" s="81" t="s">
        <v>129</v>
      </c>
      <c r="D32" s="81" t="s">
        <v>38</v>
      </c>
      <c r="E32" s="81">
        <f>+J32*J29/J30</f>
        <v>636.10909090909092</v>
      </c>
      <c r="F32" s="386">
        <f>+(E32*E29)/E30</f>
        <v>404.79669421487608</v>
      </c>
      <c r="G32" s="386">
        <f>+(F32/2*F29)/F30</f>
        <v>171.26013986013987</v>
      </c>
      <c r="H32" s="386">
        <f>+(F32/2*F29)/F30</f>
        <v>171.26013986013987</v>
      </c>
      <c r="I32" s="83">
        <f>+J32*J29/J30</f>
        <v>636.10909090909092</v>
      </c>
      <c r="J32" s="83">
        <f>+(K32-L32)*K29/K30</f>
        <v>777.4666666666667</v>
      </c>
      <c r="K32" s="83">
        <f>+K6</f>
        <v>857.5</v>
      </c>
      <c r="L32" s="84">
        <f>+K7</f>
        <v>34.300000000000004</v>
      </c>
      <c r="M32" s="42"/>
      <c r="N32" s="773"/>
      <c r="O32" s="774"/>
      <c r="P32" s="774"/>
      <c r="Q32" s="774"/>
      <c r="R32" s="775"/>
      <c r="S32" s="42"/>
      <c r="T32" s="42"/>
      <c r="U32" s="42"/>
      <c r="W32" s="20"/>
      <c r="X32" s="20"/>
      <c r="Y32" s="20"/>
      <c r="Z32" s="20"/>
      <c r="AA32" s="20"/>
      <c r="AB32" s="20"/>
      <c r="AC32" s="517"/>
      <c r="AD32" s="517"/>
      <c r="AE32" s="517"/>
      <c r="AF32" s="517"/>
      <c r="AG32" s="517"/>
      <c r="AH32" s="517"/>
      <c r="AI32" s="517"/>
      <c r="AJ32" s="517"/>
      <c r="AK32" s="517"/>
      <c r="AL32" s="517"/>
      <c r="AM32" s="517"/>
      <c r="AN32" s="517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</row>
    <row r="33" spans="1:139" x14ac:dyDescent="0.25">
      <c r="A33" s="42"/>
      <c r="B33" s="80" t="s">
        <v>130</v>
      </c>
      <c r="C33" s="81" t="s">
        <v>131</v>
      </c>
      <c r="D33" s="81" t="s">
        <v>48</v>
      </c>
      <c r="E33" s="179">
        <f t="shared" ref="E33:H33" si="3">4.18*(1-0.006*E31)</f>
        <v>3.0513999999999997</v>
      </c>
      <c r="F33" s="386">
        <f t="shared" si="3"/>
        <v>2.6751999999999998</v>
      </c>
      <c r="G33" s="179">
        <f t="shared" si="3"/>
        <v>2.1936639999999996</v>
      </c>
      <c r="H33" s="179">
        <f t="shared" si="3"/>
        <v>2.1936639999999996</v>
      </c>
      <c r="I33" s="179">
        <f>4.18*(1-0.006*I31)</f>
        <v>3.4652199999999995</v>
      </c>
      <c r="J33" s="179">
        <f>4.18*(1-0.006*J31)</f>
        <v>3.6783999999999999</v>
      </c>
      <c r="K33" s="179">
        <f>4.18*(1-0.006*K31)</f>
        <v>3.7410999999999999</v>
      </c>
      <c r="L33" s="180">
        <f>4.18*(1-0.006*L31)</f>
        <v>3.1517199999999996</v>
      </c>
      <c r="M33" s="42"/>
      <c r="N33" s="20"/>
      <c r="O33" s="20"/>
      <c r="P33" s="20"/>
      <c r="Q33" s="42"/>
      <c r="R33" s="42"/>
      <c r="S33" s="42"/>
      <c r="T33" s="42"/>
      <c r="U33" s="42"/>
      <c r="W33" s="20"/>
      <c r="X33" s="20"/>
      <c r="Y33" s="20"/>
      <c r="Z33" s="20"/>
      <c r="AA33" s="20"/>
      <c r="AB33" s="20"/>
      <c r="AC33" s="517"/>
      <c r="AD33" s="517"/>
      <c r="AE33" s="517"/>
      <c r="AF33" s="517"/>
      <c r="AG33" s="517"/>
      <c r="AH33" s="517"/>
      <c r="AI33" s="517"/>
      <c r="AJ33" s="517"/>
      <c r="AK33" s="517"/>
      <c r="AL33" s="517"/>
      <c r="AM33" s="517"/>
      <c r="AN33" s="517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</row>
    <row r="34" spans="1:139" x14ac:dyDescent="0.25">
      <c r="A34" s="42"/>
      <c r="B34" s="80" t="s">
        <v>508</v>
      </c>
      <c r="C34" s="385" t="s">
        <v>507</v>
      </c>
      <c r="D34" s="376" t="s">
        <v>52</v>
      </c>
      <c r="E34" s="194">
        <f t="shared" ref="E34:H34" si="4">997.39+4.46*E31</f>
        <v>1198.0899999999999</v>
      </c>
      <c r="F34" s="194">
        <f t="shared" si="4"/>
        <v>1264.99</v>
      </c>
      <c r="G34" s="194">
        <f t="shared" si="4"/>
        <v>1350.6220000000001</v>
      </c>
      <c r="H34" s="194">
        <f t="shared" si="4"/>
        <v>1350.6220000000001</v>
      </c>
      <c r="I34" s="194">
        <f>997.39+4.46*I31</f>
        <v>1124.5</v>
      </c>
      <c r="J34" s="194">
        <f>997.39+4.46*J31</f>
        <v>1086.5899999999999</v>
      </c>
      <c r="K34" s="194">
        <f>997.39+4.46*K31</f>
        <v>1075.44</v>
      </c>
      <c r="L34" s="384">
        <f>997.39+4.46*L31</f>
        <v>1180.25</v>
      </c>
      <c r="M34" s="42"/>
      <c r="N34" s="20"/>
      <c r="O34" s="20"/>
      <c r="P34" s="20"/>
      <c r="Q34" s="42"/>
      <c r="R34" s="42"/>
      <c r="S34" s="42"/>
      <c r="T34" s="42"/>
      <c r="U34" s="42"/>
      <c r="W34" s="20"/>
      <c r="X34" s="20"/>
      <c r="Y34" s="20"/>
      <c r="Z34" s="296"/>
      <c r="AA34" s="20"/>
      <c r="AB34" s="20"/>
      <c r="AC34" s="517"/>
      <c r="AD34" s="517"/>
      <c r="AE34" s="517"/>
      <c r="AF34" s="517"/>
      <c r="AG34" s="517"/>
      <c r="AH34" s="517"/>
      <c r="AI34" s="517"/>
      <c r="AJ34" s="517"/>
      <c r="AK34" s="517"/>
      <c r="AL34" s="517"/>
      <c r="AM34" s="517"/>
      <c r="AN34" s="517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</row>
    <row r="35" spans="1:139" ht="15.75" thickBot="1" x14ac:dyDescent="0.3">
      <c r="A35" s="42"/>
      <c r="B35" s="383" t="s">
        <v>457</v>
      </c>
      <c r="C35" s="382" t="s">
        <v>506</v>
      </c>
      <c r="D35" s="382" t="s">
        <v>505</v>
      </c>
      <c r="E35" s="192">
        <f t="shared" ref="E35:H35" si="5">+E32/E34</f>
        <v>0.53093598219590432</v>
      </c>
      <c r="F35" s="192">
        <f t="shared" si="5"/>
        <v>0.31999991637473502</v>
      </c>
      <c r="G35" s="192">
        <f t="shared" si="5"/>
        <v>0.12680094050011023</v>
      </c>
      <c r="H35" s="192">
        <f t="shared" si="5"/>
        <v>0.12680094050011023</v>
      </c>
      <c r="I35" s="192">
        <f>+I32/I34</f>
        <v>0.56568171712680382</v>
      </c>
      <c r="J35" s="192">
        <f>+J32/J34</f>
        <v>0.71551060350883655</v>
      </c>
      <c r="K35" s="192">
        <f>+K32/K34</f>
        <v>0.79734806218849952</v>
      </c>
      <c r="L35" s="193">
        <f>+L32/L34</f>
        <v>2.9061639483160352E-2</v>
      </c>
      <c r="M35" s="42"/>
      <c r="N35" s="20"/>
      <c r="O35" s="20"/>
      <c r="P35" s="20"/>
      <c r="Q35" s="42"/>
      <c r="R35" s="42"/>
      <c r="S35" s="42"/>
      <c r="T35" s="42"/>
      <c r="U35" s="42"/>
      <c r="W35" s="20"/>
      <c r="X35" s="20"/>
      <c r="Y35" s="20"/>
      <c r="Z35" s="296"/>
      <c r="AA35" s="20"/>
      <c r="AB35" s="20"/>
      <c r="AC35" s="517"/>
      <c r="AD35" s="517"/>
      <c r="AE35" s="517"/>
      <c r="AF35" s="517"/>
      <c r="AG35" s="517"/>
      <c r="AH35" s="517"/>
      <c r="AI35" s="517"/>
      <c r="AJ35" s="517"/>
      <c r="AK35" s="517"/>
      <c r="AL35" s="517"/>
      <c r="AM35" s="517"/>
      <c r="AN35" s="517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20"/>
      <c r="DM35" s="20"/>
      <c r="DN35" s="20"/>
      <c r="DO35" s="20"/>
      <c r="DP35" s="20"/>
      <c r="DQ35" s="20"/>
      <c r="DR35" s="20"/>
      <c r="DS35" s="20"/>
      <c r="DT35" s="20"/>
      <c r="DU35" s="20"/>
      <c r="DV35" s="20"/>
      <c r="DW35" s="20"/>
      <c r="DX35" s="20"/>
      <c r="DY35" s="20"/>
      <c r="DZ35" s="20"/>
      <c r="EA35" s="20"/>
      <c r="EB35" s="20"/>
      <c r="EC35" s="20"/>
      <c r="ED35" s="20"/>
      <c r="EE35" s="20"/>
      <c r="EF35" s="20"/>
      <c r="EG35" s="20"/>
      <c r="EH35" s="20"/>
      <c r="EI35" s="20"/>
    </row>
    <row r="36" spans="1:139" ht="15.75" thickBot="1" x14ac:dyDescent="0.3">
      <c r="A36" s="42"/>
      <c r="B36" s="88" t="s">
        <v>457</v>
      </c>
      <c r="C36" s="89" t="s">
        <v>504</v>
      </c>
      <c r="D36" s="89" t="s">
        <v>463</v>
      </c>
      <c r="E36" s="482">
        <f t="shared" ref="E36:H36" si="6">+E35*1000</f>
        <v>530.93598219590433</v>
      </c>
      <c r="F36" s="482">
        <f t="shared" si="6"/>
        <v>319.99991637473499</v>
      </c>
      <c r="G36" s="482">
        <f t="shared" si="6"/>
        <v>126.80094050011023</v>
      </c>
      <c r="H36" s="482">
        <f t="shared" si="6"/>
        <v>126.80094050011023</v>
      </c>
      <c r="I36" s="482">
        <f>+I35*1000</f>
        <v>565.68171712680385</v>
      </c>
      <c r="J36" s="482">
        <f>+J35*1000</f>
        <v>715.51060350883654</v>
      </c>
      <c r="K36" s="482">
        <f>+K35*1000</f>
        <v>797.34806218849951</v>
      </c>
      <c r="L36" s="483">
        <f>+L35*1000</f>
        <v>29.061639483160352</v>
      </c>
      <c r="M36" s="42"/>
      <c r="N36" s="696" t="s">
        <v>569</v>
      </c>
      <c r="O36" s="697"/>
      <c r="P36" s="439" t="s">
        <v>69</v>
      </c>
      <c r="Q36" s="466">
        <f>+SUM(E41:K41)</f>
        <v>592.08847123792475</v>
      </c>
      <c r="R36" s="440" t="s">
        <v>19</v>
      </c>
      <c r="S36" s="42"/>
      <c r="T36" s="42"/>
      <c r="U36" s="42"/>
      <c r="W36" s="20"/>
      <c r="X36" s="20"/>
      <c r="Y36" s="20"/>
      <c r="Z36" s="296"/>
      <c r="AA36" s="20"/>
      <c r="AB36" s="20"/>
      <c r="AC36" s="517"/>
      <c r="AD36" s="517"/>
      <c r="AE36" s="517"/>
      <c r="AF36" s="517"/>
      <c r="AG36" s="517"/>
      <c r="AH36" s="517"/>
      <c r="AI36" s="517"/>
      <c r="AJ36" s="517"/>
      <c r="AK36" s="517"/>
      <c r="AL36" s="517"/>
      <c r="AM36" s="517"/>
      <c r="AN36" s="517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20"/>
      <c r="DT36" s="20"/>
      <c r="DU36" s="20"/>
      <c r="DV36" s="20"/>
      <c r="DW36" s="20"/>
      <c r="DX36" s="20"/>
      <c r="DY36" s="20"/>
      <c r="DZ36" s="20"/>
      <c r="EA36" s="20"/>
      <c r="EB36" s="20"/>
      <c r="EC36" s="20"/>
      <c r="ED36" s="20"/>
      <c r="EE36" s="20"/>
      <c r="EF36" s="20"/>
      <c r="EG36" s="20"/>
      <c r="EH36" s="20"/>
      <c r="EI36" s="20"/>
    </row>
    <row r="37" spans="1:139" x14ac:dyDescent="0.25">
      <c r="A37" s="42"/>
      <c r="B37" s="80" t="s">
        <v>503</v>
      </c>
      <c r="C37" s="81" t="s">
        <v>132</v>
      </c>
      <c r="D37" s="81" t="s">
        <v>133</v>
      </c>
      <c r="E37" s="179">
        <f t="shared" ref="E37:H37" si="7">$D$22+0.2209*EXP(0.0557*E29)</f>
        <v>98.131540164965912</v>
      </c>
      <c r="F37" s="179">
        <f t="shared" si="7"/>
        <v>101.30745487096806</v>
      </c>
      <c r="G37" s="179">
        <f t="shared" si="7"/>
        <v>104.83167290032276</v>
      </c>
      <c r="H37" s="179">
        <f t="shared" si="7"/>
        <v>104.83167290032276</v>
      </c>
      <c r="I37" s="179">
        <f>$D$22+0.2209*EXP(0.0557*I29)</f>
        <v>97.331960342879725</v>
      </c>
      <c r="J37" s="179">
        <f>$D$22+0.2209*EXP(0.0557*J29)</f>
        <v>97.181710908145178</v>
      </c>
      <c r="K37" s="179">
        <f>+D19</f>
        <v>25</v>
      </c>
      <c r="L37" s="179">
        <f>$D$22+0.2209*EXP(0.0557*L29)</f>
        <v>97.149094540236746</v>
      </c>
      <c r="M37" s="42"/>
      <c r="N37" s="20"/>
      <c r="O37" s="20"/>
      <c r="P37" s="20"/>
      <c r="Q37" s="42"/>
      <c r="R37" s="42"/>
      <c r="S37" s="42"/>
      <c r="T37" s="42"/>
      <c r="U37" s="42"/>
      <c r="W37" s="20"/>
      <c r="X37" s="20"/>
      <c r="Y37" s="20"/>
      <c r="Z37" s="296"/>
      <c r="AA37" s="20"/>
      <c r="AB37" s="20"/>
      <c r="AC37" s="517"/>
      <c r="AD37" s="517"/>
      <c r="AE37" s="517"/>
      <c r="AF37" s="517"/>
      <c r="AG37" s="517"/>
      <c r="AH37" s="517"/>
      <c r="AI37" s="517"/>
      <c r="AJ37" s="517"/>
      <c r="AK37" s="517"/>
      <c r="AL37" s="517"/>
      <c r="AM37" s="517"/>
      <c r="AN37" s="517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20"/>
      <c r="DT37" s="20"/>
      <c r="DU37" s="20"/>
      <c r="DV37" s="20"/>
      <c r="DW37" s="20"/>
      <c r="DX37" s="20"/>
      <c r="DY37" s="20"/>
      <c r="DZ37" s="20"/>
      <c r="EA37" s="20"/>
      <c r="EB37" s="20"/>
      <c r="EC37" s="20"/>
      <c r="ED37" s="20"/>
      <c r="EE37" s="20"/>
      <c r="EF37" s="20"/>
      <c r="EG37" s="20"/>
      <c r="EH37" s="20"/>
      <c r="EI37" s="20"/>
    </row>
    <row r="38" spans="1:139" x14ac:dyDescent="0.25">
      <c r="A38" s="42"/>
      <c r="B38" s="80" t="s">
        <v>502</v>
      </c>
      <c r="C38" s="81" t="s">
        <v>132</v>
      </c>
      <c r="D38" s="81" t="s">
        <v>133</v>
      </c>
      <c r="E38" s="179">
        <f t="shared" ref="E38:H38" si="8">$D$22+0.2209*EXP(0.0557*E30)</f>
        <v>101.30745487096806</v>
      </c>
      <c r="F38" s="179">
        <f t="shared" si="8"/>
        <v>104.83167290032276</v>
      </c>
      <c r="G38" s="179">
        <f t="shared" si="8"/>
        <v>136.71813336403685</v>
      </c>
      <c r="H38" s="179">
        <f t="shared" si="8"/>
        <v>136.71813336403685</v>
      </c>
      <c r="I38" s="179">
        <f>$D$22+0.2209*EXP(0.0557*I30)</f>
        <v>98.131540164965912</v>
      </c>
      <c r="J38" s="179">
        <f>$D$22+0.2209*EXP(0.0557*J30)</f>
        <v>97.331960342879725</v>
      </c>
      <c r="K38" s="179">
        <f>$D$22+0.2209*EXP(0.0557*K30)</f>
        <v>97.181710908145178</v>
      </c>
      <c r="L38" s="179">
        <f>$D$22+0.2209*EXP(0.0557*L30)</f>
        <v>104.83167290032276</v>
      </c>
      <c r="M38" s="42"/>
      <c r="N38" s="20"/>
      <c r="O38" s="20"/>
      <c r="P38" s="20"/>
      <c r="Q38" s="42"/>
      <c r="R38" s="42"/>
      <c r="S38" s="42"/>
      <c r="T38" s="42"/>
      <c r="U38" s="42"/>
      <c r="W38" s="20"/>
      <c r="X38" s="20"/>
      <c r="Y38" s="20"/>
      <c r="Z38" s="296"/>
      <c r="AA38" s="20"/>
      <c r="AB38" s="20"/>
      <c r="AC38" s="517"/>
      <c r="AD38" s="517"/>
      <c r="AE38" s="517"/>
      <c r="AF38" s="517"/>
      <c r="AG38" s="517"/>
      <c r="AH38" s="517"/>
      <c r="AI38" s="517"/>
      <c r="AJ38" s="517"/>
      <c r="AK38" s="517"/>
      <c r="AL38" s="517"/>
      <c r="AM38" s="517"/>
      <c r="AN38" s="517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  <c r="DK38" s="20"/>
      <c r="DL38" s="20"/>
      <c r="DM38" s="20"/>
      <c r="DN38" s="20"/>
      <c r="DO38" s="20"/>
      <c r="DP38" s="20"/>
      <c r="DQ38" s="20"/>
      <c r="DR38" s="20"/>
      <c r="DS38" s="20"/>
      <c r="DT38" s="20"/>
      <c r="DU38" s="20"/>
      <c r="DV38" s="20"/>
      <c r="DW38" s="20"/>
      <c r="DX38" s="20"/>
      <c r="DY38" s="20"/>
      <c r="DZ38" s="20"/>
      <c r="EA38" s="20"/>
      <c r="EB38" s="20"/>
      <c r="EC38" s="20"/>
      <c r="ED38" s="20"/>
      <c r="EE38" s="20"/>
      <c r="EF38" s="20"/>
      <c r="EG38" s="20"/>
      <c r="EH38" s="20"/>
      <c r="EI38" s="20"/>
    </row>
    <row r="39" spans="1:139" x14ac:dyDescent="0.25">
      <c r="A39" s="42"/>
      <c r="B39" s="80" t="s">
        <v>134</v>
      </c>
      <c r="C39" s="85" t="s">
        <v>135</v>
      </c>
      <c r="D39" s="81" t="s">
        <v>33</v>
      </c>
      <c r="E39" s="179">
        <f t="shared" ref="E39:H39" si="9">2492.9-2.0523*E37-0.0030752*E37^2</f>
        <v>2261.8910816960242</v>
      </c>
      <c r="F39" s="179">
        <f t="shared" si="9"/>
        <v>2253.4253164599977</v>
      </c>
      <c r="G39" s="179">
        <f t="shared" si="9"/>
        <v>2243.9584948682673</v>
      </c>
      <c r="H39" s="179">
        <f t="shared" si="9"/>
        <v>2243.9584948682673</v>
      </c>
      <c r="I39" s="179">
        <f>2492.9-2.0523*I37-0.0030752*I37^2</f>
        <v>2264.0126782858292</v>
      </c>
      <c r="J39" s="179">
        <f>2492.9-2.0523*J37-0.0030752*J37^2</f>
        <v>2264.4109096709963</v>
      </c>
      <c r="K39" s="179">
        <f>2492.9-2.0523*K37-0.0030752*K37^2</f>
        <v>2439.6705000000002</v>
      </c>
      <c r="L39" s="180">
        <f>2492.9-2.0523*L37-0.0030752*L37^2</f>
        <v>2264.4973399830455</v>
      </c>
      <c r="M39" s="42"/>
      <c r="N39" s="20"/>
      <c r="O39" s="20"/>
      <c r="P39" s="20"/>
      <c r="Q39" s="42"/>
      <c r="R39" s="20"/>
      <c r="S39" s="42"/>
      <c r="T39" s="42"/>
      <c r="U39" s="42"/>
      <c r="W39" s="20"/>
      <c r="X39" s="20"/>
      <c r="Y39" s="20"/>
      <c r="Z39" s="296"/>
      <c r="AA39" s="20"/>
      <c r="AB39" s="20"/>
      <c r="AC39" s="517"/>
      <c r="AD39" s="517"/>
      <c r="AE39" s="517"/>
      <c r="AF39" s="517"/>
      <c r="AG39" s="517"/>
      <c r="AH39" s="517"/>
      <c r="AI39" s="517"/>
      <c r="AJ39" s="517"/>
      <c r="AK39" s="517"/>
      <c r="AL39" s="517"/>
      <c r="AM39" s="517"/>
      <c r="AN39" s="517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0"/>
      <c r="DK39" s="20"/>
      <c r="DL39" s="20"/>
      <c r="DM39" s="20"/>
      <c r="DN39" s="20"/>
      <c r="DO39" s="20"/>
      <c r="DP39" s="20"/>
      <c r="DQ39" s="20"/>
      <c r="DR39" s="20"/>
      <c r="DS39" s="20"/>
      <c r="DT39" s="20"/>
      <c r="DU39" s="20"/>
      <c r="DV39" s="20"/>
      <c r="DW39" s="20"/>
      <c r="DX39" s="20"/>
      <c r="DY39" s="20"/>
      <c r="DZ39" s="20"/>
      <c r="EA39" s="20"/>
      <c r="EB39" s="20"/>
      <c r="EC39" s="20"/>
      <c r="ED39" s="20"/>
      <c r="EE39" s="20"/>
      <c r="EF39" s="20"/>
      <c r="EG39" s="20"/>
      <c r="EH39" s="20"/>
      <c r="EI39" s="20"/>
    </row>
    <row r="40" spans="1:139" ht="15.75" thickBot="1" x14ac:dyDescent="0.3">
      <c r="A40" s="42"/>
      <c r="B40" s="86" t="s">
        <v>136</v>
      </c>
      <c r="C40" s="87" t="s">
        <v>137</v>
      </c>
      <c r="D40" s="87" t="s">
        <v>38</v>
      </c>
      <c r="E40" s="148">
        <f t="shared" ref="E40:H40" si="10">+E32-(E32*E29/E30)</f>
        <v>231.31239669421484</v>
      </c>
      <c r="F40" s="148">
        <f t="shared" si="10"/>
        <v>62.276414494596338</v>
      </c>
      <c r="G40" s="148">
        <f t="shared" si="10"/>
        <v>52.074817687665657</v>
      </c>
      <c r="H40" s="148">
        <f t="shared" si="10"/>
        <v>52.074817687665657</v>
      </c>
      <c r="I40" s="148">
        <f>+I32-(I32*I29/I30)</f>
        <v>236.26909090909095</v>
      </c>
      <c r="J40" s="148">
        <f>+J32-(J32*J29/J30)</f>
        <v>141.35757575757577</v>
      </c>
      <c r="K40" s="148">
        <f>+K32-L32-((K32-L32)*K29/K30)</f>
        <v>45.733333333333348</v>
      </c>
      <c r="L40" s="377">
        <f>+L32-(L32*L29/L30)</f>
        <v>25.329230769230772</v>
      </c>
      <c r="M40" s="468"/>
      <c r="N40" s="467"/>
      <c r="O40" s="42"/>
      <c r="P40" s="42"/>
      <c r="Q40" s="42"/>
      <c r="R40" s="42"/>
      <c r="S40" s="42"/>
      <c r="T40" s="42"/>
      <c r="U40" s="42"/>
      <c r="W40" s="20"/>
      <c r="X40" s="20"/>
      <c r="Y40" s="20"/>
      <c r="Z40" s="296"/>
      <c r="AA40" s="20"/>
      <c r="AB40" s="20"/>
      <c r="AC40" s="517"/>
      <c r="AD40" s="517"/>
      <c r="AE40" s="517"/>
      <c r="AF40" s="517"/>
      <c r="AG40" s="517"/>
      <c r="AH40" s="517"/>
      <c r="AI40" s="517"/>
      <c r="AJ40" s="517"/>
      <c r="AK40" s="517"/>
      <c r="AL40" s="517"/>
      <c r="AM40" s="517"/>
      <c r="AN40" s="517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20"/>
      <c r="DT40" s="20"/>
      <c r="DU40" s="20"/>
      <c r="DV40" s="20"/>
      <c r="DW40" s="20"/>
      <c r="DX40" s="20"/>
      <c r="DY40" s="20"/>
      <c r="DZ40" s="20"/>
      <c r="EA40" s="20"/>
      <c r="EB40" s="20"/>
      <c r="EC40" s="20"/>
      <c r="ED40" s="20"/>
      <c r="EE40" s="20"/>
      <c r="EF40" s="20"/>
      <c r="EG40" s="20"/>
      <c r="EH40" s="20"/>
      <c r="EI40" s="20"/>
    </row>
    <row r="41" spans="1:139" ht="15.75" thickBot="1" x14ac:dyDescent="0.3">
      <c r="A41" s="42"/>
      <c r="B41" s="88" t="s">
        <v>138</v>
      </c>
      <c r="C41" s="89" t="s">
        <v>139</v>
      </c>
      <c r="D41" s="89" t="s">
        <v>19</v>
      </c>
      <c r="E41" s="89">
        <f t="shared" ref="E41:H41" si="11">(E32*E33*(E38- E37)+E40*E39)/3600</f>
        <v>147.04665876333945</v>
      </c>
      <c r="F41" s="89">
        <f t="shared" si="11"/>
        <v>40.042129845881973</v>
      </c>
      <c r="G41" s="89">
        <f t="shared" si="11"/>
        <v>35.786962410656315</v>
      </c>
      <c r="H41" s="89">
        <f t="shared" si="11"/>
        <v>35.786962410656315</v>
      </c>
      <c r="I41" s="89">
        <f>(I32*I33*(I38- I37)+I40*I39)/3600</f>
        <v>149.0774159666513</v>
      </c>
      <c r="J41" s="89">
        <f>(J32*J33*(J38- J37)+J40*J39)/3600</f>
        <v>89.033701405522393</v>
      </c>
      <c r="K41" s="89">
        <f>(K32*K33*(K38- K37)+K40*K39)/3600</f>
        <v>95.314640435216987</v>
      </c>
      <c r="L41" s="90">
        <f>(L32*L33*(L38- L37)+L40*L39)/3600</f>
        <v>16.163470311402282</v>
      </c>
      <c r="M41" s="20"/>
      <c r="N41" s="20"/>
      <c r="O41" s="20"/>
      <c r="P41" s="20"/>
      <c r="Q41" s="42"/>
      <c r="R41" s="20"/>
      <c r="S41" s="42"/>
      <c r="T41" s="42"/>
      <c r="U41" s="42"/>
      <c r="W41" s="20"/>
      <c r="X41" s="20"/>
      <c r="Y41" s="20"/>
      <c r="Z41" s="296"/>
      <c r="AA41" s="20"/>
      <c r="AB41" s="20"/>
      <c r="AC41" s="517"/>
      <c r="AD41" s="517"/>
      <c r="AE41" s="517"/>
      <c r="AF41" s="517"/>
      <c r="AG41" s="517"/>
      <c r="AH41" s="517"/>
      <c r="AI41" s="517"/>
      <c r="AJ41" s="517"/>
      <c r="AK41" s="517"/>
      <c r="AL41" s="517"/>
      <c r="AM41" s="517"/>
      <c r="AN41" s="517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0"/>
      <c r="DK41" s="20"/>
      <c r="DL41" s="20"/>
      <c r="DM41" s="20"/>
      <c r="DN41" s="20"/>
      <c r="DO41" s="20"/>
      <c r="DP41" s="20"/>
      <c r="DQ41" s="20"/>
      <c r="DR41" s="20"/>
      <c r="DS41" s="20"/>
      <c r="DT41" s="20"/>
      <c r="DU41" s="20"/>
      <c r="DV41" s="20"/>
      <c r="DW41" s="20"/>
      <c r="DX41" s="20"/>
      <c r="DY41" s="20"/>
      <c r="DZ41" s="20"/>
      <c r="EA41" s="20"/>
      <c r="EB41" s="20"/>
      <c r="EC41" s="20"/>
      <c r="ED41" s="20"/>
      <c r="EE41" s="20"/>
      <c r="EF41" s="20"/>
      <c r="EG41" s="20"/>
      <c r="EH41" s="20"/>
      <c r="EI41" s="20"/>
    </row>
    <row r="42" spans="1:139" ht="15.75" thickBot="1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W42" s="20"/>
      <c r="X42" s="20"/>
      <c r="Y42" s="20"/>
      <c r="Z42" s="296"/>
      <c r="AA42" s="20"/>
      <c r="AB42" s="20"/>
      <c r="AC42" s="517"/>
      <c r="AD42" s="517"/>
      <c r="AE42" s="517"/>
      <c r="AF42" s="517"/>
      <c r="AG42" s="517"/>
      <c r="AH42" s="517"/>
      <c r="AI42" s="517"/>
      <c r="AJ42" s="517"/>
      <c r="AK42" s="517"/>
      <c r="AL42" s="517"/>
      <c r="AM42" s="517"/>
      <c r="AN42" s="517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0"/>
      <c r="CD42" s="20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0"/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0"/>
      <c r="DK42" s="20"/>
      <c r="DL42" s="20"/>
      <c r="DM42" s="20"/>
      <c r="DN42" s="20"/>
      <c r="DO42" s="20"/>
      <c r="DP42" s="20"/>
      <c r="DQ42" s="20"/>
      <c r="DR42" s="20"/>
      <c r="DS42" s="20"/>
      <c r="DT42" s="20"/>
      <c r="DU42" s="20"/>
      <c r="DV42" s="20"/>
      <c r="DW42" s="20"/>
      <c r="DX42" s="20"/>
      <c r="DY42" s="20"/>
      <c r="DZ42" s="20"/>
      <c r="EA42" s="20"/>
      <c r="EB42" s="20"/>
      <c r="EC42" s="20"/>
      <c r="ED42" s="20"/>
      <c r="EE42" s="20"/>
      <c r="EF42" s="20"/>
      <c r="EG42" s="20"/>
      <c r="EH42" s="20"/>
      <c r="EI42" s="20"/>
    </row>
    <row r="43" spans="1:139" ht="15.75" thickBot="1" x14ac:dyDescent="0.3">
      <c r="A43" s="758" t="s">
        <v>566</v>
      </c>
      <c r="B43" s="759"/>
      <c r="C43" s="759"/>
      <c r="D43" s="759"/>
      <c r="E43" s="759"/>
      <c r="F43" s="759"/>
      <c r="G43" s="759"/>
      <c r="H43" s="759"/>
      <c r="I43" s="759"/>
      <c r="J43" s="759"/>
      <c r="K43" s="759"/>
      <c r="L43" s="759"/>
      <c r="M43" s="759"/>
      <c r="N43" s="759"/>
      <c r="O43" s="759"/>
      <c r="P43" s="759"/>
      <c r="Q43" s="759"/>
      <c r="R43" s="759"/>
      <c r="S43" s="759"/>
      <c r="T43" s="759"/>
      <c r="U43" s="760"/>
      <c r="W43" s="20"/>
      <c r="X43" s="20"/>
      <c r="Y43" s="20"/>
      <c r="Z43" s="296"/>
      <c r="AA43" s="20"/>
      <c r="AB43" s="20"/>
      <c r="AC43" s="517"/>
      <c r="AD43" s="517"/>
      <c r="AE43" s="517"/>
      <c r="AF43" s="517"/>
      <c r="AG43" s="517"/>
      <c r="AH43" s="517"/>
      <c r="AI43" s="517"/>
      <c r="AJ43" s="517"/>
      <c r="AK43" s="517"/>
      <c r="AL43" s="517"/>
      <c r="AM43" s="517"/>
      <c r="AN43" s="517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0"/>
      <c r="CD43" s="20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0"/>
      <c r="CR43" s="20"/>
      <c r="CS43" s="20"/>
      <c r="CT43" s="20"/>
      <c r="CU43" s="20"/>
      <c r="CV43" s="20"/>
      <c r="CW43" s="20"/>
      <c r="CX43" s="20"/>
      <c r="CY43" s="20"/>
      <c r="CZ43" s="20"/>
      <c r="DA43" s="20"/>
      <c r="DB43" s="20"/>
      <c r="DC43" s="20"/>
      <c r="DD43" s="20"/>
      <c r="DE43" s="20"/>
      <c r="DF43" s="20"/>
      <c r="DG43" s="20"/>
      <c r="DH43" s="20"/>
      <c r="DI43" s="20"/>
      <c r="DJ43" s="20"/>
      <c r="DK43" s="20"/>
      <c r="DL43" s="20"/>
      <c r="DM43" s="20"/>
      <c r="DN43" s="20"/>
      <c r="DO43" s="20"/>
      <c r="DP43" s="20"/>
      <c r="DQ43" s="20"/>
      <c r="DR43" s="20"/>
      <c r="DS43" s="20"/>
      <c r="DT43" s="20"/>
      <c r="DU43" s="20"/>
      <c r="DV43" s="20"/>
      <c r="DW43" s="20"/>
      <c r="DX43" s="20"/>
      <c r="DY43" s="20"/>
      <c r="DZ43" s="20"/>
      <c r="EA43" s="20"/>
      <c r="EB43" s="20"/>
      <c r="EC43" s="20"/>
      <c r="ED43" s="20"/>
      <c r="EE43" s="20"/>
      <c r="EF43" s="20"/>
      <c r="EG43" s="20"/>
      <c r="EH43" s="20"/>
      <c r="EI43" s="20"/>
    </row>
    <row r="44" spans="1:139" ht="15.75" thickBot="1" x14ac:dyDescent="0.3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W44" s="20"/>
      <c r="X44" s="20"/>
      <c r="Y44" s="20"/>
      <c r="Z44" s="296"/>
      <c r="AA44" s="20"/>
      <c r="AB44" s="20"/>
      <c r="AC44" s="517"/>
      <c r="AD44" s="517"/>
      <c r="AE44" s="517"/>
      <c r="AF44" s="517"/>
      <c r="AG44" s="517"/>
      <c r="AH44" s="517"/>
      <c r="AI44" s="517"/>
      <c r="AJ44" s="517"/>
      <c r="AK44" s="517"/>
      <c r="AL44" s="517"/>
      <c r="AM44" s="517"/>
      <c r="AN44" s="517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20"/>
      <c r="DT44" s="20"/>
      <c r="DU44" s="20"/>
      <c r="DV44" s="20"/>
      <c r="DW44" s="20"/>
      <c r="DX44" s="20"/>
      <c r="DY44" s="20"/>
      <c r="DZ44" s="20"/>
      <c r="EA44" s="20"/>
      <c r="EB44" s="20"/>
      <c r="EC44" s="20"/>
      <c r="ED44" s="20"/>
      <c r="EE44" s="20"/>
      <c r="EF44" s="20"/>
      <c r="EG44" s="20"/>
      <c r="EH44" s="20"/>
      <c r="EI44" s="20"/>
    </row>
    <row r="45" spans="1:139" ht="15" customHeight="1" x14ac:dyDescent="0.25">
      <c r="A45" s="42"/>
      <c r="B45" s="472" t="s">
        <v>79</v>
      </c>
      <c r="C45" s="444" t="s">
        <v>80</v>
      </c>
      <c r="D45" s="473" t="s">
        <v>44</v>
      </c>
      <c r="E45" s="472">
        <f>+E26</f>
        <v>1</v>
      </c>
      <c r="F45" s="658">
        <f t="shared" ref="F45:L45" si="12">+F26</f>
        <v>2</v>
      </c>
      <c r="G45" s="658">
        <f t="shared" si="12"/>
        <v>3</v>
      </c>
      <c r="H45" s="658">
        <f t="shared" si="12"/>
        <v>4</v>
      </c>
      <c r="I45" s="658">
        <f t="shared" si="12"/>
        <v>5</v>
      </c>
      <c r="J45" s="658">
        <f t="shared" si="12"/>
        <v>6</v>
      </c>
      <c r="K45" s="658">
        <f t="shared" si="12"/>
        <v>7</v>
      </c>
      <c r="L45" s="659">
        <f t="shared" si="12"/>
        <v>8</v>
      </c>
      <c r="M45" s="42"/>
      <c r="N45" s="42"/>
      <c r="O45" s="42"/>
      <c r="P45" s="42"/>
      <c r="Q45" s="42"/>
      <c r="R45" s="42"/>
      <c r="S45" s="42"/>
      <c r="T45" s="42"/>
      <c r="U45" s="42"/>
      <c r="W45" s="20"/>
      <c r="X45" s="20"/>
      <c r="Y45" s="20"/>
      <c r="Z45" s="296"/>
      <c r="AA45" s="20"/>
      <c r="AB45" s="20"/>
      <c r="AC45" s="517"/>
      <c r="AD45" s="517"/>
      <c r="AE45" s="517"/>
      <c r="AF45" s="517"/>
      <c r="AG45" s="517"/>
      <c r="AH45" s="517"/>
      <c r="AI45" s="517"/>
      <c r="AJ45" s="517"/>
      <c r="AK45" s="517"/>
      <c r="AL45" s="517"/>
      <c r="AM45" s="517"/>
      <c r="AN45" s="517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0"/>
      <c r="CD45" s="20"/>
      <c r="CE45" s="20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0"/>
      <c r="CR45" s="20"/>
      <c r="CS45" s="20"/>
      <c r="CT45" s="20"/>
      <c r="CU45" s="20"/>
      <c r="CV45" s="20"/>
      <c r="CW45" s="20"/>
      <c r="CX45" s="20"/>
      <c r="CY45" s="20"/>
      <c r="CZ45" s="20"/>
      <c r="DA45" s="20"/>
      <c r="DB45" s="20"/>
      <c r="DC45" s="20"/>
      <c r="DD45" s="20"/>
      <c r="DE45" s="20"/>
      <c r="DF45" s="20"/>
      <c r="DG45" s="20"/>
      <c r="DH45" s="20"/>
      <c r="DI45" s="20"/>
      <c r="DJ45" s="20"/>
      <c r="DK45" s="20"/>
      <c r="DL45" s="20"/>
      <c r="DM45" s="20"/>
      <c r="DN45" s="20"/>
      <c r="DO45" s="20"/>
      <c r="DP45" s="20"/>
      <c r="DQ45" s="20"/>
      <c r="DR45" s="20"/>
      <c r="DS45" s="20"/>
      <c r="DT45" s="20"/>
      <c r="DU45" s="20"/>
      <c r="DV45" s="20"/>
      <c r="DW45" s="20"/>
      <c r="DX45" s="20"/>
      <c r="DY45" s="20"/>
      <c r="DZ45" s="20"/>
      <c r="EA45" s="20"/>
      <c r="EB45" s="20"/>
      <c r="EC45" s="20"/>
      <c r="ED45" s="20"/>
      <c r="EE45" s="20"/>
      <c r="EF45" s="20"/>
      <c r="EG45" s="20"/>
      <c r="EH45" s="20"/>
      <c r="EI45" s="20"/>
    </row>
    <row r="46" spans="1:139" ht="15" customHeight="1" x14ac:dyDescent="0.25">
      <c r="A46" s="42"/>
      <c r="B46" s="446" t="s">
        <v>81</v>
      </c>
      <c r="C46" s="430" t="s">
        <v>82</v>
      </c>
      <c r="D46" s="474" t="s">
        <v>44</v>
      </c>
      <c r="E46" s="660">
        <f>+E28</f>
        <v>4</v>
      </c>
      <c r="F46" s="656">
        <f t="shared" ref="F46:H46" si="13">+F28</f>
        <v>5</v>
      </c>
      <c r="G46" s="656">
        <f t="shared" si="13"/>
        <v>6</v>
      </c>
      <c r="H46" s="656">
        <f t="shared" si="13"/>
        <v>6</v>
      </c>
      <c r="I46" s="656">
        <f>+I28</f>
        <v>3</v>
      </c>
      <c r="J46" s="656">
        <f>+J28</f>
        <v>2</v>
      </c>
      <c r="K46" s="656">
        <f>+K28</f>
        <v>1</v>
      </c>
      <c r="L46" s="657" t="str">
        <f>+L28</f>
        <v>Melotera</v>
      </c>
      <c r="M46" s="42"/>
      <c r="N46" s="42"/>
      <c r="O46" s="42"/>
      <c r="P46" s="42"/>
      <c r="Q46" s="42"/>
      <c r="R46" s="42"/>
      <c r="S46" s="42"/>
      <c r="T46" s="42"/>
      <c r="U46" s="42"/>
      <c r="W46" s="20"/>
      <c r="X46" s="20"/>
      <c r="Y46" s="20"/>
      <c r="Z46" s="296"/>
      <c r="AA46" s="20"/>
      <c r="AB46" s="20"/>
      <c r="AC46" s="517"/>
      <c r="AD46" s="517"/>
      <c r="AE46" s="517"/>
      <c r="AF46" s="517"/>
      <c r="AG46" s="517"/>
      <c r="AH46" s="517"/>
      <c r="AI46" s="517"/>
      <c r="AJ46" s="517"/>
      <c r="AK46" s="517"/>
      <c r="AL46" s="517"/>
      <c r="AM46" s="517"/>
      <c r="AN46" s="517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0"/>
      <c r="CD46" s="20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0"/>
      <c r="DD46" s="20"/>
      <c r="DE46" s="20"/>
      <c r="DF46" s="20"/>
      <c r="DG46" s="20"/>
      <c r="DH46" s="20"/>
      <c r="DI46" s="20"/>
      <c r="DJ46" s="20"/>
      <c r="DK46" s="20"/>
      <c r="DL46" s="20"/>
      <c r="DM46" s="20"/>
      <c r="DN46" s="20"/>
      <c r="DO46" s="20"/>
      <c r="DP46" s="20"/>
      <c r="DQ46" s="20"/>
      <c r="DR46" s="20"/>
      <c r="DS46" s="20"/>
      <c r="DT46" s="20"/>
      <c r="DU46" s="20"/>
      <c r="DV46" s="20"/>
      <c r="DW46" s="20"/>
      <c r="DX46" s="20"/>
      <c r="DY46" s="20"/>
      <c r="DZ46" s="20"/>
      <c r="EA46" s="20"/>
      <c r="EB46" s="20"/>
      <c r="EC46" s="20"/>
      <c r="ED46" s="20"/>
      <c r="EE46" s="20"/>
      <c r="EF46" s="20"/>
      <c r="EG46" s="20"/>
      <c r="EH46" s="20"/>
      <c r="EI46" s="20"/>
    </row>
    <row r="47" spans="1:139" ht="15" customHeight="1" thickBot="1" x14ac:dyDescent="0.3">
      <c r="A47" s="42"/>
      <c r="B47" s="475" t="s">
        <v>83</v>
      </c>
      <c r="C47" s="432" t="s">
        <v>84</v>
      </c>
      <c r="D47" s="476" t="s">
        <v>44</v>
      </c>
      <c r="E47" s="269" t="str">
        <f>+E27</f>
        <v>Semicilindrica</v>
      </c>
      <c r="F47" s="480" t="str">
        <f t="shared" ref="F47:H47" si="14">+F27</f>
        <v>Semiesferica</v>
      </c>
      <c r="G47" s="480" t="str">
        <f t="shared" si="14"/>
        <v>Semiesferica</v>
      </c>
      <c r="H47" s="480" t="str">
        <f t="shared" si="14"/>
        <v>Semiesferica</v>
      </c>
      <c r="I47" s="480" t="str">
        <f>+I27</f>
        <v>Pirtubular</v>
      </c>
      <c r="J47" s="480" t="str">
        <f>+J27</f>
        <v>Plana</v>
      </c>
      <c r="K47" s="480" t="str">
        <f>+K27</f>
        <v>Plana</v>
      </c>
      <c r="L47" s="481" t="str">
        <f>+L27</f>
        <v>Plana</v>
      </c>
      <c r="M47" s="42"/>
      <c r="N47" s="42"/>
      <c r="O47" s="42"/>
      <c r="P47" s="42"/>
      <c r="Q47" s="42"/>
      <c r="R47" s="42"/>
      <c r="S47" s="42"/>
      <c r="T47" s="42"/>
      <c r="U47" s="42"/>
      <c r="W47" s="296"/>
      <c r="X47" s="296"/>
      <c r="Y47" s="296"/>
      <c r="Z47" s="296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0"/>
      <c r="CD47" s="20"/>
      <c r="CE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0"/>
      <c r="CR47" s="20"/>
      <c r="CS47" s="20"/>
      <c r="CT47" s="20"/>
      <c r="CU47" s="20"/>
      <c r="CV47" s="20"/>
      <c r="CW47" s="20"/>
      <c r="CX47" s="20"/>
      <c r="CY47" s="20"/>
      <c r="CZ47" s="20"/>
      <c r="DA47" s="20"/>
      <c r="DB47" s="20"/>
      <c r="DC47" s="20"/>
      <c r="DD47" s="20"/>
      <c r="DE47" s="20"/>
      <c r="DF47" s="20"/>
      <c r="DG47" s="20"/>
      <c r="DH47" s="20"/>
      <c r="DI47" s="20"/>
      <c r="DJ47" s="20"/>
      <c r="DK47" s="20"/>
      <c r="DL47" s="20"/>
      <c r="DM47" s="20"/>
      <c r="DN47" s="20"/>
      <c r="DO47" s="20"/>
      <c r="DP47" s="20"/>
      <c r="DQ47" s="20"/>
      <c r="DR47" s="20"/>
      <c r="DS47" s="20"/>
      <c r="DT47" s="20"/>
      <c r="DU47" s="20"/>
      <c r="DV47" s="20"/>
      <c r="DW47" s="20"/>
      <c r="DX47" s="20"/>
      <c r="DY47" s="20"/>
      <c r="DZ47" s="20"/>
      <c r="EA47" s="20"/>
      <c r="EB47" s="20"/>
      <c r="EC47" s="20"/>
      <c r="ED47" s="20"/>
      <c r="EE47" s="20"/>
      <c r="EF47" s="20"/>
      <c r="EG47" s="20"/>
      <c r="EH47" s="20"/>
      <c r="EI47" s="20"/>
    </row>
    <row r="48" spans="1:139" ht="15" customHeight="1" x14ac:dyDescent="0.25">
      <c r="A48" s="42"/>
      <c r="B48" s="477" t="s">
        <v>85</v>
      </c>
      <c r="C48" s="478" t="s">
        <v>86</v>
      </c>
      <c r="D48" s="479" t="s">
        <v>61</v>
      </c>
      <c r="E48" s="588">
        <v>0.4</v>
      </c>
      <c r="F48" s="589">
        <v>0.5</v>
      </c>
      <c r="G48" s="590">
        <v>0.3</v>
      </c>
      <c r="H48" s="590">
        <v>0.3</v>
      </c>
      <c r="I48" s="590">
        <v>0.2</v>
      </c>
      <c r="J48" s="590">
        <v>0.2</v>
      </c>
      <c r="K48" s="597">
        <v>0.2</v>
      </c>
      <c r="L48" s="598">
        <v>0.2</v>
      </c>
      <c r="M48" s="42"/>
      <c r="N48" s="42"/>
      <c r="O48" s="42"/>
      <c r="P48" s="42"/>
      <c r="Q48" s="42"/>
      <c r="R48" s="42"/>
      <c r="S48" s="42"/>
      <c r="T48" s="42"/>
      <c r="U48" s="42"/>
      <c r="W48" s="296"/>
      <c r="X48" s="296"/>
      <c r="Y48" s="296"/>
      <c r="Z48" s="296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0"/>
      <c r="CD48" s="20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0"/>
      <c r="CR48" s="20"/>
      <c r="CS48" s="20"/>
      <c r="CT48" s="20"/>
      <c r="CU48" s="20"/>
      <c r="CV48" s="20"/>
      <c r="CW48" s="20"/>
      <c r="CX48" s="20"/>
      <c r="CY48" s="20"/>
      <c r="CZ48" s="20"/>
      <c r="DA48" s="20"/>
      <c r="DB48" s="20"/>
      <c r="DC48" s="20"/>
      <c r="DD48" s="20"/>
      <c r="DE48" s="20"/>
      <c r="DF48" s="20"/>
      <c r="DG48" s="20"/>
      <c r="DH48" s="20"/>
      <c r="DI48" s="20"/>
      <c r="DJ48" s="20"/>
      <c r="DK48" s="20"/>
      <c r="DL48" s="20"/>
      <c r="DM48" s="20"/>
      <c r="DN48" s="20"/>
      <c r="DO48" s="20"/>
      <c r="DP48" s="20"/>
      <c r="DQ48" s="20"/>
      <c r="DR48" s="20"/>
      <c r="DS48" s="20"/>
      <c r="DT48" s="20"/>
      <c r="DU48" s="20"/>
      <c r="DV48" s="20"/>
      <c r="DW48" s="20"/>
      <c r="DX48" s="20"/>
      <c r="DY48" s="20"/>
      <c r="DZ48" s="20"/>
      <c r="EA48" s="20"/>
      <c r="EB48" s="20"/>
      <c r="EC48" s="20"/>
      <c r="ED48" s="20"/>
      <c r="EE48" s="20"/>
      <c r="EF48" s="20"/>
      <c r="EG48" s="20"/>
      <c r="EH48" s="20"/>
      <c r="EI48" s="20"/>
    </row>
    <row r="49" spans="1:139" ht="15" customHeight="1" x14ac:dyDescent="0.25">
      <c r="A49" s="42"/>
      <c r="B49" s="446" t="s">
        <v>87</v>
      </c>
      <c r="C49" s="430" t="s">
        <v>88</v>
      </c>
      <c r="D49" s="474" t="s">
        <v>61</v>
      </c>
      <c r="E49" s="591">
        <v>1.2</v>
      </c>
      <c r="F49" s="592">
        <v>1.2</v>
      </c>
      <c r="G49" s="593">
        <v>0.8</v>
      </c>
      <c r="H49" s="593">
        <v>0.8</v>
      </c>
      <c r="I49" s="593">
        <v>1.8</v>
      </c>
      <c r="J49" s="593">
        <v>1.8</v>
      </c>
      <c r="K49" s="599">
        <v>1.8</v>
      </c>
      <c r="L49" s="600">
        <v>1.8</v>
      </c>
      <c r="M49" s="42"/>
      <c r="N49" s="42"/>
      <c r="O49" s="42"/>
      <c r="P49" s="42"/>
      <c r="Q49" s="42"/>
      <c r="R49" s="42"/>
      <c r="S49" s="42"/>
      <c r="T49" s="42"/>
      <c r="U49" s="42"/>
      <c r="W49" s="296"/>
      <c r="X49" s="296"/>
      <c r="Y49" s="296"/>
      <c r="Z49" s="296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20"/>
      <c r="CE49" s="20"/>
      <c r="CF49" s="20"/>
      <c r="CG49" s="20"/>
      <c r="CH49" s="20"/>
      <c r="CI49" s="20"/>
      <c r="CJ49" s="20"/>
      <c r="CK49" s="20"/>
      <c r="CL49" s="20"/>
      <c r="CM49" s="20"/>
      <c r="CN49" s="20"/>
      <c r="CO49" s="20"/>
      <c r="CP49" s="20"/>
      <c r="CQ49" s="20"/>
      <c r="CR49" s="20"/>
      <c r="CS49" s="20"/>
      <c r="CT49" s="20"/>
      <c r="CU49" s="20"/>
      <c r="CV49" s="20"/>
      <c r="CW49" s="20"/>
      <c r="CX49" s="20"/>
      <c r="CY49" s="20"/>
      <c r="CZ49" s="20"/>
      <c r="DA49" s="20"/>
      <c r="DB49" s="20"/>
      <c r="DC49" s="20"/>
      <c r="DD49" s="20"/>
      <c r="DE49" s="20"/>
      <c r="DF49" s="20"/>
      <c r="DG49" s="20"/>
      <c r="DH49" s="20"/>
      <c r="DI49" s="20"/>
      <c r="DJ49" s="20"/>
      <c r="DK49" s="20"/>
      <c r="DL49" s="20"/>
      <c r="DM49" s="20"/>
      <c r="DN49" s="20"/>
      <c r="DO49" s="20"/>
      <c r="DP49" s="20"/>
      <c r="DQ49" s="20"/>
      <c r="DR49" s="20"/>
      <c r="DS49" s="20"/>
      <c r="DT49" s="20"/>
      <c r="DU49" s="20"/>
      <c r="DV49" s="20"/>
      <c r="DW49" s="20"/>
      <c r="DX49" s="20"/>
      <c r="DY49" s="20"/>
      <c r="DZ49" s="20"/>
      <c r="EA49" s="20"/>
      <c r="EB49" s="20"/>
      <c r="EC49" s="20"/>
      <c r="ED49" s="20"/>
      <c r="EE49" s="20"/>
      <c r="EF49" s="20"/>
      <c r="EG49" s="20"/>
      <c r="EH49" s="20"/>
      <c r="EI49" s="20"/>
    </row>
    <row r="50" spans="1:139" ht="15" customHeight="1" x14ac:dyDescent="0.25">
      <c r="A50" s="42"/>
      <c r="B50" s="446" t="s">
        <v>89</v>
      </c>
      <c r="C50" s="430" t="s">
        <v>90</v>
      </c>
      <c r="D50" s="474" t="s">
        <v>61</v>
      </c>
      <c r="E50" s="591">
        <v>0.5</v>
      </c>
      <c r="F50" s="592">
        <v>0.5</v>
      </c>
      <c r="G50" s="593">
        <v>0.3</v>
      </c>
      <c r="H50" s="593">
        <v>0.3</v>
      </c>
      <c r="I50" s="593">
        <v>0.8</v>
      </c>
      <c r="J50" s="593">
        <v>0.8</v>
      </c>
      <c r="K50" s="599">
        <v>0.8</v>
      </c>
      <c r="L50" s="600">
        <v>0.4</v>
      </c>
      <c r="M50" s="42"/>
      <c r="N50" s="42"/>
      <c r="O50" s="42"/>
      <c r="P50" s="42"/>
      <c r="Q50" s="42"/>
      <c r="R50" s="42"/>
      <c r="S50" s="42"/>
      <c r="T50" s="42"/>
      <c r="U50" s="42"/>
      <c r="W50" s="296"/>
      <c r="X50" s="296"/>
      <c r="Y50" s="296"/>
      <c r="Z50" s="296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0"/>
      <c r="CR50" s="20"/>
      <c r="CS50" s="20"/>
      <c r="CT50" s="20"/>
      <c r="CU50" s="20"/>
      <c r="CV50" s="20"/>
      <c r="CW50" s="20"/>
      <c r="CX50" s="20"/>
      <c r="CY50" s="20"/>
      <c r="CZ50" s="20"/>
      <c r="DA50" s="20"/>
      <c r="DB50" s="20"/>
      <c r="DC50" s="20"/>
      <c r="DD50" s="20"/>
      <c r="DE50" s="20"/>
      <c r="DF50" s="20"/>
      <c r="DG50" s="20"/>
      <c r="DH50" s="20"/>
      <c r="DI50" s="20"/>
      <c r="DJ50" s="20"/>
      <c r="DK50" s="20"/>
      <c r="DL50" s="20"/>
      <c r="DM50" s="20"/>
      <c r="DN50" s="20"/>
      <c r="DO50" s="20"/>
      <c r="DP50" s="20"/>
      <c r="DQ50" s="20"/>
      <c r="DR50" s="20"/>
      <c r="DS50" s="20"/>
      <c r="DT50" s="20"/>
      <c r="DU50" s="20"/>
      <c r="DV50" s="20"/>
      <c r="DW50" s="20"/>
      <c r="DX50" s="20"/>
      <c r="DY50" s="20"/>
      <c r="DZ50" s="20"/>
      <c r="EA50" s="20"/>
      <c r="EB50" s="20"/>
      <c r="EC50" s="20"/>
      <c r="ED50" s="20"/>
      <c r="EE50" s="20"/>
      <c r="EF50" s="20"/>
      <c r="EG50" s="20"/>
      <c r="EH50" s="20"/>
      <c r="EI50" s="20"/>
    </row>
    <row r="51" spans="1:139" ht="15" customHeight="1" x14ac:dyDescent="0.25">
      <c r="A51" s="42"/>
      <c r="B51" s="446" t="s">
        <v>91</v>
      </c>
      <c r="C51" s="430" t="s">
        <v>92</v>
      </c>
      <c r="D51" s="474" t="s">
        <v>121</v>
      </c>
      <c r="E51" s="591">
        <v>68</v>
      </c>
      <c r="F51" s="592">
        <v>68</v>
      </c>
      <c r="G51" s="592">
        <v>68</v>
      </c>
      <c r="H51" s="592">
        <v>68</v>
      </c>
      <c r="I51" s="592">
        <v>68</v>
      </c>
      <c r="J51" s="592">
        <v>68</v>
      </c>
      <c r="K51" s="592">
        <v>68</v>
      </c>
      <c r="L51" s="600">
        <v>68</v>
      </c>
      <c r="M51" s="42"/>
      <c r="N51" s="42"/>
      <c r="O51" s="42"/>
      <c r="P51" s="42"/>
      <c r="Q51" s="42"/>
      <c r="R51" s="42"/>
      <c r="S51" s="42"/>
      <c r="T51" s="42"/>
      <c r="U51" s="42"/>
      <c r="W51" s="296"/>
      <c r="X51" s="296"/>
      <c r="Y51" s="296"/>
      <c r="Z51" s="296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0"/>
      <c r="CD51" s="20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0"/>
      <c r="CR51" s="20"/>
      <c r="CS51" s="20"/>
      <c r="CT51" s="20"/>
      <c r="CU51" s="20"/>
      <c r="CV51" s="20"/>
      <c r="CW51" s="20"/>
      <c r="CX51" s="20"/>
      <c r="CY51" s="20"/>
      <c r="CZ51" s="20"/>
      <c r="DA51" s="20"/>
      <c r="DB51" s="20"/>
      <c r="DC51" s="20"/>
      <c r="DD51" s="20"/>
      <c r="DE51" s="20"/>
      <c r="DF51" s="20"/>
      <c r="DG51" s="20"/>
      <c r="DH51" s="20"/>
      <c r="DI51" s="20"/>
      <c r="DJ51" s="20"/>
      <c r="DK51" s="20"/>
      <c r="DL51" s="20"/>
      <c r="DM51" s="20"/>
      <c r="DN51" s="20"/>
      <c r="DO51" s="20"/>
      <c r="DP51" s="20"/>
      <c r="DQ51" s="20"/>
      <c r="DR51" s="20"/>
      <c r="DS51" s="20"/>
      <c r="DT51" s="20"/>
      <c r="DU51" s="20"/>
      <c r="DV51" s="20"/>
      <c r="DW51" s="20"/>
      <c r="DX51" s="20"/>
      <c r="DY51" s="20"/>
      <c r="DZ51" s="20"/>
      <c r="EA51" s="20"/>
      <c r="EB51" s="20"/>
      <c r="EC51" s="20"/>
      <c r="ED51" s="20"/>
      <c r="EE51" s="20"/>
      <c r="EF51" s="20"/>
      <c r="EG51" s="20"/>
      <c r="EH51" s="20"/>
      <c r="EI51" s="20"/>
    </row>
    <row r="52" spans="1:139" x14ac:dyDescent="0.25">
      <c r="A52" s="42"/>
      <c r="B52" s="446" t="s">
        <v>93</v>
      </c>
      <c r="C52" s="430" t="s">
        <v>94</v>
      </c>
      <c r="D52" s="474" t="s">
        <v>61</v>
      </c>
      <c r="E52" s="591">
        <v>1.5</v>
      </c>
      <c r="F52" s="592">
        <v>1.2</v>
      </c>
      <c r="G52" s="593">
        <v>0.8</v>
      </c>
      <c r="H52" s="593">
        <v>0.8</v>
      </c>
      <c r="I52" s="593">
        <v>3</v>
      </c>
      <c r="J52" s="593">
        <v>4</v>
      </c>
      <c r="K52" s="599">
        <v>4</v>
      </c>
      <c r="L52" s="600">
        <v>2</v>
      </c>
      <c r="M52" s="42"/>
      <c r="N52" s="42"/>
      <c r="O52" s="42"/>
      <c r="P52" s="42"/>
      <c r="Q52" s="42"/>
      <c r="R52" s="42"/>
      <c r="S52" s="42"/>
      <c r="T52" s="42"/>
      <c r="U52" s="42"/>
      <c r="W52" s="296"/>
      <c r="X52" s="296"/>
      <c r="Y52" s="296"/>
      <c r="Z52" s="296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20"/>
      <c r="DS52" s="20"/>
      <c r="DT52" s="20"/>
      <c r="DU52" s="20"/>
      <c r="DV52" s="20"/>
      <c r="DW52" s="20"/>
      <c r="DX52" s="20"/>
      <c r="DY52" s="20"/>
      <c r="DZ52" s="20"/>
      <c r="EA52" s="20"/>
      <c r="EB52" s="20"/>
      <c r="EC52" s="20"/>
      <c r="ED52" s="20"/>
      <c r="EE52" s="20"/>
      <c r="EF52" s="20"/>
      <c r="EG52" s="20"/>
      <c r="EH52" s="20"/>
      <c r="EI52" s="20"/>
    </row>
    <row r="53" spans="1:139" x14ac:dyDescent="0.25">
      <c r="A53" s="42"/>
      <c r="B53" s="446" t="s">
        <v>95</v>
      </c>
      <c r="C53" s="430" t="s">
        <v>96</v>
      </c>
      <c r="D53" s="474" t="s">
        <v>122</v>
      </c>
      <c r="E53" s="591" t="s">
        <v>97</v>
      </c>
      <c r="F53" s="592" t="s">
        <v>97</v>
      </c>
      <c r="G53" s="592" t="s">
        <v>97</v>
      </c>
      <c r="H53" s="592" t="s">
        <v>97</v>
      </c>
      <c r="I53" s="593" t="s">
        <v>97</v>
      </c>
      <c r="J53" s="593" t="s">
        <v>98</v>
      </c>
      <c r="K53" s="599" t="s">
        <v>98</v>
      </c>
      <c r="L53" s="600" t="s">
        <v>98</v>
      </c>
      <c r="M53" s="42"/>
      <c r="N53" s="42"/>
      <c r="O53" s="42"/>
      <c r="P53" s="42"/>
      <c r="Q53" s="42"/>
      <c r="R53" s="42"/>
      <c r="S53" s="42"/>
      <c r="T53" s="42"/>
      <c r="U53" s="42"/>
      <c r="W53" s="296"/>
      <c r="X53" s="515"/>
      <c r="Y53" s="515"/>
      <c r="Z53" s="515"/>
      <c r="AA53" s="515"/>
      <c r="AB53" s="515"/>
      <c r="AD53" s="515"/>
      <c r="AE53" s="515"/>
      <c r="AF53" s="515"/>
      <c r="AG53" s="515"/>
      <c r="AH53" s="515"/>
      <c r="AI53" s="515"/>
      <c r="AJ53" s="515"/>
      <c r="AK53" s="515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0"/>
      <c r="BP53" s="20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0"/>
      <c r="CD53" s="20"/>
      <c r="CE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20"/>
      <c r="CR53" s="20"/>
      <c r="CS53" s="20"/>
      <c r="CT53" s="20"/>
      <c r="CU53" s="20"/>
      <c r="CV53" s="20"/>
      <c r="CW53" s="20"/>
      <c r="CX53" s="20"/>
      <c r="CY53" s="20"/>
      <c r="CZ53" s="20"/>
      <c r="DA53" s="20"/>
      <c r="DB53" s="20"/>
      <c r="DC53" s="20"/>
      <c r="DD53" s="20"/>
      <c r="DE53" s="20"/>
      <c r="DF53" s="20"/>
      <c r="DG53" s="20"/>
      <c r="DH53" s="20"/>
      <c r="DI53" s="20"/>
      <c r="DJ53" s="20"/>
      <c r="DK53" s="20"/>
      <c r="DL53" s="20"/>
      <c r="DM53" s="20"/>
      <c r="DN53" s="20"/>
      <c r="DO53" s="20"/>
      <c r="DP53" s="20"/>
      <c r="DQ53" s="20"/>
      <c r="DR53" s="20"/>
      <c r="DS53" s="20"/>
      <c r="DT53" s="20"/>
      <c r="DU53" s="20"/>
      <c r="DV53" s="20"/>
      <c r="DW53" s="20"/>
      <c r="DX53" s="20"/>
      <c r="DY53" s="20"/>
      <c r="DZ53" s="20"/>
      <c r="EA53" s="20"/>
      <c r="EB53" s="20"/>
      <c r="EC53" s="20"/>
      <c r="ED53" s="20"/>
      <c r="EE53" s="20"/>
      <c r="EF53" s="20"/>
      <c r="EG53" s="20"/>
      <c r="EH53" s="20"/>
      <c r="EI53" s="20"/>
    </row>
    <row r="54" spans="1:139" x14ac:dyDescent="0.25">
      <c r="A54" s="42"/>
      <c r="B54" s="446" t="s">
        <v>99</v>
      </c>
      <c r="C54" s="430" t="s">
        <v>100</v>
      </c>
      <c r="D54" s="474" t="s">
        <v>122</v>
      </c>
      <c r="E54" s="591" t="s">
        <v>572</v>
      </c>
      <c r="F54" s="592" t="s">
        <v>572</v>
      </c>
      <c r="G54" s="592" t="s">
        <v>572</v>
      </c>
      <c r="H54" s="592" t="s">
        <v>572</v>
      </c>
      <c r="I54" s="593" t="s">
        <v>572</v>
      </c>
      <c r="J54" s="593">
        <v>30</v>
      </c>
      <c r="K54" s="599">
        <v>30</v>
      </c>
      <c r="L54" s="600">
        <v>30</v>
      </c>
      <c r="M54" s="42"/>
      <c r="N54" s="42"/>
      <c r="O54" s="42"/>
      <c r="P54" s="42"/>
      <c r="Q54" s="42"/>
      <c r="R54" s="42"/>
      <c r="S54" s="42"/>
      <c r="T54" s="42"/>
      <c r="U54" s="42"/>
      <c r="W54" s="20"/>
      <c r="X54" s="515"/>
      <c r="Y54" s="515"/>
      <c r="Z54" s="515"/>
      <c r="AA54" s="515"/>
      <c r="AB54" s="515"/>
      <c r="AC54" s="515"/>
      <c r="AD54" s="515"/>
      <c r="AE54" s="515"/>
      <c r="AF54" s="515"/>
      <c r="AG54" s="515"/>
      <c r="AH54" s="515"/>
      <c r="AI54" s="515"/>
      <c r="AJ54" s="515"/>
      <c r="AK54" s="515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0"/>
      <c r="CD54" s="20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0"/>
      <c r="CR54" s="20"/>
      <c r="CS54" s="20"/>
      <c r="CT54" s="20"/>
      <c r="CU54" s="20"/>
      <c r="CV54" s="20"/>
      <c r="CW54" s="20"/>
      <c r="CX54" s="20"/>
      <c r="CY54" s="20"/>
      <c r="CZ54" s="20"/>
      <c r="DA54" s="20"/>
      <c r="DB54" s="20"/>
      <c r="DC54" s="20"/>
      <c r="DD54" s="20"/>
      <c r="DE54" s="20"/>
      <c r="DF54" s="20"/>
      <c r="DG54" s="20"/>
      <c r="DH54" s="20"/>
      <c r="DI54" s="20"/>
      <c r="DJ54" s="20"/>
      <c r="DK54" s="20"/>
      <c r="DL54" s="20"/>
      <c r="DM54" s="20"/>
      <c r="DN54" s="20"/>
      <c r="DO54" s="20"/>
      <c r="DP54" s="20"/>
      <c r="DQ54" s="20"/>
      <c r="DR54" s="20"/>
      <c r="DS54" s="20"/>
      <c r="DT54" s="20"/>
      <c r="DU54" s="20"/>
      <c r="DV54" s="20"/>
      <c r="DW54" s="20"/>
      <c r="DX54" s="20"/>
      <c r="DY54" s="20"/>
      <c r="DZ54" s="20"/>
      <c r="EA54" s="20"/>
      <c r="EB54" s="20"/>
      <c r="EC54" s="20"/>
      <c r="ED54" s="20"/>
      <c r="EE54" s="20"/>
      <c r="EF54" s="20"/>
      <c r="EG54" s="20"/>
      <c r="EH54" s="20"/>
      <c r="EI54" s="20"/>
    </row>
    <row r="55" spans="1:139" x14ac:dyDescent="0.25">
      <c r="A55" s="42"/>
      <c r="B55" s="446" t="s">
        <v>101</v>
      </c>
      <c r="C55" s="430" t="s">
        <v>102</v>
      </c>
      <c r="D55" s="474" t="s">
        <v>61</v>
      </c>
      <c r="E55" s="591">
        <v>0</v>
      </c>
      <c r="F55" s="592">
        <v>0</v>
      </c>
      <c r="G55" s="593">
        <v>0</v>
      </c>
      <c r="H55" s="593">
        <v>0</v>
      </c>
      <c r="I55" s="593">
        <v>0</v>
      </c>
      <c r="J55" s="593">
        <v>0.1</v>
      </c>
      <c r="K55" s="599">
        <v>0.1</v>
      </c>
      <c r="L55" s="600">
        <v>0.1</v>
      </c>
      <c r="M55" s="42"/>
      <c r="N55" s="42"/>
      <c r="O55" s="42"/>
      <c r="P55" s="42"/>
      <c r="Q55" s="42"/>
      <c r="R55" s="42"/>
      <c r="S55" s="42"/>
      <c r="T55" s="42"/>
      <c r="U55" s="42"/>
      <c r="W55" s="20"/>
      <c r="X55" s="515"/>
      <c r="Y55" s="515"/>
      <c r="Z55" s="515"/>
      <c r="AA55" s="515"/>
      <c r="AB55" s="515"/>
      <c r="AC55" s="515"/>
      <c r="AD55" s="515"/>
      <c r="AE55" s="515"/>
      <c r="AF55" s="515"/>
      <c r="AG55" s="515"/>
      <c r="AH55" s="515"/>
      <c r="AI55" s="515"/>
      <c r="AJ55" s="515"/>
      <c r="AK55" s="515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0"/>
      <c r="BP55" s="20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0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20"/>
      <c r="CY55" s="20"/>
      <c r="CZ55" s="20"/>
      <c r="DA55" s="20"/>
      <c r="DB55" s="20"/>
      <c r="DC55" s="20"/>
      <c r="DD55" s="20"/>
      <c r="DE55" s="20"/>
      <c r="DF55" s="20"/>
      <c r="DG55" s="20"/>
      <c r="DH55" s="20"/>
      <c r="DI55" s="20"/>
      <c r="DJ55" s="20"/>
      <c r="DK55" s="20"/>
      <c r="DL55" s="20"/>
      <c r="DM55" s="20"/>
      <c r="DN55" s="20"/>
      <c r="DO55" s="20"/>
      <c r="DP55" s="20"/>
      <c r="DQ55" s="20"/>
      <c r="DR55" s="20"/>
      <c r="DS55" s="20"/>
      <c r="DT55" s="20"/>
      <c r="DU55" s="20"/>
      <c r="DV55" s="20"/>
      <c r="DW55" s="20"/>
      <c r="DX55" s="20"/>
      <c r="DY55" s="20"/>
      <c r="DZ55" s="20"/>
      <c r="EA55" s="20"/>
      <c r="EB55" s="20"/>
      <c r="EC55" s="20"/>
      <c r="ED55" s="20"/>
      <c r="EE55" s="20"/>
      <c r="EF55" s="20"/>
      <c r="EG55" s="20"/>
      <c r="EH55" s="20"/>
      <c r="EI55" s="20"/>
    </row>
    <row r="56" spans="1:139" x14ac:dyDescent="0.25">
      <c r="A56" s="42"/>
      <c r="B56" s="446" t="s">
        <v>103</v>
      </c>
      <c r="C56" s="430" t="s">
        <v>104</v>
      </c>
      <c r="D56" s="474" t="s">
        <v>61</v>
      </c>
      <c r="E56" s="591">
        <v>0.18</v>
      </c>
      <c r="F56" s="592">
        <v>0</v>
      </c>
      <c r="G56" s="593">
        <v>0</v>
      </c>
      <c r="H56" s="593">
        <v>0</v>
      </c>
      <c r="I56" s="593">
        <v>0</v>
      </c>
      <c r="J56" s="593">
        <v>0</v>
      </c>
      <c r="K56" s="599">
        <v>0</v>
      </c>
      <c r="L56" s="600">
        <v>0</v>
      </c>
      <c r="M56" s="42"/>
      <c r="N56" s="42"/>
      <c r="O56" s="42"/>
      <c r="P56" s="42"/>
      <c r="Q56" s="42"/>
      <c r="R56" s="42"/>
      <c r="S56" s="42"/>
      <c r="T56" s="42"/>
      <c r="U56" s="42"/>
      <c r="W56" s="20"/>
      <c r="X56" s="515">
        <f>1.93-0.142</f>
        <v>1.788</v>
      </c>
      <c r="Y56" s="515">
        <f>+X56*2</f>
        <v>3.5760000000000001</v>
      </c>
      <c r="Z56" s="515"/>
      <c r="AA56" s="515">
        <f>1.93+0.142</f>
        <v>2.0720000000000001</v>
      </c>
      <c r="AB56" s="515"/>
      <c r="AC56" s="515"/>
      <c r="AD56" s="515"/>
      <c r="AE56" s="515"/>
      <c r="AF56" s="515"/>
      <c r="AG56" s="515"/>
      <c r="AH56" s="515"/>
      <c r="AI56" s="515"/>
      <c r="AJ56" s="515"/>
      <c r="AK56" s="515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0"/>
      <c r="BP56" s="20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0"/>
      <c r="CR56" s="20"/>
      <c r="CS56" s="20"/>
      <c r="CT56" s="20"/>
      <c r="CU56" s="20"/>
      <c r="CV56" s="20"/>
      <c r="CW56" s="20"/>
      <c r="CX56" s="20"/>
      <c r="CY56" s="20"/>
      <c r="CZ56" s="20"/>
      <c r="DA56" s="20"/>
      <c r="DB56" s="20"/>
      <c r="DC56" s="20"/>
      <c r="DD56" s="20"/>
      <c r="DE56" s="20"/>
      <c r="DF56" s="20"/>
      <c r="DG56" s="20"/>
      <c r="DH56" s="20"/>
      <c r="DI56" s="20"/>
      <c r="DJ56" s="20"/>
      <c r="DK56" s="20"/>
      <c r="DL56" s="20"/>
      <c r="DM56" s="20"/>
      <c r="DN56" s="20"/>
      <c r="DO56" s="20"/>
      <c r="DP56" s="20"/>
      <c r="DQ56" s="20"/>
      <c r="DR56" s="20"/>
      <c r="DS56" s="20"/>
      <c r="DT56" s="20"/>
      <c r="DU56" s="20"/>
      <c r="DV56" s="20"/>
      <c r="DW56" s="20"/>
      <c r="DX56" s="20"/>
      <c r="DY56" s="20"/>
      <c r="DZ56" s="20"/>
      <c r="EA56" s="20"/>
      <c r="EB56" s="20"/>
      <c r="EC56" s="20"/>
      <c r="ED56" s="20"/>
      <c r="EE56" s="20"/>
      <c r="EF56" s="20"/>
      <c r="EG56" s="20"/>
      <c r="EH56" s="20"/>
      <c r="EI56" s="20"/>
    </row>
    <row r="57" spans="1:139" x14ac:dyDescent="0.25">
      <c r="A57" s="42"/>
      <c r="B57" s="446" t="s">
        <v>105</v>
      </c>
      <c r="C57" s="430" t="s">
        <v>106</v>
      </c>
      <c r="D57" s="474" t="s">
        <v>61</v>
      </c>
      <c r="E57" s="591">
        <v>0</v>
      </c>
      <c r="F57" s="592">
        <v>0</v>
      </c>
      <c r="G57" s="593">
        <v>0</v>
      </c>
      <c r="H57" s="593">
        <v>0</v>
      </c>
      <c r="I57" s="593">
        <v>0</v>
      </c>
      <c r="J57" s="593">
        <v>0</v>
      </c>
      <c r="K57" s="599">
        <v>0</v>
      </c>
      <c r="L57" s="600">
        <v>0</v>
      </c>
      <c r="M57" s="42"/>
      <c r="N57" s="42"/>
      <c r="O57" s="42"/>
      <c r="P57" s="42"/>
      <c r="Q57" s="42"/>
      <c r="R57" s="42"/>
      <c r="S57" s="42"/>
      <c r="T57" s="42"/>
      <c r="U57" s="42"/>
      <c r="W57" s="20"/>
      <c r="X57" s="515"/>
      <c r="Y57" s="515">
        <v>6</v>
      </c>
      <c r="Z57" s="515"/>
      <c r="AA57" s="515">
        <f>1.93+0.142</f>
        <v>2.0720000000000001</v>
      </c>
      <c r="AB57" s="515"/>
      <c r="AC57" s="515"/>
      <c r="AD57" s="515"/>
      <c r="AE57" s="515"/>
      <c r="AF57" s="515"/>
      <c r="AG57" s="515"/>
      <c r="AH57" s="515"/>
      <c r="AI57" s="515"/>
      <c r="AJ57" s="515"/>
      <c r="AK57" s="515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0"/>
      <c r="CR57" s="20"/>
      <c r="CS57" s="20"/>
      <c r="CT57" s="20"/>
      <c r="CU57" s="20"/>
      <c r="CV57" s="20"/>
      <c r="CW57" s="20"/>
      <c r="CX57" s="20"/>
      <c r="CY57" s="20"/>
      <c r="CZ57" s="20"/>
      <c r="DA57" s="20"/>
      <c r="DB57" s="20"/>
      <c r="DC57" s="20"/>
      <c r="DD57" s="20"/>
      <c r="DE57" s="20"/>
      <c r="DF57" s="20"/>
      <c r="DG57" s="20"/>
      <c r="DH57" s="20"/>
      <c r="DI57" s="20"/>
      <c r="DJ57" s="20"/>
      <c r="DK57" s="20"/>
      <c r="DL57" s="20"/>
      <c r="DM57" s="20"/>
      <c r="DN57" s="20"/>
      <c r="DO57" s="20"/>
      <c r="DP57" s="20"/>
      <c r="DQ57" s="20"/>
      <c r="DR57" s="20"/>
      <c r="DS57" s="20"/>
      <c r="DT57" s="20"/>
      <c r="DU57" s="20"/>
      <c r="DV57" s="20"/>
      <c r="DW57" s="20"/>
      <c r="DX57" s="20"/>
      <c r="DY57" s="20"/>
      <c r="DZ57" s="20"/>
      <c r="EA57" s="20"/>
      <c r="EB57" s="20"/>
      <c r="EC57" s="20"/>
      <c r="ED57" s="20"/>
      <c r="EE57" s="20"/>
      <c r="EF57" s="20"/>
      <c r="EG57" s="20"/>
      <c r="EH57" s="20"/>
      <c r="EI57" s="20"/>
    </row>
    <row r="58" spans="1:139" x14ac:dyDescent="0.25">
      <c r="A58" s="42"/>
      <c r="B58" s="446" t="s">
        <v>107</v>
      </c>
      <c r="C58" s="430" t="s">
        <v>108</v>
      </c>
      <c r="D58" s="474" t="s">
        <v>61</v>
      </c>
      <c r="E58" s="591">
        <v>0</v>
      </c>
      <c r="F58" s="592">
        <v>0</v>
      </c>
      <c r="G58" s="593">
        <v>0</v>
      </c>
      <c r="H58" s="593">
        <v>0</v>
      </c>
      <c r="I58" s="593">
        <v>0</v>
      </c>
      <c r="J58" s="593">
        <v>0</v>
      </c>
      <c r="K58" s="599">
        <v>0</v>
      </c>
      <c r="L58" s="600">
        <v>0</v>
      </c>
      <c r="M58" s="42"/>
      <c r="N58" s="42"/>
      <c r="O58" s="42"/>
      <c r="P58" s="42"/>
      <c r="Q58" s="42"/>
      <c r="R58" s="42"/>
      <c r="S58" s="42"/>
      <c r="T58" s="42"/>
      <c r="U58" s="42"/>
      <c r="W58" s="20"/>
      <c r="X58" s="515"/>
      <c r="Y58" s="515"/>
      <c r="Z58" s="515"/>
      <c r="AA58" s="515">
        <f>6.259+0.909+0.466</f>
        <v>7.6340000000000003</v>
      </c>
      <c r="AB58" s="515"/>
      <c r="AC58" s="515"/>
      <c r="AD58" s="515"/>
      <c r="AE58" s="515"/>
      <c r="AF58" s="515"/>
      <c r="AG58" s="515"/>
      <c r="AH58" s="515"/>
      <c r="AI58" s="515"/>
      <c r="AJ58" s="515"/>
      <c r="AK58" s="515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  <c r="CZ58" s="20"/>
      <c r="DA58" s="20"/>
      <c r="DB58" s="20"/>
      <c r="DC58" s="20"/>
      <c r="DD58" s="20"/>
      <c r="DE58" s="20"/>
      <c r="DF58" s="20"/>
      <c r="DG58" s="20"/>
      <c r="DH58" s="20"/>
      <c r="DI58" s="20"/>
      <c r="DJ58" s="20"/>
      <c r="DK58" s="20"/>
      <c r="DL58" s="20"/>
      <c r="DM58" s="20"/>
      <c r="DN58" s="20"/>
      <c r="DO58" s="20"/>
      <c r="DP58" s="20"/>
      <c r="DQ58" s="20"/>
      <c r="DR58" s="20"/>
      <c r="DS58" s="20"/>
      <c r="DT58" s="20"/>
      <c r="DU58" s="20"/>
      <c r="DV58" s="20"/>
      <c r="DW58" s="20"/>
      <c r="DX58" s="20"/>
      <c r="DY58" s="20"/>
      <c r="DZ58" s="20"/>
      <c r="EA58" s="20"/>
      <c r="EB58" s="20"/>
      <c r="EC58" s="20"/>
      <c r="ED58" s="20"/>
      <c r="EE58" s="20"/>
      <c r="EF58" s="20"/>
      <c r="EG58" s="20"/>
      <c r="EH58" s="20"/>
      <c r="EI58" s="20"/>
    </row>
    <row r="59" spans="1:139" ht="15.75" thickBot="1" x14ac:dyDescent="0.3">
      <c r="A59" s="42"/>
      <c r="B59" s="475" t="s">
        <v>292</v>
      </c>
      <c r="C59" s="432" t="s">
        <v>293</v>
      </c>
      <c r="D59" s="476" t="s">
        <v>61</v>
      </c>
      <c r="E59" s="594">
        <f>+(3/4*25.4)/1000</f>
        <v>1.9049999999999997E-2</v>
      </c>
      <c r="F59" s="595">
        <f>+(5/8*25.4)/1000</f>
        <v>1.5875E-2</v>
      </c>
      <c r="G59" s="596">
        <f>+(1/2*25.4)/1000</f>
        <v>1.2699999999999999E-2</v>
      </c>
      <c r="H59" s="596">
        <f>+(1/2*25.4)/1000</f>
        <v>1.2699999999999999E-2</v>
      </c>
      <c r="I59" s="596">
        <f>+(1/4*25.4)/1000</f>
        <v>6.3499999999999997E-3</v>
      </c>
      <c r="J59" s="596">
        <f>+(1/4*25.4)/1000</f>
        <v>6.3499999999999997E-3</v>
      </c>
      <c r="K59" s="601">
        <f>+(1/4*25.4)/1000</f>
        <v>6.3499999999999997E-3</v>
      </c>
      <c r="L59" s="602">
        <f>+(1/4*25.4)/1000</f>
        <v>6.3499999999999997E-3</v>
      </c>
      <c r="M59" s="42"/>
      <c r="N59" s="42"/>
      <c r="O59" s="42"/>
      <c r="P59" s="42"/>
      <c r="Q59" s="42"/>
      <c r="R59" s="42"/>
      <c r="S59" s="42"/>
      <c r="T59" s="42"/>
      <c r="U59" s="42"/>
      <c r="W59" s="20"/>
      <c r="X59" s="515"/>
      <c r="Y59" s="515"/>
      <c r="Z59" s="515"/>
      <c r="AA59" s="515">
        <v>0.43330000000000002</v>
      </c>
      <c r="AB59" s="515"/>
      <c r="AC59" s="515"/>
      <c r="AD59" s="515"/>
      <c r="AE59" s="515"/>
      <c r="AF59" s="515"/>
      <c r="AG59" s="515"/>
      <c r="AH59" s="515"/>
      <c r="AI59" s="515"/>
      <c r="AJ59" s="515"/>
      <c r="AK59" s="515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0"/>
      <c r="BP59" s="20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0"/>
      <c r="CD59" s="20"/>
      <c r="CE59" s="20"/>
      <c r="CF59" s="20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0"/>
      <c r="CR59" s="20"/>
      <c r="CS59" s="20"/>
      <c r="CT59" s="20"/>
      <c r="CU59" s="20"/>
      <c r="CV59" s="20"/>
      <c r="CW59" s="20"/>
      <c r="CX59" s="20"/>
      <c r="CY59" s="20"/>
      <c r="CZ59" s="20"/>
      <c r="DA59" s="20"/>
      <c r="DB59" s="20"/>
      <c r="DC59" s="20"/>
      <c r="DD59" s="20"/>
      <c r="DE59" s="20"/>
      <c r="DF59" s="20"/>
      <c r="DG59" s="20"/>
      <c r="DH59" s="20"/>
      <c r="DI59" s="20"/>
      <c r="DJ59" s="20"/>
      <c r="DK59" s="20"/>
      <c r="DL59" s="20"/>
      <c r="DM59" s="20"/>
      <c r="DN59" s="20"/>
      <c r="DO59" s="20"/>
      <c r="DP59" s="20"/>
      <c r="DQ59" s="20"/>
      <c r="DR59" s="20"/>
      <c r="DS59" s="20"/>
      <c r="DT59" s="20"/>
      <c r="DU59" s="20"/>
      <c r="DV59" s="20"/>
      <c r="DW59" s="20"/>
      <c r="DX59" s="20"/>
      <c r="DY59" s="20"/>
      <c r="DZ59" s="20"/>
      <c r="EA59" s="20"/>
      <c r="EB59" s="20"/>
      <c r="EC59" s="20"/>
      <c r="ED59" s="20"/>
      <c r="EE59" s="20"/>
      <c r="EF59" s="20"/>
      <c r="EG59" s="20"/>
      <c r="EH59" s="20"/>
      <c r="EI59" s="20"/>
    </row>
    <row r="60" spans="1:139" ht="15.75" thickBot="1" x14ac:dyDescent="0.3">
      <c r="A60" s="42"/>
      <c r="B60" s="20"/>
      <c r="C60" s="20"/>
      <c r="D60" s="36"/>
      <c r="E60" s="20"/>
      <c r="F60" s="43"/>
      <c r="G60" s="20"/>
      <c r="H60" s="20"/>
      <c r="J60" s="20"/>
      <c r="K60" s="43"/>
      <c r="L60" s="20"/>
      <c r="M60" s="42"/>
      <c r="N60" s="42"/>
      <c r="O60" s="42"/>
      <c r="P60" s="42"/>
      <c r="Q60" s="42"/>
      <c r="R60" s="42"/>
      <c r="S60" s="42"/>
      <c r="T60" s="42"/>
      <c r="U60" s="42"/>
      <c r="W60" s="20"/>
      <c r="X60" s="515"/>
      <c r="Y60" s="515"/>
      <c r="Z60" s="515"/>
      <c r="AA60" s="515">
        <v>0.85899999999999999</v>
      </c>
      <c r="AB60" s="515"/>
      <c r="AC60" s="515"/>
      <c r="AD60" s="515"/>
      <c r="AE60" s="515"/>
      <c r="AF60" s="515"/>
      <c r="AG60" s="515"/>
      <c r="AH60" s="515"/>
      <c r="AI60" s="515"/>
      <c r="AJ60" s="515"/>
      <c r="AK60" s="515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0"/>
      <c r="BP60" s="20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0"/>
      <c r="CD60" s="20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0"/>
      <c r="CR60" s="20"/>
      <c r="CS60" s="20"/>
      <c r="CT60" s="20"/>
      <c r="CU60" s="20"/>
      <c r="CV60" s="20"/>
      <c r="CW60" s="20"/>
      <c r="CX60" s="20"/>
      <c r="CY60" s="20"/>
      <c r="CZ60" s="20"/>
      <c r="DA60" s="20"/>
      <c r="DB60" s="20"/>
      <c r="DC60" s="20"/>
      <c r="DD60" s="20"/>
      <c r="DE60" s="20"/>
      <c r="DF60" s="20"/>
      <c r="DG60" s="20"/>
      <c r="DH60" s="20"/>
      <c r="DI60" s="20"/>
      <c r="DJ60" s="20"/>
      <c r="DK60" s="20"/>
      <c r="DL60" s="20"/>
      <c r="DM60" s="20"/>
      <c r="DN60" s="20"/>
      <c r="DO60" s="20"/>
      <c r="DP60" s="20"/>
      <c r="DQ60" s="20"/>
      <c r="DR60" s="20"/>
      <c r="DS60" s="20"/>
      <c r="DT60" s="20"/>
      <c r="DU60" s="20"/>
      <c r="DV60" s="20"/>
      <c r="DW60" s="20"/>
      <c r="DX60" s="20"/>
      <c r="DY60" s="20"/>
      <c r="DZ60" s="20"/>
      <c r="EA60" s="20"/>
      <c r="EB60" s="20"/>
      <c r="EC60" s="20"/>
      <c r="ED60" s="20"/>
      <c r="EE60" s="20"/>
      <c r="EF60" s="20"/>
      <c r="EG60" s="20"/>
      <c r="EH60" s="20"/>
      <c r="EI60" s="20"/>
    </row>
    <row r="61" spans="1:139" x14ac:dyDescent="0.25">
      <c r="A61" s="42"/>
      <c r="B61" s="457" t="s">
        <v>109</v>
      </c>
      <c r="C61" s="130" t="s">
        <v>110</v>
      </c>
      <c r="D61" s="131" t="s">
        <v>573</v>
      </c>
      <c r="E61" s="487">
        <v>1.456</v>
      </c>
      <c r="F61" s="488">
        <v>1.1499999999999999</v>
      </c>
      <c r="G61" s="489">
        <v>0.86899999999999999</v>
      </c>
      <c r="H61" s="489">
        <v>0.82399999999999995</v>
      </c>
      <c r="I61" s="609">
        <v>0.64500000000000002</v>
      </c>
      <c r="J61" s="489">
        <v>0.627</v>
      </c>
      <c r="K61" s="489">
        <v>0.49199999999999999</v>
      </c>
      <c r="L61" s="490">
        <v>0.49199999999999999</v>
      </c>
      <c r="M61" s="42"/>
      <c r="N61" s="42"/>
      <c r="O61" s="42"/>
      <c r="P61" s="42"/>
      <c r="Q61" s="42"/>
      <c r="R61" s="42"/>
      <c r="S61" s="42"/>
      <c r="T61" s="42"/>
      <c r="U61" s="42"/>
      <c r="W61" s="20"/>
      <c r="X61" s="515"/>
      <c r="Y61" s="515"/>
      <c r="Z61" s="515"/>
      <c r="AA61" s="515">
        <v>0.92800000000000005</v>
      </c>
      <c r="AB61" s="515"/>
      <c r="AC61" s="515"/>
      <c r="AD61" s="515"/>
      <c r="AE61" s="515"/>
      <c r="AF61" s="515"/>
      <c r="AG61" s="515"/>
      <c r="AH61" s="515"/>
      <c r="AI61" s="515"/>
      <c r="AJ61" s="515"/>
      <c r="AK61" s="515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0"/>
      <c r="BP61" s="20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0"/>
      <c r="CD61" s="20"/>
      <c r="CE61" s="20"/>
      <c r="CF61" s="20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0"/>
      <c r="CR61" s="20"/>
      <c r="CS61" s="20"/>
      <c r="CT61" s="20"/>
      <c r="CU61" s="20"/>
      <c r="CV61" s="20"/>
      <c r="CW61" s="20"/>
      <c r="CX61" s="20"/>
      <c r="CY61" s="20"/>
      <c r="CZ61" s="20"/>
      <c r="DA61" s="20"/>
      <c r="DB61" s="20"/>
      <c r="DC61" s="20"/>
      <c r="DD61" s="20"/>
      <c r="DE61" s="20"/>
      <c r="DF61" s="20"/>
      <c r="DG61" s="20"/>
      <c r="DH61" s="20"/>
      <c r="DI61" s="20"/>
      <c r="DJ61" s="20"/>
      <c r="DK61" s="20"/>
      <c r="DL61" s="20"/>
      <c r="DM61" s="20"/>
      <c r="DN61" s="20"/>
      <c r="DO61" s="20"/>
      <c r="DP61" s="20"/>
      <c r="DQ61" s="20"/>
      <c r="DR61" s="20"/>
      <c r="DS61" s="20"/>
      <c r="DT61" s="20"/>
      <c r="DU61" s="20"/>
      <c r="DV61" s="20"/>
      <c r="DW61" s="20"/>
      <c r="DX61" s="20"/>
      <c r="DY61" s="20"/>
      <c r="DZ61" s="20"/>
      <c r="EA61" s="20"/>
      <c r="EB61" s="20"/>
      <c r="EC61" s="20"/>
      <c r="ED61" s="20"/>
      <c r="EE61" s="20"/>
      <c r="EF61" s="20"/>
      <c r="EG61" s="20"/>
      <c r="EH61" s="20"/>
      <c r="EI61" s="20"/>
    </row>
    <row r="62" spans="1:139" x14ac:dyDescent="0.25">
      <c r="A62" s="42"/>
      <c r="B62" s="137" t="s">
        <v>111</v>
      </c>
      <c r="C62" s="100" t="s">
        <v>112</v>
      </c>
      <c r="D62" s="99" t="s">
        <v>61</v>
      </c>
      <c r="E62" s="491">
        <v>4.944</v>
      </c>
      <c r="F62" s="492">
        <v>5.085</v>
      </c>
      <c r="G62" s="493">
        <v>3.9790000000000001</v>
      </c>
      <c r="H62" s="493">
        <v>3.8889999999999998</v>
      </c>
      <c r="I62" s="593">
        <v>8.1180000000000003</v>
      </c>
      <c r="J62" s="493">
        <v>10.722</v>
      </c>
      <c r="K62" s="493">
        <v>10.582000000000001</v>
      </c>
      <c r="L62" s="494">
        <v>10.582000000000001</v>
      </c>
      <c r="M62" s="42"/>
      <c r="N62" s="42"/>
      <c r="O62" s="42"/>
      <c r="P62" s="42"/>
      <c r="Q62" s="42"/>
      <c r="R62" s="42"/>
      <c r="S62" s="42"/>
      <c r="T62" s="42"/>
      <c r="U62" s="42"/>
      <c r="W62" s="20"/>
      <c r="X62" s="515"/>
      <c r="Y62" s="515"/>
      <c r="Z62" s="515"/>
      <c r="AA62" s="515">
        <v>0.88600000000000001</v>
      </c>
      <c r="AB62" s="515"/>
      <c r="AC62" s="515"/>
      <c r="AD62" s="515"/>
      <c r="AE62" s="515"/>
      <c r="AF62" s="515"/>
      <c r="AG62" s="515"/>
      <c r="AH62" s="515"/>
      <c r="AI62" s="515"/>
      <c r="AJ62" s="515"/>
      <c r="AK62" s="515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0"/>
      <c r="BP62" s="20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0"/>
      <c r="CR62" s="20"/>
      <c r="CS62" s="20"/>
      <c r="CT62" s="20"/>
      <c r="CU62" s="20"/>
      <c r="CV62" s="20"/>
      <c r="CW62" s="20"/>
      <c r="CX62" s="20"/>
      <c r="CY62" s="20"/>
      <c r="CZ62" s="20"/>
      <c r="DA62" s="20"/>
      <c r="DB62" s="20"/>
      <c r="DC62" s="20"/>
      <c r="DD62" s="20"/>
      <c r="DE62" s="20"/>
      <c r="DF62" s="20"/>
      <c r="DG62" s="20"/>
      <c r="DH62" s="20"/>
      <c r="DI62" s="20"/>
      <c r="DJ62" s="20"/>
      <c r="DK62" s="20"/>
      <c r="DL62" s="20"/>
      <c r="DM62" s="20"/>
      <c r="DN62" s="20"/>
      <c r="DO62" s="20"/>
      <c r="DP62" s="20"/>
      <c r="DQ62" s="20"/>
      <c r="DR62" s="20"/>
      <c r="DS62" s="20"/>
      <c r="DT62" s="20"/>
      <c r="DU62" s="20"/>
      <c r="DV62" s="20"/>
      <c r="DW62" s="20"/>
      <c r="DX62" s="20"/>
      <c r="DY62" s="20"/>
      <c r="DZ62" s="20"/>
      <c r="EA62" s="20"/>
      <c r="EB62" s="20"/>
      <c r="EC62" s="20"/>
      <c r="ED62" s="20"/>
      <c r="EE62" s="20"/>
      <c r="EF62" s="20"/>
      <c r="EG62" s="20"/>
      <c r="EH62" s="20"/>
      <c r="EI62" s="20"/>
    </row>
    <row r="63" spans="1:139" x14ac:dyDescent="0.25">
      <c r="A63" s="42"/>
      <c r="B63" s="137" t="s">
        <v>115</v>
      </c>
      <c r="C63" s="100" t="s">
        <v>116</v>
      </c>
      <c r="D63" s="99" t="s">
        <v>61</v>
      </c>
      <c r="E63" s="495">
        <v>0.77</v>
      </c>
      <c r="F63" s="496">
        <v>0.56599999999999995</v>
      </c>
      <c r="G63" s="497">
        <v>0.71499999999999997</v>
      </c>
      <c r="H63" s="497">
        <v>0.67400000000000004</v>
      </c>
      <c r="I63" s="593">
        <v>0.27400000000000002</v>
      </c>
      <c r="J63" s="497">
        <v>0.33900000000000002</v>
      </c>
      <c r="K63" s="497">
        <v>0.26900000000000002</v>
      </c>
      <c r="L63" s="498">
        <v>0.26900000000000002</v>
      </c>
      <c r="M63" s="42"/>
      <c r="N63" s="42"/>
      <c r="O63" s="42"/>
      <c r="P63" s="42"/>
      <c r="Q63" s="42"/>
      <c r="R63" s="42"/>
      <c r="S63" s="42"/>
      <c r="T63" s="42"/>
      <c r="U63" s="42"/>
      <c r="W63" s="20"/>
      <c r="X63" s="515"/>
      <c r="Y63" s="515"/>
      <c r="Z63" s="515"/>
      <c r="AA63" s="515">
        <v>1.0469999999999999</v>
      </c>
      <c r="AB63" s="515"/>
      <c r="AC63" s="515"/>
      <c r="AD63" s="515"/>
      <c r="AE63" s="515"/>
      <c r="AF63" s="515"/>
      <c r="AG63" s="515"/>
      <c r="AH63" s="515"/>
      <c r="AI63" s="515"/>
      <c r="AJ63" s="515"/>
      <c r="AK63" s="515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  <c r="BO63" s="20"/>
      <c r="BP63" s="20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0"/>
      <c r="CD63" s="20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0"/>
      <c r="CR63" s="20"/>
      <c r="CS63" s="20"/>
      <c r="CT63" s="20"/>
      <c r="CU63" s="20"/>
      <c r="CV63" s="20"/>
      <c r="CW63" s="20"/>
      <c r="CX63" s="20"/>
      <c r="CY63" s="20"/>
      <c r="CZ63" s="20"/>
      <c r="DA63" s="20"/>
      <c r="DB63" s="20"/>
      <c r="DC63" s="20"/>
      <c r="DD63" s="20"/>
      <c r="DE63" s="20"/>
      <c r="DF63" s="20"/>
      <c r="DG63" s="20"/>
      <c r="DH63" s="20"/>
      <c r="DI63" s="20"/>
      <c r="DJ63" s="20"/>
      <c r="DK63" s="20"/>
      <c r="DL63" s="20"/>
      <c r="DM63" s="20"/>
      <c r="DN63" s="20"/>
      <c r="DO63" s="20"/>
      <c r="DP63" s="20"/>
      <c r="DQ63" s="20"/>
      <c r="DR63" s="20"/>
      <c r="DS63" s="20"/>
      <c r="DT63" s="20"/>
      <c r="DU63" s="20"/>
      <c r="DV63" s="20"/>
      <c r="DW63" s="20"/>
      <c r="DX63" s="20"/>
      <c r="DY63" s="20"/>
      <c r="DZ63" s="20"/>
      <c r="EA63" s="20"/>
      <c r="EB63" s="20"/>
      <c r="EC63" s="20"/>
      <c r="ED63" s="20"/>
      <c r="EE63" s="20"/>
      <c r="EF63" s="20"/>
      <c r="EG63" s="20"/>
      <c r="EH63" s="20"/>
      <c r="EI63" s="20"/>
    </row>
    <row r="64" spans="1:139" x14ac:dyDescent="0.25">
      <c r="A64" s="42"/>
      <c r="B64" s="80" t="s">
        <v>570</v>
      </c>
      <c r="C64" s="81" t="s">
        <v>117</v>
      </c>
      <c r="D64" s="485" t="s">
        <v>28</v>
      </c>
      <c r="E64" s="495">
        <f>2.279+0.426+0.446</f>
        <v>3.1510000000000002</v>
      </c>
      <c r="F64" s="496">
        <f>0.029+0.08+1.614+0.064</f>
        <v>1.7870000000000001</v>
      </c>
      <c r="G64" s="497">
        <f>0.425+0.527</f>
        <v>0.95199999999999996</v>
      </c>
      <c r="H64" s="497">
        <f>0.287+0.076+0.496</f>
        <v>0.85899999999999999</v>
      </c>
      <c r="I64" s="593">
        <v>1.788</v>
      </c>
      <c r="J64" s="497">
        <f>0.095+1.507</f>
        <v>1.6019999999999999</v>
      </c>
      <c r="K64" s="497">
        <v>1.359</v>
      </c>
      <c r="L64" s="498">
        <v>0.70399999999999996</v>
      </c>
      <c r="M64" s="42"/>
      <c r="N64" s="42"/>
      <c r="O64" s="42"/>
      <c r="P64" s="42"/>
      <c r="Q64" s="42"/>
      <c r="R64" s="42"/>
      <c r="S64" s="42"/>
      <c r="T64" s="42"/>
      <c r="U64" s="42"/>
      <c r="W64" s="20"/>
      <c r="X64" s="515"/>
      <c r="Y64" s="515"/>
      <c r="Z64" s="515"/>
      <c r="AA64" s="515">
        <f>+SUM(AA56:AA63)</f>
        <v>15.931300000000002</v>
      </c>
      <c r="AB64" s="515"/>
      <c r="AC64" s="515"/>
      <c r="AD64" s="515"/>
      <c r="AE64" s="515"/>
      <c r="AF64" s="515"/>
      <c r="AG64" s="515"/>
      <c r="AH64" s="515"/>
      <c r="AI64" s="515"/>
      <c r="AJ64" s="515"/>
      <c r="AK64" s="515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0"/>
      <c r="BP64" s="20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0"/>
      <c r="CD64" s="20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0"/>
      <c r="CR64" s="20"/>
      <c r="CS64" s="20"/>
      <c r="CT64" s="20"/>
      <c r="CU64" s="20"/>
      <c r="CV64" s="20"/>
      <c r="CW64" s="20"/>
      <c r="CX64" s="20"/>
      <c r="CY64" s="20"/>
      <c r="CZ64" s="20"/>
      <c r="DA64" s="20"/>
      <c r="DB64" s="20"/>
      <c r="DC64" s="20"/>
      <c r="DD64" s="20"/>
      <c r="DE64" s="20"/>
      <c r="DF64" s="20"/>
      <c r="DG64" s="20"/>
      <c r="DH64" s="20"/>
      <c r="DI64" s="20"/>
      <c r="DJ64" s="20"/>
      <c r="DK64" s="20"/>
      <c r="DL64" s="20"/>
      <c r="DM64" s="20"/>
      <c r="DN64" s="20"/>
      <c r="DO64" s="20"/>
      <c r="DP64" s="20"/>
      <c r="DQ64" s="20"/>
      <c r="DR64" s="20"/>
      <c r="DS64" s="20"/>
      <c r="DT64" s="20"/>
      <c r="DU64" s="20"/>
      <c r="DV64" s="20"/>
      <c r="DW64" s="20"/>
      <c r="DX64" s="20"/>
      <c r="DY64" s="20"/>
      <c r="DZ64" s="20"/>
      <c r="EA64" s="20"/>
      <c r="EB64" s="20"/>
      <c r="EC64" s="20"/>
      <c r="ED64" s="20"/>
      <c r="EE64" s="20"/>
      <c r="EF64" s="20"/>
      <c r="EG64" s="20"/>
      <c r="EH64" s="20"/>
      <c r="EI64" s="20"/>
    </row>
    <row r="65" spans="1:139" x14ac:dyDescent="0.25">
      <c r="A65" s="42"/>
      <c r="B65" s="80" t="s">
        <v>571</v>
      </c>
      <c r="C65" s="81" t="s">
        <v>118</v>
      </c>
      <c r="D65" s="485" t="s">
        <v>28</v>
      </c>
      <c r="E65" s="495">
        <f>0.421+1.817</f>
        <v>2.238</v>
      </c>
      <c r="F65" s="496">
        <v>1.3029999999999999</v>
      </c>
      <c r="G65" s="497">
        <v>0.86099999999999999</v>
      </c>
      <c r="H65" s="497">
        <f>0.43+0.507</f>
        <v>0.93700000000000006</v>
      </c>
      <c r="I65" s="593">
        <v>6.2590000000000003</v>
      </c>
      <c r="J65" s="497">
        <f>7.123+0.641</f>
        <v>7.7640000000000002</v>
      </c>
      <c r="K65" s="497">
        <f>1.033+6.913</f>
        <v>7.9459999999999997</v>
      </c>
      <c r="L65" s="498">
        <v>4.2190000000000003</v>
      </c>
      <c r="M65" s="42"/>
      <c r="N65" s="42"/>
      <c r="O65" s="42"/>
      <c r="P65" s="42"/>
      <c r="Q65" s="42"/>
      <c r="R65" s="42"/>
      <c r="S65" s="42"/>
      <c r="T65" s="42"/>
      <c r="U65" s="42"/>
      <c r="W65" s="20"/>
      <c r="X65" s="515"/>
      <c r="Y65" s="515">
        <v>31.745999999999999</v>
      </c>
      <c r="Z65" s="515">
        <f>+Y65-AA64</f>
        <v>15.814699999999997</v>
      </c>
      <c r="AA65" s="515"/>
      <c r="AB65" s="515"/>
      <c r="AC65" s="515"/>
      <c r="AD65" s="515"/>
      <c r="AE65" s="515"/>
      <c r="AF65" s="515"/>
      <c r="AG65" s="515"/>
      <c r="AH65" s="515"/>
      <c r="AI65" s="515"/>
      <c r="AJ65" s="515"/>
      <c r="AK65" s="515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  <c r="BO65" s="20"/>
      <c r="BP65" s="20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0"/>
      <c r="CD65" s="20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0"/>
      <c r="CR65" s="20"/>
      <c r="CS65" s="20"/>
      <c r="CT65" s="20"/>
      <c r="CU65" s="20"/>
      <c r="CV65" s="20"/>
      <c r="CW65" s="20"/>
      <c r="CX65" s="20"/>
      <c r="CY65" s="20"/>
      <c r="CZ65" s="20"/>
      <c r="DA65" s="20"/>
      <c r="DB65" s="20"/>
      <c r="DC65" s="20"/>
      <c r="DD65" s="20"/>
      <c r="DE65" s="20"/>
      <c r="DF65" s="20"/>
      <c r="DG65" s="20"/>
      <c r="DH65" s="20"/>
      <c r="DI65" s="20"/>
      <c r="DJ65" s="20"/>
      <c r="DK65" s="20"/>
      <c r="DL65" s="20"/>
      <c r="DM65" s="20"/>
      <c r="DN65" s="20"/>
      <c r="DO65" s="20"/>
      <c r="DP65" s="20"/>
      <c r="DQ65" s="20"/>
      <c r="DR65" s="20"/>
      <c r="DS65" s="20"/>
      <c r="DT65" s="20"/>
      <c r="DU65" s="20"/>
      <c r="DV65" s="20"/>
      <c r="DW65" s="20"/>
      <c r="DX65" s="20"/>
      <c r="DY65" s="20"/>
      <c r="DZ65" s="20"/>
      <c r="EA65" s="20"/>
      <c r="EB65" s="20"/>
      <c r="EC65" s="20"/>
      <c r="ED65" s="20"/>
      <c r="EE65" s="20"/>
      <c r="EF65" s="20"/>
      <c r="EG65" s="20"/>
      <c r="EH65" s="20"/>
      <c r="EI65" s="20"/>
    </row>
    <row r="66" spans="1:139" x14ac:dyDescent="0.25">
      <c r="A66" s="42"/>
      <c r="B66" s="603" t="s">
        <v>577</v>
      </c>
      <c r="C66" s="81" t="s">
        <v>117</v>
      </c>
      <c r="D66" s="485" t="s">
        <v>28</v>
      </c>
      <c r="E66" s="495">
        <v>14.161999999999999</v>
      </c>
      <c r="F66" s="496">
        <v>8.2910000000000004</v>
      </c>
      <c r="G66" s="497">
        <v>5.88</v>
      </c>
      <c r="H66" s="497">
        <v>6.6819999999999995</v>
      </c>
      <c r="I66" s="593">
        <v>13.997999999999999</v>
      </c>
      <c r="J66" s="497">
        <v>17.55</v>
      </c>
      <c r="K66" s="497">
        <v>15.943999999999999</v>
      </c>
      <c r="L66" s="498">
        <v>10.991</v>
      </c>
      <c r="M66" s="42"/>
      <c r="N66" s="42"/>
      <c r="O66" s="42"/>
      <c r="P66" s="42"/>
      <c r="Q66" s="42"/>
      <c r="R66" s="42"/>
      <c r="S66" s="42"/>
      <c r="T66" s="42"/>
      <c r="U66" s="42"/>
      <c r="W66" s="20"/>
      <c r="X66" s="515"/>
      <c r="Y66" s="515"/>
      <c r="Z66" s="515"/>
      <c r="AA66" s="515"/>
      <c r="AB66" s="515"/>
      <c r="AC66" s="515"/>
      <c r="AD66" s="515"/>
      <c r="AE66" s="515"/>
      <c r="AF66" s="515"/>
      <c r="AG66" s="515"/>
      <c r="AH66" s="515"/>
      <c r="AI66" s="515"/>
      <c r="AJ66" s="515"/>
      <c r="AK66" s="515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0"/>
      <c r="CR66" s="20"/>
      <c r="CS66" s="20"/>
      <c r="CT66" s="20"/>
      <c r="CU66" s="20"/>
      <c r="CV66" s="20"/>
      <c r="CW66" s="20"/>
      <c r="CX66" s="20"/>
      <c r="CY66" s="20"/>
      <c r="CZ66" s="20"/>
      <c r="DA66" s="20"/>
      <c r="DB66" s="20"/>
      <c r="DC66" s="20"/>
      <c r="DD66" s="20"/>
      <c r="DE66" s="20"/>
      <c r="DF66" s="20"/>
      <c r="DG66" s="20"/>
      <c r="DH66" s="20"/>
      <c r="DI66" s="20"/>
      <c r="DJ66" s="20"/>
      <c r="DK66" s="20"/>
      <c r="DL66" s="20"/>
      <c r="DM66" s="20"/>
      <c r="DN66" s="20"/>
      <c r="DO66" s="20"/>
      <c r="DP66" s="20"/>
      <c r="DQ66" s="20"/>
      <c r="DR66" s="20"/>
      <c r="DS66" s="20"/>
      <c r="DT66" s="20"/>
      <c r="DU66" s="20"/>
      <c r="DV66" s="20"/>
      <c r="DW66" s="20"/>
      <c r="DX66" s="20"/>
      <c r="DY66" s="20"/>
      <c r="DZ66" s="20"/>
      <c r="EA66" s="20"/>
      <c r="EB66" s="20"/>
      <c r="EC66" s="20"/>
      <c r="ED66" s="20"/>
      <c r="EE66" s="20"/>
      <c r="EF66" s="20"/>
      <c r="EG66" s="20"/>
      <c r="EH66" s="20"/>
      <c r="EI66" s="20"/>
    </row>
    <row r="67" spans="1:139" x14ac:dyDescent="0.25">
      <c r="A67" s="42"/>
      <c r="B67" s="826"/>
      <c r="C67" s="827"/>
      <c r="D67" s="827"/>
      <c r="E67" s="827"/>
      <c r="F67" s="827"/>
      <c r="G67" s="827"/>
      <c r="H67" s="827"/>
      <c r="I67" s="827"/>
      <c r="J67" s="827"/>
      <c r="K67" s="827"/>
      <c r="L67" s="828"/>
      <c r="M67" s="42"/>
      <c r="N67" s="42"/>
      <c r="O67" s="42"/>
      <c r="P67" s="42"/>
      <c r="Q67" s="42"/>
      <c r="R67" s="42"/>
      <c r="S67" s="42"/>
      <c r="T67" s="42"/>
      <c r="U67" s="42"/>
      <c r="W67" s="20"/>
      <c r="X67" s="515"/>
      <c r="Y67" s="515"/>
      <c r="Z67" s="515"/>
      <c r="AA67" s="515"/>
      <c r="AB67" s="515"/>
      <c r="AC67" s="515"/>
      <c r="AD67" s="515"/>
      <c r="AE67" s="515"/>
      <c r="AF67" s="515"/>
      <c r="AG67" s="515"/>
      <c r="AH67" s="515"/>
      <c r="AI67" s="515"/>
      <c r="AJ67" s="515"/>
      <c r="AK67" s="515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0"/>
      <c r="BK67" s="20"/>
      <c r="BL67" s="20"/>
      <c r="BM67" s="20"/>
      <c r="BN67" s="20"/>
      <c r="BO67" s="20"/>
      <c r="BP67" s="20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0"/>
      <c r="CD67" s="20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0"/>
      <c r="CR67" s="20"/>
      <c r="CS67" s="20"/>
      <c r="CT67" s="20"/>
      <c r="CU67" s="20"/>
      <c r="CV67" s="20"/>
      <c r="CW67" s="20"/>
      <c r="CX67" s="20"/>
      <c r="CY67" s="20"/>
      <c r="CZ67" s="20"/>
      <c r="DA67" s="20"/>
      <c r="DB67" s="20"/>
      <c r="DC67" s="20"/>
      <c r="DD67" s="20"/>
      <c r="DE67" s="20"/>
      <c r="DF67" s="20"/>
      <c r="DG67" s="20"/>
      <c r="DH67" s="20"/>
      <c r="DI67" s="20"/>
      <c r="DJ67" s="20"/>
      <c r="DK67" s="20"/>
      <c r="DL67" s="20"/>
      <c r="DM67" s="20"/>
      <c r="DN67" s="20"/>
      <c r="DO67" s="20"/>
      <c r="DP67" s="20"/>
      <c r="DQ67" s="20"/>
      <c r="DR67" s="20"/>
      <c r="DS67" s="20"/>
      <c r="DT67" s="20"/>
      <c r="DU67" s="20"/>
      <c r="DV67" s="20"/>
      <c r="DW67" s="20"/>
      <c r="DX67" s="20"/>
      <c r="DY67" s="20"/>
      <c r="DZ67" s="20"/>
      <c r="EA67" s="20"/>
      <c r="EB67" s="20"/>
      <c r="EC67" s="20"/>
      <c r="ED67" s="20"/>
      <c r="EE67" s="20"/>
      <c r="EF67" s="20"/>
      <c r="EG67" s="20"/>
      <c r="EH67" s="20"/>
      <c r="EI67" s="20"/>
    </row>
    <row r="68" spans="1:139" x14ac:dyDescent="0.25">
      <c r="A68" s="42"/>
      <c r="B68" s="137" t="s">
        <v>348</v>
      </c>
      <c r="C68" s="100" t="s">
        <v>348</v>
      </c>
      <c r="D68" s="485" t="s">
        <v>28</v>
      </c>
      <c r="E68" s="560">
        <v>2.1160000000000001</v>
      </c>
      <c r="F68" s="561">
        <v>1.583</v>
      </c>
      <c r="G68" s="562">
        <v>0.57699999999999996</v>
      </c>
      <c r="H68" s="562">
        <v>0.57699999999999996</v>
      </c>
      <c r="I68" s="593">
        <v>15.8147</v>
      </c>
      <c r="J68" s="562">
        <v>7.6449999999999996</v>
      </c>
      <c r="K68" s="562">
        <v>7.6449999999999996</v>
      </c>
      <c r="L68" s="563">
        <v>3.89</v>
      </c>
      <c r="M68" s="42"/>
      <c r="N68" s="42"/>
      <c r="O68" s="42"/>
      <c r="P68" s="42"/>
      <c r="Q68" s="42"/>
      <c r="R68" s="42"/>
      <c r="S68" s="42"/>
      <c r="T68" s="42"/>
      <c r="U68" s="42"/>
      <c r="W68" s="20"/>
      <c r="X68" s="515"/>
      <c r="Y68" s="515"/>
      <c r="Z68" s="515"/>
      <c r="AA68" s="515"/>
      <c r="AB68" s="515"/>
      <c r="AC68" s="515"/>
      <c r="AD68" s="515"/>
      <c r="AE68" s="515"/>
      <c r="AF68" s="515"/>
      <c r="AG68" s="515"/>
      <c r="AH68" s="515"/>
      <c r="AI68" s="515"/>
      <c r="AJ68" s="515"/>
      <c r="AK68" s="515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0"/>
      <c r="BP68" s="20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0"/>
      <c r="CD68" s="20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0"/>
      <c r="CR68" s="20"/>
      <c r="CS68" s="20"/>
      <c r="CT68" s="20"/>
      <c r="CU68" s="20"/>
      <c r="CV68" s="20"/>
      <c r="CW68" s="20"/>
      <c r="CX68" s="20"/>
      <c r="CY68" s="20"/>
      <c r="CZ68" s="20"/>
      <c r="DA68" s="20"/>
      <c r="DB68" s="20"/>
      <c r="DC68" s="20"/>
      <c r="DD68" s="20"/>
      <c r="DE68" s="20"/>
      <c r="DF68" s="20"/>
      <c r="DG68" s="20"/>
      <c r="DH68" s="20"/>
      <c r="DI68" s="20"/>
      <c r="DJ68" s="20"/>
      <c r="DK68" s="20"/>
      <c r="DL68" s="20"/>
      <c r="DM68" s="20"/>
      <c r="DN68" s="20"/>
      <c r="DO68" s="20"/>
      <c r="DP68" s="20"/>
      <c r="DQ68" s="20"/>
      <c r="DR68" s="20"/>
      <c r="DS68" s="20"/>
      <c r="DT68" s="20"/>
      <c r="DU68" s="20"/>
      <c r="DV68" s="20"/>
      <c r="DW68" s="20"/>
      <c r="DX68" s="20"/>
      <c r="DY68" s="20"/>
      <c r="DZ68" s="20"/>
      <c r="EA68" s="20"/>
      <c r="EB68" s="20"/>
      <c r="EC68" s="20"/>
      <c r="ED68" s="20"/>
      <c r="EE68" s="20"/>
      <c r="EF68" s="20"/>
      <c r="EG68" s="20"/>
      <c r="EH68" s="20"/>
      <c r="EI68" s="20"/>
    </row>
    <row r="69" spans="1:139" ht="15.75" thickBot="1" x14ac:dyDescent="0.3">
      <c r="A69" s="42"/>
      <c r="B69" s="86" t="s">
        <v>347</v>
      </c>
      <c r="C69" s="484" t="s">
        <v>120</v>
      </c>
      <c r="D69" s="486" t="s">
        <v>28</v>
      </c>
      <c r="E69" s="499">
        <v>2.2929999999999997</v>
      </c>
      <c r="F69" s="500">
        <v>1.6870000000000001</v>
      </c>
      <c r="G69" s="501">
        <v>0.62800000000000011</v>
      </c>
      <c r="H69" s="501">
        <v>0.62800000000000011</v>
      </c>
      <c r="I69" s="596">
        <f>+I68</f>
        <v>15.8147</v>
      </c>
      <c r="J69" s="501">
        <v>31.852999999999998</v>
      </c>
      <c r="K69" s="501">
        <v>31.852999999999998</v>
      </c>
      <c r="L69" s="502">
        <v>16.048999999999999</v>
      </c>
      <c r="M69" s="42"/>
      <c r="N69" s="42"/>
      <c r="O69" s="42"/>
      <c r="P69" s="42"/>
      <c r="Q69" s="42"/>
      <c r="R69" s="42"/>
      <c r="S69" s="42"/>
      <c r="T69" s="42"/>
      <c r="U69" s="42"/>
      <c r="W69" s="20"/>
      <c r="X69" s="515"/>
      <c r="Y69" s="515"/>
      <c r="Z69" s="515"/>
      <c r="AA69" s="515"/>
      <c r="AB69" s="515"/>
      <c r="AC69" s="515"/>
      <c r="AD69" s="515"/>
      <c r="AE69" s="515"/>
      <c r="AF69" s="515"/>
      <c r="AG69" s="515"/>
      <c r="AH69" s="515"/>
      <c r="AI69" s="515"/>
      <c r="AJ69" s="515"/>
      <c r="AK69" s="515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20"/>
      <c r="BI69" s="20"/>
      <c r="BJ69" s="20"/>
      <c r="BK69" s="20"/>
      <c r="BL69" s="20"/>
      <c r="BM69" s="20"/>
      <c r="BN69" s="20"/>
      <c r="BO69" s="20"/>
      <c r="BP69" s="20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0"/>
      <c r="CD69" s="20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0"/>
      <c r="CR69" s="20"/>
      <c r="CS69" s="20"/>
      <c r="CT69" s="20"/>
      <c r="CU69" s="20"/>
      <c r="CV69" s="20"/>
      <c r="CW69" s="20"/>
      <c r="CX69" s="20"/>
      <c r="CY69" s="20"/>
      <c r="CZ69" s="20"/>
      <c r="DA69" s="20"/>
      <c r="DB69" s="20"/>
      <c r="DC69" s="20"/>
      <c r="DD69" s="20"/>
      <c r="DE69" s="20"/>
      <c r="DF69" s="20"/>
      <c r="DG69" s="20"/>
      <c r="DH69" s="20"/>
      <c r="DI69" s="20"/>
      <c r="DJ69" s="20"/>
      <c r="DK69" s="20"/>
      <c r="DL69" s="20"/>
      <c r="DM69" s="20"/>
      <c r="DN69" s="20"/>
      <c r="DO69" s="20"/>
      <c r="DP69" s="20"/>
      <c r="DQ69" s="20"/>
      <c r="DR69" s="20"/>
      <c r="DS69" s="20"/>
      <c r="DT69" s="20"/>
      <c r="DU69" s="20"/>
      <c r="DV69" s="20"/>
      <c r="DW69" s="20"/>
      <c r="DX69" s="20"/>
      <c r="DY69" s="20"/>
      <c r="DZ69" s="20"/>
      <c r="EA69" s="20"/>
      <c r="EB69" s="20"/>
      <c r="EC69" s="20"/>
      <c r="ED69" s="20"/>
      <c r="EE69" s="20"/>
      <c r="EF69" s="20"/>
      <c r="EG69" s="20"/>
      <c r="EH69" s="20"/>
      <c r="EI69" s="20"/>
    </row>
    <row r="70" spans="1:139" ht="15.75" thickBot="1" x14ac:dyDescent="0.3">
      <c r="A70" s="318"/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W70" s="20"/>
      <c r="X70" s="515"/>
      <c r="Y70" s="515"/>
      <c r="Z70" s="515"/>
      <c r="AA70" s="515"/>
      <c r="AB70" s="515"/>
      <c r="AC70" s="515"/>
      <c r="AD70" s="515"/>
      <c r="AE70" s="515"/>
      <c r="AF70" s="515"/>
      <c r="AG70" s="515"/>
      <c r="AH70" s="515"/>
      <c r="AI70" s="515"/>
      <c r="AJ70" s="515"/>
      <c r="AK70" s="515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0"/>
      <c r="BP70" s="20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0"/>
      <c r="CD70" s="20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0"/>
      <c r="CR70" s="20"/>
      <c r="CS70" s="20"/>
      <c r="CT70" s="20"/>
      <c r="CU70" s="20"/>
      <c r="CV70" s="20"/>
      <c r="CW70" s="20"/>
      <c r="CX70" s="20"/>
      <c r="CY70" s="20"/>
      <c r="CZ70" s="20"/>
      <c r="DA70" s="20"/>
      <c r="DB70" s="20"/>
      <c r="DC70" s="20"/>
      <c r="DD70" s="20"/>
      <c r="DE70" s="20"/>
      <c r="DF70" s="20"/>
      <c r="DG70" s="20"/>
      <c r="DH70" s="20"/>
      <c r="DI70" s="20"/>
      <c r="DJ70" s="20"/>
      <c r="DK70" s="20"/>
      <c r="DL70" s="20"/>
      <c r="DM70" s="20"/>
      <c r="DN70" s="20"/>
      <c r="DO70" s="20"/>
      <c r="DP70" s="20"/>
      <c r="DQ70" s="20"/>
      <c r="DR70" s="20"/>
      <c r="DS70" s="20"/>
      <c r="DT70" s="20"/>
      <c r="DU70" s="20"/>
      <c r="DV70" s="20"/>
      <c r="DW70" s="20"/>
      <c r="DX70" s="20"/>
      <c r="DY70" s="20"/>
      <c r="DZ70" s="20"/>
      <c r="EA70" s="20"/>
      <c r="EB70" s="20"/>
      <c r="EC70" s="20"/>
      <c r="ED70" s="20"/>
      <c r="EE70" s="20"/>
      <c r="EF70" s="20"/>
      <c r="EG70" s="20"/>
      <c r="EH70" s="20"/>
      <c r="EI70" s="20"/>
    </row>
    <row r="71" spans="1:139" ht="15.75" thickBot="1" x14ac:dyDescent="0.3">
      <c r="A71" s="664" t="s">
        <v>321</v>
      </c>
      <c r="B71" s="665"/>
      <c r="C71" s="665"/>
      <c r="D71" s="665"/>
      <c r="E71" s="665"/>
      <c r="F71" s="665"/>
      <c r="G71" s="665"/>
      <c r="H71" s="665"/>
      <c r="I71" s="665"/>
      <c r="J71" s="665"/>
      <c r="K71" s="665"/>
      <c r="L71" s="665"/>
      <c r="M71" s="665"/>
      <c r="N71" s="665"/>
      <c r="O71" s="665"/>
      <c r="P71" s="665"/>
      <c r="Q71" s="665"/>
      <c r="R71" s="665"/>
      <c r="S71" s="665"/>
      <c r="T71" s="665"/>
      <c r="U71" s="666"/>
      <c r="W71" s="20"/>
      <c r="X71" s="515"/>
      <c r="Y71" s="515"/>
      <c r="Z71" s="515"/>
      <c r="AA71" s="515">
        <f>0.55+5*0.019</f>
        <v>0.64500000000000002</v>
      </c>
      <c r="AB71" s="515"/>
      <c r="AC71" s="515"/>
      <c r="AD71" s="515"/>
      <c r="AE71" s="515"/>
      <c r="AF71" s="515"/>
      <c r="AG71" s="515"/>
      <c r="AH71" s="515"/>
      <c r="AI71" s="515"/>
      <c r="AJ71" s="515"/>
      <c r="AK71" s="515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0"/>
      <c r="BP71" s="20"/>
      <c r="BQ71" s="20"/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B71" s="20"/>
      <c r="CC71" s="20"/>
      <c r="CD71" s="20"/>
      <c r="CE71" s="20"/>
      <c r="CF71" s="20"/>
      <c r="CG71" s="20"/>
      <c r="CH71" s="20"/>
      <c r="CI71" s="20"/>
      <c r="CJ71" s="20"/>
      <c r="CK71" s="20"/>
      <c r="CL71" s="20"/>
      <c r="CM71" s="20"/>
      <c r="CN71" s="20"/>
      <c r="CO71" s="20"/>
      <c r="CP71" s="20"/>
      <c r="CQ71" s="20"/>
      <c r="CR71" s="20"/>
      <c r="CS71" s="20"/>
      <c r="CT71" s="20"/>
      <c r="CU71" s="20"/>
      <c r="CV71" s="20"/>
      <c r="CW71" s="20"/>
      <c r="CX71" s="20"/>
      <c r="CY71" s="20"/>
      <c r="CZ71" s="20"/>
      <c r="DA71" s="20"/>
      <c r="DB71" s="20"/>
      <c r="DC71" s="20"/>
      <c r="DD71" s="20"/>
      <c r="DE71" s="20"/>
      <c r="DF71" s="20"/>
      <c r="DG71" s="20"/>
      <c r="DH71" s="20"/>
      <c r="DI71" s="20"/>
      <c r="DJ71" s="20"/>
      <c r="DK71" s="20"/>
      <c r="DL71" s="20"/>
      <c r="DM71" s="20"/>
      <c r="DN71" s="20"/>
      <c r="DO71" s="20"/>
      <c r="DP71" s="20"/>
      <c r="DQ71" s="20"/>
      <c r="DR71" s="20"/>
      <c r="DS71" s="20"/>
      <c r="DT71" s="20"/>
      <c r="DU71" s="20"/>
      <c r="DV71" s="20"/>
      <c r="DW71" s="20"/>
      <c r="DX71" s="20"/>
      <c r="DY71" s="20"/>
      <c r="DZ71" s="20"/>
      <c r="EA71" s="20"/>
      <c r="EB71" s="20"/>
      <c r="EC71" s="20"/>
      <c r="ED71" s="20"/>
      <c r="EE71" s="20"/>
      <c r="EF71" s="20"/>
      <c r="EG71" s="20"/>
      <c r="EH71" s="20"/>
      <c r="EI71" s="20"/>
    </row>
    <row r="72" spans="1:139" ht="15.75" thickBot="1" x14ac:dyDescent="0.3">
      <c r="A72" s="37"/>
      <c r="B72" s="20"/>
      <c r="C72" s="20"/>
      <c r="D72" s="36"/>
      <c r="E72" s="20"/>
      <c r="F72" s="43"/>
      <c r="G72" s="20"/>
      <c r="H72" s="20"/>
      <c r="I72" s="20"/>
      <c r="J72" s="146"/>
      <c r="K72" s="37"/>
      <c r="L72" s="37"/>
      <c r="M72" s="37"/>
      <c r="N72" s="37"/>
      <c r="O72" s="37"/>
      <c r="P72" s="37"/>
      <c r="Q72" s="42"/>
      <c r="R72" s="20"/>
      <c r="S72" s="20"/>
      <c r="T72" s="20"/>
      <c r="U72" s="20"/>
      <c r="W72" s="20"/>
      <c r="X72" s="515"/>
      <c r="Y72" s="515"/>
      <c r="Z72" s="515"/>
      <c r="AA72" s="515">
        <f>5.373+0.549*5</f>
        <v>8.1180000000000003</v>
      </c>
      <c r="AB72" s="515"/>
      <c r="AC72" s="515"/>
      <c r="AD72" s="515"/>
      <c r="AE72" s="515"/>
      <c r="AF72" s="515"/>
      <c r="AG72" s="515"/>
      <c r="AH72" s="515"/>
      <c r="AI72" s="515"/>
      <c r="AJ72" s="515"/>
      <c r="AK72" s="515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0"/>
      <c r="CD72" s="20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0"/>
      <c r="CR72" s="20"/>
      <c r="CS72" s="20"/>
      <c r="CT72" s="20"/>
      <c r="CU72" s="20"/>
      <c r="CV72" s="20"/>
      <c r="CW72" s="20"/>
      <c r="CX72" s="20"/>
      <c r="CY72" s="20"/>
      <c r="CZ72" s="20"/>
      <c r="DA72" s="20"/>
      <c r="DB72" s="20"/>
      <c r="DC72" s="20"/>
      <c r="DD72" s="20"/>
      <c r="DE72" s="20"/>
      <c r="DF72" s="20"/>
      <c r="DG72" s="20"/>
      <c r="DH72" s="20"/>
      <c r="DI72" s="20"/>
      <c r="DJ72" s="20"/>
      <c r="DK72" s="20"/>
      <c r="DL72" s="20"/>
      <c r="DM72" s="20"/>
      <c r="DN72" s="20"/>
      <c r="DO72" s="20"/>
      <c r="DP72" s="20"/>
      <c r="DQ72" s="20"/>
      <c r="DR72" s="20"/>
      <c r="DS72" s="20"/>
      <c r="DT72" s="20"/>
      <c r="DU72" s="20"/>
      <c r="DV72" s="20"/>
      <c r="DW72" s="20"/>
      <c r="DX72" s="20"/>
      <c r="DY72" s="20"/>
      <c r="DZ72" s="20"/>
      <c r="EA72" s="20"/>
      <c r="EB72" s="20"/>
      <c r="EC72" s="20"/>
      <c r="ED72" s="20"/>
      <c r="EE72" s="20"/>
      <c r="EF72" s="20"/>
      <c r="EG72" s="20"/>
      <c r="EH72" s="20"/>
      <c r="EI72" s="20"/>
    </row>
    <row r="73" spans="1:139" x14ac:dyDescent="0.25">
      <c r="A73" s="20"/>
      <c r="B73" s="229" t="s">
        <v>123</v>
      </c>
      <c r="C73" s="230" t="s">
        <v>124</v>
      </c>
      <c r="D73" s="231" t="s">
        <v>44</v>
      </c>
      <c r="E73" s="229">
        <f>+E46</f>
        <v>4</v>
      </c>
      <c r="F73" s="238">
        <f t="shared" ref="F73:H73" si="15">+F46</f>
        <v>5</v>
      </c>
      <c r="G73" s="238">
        <f t="shared" si="15"/>
        <v>6</v>
      </c>
      <c r="H73" s="238">
        <f t="shared" si="15"/>
        <v>6</v>
      </c>
      <c r="I73" s="238">
        <f>+I46</f>
        <v>3</v>
      </c>
      <c r="J73" s="238">
        <f>+J46</f>
        <v>2</v>
      </c>
      <c r="K73" s="238">
        <f>+K46</f>
        <v>1</v>
      </c>
      <c r="L73" s="564" t="str">
        <f>+L46</f>
        <v>Melotera</v>
      </c>
      <c r="M73" s="35"/>
      <c r="N73" s="35"/>
      <c r="O73" s="35"/>
      <c r="P73" s="35"/>
      <c r="Q73" s="42"/>
      <c r="R73" s="20"/>
      <c r="S73" s="20"/>
      <c r="T73" s="20"/>
      <c r="U73" s="20"/>
      <c r="W73" s="20"/>
      <c r="X73" s="515"/>
      <c r="Y73" s="515"/>
      <c r="Z73" s="515"/>
      <c r="AA73" s="515"/>
      <c r="AB73" s="515"/>
      <c r="AC73" s="515"/>
      <c r="AD73" s="515"/>
      <c r="AE73" s="515"/>
      <c r="AF73" s="515"/>
      <c r="AG73" s="515"/>
      <c r="AH73" s="515"/>
      <c r="AI73" s="515"/>
      <c r="AJ73" s="515"/>
      <c r="AK73" s="515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0"/>
      <c r="BI73" s="20"/>
      <c r="BJ73" s="20"/>
      <c r="BK73" s="20"/>
      <c r="BL73" s="20"/>
      <c r="BM73" s="20"/>
      <c r="BN73" s="20"/>
      <c r="BO73" s="20"/>
      <c r="BP73" s="20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0"/>
      <c r="CD73" s="20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0"/>
      <c r="CR73" s="20"/>
      <c r="CS73" s="20"/>
      <c r="CT73" s="20"/>
      <c r="CU73" s="20"/>
      <c r="CV73" s="20"/>
      <c r="CW73" s="20"/>
      <c r="CX73" s="20"/>
      <c r="CY73" s="20"/>
      <c r="CZ73" s="20"/>
      <c r="DA73" s="20"/>
      <c r="DB73" s="20"/>
      <c r="DC73" s="20"/>
      <c r="DD73" s="20"/>
      <c r="DE73" s="20"/>
      <c r="DF73" s="20"/>
      <c r="DG73" s="20"/>
      <c r="DH73" s="20"/>
      <c r="DI73" s="20"/>
      <c r="DJ73" s="20"/>
      <c r="DK73" s="20"/>
      <c r="DL73" s="20"/>
      <c r="DM73" s="20"/>
      <c r="DN73" s="20"/>
      <c r="DO73" s="20"/>
      <c r="DP73" s="20"/>
      <c r="DQ73" s="20"/>
      <c r="DR73" s="20"/>
      <c r="DS73" s="20"/>
      <c r="DT73" s="20"/>
      <c r="DU73" s="20"/>
      <c r="DV73" s="20"/>
      <c r="DW73" s="20"/>
      <c r="DX73" s="20"/>
      <c r="DY73" s="20"/>
      <c r="DZ73" s="20"/>
      <c r="EA73" s="20"/>
      <c r="EB73" s="20"/>
      <c r="EC73" s="20"/>
      <c r="ED73" s="20"/>
      <c r="EE73" s="20"/>
      <c r="EF73" s="20"/>
      <c r="EG73" s="20"/>
      <c r="EH73" s="20"/>
      <c r="EI73" s="20"/>
    </row>
    <row r="74" spans="1:139" x14ac:dyDescent="0.25">
      <c r="A74" s="20"/>
      <c r="B74" s="232" t="s">
        <v>314</v>
      </c>
      <c r="C74" s="40" t="s">
        <v>315</v>
      </c>
      <c r="D74" s="239" t="s">
        <v>190</v>
      </c>
      <c r="E74" s="565">
        <f t="shared" ref="E74:H74" si="16">+E114</f>
        <v>101.4431345179968</v>
      </c>
      <c r="F74" s="149">
        <f t="shared" si="16"/>
        <v>68.432881239487344</v>
      </c>
      <c r="G74" s="44">
        <f t="shared" si="16"/>
        <v>24.057563096719278</v>
      </c>
      <c r="H74" s="44">
        <f t="shared" si="16"/>
        <v>23.351149115379513</v>
      </c>
      <c r="I74" s="322">
        <f>I114</f>
        <v>366.1066482738413</v>
      </c>
      <c r="J74" s="322">
        <f>+J114</f>
        <v>200.78726233741048</v>
      </c>
      <c r="K74" s="44">
        <f>+K114</f>
        <v>170.62197805290538</v>
      </c>
      <c r="L74" s="566">
        <f>+L114</f>
        <v>30.205444719587298</v>
      </c>
      <c r="M74" s="35"/>
      <c r="N74" s="35"/>
      <c r="O74" s="35"/>
      <c r="P74" s="35"/>
      <c r="Q74" s="42"/>
      <c r="R74" s="20"/>
      <c r="S74" s="20"/>
      <c r="T74" s="20"/>
      <c r="U74" s="20"/>
      <c r="W74" s="20"/>
      <c r="X74" s="515"/>
      <c r="Y74" s="515"/>
      <c r="Z74" s="515"/>
      <c r="AA74" s="515"/>
      <c r="AB74" s="515"/>
      <c r="AC74" s="515"/>
      <c r="AD74" s="515"/>
      <c r="AE74" s="515"/>
      <c r="AF74" s="515"/>
      <c r="AG74" s="515"/>
      <c r="AH74" s="515"/>
      <c r="AI74" s="515"/>
      <c r="AJ74" s="515"/>
      <c r="AK74" s="515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0"/>
      <c r="CD74" s="20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0"/>
      <c r="CR74" s="20"/>
      <c r="CS74" s="20"/>
      <c r="CT74" s="20"/>
      <c r="CU74" s="20"/>
      <c r="CV74" s="20"/>
      <c r="CW74" s="20"/>
      <c r="CX74" s="20"/>
      <c r="CY74" s="20"/>
      <c r="CZ74" s="20"/>
      <c r="DA74" s="20"/>
      <c r="DB74" s="20"/>
      <c r="DC74" s="20"/>
      <c r="DD74" s="20"/>
      <c r="DE74" s="20"/>
      <c r="DF74" s="20"/>
      <c r="DG74" s="20"/>
      <c r="DH74" s="20"/>
      <c r="DI74" s="20"/>
      <c r="DJ74" s="20"/>
      <c r="DK74" s="20"/>
      <c r="DL74" s="20"/>
      <c r="DM74" s="20"/>
      <c r="DN74" s="20"/>
      <c r="DO74" s="20"/>
      <c r="DP74" s="20"/>
      <c r="DQ74" s="20"/>
      <c r="DR74" s="20"/>
      <c r="DS74" s="20"/>
      <c r="DT74" s="20"/>
      <c r="DU74" s="20"/>
      <c r="DV74" s="20"/>
      <c r="DW74" s="20"/>
      <c r="DX74" s="20"/>
      <c r="DY74" s="20"/>
      <c r="DZ74" s="20"/>
      <c r="EA74" s="20"/>
      <c r="EB74" s="20"/>
      <c r="EC74" s="20"/>
      <c r="ED74" s="20"/>
      <c r="EE74" s="20"/>
      <c r="EF74" s="20"/>
      <c r="EG74" s="20"/>
      <c r="EH74" s="20"/>
      <c r="EI74" s="20"/>
    </row>
    <row r="75" spans="1:139" x14ac:dyDescent="0.25">
      <c r="A75" s="20"/>
      <c r="B75" s="232" t="s">
        <v>125</v>
      </c>
      <c r="C75" s="40" t="s">
        <v>140</v>
      </c>
      <c r="D75" s="239" t="s">
        <v>126</v>
      </c>
      <c r="E75" s="565">
        <f>+I76</f>
        <v>163.95124620805723</v>
      </c>
      <c r="F75" s="149" t="e">
        <f>+E76</f>
        <v>#VALUE!</v>
      </c>
      <c r="G75" s="44" t="e">
        <f>+F76</f>
        <v>#VALUE!</v>
      </c>
      <c r="H75" s="44" t="e">
        <f>+G75</f>
        <v>#VALUE!</v>
      </c>
      <c r="I75" s="322">
        <f>+J76</f>
        <v>44.041839786479152</v>
      </c>
      <c r="J75" s="322">
        <f>+K76</f>
        <v>21.452699026431628</v>
      </c>
      <c r="K75" s="44">
        <f>+D9</f>
        <v>17</v>
      </c>
      <c r="L75" s="566">
        <f>+K75</f>
        <v>17</v>
      </c>
      <c r="M75" s="35"/>
      <c r="N75" s="35"/>
      <c r="O75" s="35"/>
      <c r="P75" s="35"/>
      <c r="Q75" s="42"/>
      <c r="R75" s="20"/>
      <c r="S75" s="20"/>
      <c r="T75" s="20"/>
      <c r="U75" s="20"/>
      <c r="W75" s="20"/>
      <c r="X75" s="515"/>
      <c r="Y75" s="515"/>
      <c r="Z75" s="515"/>
      <c r="AA75" s="515"/>
      <c r="AB75" s="515"/>
      <c r="AC75" s="515"/>
      <c r="AD75" s="515"/>
      <c r="AE75" s="515"/>
      <c r="AF75" s="515"/>
      <c r="AG75" s="515"/>
      <c r="AH75" s="515"/>
      <c r="AI75" s="515"/>
      <c r="AJ75" s="515"/>
      <c r="AK75" s="515"/>
      <c r="AL75" s="20"/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0"/>
      <c r="BP75" s="20"/>
      <c r="BQ75" s="20"/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B75" s="20"/>
      <c r="CC75" s="20"/>
      <c r="CD75" s="20"/>
      <c r="CE75" s="20"/>
      <c r="CF75" s="20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0"/>
      <c r="CR75" s="20"/>
      <c r="CS75" s="20"/>
      <c r="CT75" s="20"/>
      <c r="CU75" s="20"/>
      <c r="CV75" s="20"/>
      <c r="CW75" s="20"/>
      <c r="CX75" s="20"/>
      <c r="CY75" s="20"/>
      <c r="CZ75" s="20"/>
      <c r="DA75" s="20"/>
      <c r="DB75" s="20"/>
      <c r="DC75" s="20"/>
      <c r="DD75" s="20"/>
      <c r="DE75" s="20"/>
      <c r="DF75" s="20"/>
      <c r="DG75" s="20"/>
      <c r="DH75" s="20"/>
      <c r="DI75" s="20"/>
      <c r="DJ75" s="20"/>
      <c r="DK75" s="20"/>
      <c r="DL75" s="20"/>
      <c r="DM75" s="20"/>
      <c r="DN75" s="20"/>
      <c r="DO75" s="20"/>
      <c r="DP75" s="20"/>
      <c r="DQ75" s="20"/>
      <c r="DR75" s="20"/>
      <c r="DS75" s="20"/>
      <c r="DT75" s="20"/>
      <c r="DU75" s="20"/>
      <c r="DV75" s="20"/>
      <c r="DW75" s="20"/>
      <c r="DX75" s="20"/>
      <c r="DY75" s="20"/>
      <c r="DZ75" s="20"/>
      <c r="EA75" s="20"/>
      <c r="EB75" s="20"/>
      <c r="EC75" s="20"/>
      <c r="ED75" s="20"/>
      <c r="EE75" s="20"/>
      <c r="EF75" s="20"/>
      <c r="EG75" s="20"/>
      <c r="EH75" s="20"/>
      <c r="EI75" s="20"/>
    </row>
    <row r="76" spans="1:139" x14ac:dyDescent="0.25">
      <c r="A76" s="20"/>
      <c r="B76" s="232" t="s">
        <v>127</v>
      </c>
      <c r="C76" s="41" t="s">
        <v>141</v>
      </c>
      <c r="D76" s="239" t="s">
        <v>126</v>
      </c>
      <c r="E76" s="225" t="e">
        <f>+XbrixCl(E78,E75,$D$8,E74,$D$9,$D$21/760,I79)</f>
        <v>#VALUE!</v>
      </c>
      <c r="F76" s="225" t="e">
        <f>+XbrixCl(F78,F75,$D$8,F74,$D$9,$D$21/760,E79)</f>
        <v>#VALUE!</v>
      </c>
      <c r="G76" s="225" t="e">
        <f>+XbrixCl(G78,G75,$D$8,G74,$D$9,$D$21/760,F79)</f>
        <v>#VALUE!</v>
      </c>
      <c r="H76" s="225" t="e">
        <f>+XbrixCl(H78,H75,$D$8,H74,$D$9,$D$21/760,F79)</f>
        <v>#VALUE!</v>
      </c>
      <c r="I76" s="225">
        <f>+XbrixCl(I78,I75,$D$8,I74,$D$9,$D$21/760,J79)</f>
        <v>163.95124620805723</v>
      </c>
      <c r="J76" s="225">
        <f>+XbrixCl(J78,J75,$D$8,J74,$D$9,$D$21/760,K79)</f>
        <v>44.041839786479152</v>
      </c>
      <c r="K76" s="225">
        <f>+XbrixCl(K78,K75,$D$8,K74,$D$9,$D$21/760,$D$19)</f>
        <v>21.452699026431628</v>
      </c>
      <c r="L76" s="568">
        <f>+XbrixCl(L78,L75,$D$8,L74,$D$9,$D$21/760,$D$19)</f>
        <v>143.06529720745149</v>
      </c>
      <c r="M76" s="35"/>
      <c r="N76" s="35"/>
      <c r="O76" s="35"/>
      <c r="P76" s="35"/>
      <c r="Q76" s="42"/>
      <c r="R76" s="20"/>
      <c r="S76" s="20"/>
      <c r="T76" s="20"/>
      <c r="U76" s="20"/>
      <c r="W76" s="20"/>
      <c r="X76" s="515"/>
      <c r="Y76" s="515"/>
      <c r="Z76" s="515"/>
      <c r="AA76" s="515"/>
      <c r="AB76" s="515"/>
      <c r="AC76" s="515"/>
      <c r="AD76" s="515"/>
      <c r="AE76" s="515"/>
      <c r="AF76" s="515"/>
      <c r="AG76" s="515"/>
      <c r="AH76" s="515"/>
      <c r="AI76" s="515"/>
      <c r="AJ76" s="515"/>
      <c r="AK76" s="515"/>
      <c r="AL76" s="20"/>
      <c r="AM76" s="20"/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0"/>
      <c r="BP76" s="20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0"/>
      <c r="CD76" s="20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0"/>
      <c r="CR76" s="20"/>
      <c r="CS76" s="20"/>
      <c r="CT76" s="20"/>
      <c r="CU76" s="20"/>
      <c r="CV76" s="20"/>
      <c r="CW76" s="20"/>
      <c r="CX76" s="20"/>
      <c r="CY76" s="20"/>
      <c r="CZ76" s="20"/>
      <c r="DA76" s="20"/>
      <c r="DB76" s="20"/>
      <c r="DC76" s="20"/>
      <c r="DD76" s="20"/>
      <c r="DE76" s="20"/>
      <c r="DF76" s="20"/>
      <c r="DG76" s="20"/>
      <c r="DH76" s="20"/>
      <c r="DI76" s="20"/>
      <c r="DJ76" s="20"/>
      <c r="DK76" s="20"/>
      <c r="DL76" s="20"/>
      <c r="DM76" s="20"/>
      <c r="DN76" s="20"/>
      <c r="DO76" s="20"/>
      <c r="DP76" s="20"/>
      <c r="DQ76" s="20"/>
      <c r="DR76" s="20"/>
      <c r="DS76" s="20"/>
      <c r="DT76" s="20"/>
      <c r="DU76" s="20"/>
      <c r="DV76" s="20"/>
      <c r="DW76" s="20"/>
      <c r="DX76" s="20"/>
      <c r="DY76" s="20"/>
      <c r="DZ76" s="20"/>
      <c r="EA76" s="20"/>
      <c r="EB76" s="20"/>
      <c r="EC76" s="20"/>
      <c r="ED76" s="20"/>
      <c r="EE76" s="20"/>
      <c r="EF76" s="20"/>
      <c r="EG76" s="20"/>
      <c r="EH76" s="20"/>
      <c r="EI76" s="20"/>
    </row>
    <row r="77" spans="1:139" x14ac:dyDescent="0.25">
      <c r="A77" s="20"/>
      <c r="B77" s="232" t="s">
        <v>128</v>
      </c>
      <c r="C77" s="41" t="s">
        <v>142</v>
      </c>
      <c r="D77" s="239" t="s">
        <v>126</v>
      </c>
      <c r="E77" s="569" t="e">
        <f t="shared" ref="E77:G77" si="17">+AVERAGE(E75:E76)</f>
        <v>#VALUE!</v>
      </c>
      <c r="F77" s="227" t="e">
        <f t="shared" si="17"/>
        <v>#VALUE!</v>
      </c>
      <c r="G77" s="226" t="e">
        <f t="shared" si="17"/>
        <v>#VALUE!</v>
      </c>
      <c r="H77" s="226" t="e">
        <f>+AVERAGE(H75:H76)</f>
        <v>#VALUE!</v>
      </c>
      <c r="I77" s="323">
        <f>+AVERAGE(I75:I76)</f>
        <v>103.99654299726819</v>
      </c>
      <c r="J77" s="323">
        <f>+AVERAGE(J75:J76)</f>
        <v>32.747269406455388</v>
      </c>
      <c r="K77" s="226">
        <f>+AVERAGE(K75:K76)</f>
        <v>19.226349513215816</v>
      </c>
      <c r="L77" s="570">
        <f t="shared" ref="L77" si="18">+AVERAGE(L75:L76)</f>
        <v>80.032648603725747</v>
      </c>
      <c r="M77" s="35"/>
      <c r="N77" s="35"/>
      <c r="O77" s="35"/>
      <c r="P77" s="35"/>
      <c r="Q77" s="42"/>
      <c r="R77" s="20"/>
      <c r="S77" s="20"/>
      <c r="T77" s="20"/>
      <c r="U77" s="20"/>
      <c r="W77" s="20"/>
      <c r="X77" s="515"/>
      <c r="Y77" s="515"/>
      <c r="Z77" s="515"/>
      <c r="AA77" s="515"/>
      <c r="AB77" s="515"/>
      <c r="AC77" s="515"/>
      <c r="AD77" s="515"/>
      <c r="AE77" s="515"/>
      <c r="AF77" s="515"/>
      <c r="AG77" s="515"/>
      <c r="AH77" s="515"/>
      <c r="AI77" s="515"/>
      <c r="AJ77" s="515"/>
      <c r="AK77" s="515"/>
      <c r="AL77" s="20"/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0"/>
      <c r="BI77" s="20"/>
      <c r="BJ77" s="20"/>
      <c r="BK77" s="20"/>
      <c r="BL77" s="20"/>
      <c r="BM77" s="20"/>
      <c r="BN77" s="20"/>
      <c r="BO77" s="20"/>
      <c r="BP77" s="20"/>
      <c r="BQ77" s="20"/>
      <c r="BR77" s="20"/>
      <c r="BS77" s="20"/>
      <c r="BT77" s="20"/>
      <c r="BU77" s="20"/>
      <c r="BV77" s="20"/>
      <c r="BW77" s="20"/>
      <c r="BX77" s="20"/>
      <c r="BY77" s="20"/>
      <c r="BZ77" s="20"/>
      <c r="CA77" s="20"/>
      <c r="CB77" s="20"/>
      <c r="CC77" s="20"/>
      <c r="CD77" s="20"/>
      <c r="CE77" s="20"/>
      <c r="CF77" s="20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0"/>
      <c r="CR77" s="20"/>
      <c r="CS77" s="20"/>
      <c r="CT77" s="20"/>
      <c r="CU77" s="20"/>
      <c r="CV77" s="20"/>
      <c r="CW77" s="20"/>
      <c r="CX77" s="20"/>
      <c r="CY77" s="20"/>
      <c r="CZ77" s="20"/>
      <c r="DA77" s="20"/>
      <c r="DB77" s="20"/>
      <c r="DC77" s="20"/>
      <c r="DD77" s="20"/>
      <c r="DE77" s="20"/>
      <c r="DF77" s="20"/>
      <c r="DG77" s="20"/>
      <c r="DH77" s="20"/>
      <c r="DI77" s="20"/>
      <c r="DJ77" s="20"/>
      <c r="DK77" s="20"/>
      <c r="DL77" s="20"/>
      <c r="DM77" s="20"/>
      <c r="DN77" s="20"/>
      <c r="DO77" s="20"/>
      <c r="DP77" s="20"/>
      <c r="DQ77" s="20"/>
      <c r="DR77" s="20"/>
      <c r="DS77" s="20"/>
      <c r="DT77" s="20"/>
      <c r="DU77" s="20"/>
      <c r="DV77" s="20"/>
      <c r="DW77" s="20"/>
      <c r="DX77" s="20"/>
      <c r="DY77" s="20"/>
      <c r="DZ77" s="20"/>
      <c r="EA77" s="20"/>
      <c r="EB77" s="20"/>
      <c r="EC77" s="20"/>
      <c r="ED77" s="20"/>
      <c r="EE77" s="20"/>
      <c r="EF77" s="20"/>
      <c r="EG77" s="20"/>
      <c r="EH77" s="20"/>
      <c r="EI77" s="20"/>
    </row>
    <row r="78" spans="1:139" x14ac:dyDescent="0.25">
      <c r="A78" s="20"/>
      <c r="B78" s="232" t="s">
        <v>316</v>
      </c>
      <c r="C78" s="40" t="s">
        <v>318</v>
      </c>
      <c r="D78" s="240" t="s">
        <v>38</v>
      </c>
      <c r="E78" s="569">
        <f>+J78*J75/J76</f>
        <v>317.75239335701599</v>
      </c>
      <c r="F78" s="227" t="e">
        <f>+E78-E75/E76</f>
        <v>#VALUE!</v>
      </c>
      <c r="G78" s="226" t="e">
        <f>+F78*F75/F76</f>
        <v>#VALUE!</v>
      </c>
      <c r="H78" s="226" t="e">
        <f>+G78</f>
        <v>#VALUE!</v>
      </c>
      <c r="I78" s="323">
        <f>+(J78)*J75/J76</f>
        <v>317.75239335701599</v>
      </c>
      <c r="J78" s="323">
        <f>+(K78-L78)*K75/K76</f>
        <v>652.33749761545903</v>
      </c>
      <c r="K78" s="226">
        <f>K6</f>
        <v>857.5</v>
      </c>
      <c r="L78" s="570">
        <f>+K7</f>
        <v>34.300000000000004</v>
      </c>
      <c r="M78" s="35"/>
      <c r="N78" s="35"/>
      <c r="O78" s="35"/>
      <c r="P78" s="35"/>
      <c r="Q78" s="42"/>
      <c r="R78" s="20"/>
      <c r="S78" s="20"/>
      <c r="T78" s="20"/>
      <c r="U78" s="20"/>
      <c r="W78" s="20"/>
      <c r="X78" s="515"/>
      <c r="Y78" s="515"/>
      <c r="Z78" s="515"/>
      <c r="AA78" s="515"/>
      <c r="AB78" s="515"/>
      <c r="AC78" s="515"/>
      <c r="AD78" s="515"/>
      <c r="AE78" s="515"/>
      <c r="AF78" s="515"/>
      <c r="AG78" s="515"/>
      <c r="AH78" s="515"/>
      <c r="AI78" s="515"/>
      <c r="AJ78" s="515"/>
      <c r="AK78" s="515"/>
      <c r="AL78" s="20"/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0"/>
      <c r="BP78" s="20"/>
      <c r="BQ78" s="20"/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B78" s="20"/>
      <c r="CC78" s="20"/>
      <c r="CD78" s="20"/>
      <c r="CE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0"/>
      <c r="CR78" s="20"/>
      <c r="CS78" s="20"/>
      <c r="CT78" s="20"/>
      <c r="CU78" s="20"/>
      <c r="CV78" s="20"/>
      <c r="CW78" s="20"/>
      <c r="CX78" s="20"/>
      <c r="CY78" s="20"/>
      <c r="CZ78" s="20"/>
      <c r="DA78" s="20"/>
      <c r="DB78" s="20"/>
      <c r="DC78" s="20"/>
      <c r="DD78" s="20"/>
      <c r="DE78" s="20"/>
      <c r="DF78" s="20"/>
      <c r="DG78" s="20"/>
      <c r="DH78" s="20"/>
      <c r="DI78" s="20"/>
      <c r="DJ78" s="20"/>
      <c r="DK78" s="20"/>
      <c r="DL78" s="20"/>
      <c r="DM78" s="20"/>
      <c r="DN78" s="20"/>
      <c r="DO78" s="20"/>
      <c r="DP78" s="20"/>
      <c r="DQ78" s="20"/>
      <c r="DR78" s="20"/>
      <c r="DS78" s="20"/>
      <c r="DT78" s="20"/>
      <c r="DU78" s="20"/>
      <c r="DV78" s="20"/>
      <c r="DW78" s="20"/>
      <c r="DX78" s="20"/>
      <c r="DY78" s="20"/>
      <c r="DZ78" s="20"/>
      <c r="EA78" s="20"/>
      <c r="EB78" s="20"/>
      <c r="EC78" s="20"/>
      <c r="ED78" s="20"/>
      <c r="EE78" s="20"/>
      <c r="EF78" s="20"/>
      <c r="EG78" s="20"/>
      <c r="EH78" s="20"/>
      <c r="EI78" s="20"/>
    </row>
    <row r="79" spans="1:139" x14ac:dyDescent="0.25">
      <c r="A79" s="20"/>
      <c r="B79" s="232" t="s">
        <v>319</v>
      </c>
      <c r="C79" s="40" t="s">
        <v>320</v>
      </c>
      <c r="D79" s="240" t="s">
        <v>133</v>
      </c>
      <c r="E79" s="569" t="e">
        <f>+Tjugo($D$21/760,E77)</f>
        <v>#VALUE!</v>
      </c>
      <c r="F79" s="227" t="e">
        <f>+Tjugo($D$21/760,F77)</f>
        <v>#VALUE!</v>
      </c>
      <c r="G79" s="227" t="e">
        <f t="shared" ref="G79:H79" si="19">+Tjugo($D$21/760,G77)</f>
        <v>#VALUE!</v>
      </c>
      <c r="H79" s="227" t="e">
        <f t="shared" si="19"/>
        <v>#VALUE!</v>
      </c>
      <c r="I79" s="323">
        <f>+Tjugo($D$21/760,I77)</f>
        <v>168.72528494902639</v>
      </c>
      <c r="J79" s="323">
        <f>+Tjugo($D$21/760,J77)</f>
        <v>97.668366888243597</v>
      </c>
      <c r="K79" s="226">
        <f>+Tfinal_jugo(K75,$D$21/760,$D$19,K78,K74,D8)</f>
        <v>97.029201756322735</v>
      </c>
      <c r="L79" s="570">
        <f>+Tfinal_jugo(L75,$D$21/760,$D$19,L78,L74,G7)</f>
        <v>726.56299079550786</v>
      </c>
      <c r="M79" s="35"/>
      <c r="N79" s="35"/>
      <c r="O79" s="35"/>
      <c r="P79" s="35"/>
      <c r="Q79" s="42"/>
      <c r="R79" s="20"/>
      <c r="S79" s="20"/>
      <c r="T79" s="20"/>
      <c r="U79" s="20"/>
      <c r="W79" s="20"/>
      <c r="X79" s="515"/>
      <c r="Y79" s="515"/>
      <c r="Z79" s="515"/>
      <c r="AA79" s="515"/>
      <c r="AB79" s="515"/>
      <c r="AC79" s="515"/>
      <c r="AD79" s="515"/>
      <c r="AE79" s="515"/>
      <c r="AF79" s="515"/>
      <c r="AG79" s="515"/>
      <c r="AH79" s="515"/>
      <c r="AI79" s="515"/>
      <c r="AJ79" s="515"/>
      <c r="AK79" s="515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0"/>
      <c r="BP79" s="20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0"/>
      <c r="CD79" s="20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0"/>
      <c r="CR79" s="20"/>
      <c r="CS79" s="20"/>
      <c r="CT79" s="20"/>
      <c r="CU79" s="20"/>
      <c r="CV79" s="20"/>
      <c r="CW79" s="20"/>
      <c r="CX79" s="20"/>
      <c r="CY79" s="20"/>
      <c r="CZ79" s="20"/>
      <c r="DA79" s="20"/>
      <c r="DB79" s="20"/>
      <c r="DC79" s="20"/>
      <c r="DD79" s="20"/>
      <c r="DE79" s="20"/>
      <c r="DF79" s="20"/>
      <c r="DG79" s="20"/>
      <c r="DH79" s="20"/>
      <c r="DI79" s="20"/>
      <c r="DJ79" s="20"/>
      <c r="DK79" s="20"/>
      <c r="DL79" s="20"/>
      <c r="DM79" s="20"/>
      <c r="DN79" s="20"/>
      <c r="DO79" s="20"/>
      <c r="DP79" s="20"/>
      <c r="DQ79" s="20"/>
      <c r="DR79" s="20"/>
      <c r="DS79" s="20"/>
      <c r="DT79" s="20"/>
      <c r="DU79" s="20"/>
      <c r="DV79" s="20"/>
      <c r="DW79" s="20"/>
      <c r="DX79" s="20"/>
      <c r="DY79" s="20"/>
      <c r="DZ79" s="20"/>
      <c r="EA79" s="20"/>
      <c r="EB79" s="20"/>
      <c r="EC79" s="20"/>
      <c r="ED79" s="20"/>
      <c r="EE79" s="20"/>
      <c r="EF79" s="20"/>
      <c r="EG79" s="20"/>
      <c r="EH79" s="20"/>
      <c r="EI79" s="20"/>
    </row>
    <row r="80" spans="1:139" x14ac:dyDescent="0.25">
      <c r="A80" s="20"/>
      <c r="B80" s="232" t="s">
        <v>272</v>
      </c>
      <c r="C80" s="40" t="s">
        <v>275</v>
      </c>
      <c r="D80" s="239" t="s">
        <v>273</v>
      </c>
      <c r="E80" s="571" t="e">
        <f>+(EXP(-11.229+(3257.5/(E79+273.15))+(0.07572*E77)))/1000</f>
        <v>#VALUE!</v>
      </c>
      <c r="F80" s="244" t="e">
        <f t="shared" ref="F80:H80" si="20">+(EXP(-11.229+(3257.5/(F79+273.15))+(0.07572*F77)))/1000</f>
        <v>#VALUE!</v>
      </c>
      <c r="G80" s="244" t="e">
        <f t="shared" si="20"/>
        <v>#VALUE!</v>
      </c>
      <c r="H80" s="244" t="e">
        <f t="shared" si="20"/>
        <v>#VALUE!</v>
      </c>
      <c r="I80" s="324">
        <f>+(EXP(-11.229+(3257.5/(I79+273.15))+(0.07572*I77)))/1000</f>
        <v>5.5568018232771771E-2</v>
      </c>
      <c r="J80" s="324">
        <f>+(EXP(-11.229+(3257.5/(J79+273.15))+(0.07572*J77)))/1000</f>
        <v>1.0358759948825744E-3</v>
      </c>
      <c r="K80" s="244">
        <f t="shared" ref="K80:L80" si="21">+(EXP(-11.229+(3257.5/(K79+273.15))+(0.07572*K77)))/1000</f>
        <v>3.7780059238910085E-4</v>
      </c>
      <c r="L80" s="572">
        <f t="shared" si="21"/>
        <v>1.4800745322894569E-4</v>
      </c>
      <c r="M80" s="35"/>
      <c r="N80" s="35"/>
      <c r="O80" s="35"/>
      <c r="P80" s="35"/>
      <c r="Q80" s="42"/>
      <c r="R80" s="20"/>
      <c r="S80" s="20"/>
      <c r="T80" s="20"/>
      <c r="U80" s="20"/>
      <c r="W80" s="20"/>
      <c r="X80" s="515"/>
      <c r="Y80" s="515"/>
      <c r="Z80" s="515"/>
      <c r="AA80" s="515"/>
      <c r="AB80" s="515"/>
      <c r="AC80" s="515"/>
      <c r="AD80" s="515"/>
      <c r="AE80" s="515"/>
      <c r="AF80" s="515"/>
      <c r="AG80" s="515"/>
      <c r="AH80" s="515"/>
      <c r="AI80" s="515"/>
      <c r="AJ80" s="515"/>
      <c r="AK80" s="515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20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0"/>
      <c r="CD80" s="20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0"/>
      <c r="CR80" s="20"/>
      <c r="CS80" s="20"/>
      <c r="CT80" s="20"/>
      <c r="CU80" s="20"/>
      <c r="CV80" s="20"/>
      <c r="CW80" s="20"/>
      <c r="CX80" s="20"/>
      <c r="CY80" s="20"/>
      <c r="CZ80" s="20"/>
      <c r="DA80" s="20"/>
      <c r="DB80" s="20"/>
      <c r="DC80" s="20"/>
      <c r="DD80" s="20"/>
      <c r="DE80" s="20"/>
      <c r="DF80" s="20"/>
      <c r="DG80" s="20"/>
      <c r="DH80" s="20"/>
      <c r="DI80" s="20"/>
      <c r="DJ80" s="20"/>
      <c r="DK80" s="20"/>
      <c r="DL80" s="20"/>
      <c r="DM80" s="20"/>
      <c r="DN80" s="20"/>
      <c r="DO80" s="20"/>
      <c r="DP80" s="20"/>
      <c r="DQ80" s="20"/>
      <c r="DR80" s="20"/>
      <c r="DS80" s="20"/>
      <c r="DT80" s="20"/>
      <c r="DU80" s="20"/>
      <c r="DV80" s="20"/>
      <c r="DW80" s="20"/>
      <c r="DX80" s="20"/>
      <c r="DY80" s="20"/>
      <c r="DZ80" s="20"/>
      <c r="EA80" s="20"/>
      <c r="EB80" s="20"/>
      <c r="EC80" s="20"/>
      <c r="ED80" s="20"/>
      <c r="EE80" s="20"/>
      <c r="EF80" s="20"/>
      <c r="EG80" s="20"/>
      <c r="EH80" s="20"/>
      <c r="EI80" s="20"/>
    </row>
    <row r="81" spans="1:139" x14ac:dyDescent="0.25">
      <c r="A81" s="20"/>
      <c r="B81" s="233" t="s">
        <v>274</v>
      </c>
      <c r="C81" s="40" t="s">
        <v>276</v>
      </c>
      <c r="D81" s="239" t="s">
        <v>277</v>
      </c>
      <c r="E81" s="565">
        <v>5.5460000000000002E-2</v>
      </c>
      <c r="F81" s="149">
        <v>5.5460000000000002E-2</v>
      </c>
      <c r="G81" s="44">
        <v>5.5460000000000002E-2</v>
      </c>
      <c r="H81" s="44">
        <v>5.5460000000000002E-2</v>
      </c>
      <c r="I81" s="44">
        <v>5.5460000000000002E-2</v>
      </c>
      <c r="J81" s="322">
        <v>5.5460000000000002E-2</v>
      </c>
      <c r="K81" s="44">
        <v>5.5460000000000002E-2</v>
      </c>
      <c r="L81" s="566">
        <v>1.0554600000000001</v>
      </c>
      <c r="M81" s="35"/>
      <c r="N81" s="35"/>
      <c r="O81" s="35"/>
      <c r="P81" s="35"/>
      <c r="Q81" s="42"/>
      <c r="R81" s="20"/>
      <c r="S81" s="20"/>
      <c r="T81" s="20"/>
      <c r="U81" s="20"/>
      <c r="W81" s="20"/>
      <c r="X81" s="515"/>
      <c r="Y81" s="515"/>
      <c r="Z81" s="515"/>
      <c r="AA81" s="515"/>
      <c r="AB81" s="515"/>
      <c r="AC81" s="515"/>
      <c r="AD81" s="515"/>
      <c r="AE81" s="515"/>
      <c r="AF81" s="515"/>
      <c r="AG81" s="515"/>
      <c r="AH81" s="515"/>
      <c r="AI81" s="515"/>
      <c r="AJ81" s="515"/>
      <c r="AK81" s="515"/>
      <c r="AL81" s="20"/>
      <c r="AM81" s="20"/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0"/>
      <c r="BP81" s="20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0"/>
      <c r="CD81" s="20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0"/>
      <c r="CR81" s="20"/>
      <c r="CS81" s="20"/>
      <c r="CT81" s="20"/>
      <c r="CU81" s="20"/>
      <c r="CV81" s="20"/>
      <c r="CW81" s="20"/>
      <c r="CX81" s="20"/>
      <c r="CY81" s="20"/>
      <c r="CZ81" s="20"/>
      <c r="DA81" s="20"/>
      <c r="DB81" s="20"/>
      <c r="DC81" s="20"/>
      <c r="DD81" s="20"/>
      <c r="DE81" s="20"/>
      <c r="DF81" s="20"/>
      <c r="DG81" s="20"/>
      <c r="DH81" s="20"/>
      <c r="DI81" s="20"/>
      <c r="DJ81" s="20"/>
      <c r="DK81" s="20"/>
      <c r="DL81" s="20"/>
      <c r="DM81" s="20"/>
      <c r="DN81" s="20"/>
      <c r="DO81" s="20"/>
      <c r="DP81" s="20"/>
      <c r="DQ81" s="20"/>
      <c r="DR81" s="20"/>
      <c r="DS81" s="20"/>
      <c r="DT81" s="20"/>
      <c r="DU81" s="20"/>
      <c r="DV81" s="20"/>
      <c r="DW81" s="20"/>
      <c r="DX81" s="20"/>
      <c r="DY81" s="20"/>
      <c r="DZ81" s="20"/>
      <c r="EA81" s="20"/>
      <c r="EB81" s="20"/>
      <c r="EC81" s="20"/>
      <c r="ED81" s="20"/>
      <c r="EE81" s="20"/>
      <c r="EF81" s="20"/>
      <c r="EG81" s="20"/>
      <c r="EH81" s="20"/>
      <c r="EI81" s="20"/>
    </row>
    <row r="82" spans="1:139" x14ac:dyDescent="0.25">
      <c r="A82" s="20"/>
      <c r="B82" s="233" t="s">
        <v>201</v>
      </c>
      <c r="C82" s="40" t="s">
        <v>279</v>
      </c>
      <c r="D82" s="239" t="s">
        <v>278</v>
      </c>
      <c r="E82" s="565" t="e">
        <f>1043+4.854*E77-1.07*E79</f>
        <v>#VALUE!</v>
      </c>
      <c r="F82" s="149" t="e">
        <f t="shared" ref="F82:H82" si="22">1043+4.854*F77-1.07*F79</f>
        <v>#VALUE!</v>
      </c>
      <c r="G82" s="44" t="e">
        <f t="shared" si="22"/>
        <v>#VALUE!</v>
      </c>
      <c r="H82" s="44" t="e">
        <f t="shared" si="22"/>
        <v>#VALUE!</v>
      </c>
      <c r="I82" s="322">
        <f>1043+4.854*I77-1.07*I79</f>
        <v>1367.2631648132817</v>
      </c>
      <c r="J82" s="322">
        <f>1043+4.854*J77-1.07*J79</f>
        <v>1097.4500931285138</v>
      </c>
      <c r="K82" s="44">
        <f t="shared" ref="K82:L82" si="23">1043+4.854*K77-1.07*K79</f>
        <v>1032.5034546578843</v>
      </c>
      <c r="L82" s="566">
        <f t="shared" si="23"/>
        <v>654.05607617129135</v>
      </c>
      <c r="M82" s="35"/>
      <c r="N82" s="35"/>
      <c r="O82" s="35"/>
      <c r="P82" s="35"/>
      <c r="Q82" s="42"/>
      <c r="R82" s="20"/>
      <c r="S82" s="20"/>
      <c r="T82" s="20"/>
      <c r="U82" s="20"/>
      <c r="W82" s="20"/>
      <c r="X82" s="515"/>
      <c r="Y82" s="515"/>
      <c r="Z82" s="515"/>
      <c r="AA82" s="515"/>
      <c r="AB82" s="515"/>
      <c r="AC82" s="515"/>
      <c r="AD82" s="515"/>
      <c r="AE82" s="515"/>
      <c r="AF82" s="515"/>
      <c r="AG82" s="515"/>
      <c r="AH82" s="515"/>
      <c r="AI82" s="515"/>
      <c r="AJ82" s="515"/>
      <c r="AK82" s="515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0"/>
      <c r="DD82" s="20"/>
      <c r="DE82" s="20"/>
      <c r="DF82" s="20"/>
      <c r="DG82" s="20"/>
      <c r="DH82" s="20"/>
      <c r="DI82" s="20"/>
      <c r="DJ82" s="20"/>
      <c r="DK82" s="20"/>
      <c r="DL82" s="20"/>
      <c r="DM82" s="20"/>
      <c r="DN82" s="20"/>
      <c r="DO82" s="20"/>
      <c r="DP82" s="20"/>
      <c r="DQ82" s="20"/>
      <c r="DR82" s="20"/>
      <c r="DS82" s="20"/>
      <c r="DT82" s="20"/>
      <c r="DU82" s="20"/>
      <c r="DV82" s="20"/>
      <c r="DW82" s="20"/>
      <c r="DX82" s="20"/>
      <c r="DY82" s="20"/>
      <c r="DZ82" s="20"/>
      <c r="EA82" s="20"/>
      <c r="EB82" s="20"/>
      <c r="EC82" s="20"/>
      <c r="ED82" s="20"/>
      <c r="EE82" s="20"/>
      <c r="EF82" s="20"/>
      <c r="EG82" s="20"/>
      <c r="EH82" s="20"/>
      <c r="EI82" s="20"/>
    </row>
    <row r="83" spans="1:139" x14ac:dyDescent="0.25">
      <c r="A83" s="20"/>
      <c r="B83" s="232" t="s">
        <v>130</v>
      </c>
      <c r="C83" s="40" t="s">
        <v>131</v>
      </c>
      <c r="D83" s="239" t="s">
        <v>48</v>
      </c>
      <c r="E83" s="569" t="e">
        <f>4.18*(1-0.006*E77)</f>
        <v>#VALUE!</v>
      </c>
      <c r="F83" s="226" t="e">
        <f t="shared" ref="F83:H83" si="24">4.18*(1-0.006*F77)</f>
        <v>#VALUE!</v>
      </c>
      <c r="G83" s="226" t="e">
        <f t="shared" si="24"/>
        <v>#VALUE!</v>
      </c>
      <c r="H83" s="226" t="e">
        <f t="shared" si="24"/>
        <v>#VALUE!</v>
      </c>
      <c r="I83" s="323">
        <f>4.18*(1-0.006*I77)</f>
        <v>1.5717667016285135</v>
      </c>
      <c r="J83" s="323">
        <f>4.18*(1-0.006*J77)</f>
        <v>3.3586984832860987</v>
      </c>
      <c r="K83" s="226">
        <f t="shared" ref="K83:L83" si="25">4.18*(1-0.006*K77)</f>
        <v>3.6978031542085472</v>
      </c>
      <c r="L83" s="570">
        <f t="shared" si="25"/>
        <v>2.1727811730185578</v>
      </c>
      <c r="M83" s="35"/>
      <c r="N83" s="35"/>
      <c r="O83" s="35"/>
      <c r="P83" s="35"/>
      <c r="Q83" s="42"/>
      <c r="R83" s="20"/>
      <c r="S83" s="20"/>
      <c r="T83" s="20"/>
      <c r="U83" s="20"/>
      <c r="W83" s="20"/>
      <c r="X83" s="515"/>
      <c r="Y83" s="515"/>
      <c r="Z83" s="515"/>
      <c r="AA83" s="515"/>
      <c r="AB83" s="515"/>
      <c r="AC83" s="515"/>
      <c r="AD83" s="515"/>
      <c r="AE83" s="515"/>
      <c r="AF83" s="515"/>
      <c r="AG83" s="515"/>
      <c r="AH83" s="515"/>
      <c r="AI83" s="515"/>
      <c r="AJ83" s="515"/>
      <c r="AK83" s="515"/>
      <c r="AL83" s="20"/>
      <c r="AM83" s="20"/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0"/>
      <c r="BI83" s="20"/>
      <c r="BJ83" s="20"/>
      <c r="BK83" s="20"/>
      <c r="BL83" s="20"/>
      <c r="BM83" s="20"/>
      <c r="BN83" s="20"/>
      <c r="BO83" s="20"/>
      <c r="BP83" s="20"/>
      <c r="BQ83" s="20"/>
      <c r="BR83" s="20"/>
      <c r="BS83" s="20"/>
      <c r="BT83" s="20"/>
      <c r="BU83" s="20"/>
      <c r="BV83" s="20"/>
      <c r="BW83" s="20"/>
      <c r="BX83" s="20"/>
      <c r="BY83" s="20"/>
      <c r="BZ83" s="20"/>
      <c r="CA83" s="20"/>
      <c r="CB83" s="20"/>
      <c r="CC83" s="20"/>
      <c r="CD83" s="20"/>
      <c r="CE83" s="20"/>
      <c r="CF83" s="20"/>
      <c r="CG83" s="20"/>
      <c r="CH83" s="20"/>
      <c r="CI83" s="20"/>
      <c r="CJ83" s="20"/>
      <c r="CK83" s="20"/>
      <c r="CL83" s="20"/>
      <c r="CM83" s="20"/>
      <c r="CN83" s="20"/>
      <c r="CO83" s="20"/>
      <c r="CP83" s="20"/>
      <c r="CQ83" s="20"/>
      <c r="CR83" s="20"/>
      <c r="CS83" s="20"/>
      <c r="CT83" s="20"/>
      <c r="CU83" s="20"/>
      <c r="CV83" s="20"/>
      <c r="CW83" s="20"/>
      <c r="CX83" s="20"/>
      <c r="CY83" s="20"/>
      <c r="CZ83" s="20"/>
      <c r="DA83" s="20"/>
      <c r="DB83" s="20"/>
      <c r="DC83" s="20"/>
      <c r="DD83" s="20"/>
      <c r="DE83" s="20"/>
      <c r="DF83" s="20"/>
      <c r="DG83" s="20"/>
      <c r="DH83" s="20"/>
      <c r="DI83" s="20"/>
      <c r="DJ83" s="20"/>
      <c r="DK83" s="20"/>
      <c r="DL83" s="20"/>
      <c r="DM83" s="20"/>
      <c r="DN83" s="20"/>
      <c r="DO83" s="20"/>
      <c r="DP83" s="20"/>
      <c r="DQ83" s="20"/>
      <c r="DR83" s="20"/>
      <c r="DS83" s="20"/>
      <c r="DT83" s="20"/>
      <c r="DU83" s="20"/>
      <c r="DV83" s="20"/>
      <c r="DW83" s="20"/>
      <c r="DX83" s="20"/>
      <c r="DY83" s="20"/>
      <c r="DZ83" s="20"/>
      <c r="EA83" s="20"/>
      <c r="EB83" s="20"/>
      <c r="EC83" s="20"/>
      <c r="ED83" s="20"/>
      <c r="EE83" s="20"/>
      <c r="EF83" s="20"/>
      <c r="EG83" s="20"/>
      <c r="EH83" s="20"/>
      <c r="EI83" s="20"/>
    </row>
    <row r="84" spans="1:139" x14ac:dyDescent="0.25">
      <c r="A84" s="20"/>
      <c r="B84" s="232" t="s">
        <v>134</v>
      </c>
      <c r="C84" s="228" t="s">
        <v>135</v>
      </c>
      <c r="D84" s="239" t="s">
        <v>33</v>
      </c>
      <c r="E84" s="569" t="e">
        <f>2492.9-2.0523*E79-0.0030752*E79^2</f>
        <v>#VALUE!</v>
      </c>
      <c r="F84" s="226" t="e">
        <f t="shared" ref="F84:H84" si="26">2492.9-2.0523*F79-0.0030752*F79^2</f>
        <v>#VALUE!</v>
      </c>
      <c r="G84" s="226" t="e">
        <f t="shared" si="26"/>
        <v>#VALUE!</v>
      </c>
      <c r="H84" s="226" t="e">
        <f t="shared" si="26"/>
        <v>#VALUE!</v>
      </c>
      <c r="I84" s="323">
        <f>2492.9-2.0523*I79-0.0030752*I79^2</f>
        <v>2059.0796220777816</v>
      </c>
      <c r="J84" s="323">
        <f>2492.9-2.0523*J79-0.0030752*J79^2</f>
        <v>2263.1205398996335</v>
      </c>
      <c r="K84" s="226">
        <f t="shared" ref="K84:L84" si="27">2492.9-2.0523*K79-0.0030752*K79^2</f>
        <v>2264.8149883723822</v>
      </c>
      <c r="L84" s="570">
        <f t="shared" si="27"/>
        <v>-621.60417701620736</v>
      </c>
      <c r="M84" s="35"/>
      <c r="N84" s="35"/>
      <c r="O84" s="35"/>
      <c r="P84" s="35"/>
      <c r="Q84" s="42"/>
      <c r="R84" s="20"/>
      <c r="S84" s="20"/>
      <c r="T84" s="20"/>
      <c r="U84" s="20"/>
      <c r="W84" s="20"/>
      <c r="X84" s="515"/>
      <c r="Y84" s="515"/>
      <c r="Z84" s="515"/>
      <c r="AA84" s="515"/>
      <c r="AB84" s="515"/>
      <c r="AC84" s="515"/>
      <c r="AD84" s="515"/>
      <c r="AE84" s="515"/>
      <c r="AF84" s="515"/>
      <c r="AG84" s="515"/>
      <c r="AH84" s="515"/>
      <c r="AI84" s="515"/>
      <c r="AJ84" s="515"/>
      <c r="AK84" s="515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0"/>
      <c r="BP84" s="20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0"/>
      <c r="CD84" s="20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0"/>
      <c r="CR84" s="20"/>
      <c r="CS84" s="20"/>
      <c r="CT84" s="20"/>
      <c r="CU84" s="20"/>
      <c r="CV84" s="20"/>
      <c r="CW84" s="20"/>
      <c r="CX84" s="20"/>
      <c r="CY84" s="20"/>
      <c r="CZ84" s="20"/>
      <c r="DA84" s="20"/>
      <c r="DB84" s="20"/>
      <c r="DC84" s="20"/>
      <c r="DD84" s="20"/>
      <c r="DE84" s="20"/>
      <c r="DF84" s="20"/>
      <c r="DG84" s="20"/>
      <c r="DH84" s="20"/>
      <c r="DI84" s="20"/>
      <c r="DJ84" s="20"/>
      <c r="DK84" s="20"/>
      <c r="DL84" s="20"/>
      <c r="DM84" s="20"/>
      <c r="DN84" s="20"/>
      <c r="DO84" s="20"/>
      <c r="DP84" s="20"/>
      <c r="DQ84" s="20"/>
      <c r="DR84" s="20"/>
      <c r="DS84" s="20"/>
      <c r="DT84" s="20"/>
      <c r="DU84" s="20"/>
      <c r="DV84" s="20"/>
      <c r="DW84" s="20"/>
      <c r="DX84" s="20"/>
      <c r="DY84" s="20"/>
      <c r="DZ84" s="20"/>
      <c r="EA84" s="20"/>
      <c r="EB84" s="20"/>
      <c r="EC84" s="20"/>
      <c r="ED84" s="20"/>
      <c r="EE84" s="20"/>
      <c r="EF84" s="20"/>
      <c r="EG84" s="20"/>
      <c r="EH84" s="20"/>
      <c r="EI84" s="20"/>
    </row>
    <row r="85" spans="1:139" x14ac:dyDescent="0.25">
      <c r="A85" s="20"/>
      <c r="B85" s="233" t="s">
        <v>344</v>
      </c>
      <c r="C85" s="40" t="s">
        <v>317</v>
      </c>
      <c r="D85" s="239" t="s">
        <v>280</v>
      </c>
      <c r="E85" s="565" t="e">
        <f t="shared" ref="E85:H85" si="28">0.3815-0.0051*E77+0.001866*E79</f>
        <v>#VALUE!</v>
      </c>
      <c r="F85" s="149" t="e">
        <f t="shared" si="28"/>
        <v>#VALUE!</v>
      </c>
      <c r="G85" s="44" t="e">
        <f t="shared" si="28"/>
        <v>#VALUE!</v>
      </c>
      <c r="H85" s="44" t="e">
        <f t="shared" si="28"/>
        <v>#VALUE!</v>
      </c>
      <c r="I85" s="322">
        <f>0.3815-0.0051*I77+0.001866*I79</f>
        <v>0.16595901242881539</v>
      </c>
      <c r="J85" s="322">
        <f>0.3815-0.0051*J77+0.001866*J79</f>
        <v>0.39673809864054005</v>
      </c>
      <c r="K85" s="44">
        <f>0.3815-0.0051*K77+0.001866*K79</f>
        <v>0.46450210795989755</v>
      </c>
      <c r="L85" s="566">
        <f t="shared" ref="L85" si="29">0.3815-0.0051*L77+0.001866*L79</f>
        <v>1.3291000329454163</v>
      </c>
      <c r="M85" s="35"/>
      <c r="N85" s="35"/>
      <c r="O85" s="35"/>
      <c r="P85" s="35"/>
      <c r="Q85" s="42"/>
      <c r="R85" s="20"/>
      <c r="S85" s="20"/>
      <c r="T85" s="20"/>
      <c r="U85" s="20"/>
      <c r="W85" s="20"/>
      <c r="X85" s="515"/>
      <c r="Y85" s="515"/>
      <c r="Z85" s="515"/>
      <c r="AA85" s="515"/>
      <c r="AB85" s="515"/>
      <c r="AC85" s="515"/>
      <c r="AD85" s="515"/>
      <c r="AE85" s="515"/>
      <c r="AF85" s="515"/>
      <c r="AG85" s="515"/>
      <c r="AH85" s="515"/>
      <c r="AI85" s="515"/>
      <c r="AJ85" s="515"/>
      <c r="AK85" s="515"/>
      <c r="AL85" s="20"/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0"/>
      <c r="BP85" s="20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0"/>
      <c r="CD85" s="20"/>
      <c r="CE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0"/>
      <c r="CR85" s="20"/>
      <c r="CS85" s="20"/>
      <c r="CT85" s="20"/>
      <c r="CU85" s="20"/>
      <c r="CV85" s="20"/>
      <c r="CW85" s="20"/>
      <c r="CX85" s="20"/>
      <c r="CY85" s="20"/>
      <c r="CZ85" s="20"/>
      <c r="DA85" s="20"/>
      <c r="DB85" s="20"/>
      <c r="DC85" s="20"/>
      <c r="DD85" s="20"/>
      <c r="DE85" s="20"/>
      <c r="DF85" s="20"/>
      <c r="DG85" s="20"/>
      <c r="DH85" s="20"/>
      <c r="DI85" s="20"/>
      <c r="DJ85" s="20"/>
      <c r="DK85" s="20"/>
      <c r="DL85" s="20"/>
      <c r="DM85" s="20"/>
      <c r="DN85" s="20"/>
      <c r="DO85" s="20"/>
      <c r="DP85" s="20"/>
      <c r="DQ85" s="20"/>
      <c r="DR85" s="20"/>
      <c r="DS85" s="20"/>
      <c r="DT85" s="20"/>
      <c r="DU85" s="20"/>
      <c r="DV85" s="20"/>
      <c r="DW85" s="20"/>
      <c r="DX85" s="20"/>
      <c r="DY85" s="20"/>
      <c r="DZ85" s="20"/>
      <c r="EA85" s="20"/>
      <c r="EB85" s="20"/>
      <c r="EC85" s="20"/>
      <c r="ED85" s="20"/>
      <c r="EE85" s="20"/>
      <c r="EF85" s="20"/>
      <c r="EG85" s="20"/>
      <c r="EH85" s="20"/>
      <c r="EI85" s="20"/>
    </row>
    <row r="86" spans="1:139" x14ac:dyDescent="0.25">
      <c r="A86" s="20"/>
      <c r="B86" s="232" t="s">
        <v>284</v>
      </c>
      <c r="C86" s="40" t="s">
        <v>286</v>
      </c>
      <c r="D86" s="239" t="s">
        <v>28</v>
      </c>
      <c r="E86" s="565">
        <f>+E68</f>
        <v>2.1160000000000001</v>
      </c>
      <c r="F86" s="149">
        <f>+F68</f>
        <v>1.583</v>
      </c>
      <c r="G86" s="149">
        <f t="shared" ref="G86:K86" si="30">+G68</f>
        <v>0.57699999999999996</v>
      </c>
      <c r="H86" s="149">
        <f t="shared" si="30"/>
        <v>0.57699999999999996</v>
      </c>
      <c r="I86" s="149">
        <f t="shared" si="30"/>
        <v>15.8147</v>
      </c>
      <c r="J86" s="149">
        <f t="shared" si="30"/>
        <v>7.6449999999999996</v>
      </c>
      <c r="K86" s="149">
        <f t="shared" si="30"/>
        <v>7.6449999999999996</v>
      </c>
      <c r="L86" s="566">
        <f>+L68</f>
        <v>3.89</v>
      </c>
      <c r="M86" s="35"/>
      <c r="N86" s="35"/>
      <c r="O86" s="35"/>
      <c r="P86" s="35"/>
      <c r="Q86" s="42"/>
      <c r="R86" s="20"/>
      <c r="S86" s="20"/>
      <c r="T86" s="20"/>
      <c r="U86" s="20"/>
      <c r="W86" s="20"/>
      <c r="X86" s="515"/>
      <c r="Y86" s="515"/>
      <c r="Z86" s="515"/>
      <c r="AA86" s="515"/>
      <c r="AB86" s="515"/>
      <c r="AC86" s="515"/>
      <c r="AD86" s="515"/>
      <c r="AE86" s="515"/>
      <c r="AF86" s="515"/>
      <c r="AG86" s="515"/>
      <c r="AH86" s="515"/>
      <c r="AI86" s="515"/>
      <c r="AJ86" s="515"/>
      <c r="AK86" s="515"/>
      <c r="AL86" s="20"/>
      <c r="AM86" s="20"/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0"/>
      <c r="BP86" s="20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0"/>
      <c r="CD86" s="20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0"/>
      <c r="CR86" s="20"/>
      <c r="CS86" s="20"/>
      <c r="CT86" s="20"/>
      <c r="CU86" s="20"/>
      <c r="CV86" s="20"/>
      <c r="CW86" s="20"/>
      <c r="CX86" s="20"/>
      <c r="CY86" s="20"/>
      <c r="CZ86" s="20"/>
      <c r="DA86" s="20"/>
      <c r="DB86" s="20"/>
      <c r="DC86" s="20"/>
      <c r="DD86" s="20"/>
      <c r="DE86" s="20"/>
      <c r="DF86" s="20"/>
      <c r="DG86" s="20"/>
      <c r="DH86" s="20"/>
      <c r="DI86" s="20"/>
      <c r="DJ86" s="20"/>
      <c r="DK86" s="20"/>
      <c r="DL86" s="20"/>
      <c r="DM86" s="20"/>
      <c r="DN86" s="20"/>
      <c r="DO86" s="20"/>
      <c r="DP86" s="20"/>
      <c r="DQ86" s="20"/>
      <c r="DR86" s="20"/>
      <c r="DS86" s="20"/>
      <c r="DT86" s="20"/>
      <c r="DU86" s="20"/>
      <c r="DV86" s="20"/>
      <c r="DW86" s="20"/>
      <c r="DX86" s="20"/>
      <c r="DY86" s="20"/>
      <c r="DZ86" s="20"/>
      <c r="EA86" s="20"/>
      <c r="EB86" s="20"/>
      <c r="EC86" s="20"/>
      <c r="ED86" s="20"/>
      <c r="EE86" s="20"/>
      <c r="EF86" s="20"/>
      <c r="EG86" s="20"/>
      <c r="EH86" s="20"/>
      <c r="EI86" s="20"/>
    </row>
    <row r="87" spans="1:139" x14ac:dyDescent="0.25">
      <c r="A87" s="20"/>
      <c r="B87" s="232" t="s">
        <v>283</v>
      </c>
      <c r="C87" s="40" t="s">
        <v>285</v>
      </c>
      <c r="D87" s="239" t="s">
        <v>287</v>
      </c>
      <c r="E87" s="610">
        <f t="shared" ref="E87:H87" si="31">+E74/E86*1000</f>
        <v>47940.989847824567</v>
      </c>
      <c r="F87" s="611">
        <f t="shared" si="31"/>
        <v>43229.868123491695</v>
      </c>
      <c r="G87" s="612">
        <f t="shared" si="31"/>
        <v>41694.216805406031</v>
      </c>
      <c r="H87" s="612">
        <f t="shared" si="31"/>
        <v>40469.929142772125</v>
      </c>
      <c r="I87" s="613">
        <f>+I74/I86*1000</f>
        <v>23149.768776760942</v>
      </c>
      <c r="J87" s="613">
        <f>+J74/J86*1000</f>
        <v>26263.86688520739</v>
      </c>
      <c r="K87" s="612">
        <f>+K74/K86*1000</f>
        <v>22318.113545180564</v>
      </c>
      <c r="L87" s="614">
        <f t="shared" ref="L87" si="32">+L74/L86*1000</f>
        <v>7764.8958148039328</v>
      </c>
      <c r="M87" s="35"/>
      <c r="N87" s="35"/>
      <c r="O87" s="35"/>
      <c r="P87" s="35"/>
      <c r="Q87" s="42"/>
      <c r="R87" s="20"/>
      <c r="S87" s="20"/>
      <c r="T87" s="20"/>
      <c r="U87" s="20"/>
      <c r="W87" s="20"/>
      <c r="X87" s="515"/>
      <c r="Y87" s="515"/>
      <c r="Z87" s="515"/>
      <c r="AA87" s="515"/>
      <c r="AB87" s="515"/>
      <c r="AC87" s="515"/>
      <c r="AD87" s="515"/>
      <c r="AE87" s="515"/>
      <c r="AF87" s="515"/>
      <c r="AG87" s="515"/>
      <c r="AH87" s="515"/>
      <c r="AI87" s="515"/>
      <c r="AJ87" s="515"/>
      <c r="AK87" s="515"/>
      <c r="AL87" s="20"/>
      <c r="AM87" s="20"/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0"/>
      <c r="BP87" s="20"/>
      <c r="BQ87" s="20"/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B87" s="20"/>
      <c r="CC87" s="20"/>
      <c r="CD87" s="20"/>
      <c r="CE87" s="20"/>
      <c r="CF87" s="20"/>
      <c r="CG87" s="20"/>
      <c r="CH87" s="20"/>
      <c r="CI87" s="20"/>
      <c r="CJ87" s="20"/>
      <c r="CK87" s="20"/>
      <c r="CL87" s="20"/>
      <c r="CM87" s="20"/>
      <c r="CN87" s="20"/>
      <c r="CO87" s="20"/>
      <c r="CP87" s="20"/>
      <c r="CQ87" s="20"/>
      <c r="CR87" s="20"/>
      <c r="CS87" s="20"/>
      <c r="CT87" s="20"/>
      <c r="CU87" s="20"/>
      <c r="CV87" s="20"/>
      <c r="CW87" s="20"/>
      <c r="CX87" s="20"/>
      <c r="CY87" s="20"/>
      <c r="CZ87" s="20"/>
      <c r="DA87" s="20"/>
      <c r="DB87" s="20"/>
      <c r="DC87" s="20"/>
      <c r="DD87" s="20"/>
      <c r="DE87" s="20"/>
      <c r="DF87" s="20"/>
      <c r="DG87" s="20"/>
      <c r="DH87" s="20"/>
      <c r="DI87" s="20"/>
      <c r="DJ87" s="20"/>
      <c r="DK87" s="20"/>
      <c r="DL87" s="20"/>
      <c r="DM87" s="20"/>
      <c r="DN87" s="20"/>
      <c r="DO87" s="20"/>
      <c r="DP87" s="20"/>
      <c r="DQ87" s="20"/>
      <c r="DR87" s="20"/>
      <c r="DS87" s="20"/>
      <c r="DT87" s="20"/>
      <c r="DU87" s="20"/>
      <c r="DV87" s="20"/>
      <c r="DW87" s="20"/>
      <c r="DX87" s="20"/>
      <c r="DY87" s="20"/>
      <c r="DZ87" s="20"/>
      <c r="EA87" s="20"/>
      <c r="EB87" s="20"/>
      <c r="EC87" s="20"/>
      <c r="ED87" s="20"/>
      <c r="EE87" s="20"/>
      <c r="EF87" s="20"/>
      <c r="EG87" s="20"/>
      <c r="EH87" s="20"/>
      <c r="EI87" s="20"/>
    </row>
    <row r="88" spans="1:139" x14ac:dyDescent="0.25">
      <c r="A88" s="20"/>
      <c r="B88" s="232" t="s">
        <v>281</v>
      </c>
      <c r="C88" s="40" t="s">
        <v>282</v>
      </c>
      <c r="D88" s="239" t="s">
        <v>133</v>
      </c>
      <c r="E88" s="565" t="e">
        <f>+tw(E87,E80,E84,E81,E82,E83,E85,E79)</f>
        <v>#VALUE!</v>
      </c>
      <c r="F88" s="44" t="e">
        <f>+tw(F87,F80,F84,F81,F82,F83,F85,F79)</f>
        <v>#VALUE!</v>
      </c>
      <c r="G88" s="44" t="e">
        <f t="shared" ref="G88:H88" si="33">+tw(G87,G80,G84,G81,G82,G83,G85,G79)</f>
        <v>#VALUE!</v>
      </c>
      <c r="H88" s="44" t="e">
        <f t="shared" si="33"/>
        <v>#VALUE!</v>
      </c>
      <c r="I88" s="322">
        <f>+tw(I87,I80,I84,I81,I82,I83,I85,I79)</f>
        <v>380.51306097013406</v>
      </c>
      <c r="J88" s="322">
        <f>+tw(J87,J80,J84,J81,J82,J83,J85,J79)</f>
        <v>104.84517691713769</v>
      </c>
      <c r="K88" s="44">
        <f t="shared" ref="K88:L88" si="34">+tw(K87,K80,K84,K81,K82,K83,K85,K79)</f>
        <v>100.02480936147813</v>
      </c>
      <c r="L88" s="566" t="e">
        <f t="shared" si="34"/>
        <v>#VALUE!</v>
      </c>
      <c r="M88" s="35"/>
      <c r="N88" s="35"/>
      <c r="O88" s="35"/>
      <c r="P88" s="35"/>
      <c r="Q88" s="42"/>
      <c r="R88" s="20"/>
      <c r="S88" s="20"/>
      <c r="T88" s="20"/>
      <c r="U88" s="20"/>
      <c r="W88" s="20"/>
      <c r="X88" s="515"/>
      <c r="Y88" s="515"/>
      <c r="Z88" s="515"/>
      <c r="AA88" s="515"/>
      <c r="AB88" s="515"/>
      <c r="AC88" s="515"/>
      <c r="AD88" s="515"/>
      <c r="AE88" s="515"/>
      <c r="AF88" s="515"/>
      <c r="AG88" s="515"/>
      <c r="AH88" s="515"/>
      <c r="AI88" s="515"/>
      <c r="AJ88" s="515"/>
      <c r="AK88" s="515"/>
      <c r="AL88" s="20"/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20"/>
      <c r="BO88" s="20"/>
      <c r="BP88" s="20"/>
      <c r="BQ88" s="20"/>
      <c r="BR88" s="20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0"/>
      <c r="CD88" s="20"/>
      <c r="CE88" s="20"/>
      <c r="CF88" s="20"/>
      <c r="CG88" s="20"/>
      <c r="CH88" s="20"/>
      <c r="CI88" s="20"/>
      <c r="CJ88" s="20"/>
      <c r="CK88" s="20"/>
      <c r="CL88" s="20"/>
      <c r="CM88" s="20"/>
      <c r="CN88" s="20"/>
      <c r="CO88" s="20"/>
      <c r="CP88" s="20"/>
      <c r="CQ88" s="20"/>
      <c r="CR88" s="20"/>
      <c r="CS88" s="20"/>
      <c r="CT88" s="20"/>
      <c r="CU88" s="20"/>
      <c r="CV88" s="20"/>
      <c r="CW88" s="20"/>
      <c r="CX88" s="20"/>
      <c r="CY88" s="20"/>
      <c r="CZ88" s="20"/>
      <c r="DA88" s="20"/>
      <c r="DB88" s="20"/>
      <c r="DC88" s="20"/>
      <c r="DD88" s="20"/>
      <c r="DE88" s="20"/>
      <c r="DF88" s="20"/>
      <c r="DG88" s="20"/>
      <c r="DH88" s="20"/>
      <c r="DI88" s="20"/>
      <c r="DJ88" s="20"/>
      <c r="DK88" s="20"/>
      <c r="DL88" s="20"/>
      <c r="DM88" s="20"/>
      <c r="DN88" s="20"/>
      <c r="DO88" s="20"/>
      <c r="DP88" s="20"/>
      <c r="DQ88" s="20"/>
      <c r="DR88" s="20"/>
      <c r="DS88" s="20"/>
      <c r="DT88" s="20"/>
      <c r="DU88" s="20"/>
      <c r="DV88" s="20"/>
      <c r="DW88" s="20"/>
      <c r="DX88" s="20"/>
      <c r="DY88" s="20"/>
      <c r="DZ88" s="20"/>
      <c r="EA88" s="20"/>
      <c r="EB88" s="20"/>
      <c r="EC88" s="20"/>
      <c r="ED88" s="20"/>
      <c r="EE88" s="20"/>
      <c r="EF88" s="20"/>
      <c r="EG88" s="20"/>
      <c r="EH88" s="20"/>
      <c r="EI88" s="20"/>
    </row>
    <row r="89" spans="1:139" ht="15.75" thickBot="1" x14ac:dyDescent="0.3">
      <c r="A89" s="20"/>
      <c r="B89" s="234" t="s">
        <v>294</v>
      </c>
      <c r="C89" s="235" t="s">
        <v>295</v>
      </c>
      <c r="D89" s="241" t="s">
        <v>133</v>
      </c>
      <c r="E89" s="573" t="e">
        <f>+twg(AD104,E87,E88)</f>
        <v>#VALUE!</v>
      </c>
      <c r="F89" s="237" t="e">
        <f>+twg(AE104,F87,F88)</f>
        <v>#VALUE!</v>
      </c>
      <c r="G89" s="236" t="e">
        <f>+twg(AF104,G87,G88)</f>
        <v>#VALUE!</v>
      </c>
      <c r="H89" s="236" t="e">
        <f>+twg(AG104,H87,H88)</f>
        <v>#VALUE!</v>
      </c>
      <c r="I89" s="325">
        <f>+twg(AG104,I87,I88)</f>
        <v>380.51306097013406</v>
      </c>
      <c r="J89" s="325">
        <f>+twg(AH104,J87,J88)</f>
        <v>104.84517691713769</v>
      </c>
      <c r="K89" s="236">
        <f>+twg(S47,K87,K88)</f>
        <v>100.02480936147813</v>
      </c>
      <c r="L89" s="574" t="e">
        <f>+twg(T47,L87,L88)</f>
        <v>#VALUE!</v>
      </c>
      <c r="M89" s="35"/>
      <c r="N89" s="35"/>
      <c r="O89" s="35"/>
      <c r="P89" s="35"/>
      <c r="Q89" s="42"/>
      <c r="R89" s="20"/>
      <c r="S89" s="20"/>
      <c r="T89" s="20"/>
      <c r="U89" s="20"/>
      <c r="W89" s="20"/>
      <c r="X89" s="515"/>
      <c r="Y89" s="515"/>
      <c r="Z89" s="515"/>
      <c r="AA89" s="515"/>
      <c r="AB89" s="515"/>
      <c r="AC89" s="515"/>
      <c r="AD89" s="515"/>
      <c r="AE89" s="515"/>
      <c r="AF89" s="515"/>
      <c r="AG89" s="515"/>
      <c r="AH89" s="515"/>
      <c r="AI89" s="515"/>
      <c r="AJ89" s="515"/>
      <c r="AK89" s="515"/>
      <c r="AL89" s="20"/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20"/>
      <c r="BO89" s="20"/>
      <c r="BP89" s="20"/>
      <c r="BQ89" s="20"/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0"/>
      <c r="CD89" s="20"/>
      <c r="CE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0"/>
      <c r="CR89" s="20"/>
      <c r="CS89" s="20"/>
      <c r="CT89" s="20"/>
      <c r="CU89" s="20"/>
      <c r="CV89" s="20"/>
      <c r="CW89" s="20"/>
      <c r="CX89" s="20"/>
      <c r="CY89" s="20"/>
      <c r="CZ89" s="20"/>
      <c r="DA89" s="20"/>
      <c r="DB89" s="20"/>
      <c r="DC89" s="20"/>
      <c r="DD89" s="20"/>
      <c r="DE89" s="20"/>
      <c r="DF89" s="20"/>
      <c r="DG89" s="20"/>
      <c r="DH89" s="20"/>
      <c r="DI89" s="20"/>
      <c r="DJ89" s="20"/>
      <c r="DK89" s="20"/>
      <c r="DL89" s="20"/>
      <c r="DM89" s="20"/>
      <c r="DN89" s="20"/>
      <c r="DO89" s="20"/>
      <c r="DP89" s="20"/>
      <c r="DQ89" s="20"/>
      <c r="DR89" s="20"/>
      <c r="DS89" s="20"/>
      <c r="DT89" s="20"/>
      <c r="DU89" s="20"/>
      <c r="DV89" s="20"/>
      <c r="DW89" s="20"/>
      <c r="DX89" s="20"/>
      <c r="DY89" s="20"/>
      <c r="DZ89" s="20"/>
      <c r="EA89" s="20"/>
      <c r="EB89" s="20"/>
      <c r="EC89" s="20"/>
      <c r="ED89" s="20"/>
      <c r="EE89" s="20"/>
      <c r="EF89" s="20"/>
      <c r="EG89" s="20"/>
      <c r="EH89" s="20"/>
      <c r="EI89" s="20"/>
    </row>
    <row r="90" spans="1:139" ht="15.75" thickBot="1" x14ac:dyDescent="0.3">
      <c r="A90" s="20"/>
      <c r="B90" s="20"/>
      <c r="C90" s="20"/>
      <c r="D90" s="36"/>
      <c r="E90" s="20"/>
      <c r="F90" s="43"/>
      <c r="G90" s="20"/>
      <c r="H90" s="20"/>
      <c r="I90" s="20"/>
      <c r="J90" s="43"/>
      <c r="K90" s="20"/>
      <c r="L90" s="20"/>
      <c r="M90" s="20"/>
      <c r="N90" s="20"/>
      <c r="O90" s="20"/>
      <c r="P90" s="20"/>
      <c r="Q90" s="42"/>
      <c r="R90" s="20"/>
      <c r="S90" s="20"/>
      <c r="T90" s="20"/>
      <c r="U90" s="20"/>
      <c r="W90" s="20"/>
      <c r="X90" s="515"/>
      <c r="Y90" s="515"/>
      <c r="Z90" s="515"/>
      <c r="AA90" s="515"/>
      <c r="AB90" s="515"/>
      <c r="AC90" s="515"/>
      <c r="AD90" s="515"/>
      <c r="AE90" s="515"/>
      <c r="AF90" s="515"/>
      <c r="AG90" s="515"/>
      <c r="AH90" s="515"/>
      <c r="AI90" s="515"/>
      <c r="AJ90" s="515"/>
      <c r="AK90" s="515"/>
      <c r="AL90" s="20"/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0"/>
      <c r="BI90" s="20"/>
      <c r="BJ90" s="20"/>
      <c r="BK90" s="20"/>
      <c r="BL90" s="20"/>
      <c r="BM90" s="20"/>
      <c r="BN90" s="20"/>
      <c r="BO90" s="20"/>
      <c r="BP90" s="20"/>
      <c r="BQ90" s="20"/>
      <c r="BR90" s="20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0"/>
      <c r="CD90" s="20"/>
      <c r="CE90" s="20"/>
      <c r="CF90" s="20"/>
      <c r="CG90" s="20"/>
      <c r="CH90" s="20"/>
      <c r="CI90" s="20"/>
      <c r="CJ90" s="20"/>
      <c r="CK90" s="20"/>
      <c r="CL90" s="20"/>
      <c r="CM90" s="20"/>
      <c r="CN90" s="20"/>
      <c r="CO90" s="20"/>
      <c r="CP90" s="20"/>
      <c r="CQ90" s="20"/>
      <c r="CR90" s="20"/>
      <c r="CS90" s="20"/>
      <c r="CT90" s="20"/>
      <c r="CU90" s="20"/>
      <c r="CV90" s="20"/>
      <c r="CW90" s="20"/>
      <c r="CX90" s="20"/>
      <c r="CY90" s="20"/>
      <c r="CZ90" s="20"/>
      <c r="DA90" s="20"/>
      <c r="DB90" s="20"/>
      <c r="DC90" s="20"/>
      <c r="DD90" s="20"/>
      <c r="DE90" s="20"/>
      <c r="DF90" s="20"/>
      <c r="DG90" s="20"/>
      <c r="DH90" s="20"/>
      <c r="DI90" s="20"/>
      <c r="DJ90" s="20"/>
      <c r="DK90" s="20"/>
      <c r="DL90" s="20"/>
      <c r="DM90" s="20"/>
      <c r="DN90" s="20"/>
      <c r="DO90" s="20"/>
      <c r="DP90" s="20"/>
      <c r="DQ90" s="20"/>
      <c r="DR90" s="20"/>
      <c r="DS90" s="20"/>
      <c r="DT90" s="20"/>
      <c r="DU90" s="20"/>
      <c r="DV90" s="20"/>
      <c r="DW90" s="20"/>
      <c r="DX90" s="20"/>
      <c r="DY90" s="20"/>
      <c r="DZ90" s="20"/>
      <c r="EA90" s="20"/>
      <c r="EB90" s="20"/>
      <c r="EC90" s="20"/>
      <c r="ED90" s="20"/>
      <c r="EE90" s="20"/>
      <c r="EF90" s="20"/>
      <c r="EG90" s="20"/>
      <c r="EH90" s="20"/>
      <c r="EI90" s="20"/>
    </row>
    <row r="91" spans="1:139" ht="15.75" thickBot="1" x14ac:dyDescent="0.3">
      <c r="A91" s="664" t="s">
        <v>143</v>
      </c>
      <c r="B91" s="665"/>
      <c r="C91" s="665"/>
      <c r="D91" s="665"/>
      <c r="E91" s="665"/>
      <c r="F91" s="665"/>
      <c r="G91" s="665"/>
      <c r="H91" s="665"/>
      <c r="I91" s="665"/>
      <c r="J91" s="665"/>
      <c r="K91" s="665"/>
      <c r="L91" s="665"/>
      <c r="M91" s="665"/>
      <c r="N91" s="665"/>
      <c r="O91" s="665"/>
      <c r="P91" s="665"/>
      <c r="Q91" s="665"/>
      <c r="R91" s="665"/>
      <c r="S91" s="665"/>
      <c r="T91" s="665"/>
      <c r="U91" s="666"/>
      <c r="W91" s="20"/>
      <c r="X91" s="515"/>
      <c r="Y91" s="515"/>
      <c r="Z91" s="515"/>
      <c r="AA91" s="515"/>
      <c r="AB91" s="515"/>
      <c r="AC91" s="515"/>
      <c r="AD91" s="515"/>
      <c r="AE91" s="515"/>
      <c r="AF91" s="515"/>
      <c r="AG91" s="515"/>
      <c r="AH91" s="515"/>
      <c r="AI91" s="515"/>
      <c r="AJ91" s="515"/>
      <c r="AK91" s="515"/>
      <c r="AL91" s="20"/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0"/>
      <c r="BP91" s="20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0"/>
      <c r="CD91" s="20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0"/>
      <c r="CR91" s="20"/>
      <c r="CS91" s="20"/>
      <c r="CT91" s="20"/>
      <c r="CU91" s="20"/>
      <c r="CV91" s="20"/>
      <c r="CW91" s="20"/>
      <c r="CX91" s="20"/>
      <c r="CY91" s="20"/>
      <c r="CZ91" s="20"/>
      <c r="DA91" s="20"/>
      <c r="DB91" s="20"/>
      <c r="DC91" s="20"/>
      <c r="DD91" s="20"/>
      <c r="DE91" s="20"/>
      <c r="DF91" s="20"/>
      <c r="DG91" s="20"/>
      <c r="DH91" s="20"/>
      <c r="DI91" s="20"/>
      <c r="DJ91" s="20"/>
      <c r="DK91" s="20"/>
      <c r="DL91" s="20"/>
      <c r="DM91" s="20"/>
      <c r="DN91" s="20"/>
      <c r="DO91" s="20"/>
      <c r="DP91" s="20"/>
      <c r="DQ91" s="20"/>
      <c r="DR91" s="20"/>
      <c r="DS91" s="20"/>
      <c r="DT91" s="20"/>
      <c r="DU91" s="20"/>
      <c r="DV91" s="20"/>
      <c r="DW91" s="20"/>
      <c r="DX91" s="20"/>
      <c r="DY91" s="20"/>
      <c r="DZ91" s="20"/>
      <c r="EA91" s="20"/>
      <c r="EB91" s="20"/>
      <c r="EC91" s="20"/>
      <c r="ED91" s="20"/>
      <c r="EE91" s="20"/>
      <c r="EF91" s="20"/>
      <c r="EG91" s="20"/>
      <c r="EH91" s="20"/>
      <c r="EI91" s="20"/>
    </row>
    <row r="92" spans="1:139" ht="15.75" thickBot="1" x14ac:dyDescent="0.3">
      <c r="A92" s="169"/>
      <c r="B92" s="200"/>
      <c r="C92" s="200"/>
      <c r="D92" s="213"/>
      <c r="E92" s="169"/>
      <c r="F92" s="199"/>
      <c r="G92" s="200"/>
      <c r="H92" s="200"/>
      <c r="I92" s="169"/>
      <c r="J92" s="199"/>
      <c r="K92" s="200"/>
      <c r="L92" s="169"/>
      <c r="M92" s="169"/>
      <c r="N92" s="169"/>
      <c r="O92" s="169"/>
      <c r="P92" s="169"/>
      <c r="R92" s="20"/>
      <c r="S92" s="20"/>
      <c r="T92" s="20"/>
      <c r="U92" s="20"/>
      <c r="W92" s="20"/>
      <c r="X92" s="515"/>
      <c r="Y92" s="515"/>
      <c r="Z92" s="515"/>
      <c r="AA92" s="515"/>
      <c r="AB92" s="515"/>
      <c r="AC92" s="515"/>
      <c r="AD92" s="515"/>
      <c r="AE92" s="515"/>
      <c r="AF92" s="515"/>
      <c r="AG92" s="515"/>
      <c r="AH92" s="515"/>
      <c r="AI92" s="515"/>
      <c r="AJ92" s="515"/>
      <c r="AK92" s="515"/>
      <c r="AL92" s="20"/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20"/>
      <c r="BO92" s="20"/>
      <c r="BP92" s="20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0"/>
      <c r="CD92" s="20"/>
      <c r="CE92" s="20"/>
      <c r="CF92" s="20"/>
      <c r="CG92" s="20"/>
      <c r="CH92" s="20"/>
      <c r="CI92" s="20"/>
      <c r="CJ92" s="20"/>
      <c r="CK92" s="20"/>
      <c r="CL92" s="20"/>
      <c r="CM92" s="20"/>
      <c r="CN92" s="20"/>
      <c r="CO92" s="20"/>
      <c r="CP92" s="20"/>
      <c r="CQ92" s="20"/>
      <c r="CR92" s="20"/>
      <c r="CS92" s="20"/>
      <c r="CT92" s="20"/>
      <c r="CU92" s="20"/>
      <c r="CV92" s="20"/>
      <c r="CW92" s="20"/>
      <c r="CX92" s="20"/>
      <c r="CY92" s="20"/>
      <c r="CZ92" s="20"/>
      <c r="DA92" s="20"/>
      <c r="DB92" s="20"/>
      <c r="DC92" s="20"/>
      <c r="DD92" s="20"/>
      <c r="DE92" s="20"/>
      <c r="DF92" s="20"/>
      <c r="DG92" s="20"/>
      <c r="DH92" s="20"/>
      <c r="DI92" s="20"/>
      <c r="DJ92" s="20"/>
      <c r="DK92" s="20"/>
      <c r="DL92" s="20"/>
      <c r="DM92" s="20"/>
      <c r="DN92" s="20"/>
      <c r="DO92" s="20"/>
      <c r="DP92" s="20"/>
      <c r="DQ92" s="20"/>
      <c r="DR92" s="20"/>
      <c r="DS92" s="20"/>
      <c r="DT92" s="20"/>
      <c r="DU92" s="20"/>
      <c r="DV92" s="20"/>
      <c r="DW92" s="20"/>
      <c r="DX92" s="20"/>
      <c r="DY92" s="20"/>
      <c r="DZ92" s="20"/>
      <c r="EA92" s="20"/>
      <c r="EB92" s="20"/>
      <c r="EC92" s="20"/>
      <c r="ED92" s="20"/>
      <c r="EE92" s="20"/>
      <c r="EF92" s="20"/>
      <c r="EG92" s="20"/>
      <c r="EH92" s="20"/>
      <c r="EI92" s="20"/>
    </row>
    <row r="93" spans="1:139" ht="15.75" thickBot="1" x14ac:dyDescent="0.3">
      <c r="A93" s="169"/>
      <c r="B93" s="170" t="s">
        <v>144</v>
      </c>
      <c r="C93" s="171">
        <f>+D3*D4</f>
        <v>664.19345415863381</v>
      </c>
      <c r="D93" s="172" t="s">
        <v>31</v>
      </c>
      <c r="E93" s="169"/>
      <c r="F93" s="776" t="s">
        <v>168</v>
      </c>
      <c r="G93" s="777"/>
      <c r="H93" s="778"/>
      <c r="I93" s="169"/>
      <c r="J93" s="173" t="s">
        <v>179</v>
      </c>
      <c r="K93" s="171">
        <f>(C107*G103)/1000</f>
        <v>521.59738671623256</v>
      </c>
      <c r="L93" s="174" t="s">
        <v>31</v>
      </c>
      <c r="M93" s="20"/>
      <c r="N93" s="779" t="s">
        <v>395</v>
      </c>
      <c r="O93" s="780"/>
      <c r="P93" s="781"/>
      <c r="Q93" s="779" t="s">
        <v>396</v>
      </c>
      <c r="R93" s="781"/>
      <c r="S93" s="779" t="s">
        <v>397</v>
      </c>
      <c r="T93" s="781"/>
      <c r="U93" s="20"/>
      <c r="W93" s="20"/>
      <c r="X93" s="515"/>
      <c r="Y93" s="515"/>
      <c r="Z93" s="515"/>
      <c r="AA93" s="515"/>
      <c r="AB93" s="515"/>
      <c r="AC93" s="515"/>
      <c r="AD93" s="515"/>
      <c r="AE93" s="515"/>
      <c r="AF93" s="515"/>
      <c r="AG93" s="515"/>
      <c r="AH93" s="515"/>
      <c r="AI93" s="515"/>
      <c r="AJ93" s="515"/>
      <c r="AK93" s="515"/>
      <c r="AL93" s="20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0"/>
      <c r="BP93" s="20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0"/>
      <c r="CR93" s="20"/>
      <c r="CS93" s="20"/>
      <c r="CT93" s="20"/>
      <c r="CU93" s="20"/>
      <c r="CV93" s="20"/>
      <c r="CW93" s="20"/>
      <c r="CX93" s="20"/>
      <c r="CY93" s="20"/>
      <c r="CZ93" s="20"/>
      <c r="DA93" s="20"/>
      <c r="DB93" s="20"/>
      <c r="DC93" s="20"/>
      <c r="DD93" s="20"/>
      <c r="DE93" s="20"/>
      <c r="DF93" s="20"/>
      <c r="DG93" s="20"/>
      <c r="DH93" s="20"/>
      <c r="DI93" s="20"/>
      <c r="DJ93" s="20"/>
      <c r="DK93" s="20"/>
      <c r="DL93" s="20"/>
      <c r="DM93" s="20"/>
      <c r="DN93" s="20"/>
      <c r="DO93" s="20"/>
      <c r="DP93" s="20"/>
      <c r="DQ93" s="20"/>
      <c r="DR93" s="20"/>
      <c r="DS93" s="20"/>
      <c r="DT93" s="20"/>
      <c r="DU93" s="20"/>
      <c r="DV93" s="20"/>
      <c r="DW93" s="20"/>
      <c r="DX93" s="20"/>
      <c r="DY93" s="20"/>
      <c r="DZ93" s="20"/>
      <c r="EA93" s="20"/>
      <c r="EB93" s="20"/>
      <c r="EC93" s="20"/>
      <c r="ED93" s="20"/>
      <c r="EE93" s="20"/>
      <c r="EF93" s="20"/>
      <c r="EG93" s="20"/>
      <c r="EH93" s="20"/>
      <c r="EI93" s="20"/>
    </row>
    <row r="94" spans="1:139" x14ac:dyDescent="0.25">
      <c r="A94" s="169"/>
      <c r="B94" s="175" t="s">
        <v>145</v>
      </c>
      <c r="C94" s="176">
        <v>0.95</v>
      </c>
      <c r="D94" s="177" t="s">
        <v>6</v>
      </c>
      <c r="E94" s="169"/>
      <c r="F94" s="320" t="s">
        <v>169</v>
      </c>
      <c r="G94" s="196">
        <f>C104*D100/C105</f>
        <v>12.475712760970449</v>
      </c>
      <c r="H94" s="197" t="s">
        <v>170</v>
      </c>
      <c r="I94" s="169"/>
      <c r="J94" s="181" t="s">
        <v>181</v>
      </c>
      <c r="K94" s="179">
        <f>(C108*G104)/1000</f>
        <v>17.472298100302929</v>
      </c>
      <c r="L94" s="182" t="s">
        <v>31</v>
      </c>
      <c r="M94" s="20"/>
      <c r="N94" s="756" t="s">
        <v>440</v>
      </c>
      <c r="O94" s="757"/>
      <c r="P94" s="282" t="s">
        <v>369</v>
      </c>
      <c r="Q94" s="289">
        <f>+AI4</f>
        <v>1.3409327846735974</v>
      </c>
      <c r="R94" s="283" t="s">
        <v>28</v>
      </c>
      <c r="S94" s="282">
        <f>Q94</f>
        <v>1.3409327846735974</v>
      </c>
      <c r="T94" s="283" t="s">
        <v>28</v>
      </c>
      <c r="U94" s="20"/>
      <c r="W94" s="20"/>
      <c r="X94" s="515"/>
      <c r="Y94" s="515"/>
      <c r="Z94" s="515"/>
      <c r="AA94" s="515"/>
      <c r="AB94" s="515"/>
      <c r="AC94" s="515"/>
      <c r="AD94" s="515"/>
      <c r="AE94" s="515"/>
      <c r="AF94" s="515"/>
      <c r="AG94" s="515"/>
      <c r="AH94" s="515"/>
      <c r="AI94" s="515"/>
      <c r="AJ94" s="515"/>
      <c r="AK94" s="515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20"/>
      <c r="BO94" s="20"/>
      <c r="BP94" s="20"/>
      <c r="BQ94" s="20"/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B94" s="20"/>
      <c r="CC94" s="20"/>
      <c r="CD94" s="20"/>
      <c r="CE94" s="20"/>
      <c r="CF94" s="20"/>
      <c r="CG94" s="20"/>
      <c r="CH94" s="20"/>
      <c r="CI94" s="20"/>
      <c r="CJ94" s="20"/>
      <c r="CK94" s="20"/>
      <c r="CL94" s="20"/>
      <c r="CM94" s="20"/>
      <c r="CN94" s="20"/>
      <c r="CO94" s="20"/>
      <c r="CP94" s="20"/>
      <c r="CQ94" s="20"/>
      <c r="CR94" s="20"/>
      <c r="CS94" s="20"/>
      <c r="CT94" s="20"/>
      <c r="CU94" s="20"/>
      <c r="CV94" s="20"/>
      <c r="CW94" s="20"/>
      <c r="CX94" s="20"/>
      <c r="CY94" s="20"/>
      <c r="CZ94" s="20"/>
      <c r="DA94" s="20"/>
      <c r="DB94" s="20"/>
      <c r="DC94" s="20"/>
      <c r="DD94" s="20"/>
      <c r="DE94" s="20"/>
      <c r="DF94" s="20"/>
      <c r="DG94" s="20"/>
      <c r="DH94" s="20"/>
      <c r="DI94" s="20"/>
      <c r="DJ94" s="20"/>
      <c r="DK94" s="20"/>
      <c r="DL94" s="20"/>
      <c r="DM94" s="20"/>
      <c r="DN94" s="20"/>
      <c r="DO94" s="20"/>
      <c r="DP94" s="20"/>
      <c r="DQ94" s="20"/>
      <c r="DR94" s="20"/>
      <c r="DS94" s="20"/>
      <c r="DT94" s="20"/>
      <c r="DU94" s="20"/>
      <c r="DV94" s="20"/>
      <c r="DW94" s="20"/>
      <c r="DX94" s="20"/>
      <c r="DY94" s="20"/>
      <c r="DZ94" s="20"/>
      <c r="EA94" s="20"/>
      <c r="EB94" s="20"/>
      <c r="EC94" s="20"/>
      <c r="ED94" s="20"/>
      <c r="EE94" s="20"/>
      <c r="EF94" s="20"/>
      <c r="EG94" s="20"/>
      <c r="EH94" s="20"/>
      <c r="EI94" s="20"/>
    </row>
    <row r="95" spans="1:139" x14ac:dyDescent="0.25">
      <c r="A95" s="169"/>
      <c r="B95" s="183" t="s">
        <v>146</v>
      </c>
      <c r="C95" s="184">
        <f>+D14</f>
        <v>0.52</v>
      </c>
      <c r="D95" s="180" t="s">
        <v>6</v>
      </c>
      <c r="E95" s="169"/>
      <c r="F95" s="178" t="s">
        <v>171</v>
      </c>
      <c r="G95" s="179">
        <f>D101*C104/C106</f>
        <v>10.27979630223494</v>
      </c>
      <c r="H95" s="180" t="s">
        <v>170</v>
      </c>
      <c r="I95" s="169"/>
      <c r="J95" s="181" t="s">
        <v>183</v>
      </c>
      <c r="K95" s="179">
        <f>(C109*G106)/1000</f>
        <v>533.8447995397064</v>
      </c>
      <c r="L95" s="182" t="s">
        <v>31</v>
      </c>
      <c r="M95" s="20"/>
      <c r="N95" s="756" t="s">
        <v>371</v>
      </c>
      <c r="O95" s="757"/>
      <c r="P95" s="282" t="s">
        <v>372</v>
      </c>
      <c r="Q95" s="289">
        <f>AG4</f>
        <v>0.155</v>
      </c>
      <c r="R95" s="283" t="s">
        <v>61</v>
      </c>
      <c r="S95" s="282">
        <f>Q95</f>
        <v>0.155</v>
      </c>
      <c r="T95" s="283" t="s">
        <v>61</v>
      </c>
      <c r="U95" s="20"/>
      <c r="W95" s="20"/>
      <c r="X95" s="515"/>
      <c r="Y95" s="515"/>
      <c r="Z95" s="515"/>
      <c r="AA95" s="515"/>
      <c r="AB95" s="515"/>
      <c r="AC95" s="515"/>
      <c r="AD95" s="515"/>
      <c r="AE95" s="515"/>
      <c r="AF95" s="515"/>
      <c r="AG95" s="515"/>
      <c r="AH95" s="515"/>
      <c r="AI95" s="515"/>
      <c r="AJ95" s="515"/>
      <c r="AK95" s="515"/>
      <c r="AL95" s="20"/>
      <c r="AM95" s="20"/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0"/>
      <c r="BP95" s="20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0"/>
      <c r="CD95" s="20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0"/>
      <c r="CR95" s="20"/>
      <c r="CS95" s="20"/>
      <c r="CT95" s="20"/>
      <c r="CU95" s="20"/>
      <c r="CV95" s="20"/>
      <c r="CW95" s="20"/>
      <c r="CX95" s="20"/>
      <c r="CY95" s="20"/>
      <c r="CZ95" s="20"/>
      <c r="DA95" s="20"/>
      <c r="DB95" s="20"/>
      <c r="DC95" s="20"/>
      <c r="DD95" s="20"/>
      <c r="DE95" s="20"/>
      <c r="DF95" s="20"/>
      <c r="DG95" s="20"/>
      <c r="DH95" s="20"/>
      <c r="DI95" s="20"/>
      <c r="DJ95" s="20"/>
      <c r="DK95" s="20"/>
      <c r="DL95" s="20"/>
      <c r="DM95" s="20"/>
      <c r="DN95" s="20"/>
      <c r="DO95" s="20"/>
      <c r="DP95" s="20"/>
      <c r="DQ95" s="20"/>
      <c r="DR95" s="20"/>
      <c r="DS95" s="20"/>
      <c r="DT95" s="20"/>
      <c r="DU95" s="20"/>
      <c r="DV95" s="20"/>
      <c r="DW95" s="20"/>
      <c r="DX95" s="20"/>
      <c r="DY95" s="20"/>
      <c r="DZ95" s="20"/>
      <c r="EA95" s="20"/>
      <c r="EB95" s="20"/>
      <c r="EC95" s="20"/>
      <c r="ED95" s="20"/>
      <c r="EE95" s="20"/>
      <c r="EF95" s="20"/>
      <c r="EG95" s="20"/>
      <c r="EH95" s="20"/>
      <c r="EI95" s="20"/>
    </row>
    <row r="96" spans="1:139" x14ac:dyDescent="0.25">
      <c r="A96" s="169"/>
      <c r="B96" s="183" t="s">
        <v>147</v>
      </c>
      <c r="C96" s="179">
        <v>1.8</v>
      </c>
      <c r="D96" s="180" t="s">
        <v>122</v>
      </c>
      <c r="E96" s="169"/>
      <c r="F96" s="178" t="s">
        <v>172</v>
      </c>
      <c r="G96" s="179">
        <f>D102*C104/C110</f>
        <v>4.3838411914916637</v>
      </c>
      <c r="H96" s="180" t="s">
        <v>170</v>
      </c>
      <c r="I96" s="169"/>
      <c r="J96" s="181" t="s">
        <v>184</v>
      </c>
      <c r="K96" s="179">
        <f>(C110*G107)/1000</f>
        <v>348.70079828572585</v>
      </c>
      <c r="L96" s="182" t="s">
        <v>31</v>
      </c>
      <c r="M96" s="20"/>
      <c r="N96" s="756" t="s">
        <v>370</v>
      </c>
      <c r="O96" s="757"/>
      <c r="P96" s="282" t="s">
        <v>374</v>
      </c>
      <c r="Q96" s="289">
        <f>AK5</f>
        <v>1.25</v>
      </c>
      <c r="R96" s="291" t="s">
        <v>61</v>
      </c>
      <c r="S96" s="5">
        <v>1.25</v>
      </c>
      <c r="T96" s="5" t="s">
        <v>61</v>
      </c>
      <c r="U96" s="20"/>
      <c r="W96" s="20"/>
      <c r="X96" s="515"/>
      <c r="Y96" s="515"/>
      <c r="Z96" s="515"/>
      <c r="AA96" s="515"/>
      <c r="AB96" s="515"/>
      <c r="AC96" s="515"/>
      <c r="AD96" s="515"/>
      <c r="AE96" s="515"/>
      <c r="AF96" s="515"/>
      <c r="AG96" s="515"/>
      <c r="AH96" s="515"/>
      <c r="AI96" s="515"/>
      <c r="AJ96" s="515"/>
      <c r="AK96" s="515"/>
      <c r="AL96" s="20"/>
      <c r="AM96" s="20"/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0"/>
      <c r="BI96" s="20"/>
      <c r="BJ96" s="20"/>
      <c r="BK96" s="20"/>
      <c r="BL96" s="20"/>
      <c r="BM96" s="20"/>
      <c r="BN96" s="20"/>
      <c r="BO96" s="20"/>
      <c r="BP96" s="20"/>
      <c r="BQ96" s="20"/>
      <c r="BR96" s="20"/>
      <c r="BS96" s="20"/>
      <c r="BT96" s="20"/>
      <c r="BU96" s="20"/>
      <c r="BV96" s="20"/>
      <c r="BW96" s="20"/>
      <c r="BX96" s="20"/>
      <c r="BY96" s="20"/>
      <c r="BZ96" s="20"/>
      <c r="CA96" s="20"/>
      <c r="CB96" s="20"/>
      <c r="CC96" s="20"/>
      <c r="CD96" s="20"/>
      <c r="CE96" s="20"/>
      <c r="CF96" s="20"/>
      <c r="CG96" s="20"/>
      <c r="CH96" s="20"/>
      <c r="CI96" s="20"/>
      <c r="CJ96" s="20"/>
      <c r="CK96" s="20"/>
      <c r="CL96" s="20"/>
      <c r="CM96" s="20"/>
      <c r="CN96" s="20"/>
      <c r="CO96" s="20"/>
      <c r="CP96" s="20"/>
      <c r="CQ96" s="20"/>
      <c r="CR96" s="20"/>
      <c r="CS96" s="20"/>
      <c r="CT96" s="20"/>
      <c r="CU96" s="20"/>
      <c r="CV96" s="20"/>
      <c r="CW96" s="20"/>
      <c r="CX96" s="20"/>
      <c r="CY96" s="20"/>
      <c r="CZ96" s="20"/>
      <c r="DA96" s="20"/>
      <c r="DB96" s="20"/>
      <c r="DC96" s="20"/>
      <c r="DD96" s="20"/>
      <c r="DE96" s="20"/>
      <c r="DF96" s="20"/>
      <c r="DG96" s="20"/>
      <c r="DH96" s="20"/>
      <c r="DI96" s="20"/>
      <c r="DJ96" s="20"/>
      <c r="DK96" s="20"/>
      <c r="DL96" s="20"/>
      <c r="DM96" s="20"/>
      <c r="DN96" s="20"/>
      <c r="DO96" s="20"/>
      <c r="DP96" s="20"/>
      <c r="DQ96" s="20"/>
      <c r="DR96" s="20"/>
      <c r="DS96" s="20"/>
      <c r="DT96" s="20"/>
      <c r="DU96" s="20"/>
      <c r="DV96" s="20"/>
      <c r="DW96" s="20"/>
      <c r="DX96" s="20"/>
      <c r="DY96" s="20"/>
      <c r="DZ96" s="20"/>
      <c r="EA96" s="20"/>
      <c r="EB96" s="20"/>
      <c r="EC96" s="20"/>
      <c r="ED96" s="20"/>
      <c r="EE96" s="20"/>
      <c r="EF96" s="20"/>
      <c r="EG96" s="20"/>
      <c r="EH96" s="20"/>
      <c r="EI96" s="20"/>
    </row>
    <row r="97" spans="1:139" x14ac:dyDescent="0.25">
      <c r="A97" s="169"/>
      <c r="B97" s="183" t="s">
        <v>148</v>
      </c>
      <c r="C97" s="179">
        <v>1E-3</v>
      </c>
      <c r="D97" s="182" t="s">
        <v>350</v>
      </c>
      <c r="E97" s="169"/>
      <c r="F97" s="178" t="s">
        <v>173</v>
      </c>
      <c r="G97" s="179">
        <f>C95*C93/C109</f>
        <v>19.171536393688559</v>
      </c>
      <c r="H97" s="180" t="s">
        <v>170</v>
      </c>
      <c r="I97" s="169"/>
      <c r="J97" s="181" t="s">
        <v>185</v>
      </c>
      <c r="K97" s="179">
        <f>(C111*G108)/1000</f>
        <v>2508.6732942059571</v>
      </c>
      <c r="L97" s="182" t="s">
        <v>31</v>
      </c>
      <c r="M97" s="20"/>
      <c r="N97" s="756" t="s">
        <v>376</v>
      </c>
      <c r="O97" s="757"/>
      <c r="P97" s="282" t="s">
        <v>377</v>
      </c>
      <c r="Q97" s="289">
        <f>AK6</f>
        <v>7</v>
      </c>
      <c r="R97" s="291" t="s">
        <v>378</v>
      </c>
      <c r="S97" s="5">
        <v>14</v>
      </c>
      <c r="T97" s="5" t="s">
        <v>44</v>
      </c>
      <c r="U97" s="20"/>
      <c r="W97" s="20"/>
      <c r="X97" s="515"/>
      <c r="Y97" s="515"/>
      <c r="Z97" s="515"/>
      <c r="AA97" s="515"/>
      <c r="AB97" s="515"/>
      <c r="AC97" s="515"/>
      <c r="AD97" s="515"/>
      <c r="AE97" s="515"/>
      <c r="AF97" s="515"/>
      <c r="AG97" s="515"/>
      <c r="AH97" s="515"/>
      <c r="AI97" s="515"/>
      <c r="AJ97" s="515"/>
      <c r="AK97" s="515"/>
      <c r="AL97" s="20"/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0"/>
      <c r="BP97" s="20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0"/>
      <c r="CD97" s="20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0"/>
      <c r="CR97" s="20"/>
      <c r="CS97" s="20"/>
      <c r="CT97" s="20"/>
      <c r="CU97" s="20"/>
      <c r="CV97" s="20"/>
      <c r="CW97" s="20"/>
      <c r="CX97" s="20"/>
      <c r="CY97" s="20"/>
      <c r="CZ97" s="20"/>
      <c r="DA97" s="20"/>
      <c r="DB97" s="20"/>
      <c r="DC97" s="20"/>
      <c r="DD97" s="20"/>
      <c r="DE97" s="20"/>
      <c r="DF97" s="20"/>
      <c r="DG97" s="20"/>
      <c r="DH97" s="20"/>
      <c r="DI97" s="20"/>
      <c r="DJ97" s="20"/>
      <c r="DK97" s="20"/>
      <c r="DL97" s="20"/>
      <c r="DM97" s="20"/>
      <c r="DN97" s="20"/>
      <c r="DO97" s="20"/>
      <c r="DP97" s="20"/>
      <c r="DQ97" s="20"/>
      <c r="DR97" s="20"/>
      <c r="DS97" s="20"/>
      <c r="DT97" s="20"/>
      <c r="DU97" s="20"/>
      <c r="DV97" s="20"/>
      <c r="DW97" s="20"/>
      <c r="DX97" s="20"/>
      <c r="DY97" s="20"/>
      <c r="DZ97" s="20"/>
      <c r="EA97" s="20"/>
      <c r="EB97" s="20"/>
      <c r="EC97" s="20"/>
      <c r="ED97" s="20"/>
      <c r="EE97" s="20"/>
      <c r="EF97" s="20"/>
      <c r="EG97" s="20"/>
      <c r="EH97" s="20"/>
      <c r="EI97" s="20"/>
    </row>
    <row r="98" spans="1:139" ht="15.75" thickBot="1" x14ac:dyDescent="0.3">
      <c r="A98" s="169"/>
      <c r="B98" s="185" t="s">
        <v>149</v>
      </c>
      <c r="C98" s="116">
        <f>D13+273.15</f>
        <v>366.54999999999995</v>
      </c>
      <c r="D98" s="117" t="s">
        <v>150</v>
      </c>
      <c r="E98" s="169"/>
      <c r="F98" s="178" t="s">
        <v>174</v>
      </c>
      <c r="G98" s="179">
        <f>(G94+G95/2)-G96</f>
        <v>13.231769720596256</v>
      </c>
      <c r="H98" s="180" t="s">
        <v>170</v>
      </c>
      <c r="I98" s="169"/>
      <c r="J98" s="181" t="s">
        <v>288</v>
      </c>
      <c r="K98" s="179">
        <f>SUM(K93:K97)</f>
        <v>3930.2885768479246</v>
      </c>
      <c r="L98" s="182" t="str">
        <f>L97</f>
        <v>kg</v>
      </c>
      <c r="M98" s="20"/>
      <c r="N98" s="756" t="s">
        <v>380</v>
      </c>
      <c r="O98" s="757"/>
      <c r="P98" s="282" t="s">
        <v>381</v>
      </c>
      <c r="Q98" s="289">
        <f>AK8</f>
        <v>1</v>
      </c>
      <c r="R98" s="291" t="s">
        <v>378</v>
      </c>
      <c r="S98" s="5">
        <v>2</v>
      </c>
      <c r="T98" s="5" t="s">
        <v>44</v>
      </c>
      <c r="U98" s="20"/>
      <c r="W98" s="20"/>
      <c r="X98" s="515"/>
      <c r="Y98" s="515"/>
      <c r="Z98" s="515"/>
      <c r="AA98" s="515"/>
      <c r="AB98" s="515"/>
      <c r="AC98" s="515"/>
      <c r="AD98" s="515"/>
      <c r="AE98" s="515"/>
      <c r="AF98" s="515"/>
      <c r="AG98" s="515"/>
      <c r="AH98" s="515"/>
      <c r="AI98" s="515"/>
      <c r="AJ98" s="515"/>
      <c r="AK98" s="515"/>
      <c r="AL98" s="20"/>
      <c r="AM98" s="20"/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0"/>
      <c r="BP98" s="20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0"/>
      <c r="CD98" s="20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0"/>
      <c r="CR98" s="20"/>
      <c r="CS98" s="20"/>
      <c r="CT98" s="20"/>
      <c r="CU98" s="20"/>
      <c r="CV98" s="20"/>
      <c r="CW98" s="20"/>
      <c r="CX98" s="20"/>
      <c r="CY98" s="20"/>
      <c r="CZ98" s="20"/>
      <c r="DA98" s="20"/>
      <c r="DB98" s="20"/>
      <c r="DC98" s="20"/>
      <c r="DD98" s="20"/>
      <c r="DE98" s="20"/>
      <c r="DF98" s="20"/>
      <c r="DG98" s="20"/>
      <c r="DH98" s="20"/>
      <c r="DI98" s="20"/>
      <c r="DJ98" s="20"/>
      <c r="DK98" s="20"/>
      <c r="DL98" s="20"/>
      <c r="DM98" s="20"/>
      <c r="DN98" s="20"/>
      <c r="DO98" s="20"/>
      <c r="DP98" s="20"/>
      <c r="DQ98" s="20"/>
      <c r="DR98" s="20"/>
      <c r="DS98" s="20"/>
      <c r="DT98" s="20"/>
      <c r="DU98" s="20"/>
      <c r="DV98" s="20"/>
      <c r="DW98" s="20"/>
      <c r="DX98" s="20"/>
      <c r="DY98" s="20"/>
      <c r="DZ98" s="20"/>
      <c r="EA98" s="20"/>
      <c r="EB98" s="20"/>
      <c r="EC98" s="20"/>
      <c r="ED98" s="20"/>
      <c r="EE98" s="20"/>
      <c r="EF98" s="20"/>
      <c r="EG98" s="20"/>
      <c r="EH98" s="20"/>
      <c r="EI98" s="20"/>
    </row>
    <row r="99" spans="1:139" ht="15.75" thickBot="1" x14ac:dyDescent="0.3">
      <c r="A99" s="169"/>
      <c r="B99" s="786" t="s">
        <v>151</v>
      </c>
      <c r="C99" s="787"/>
      <c r="D99" s="788"/>
      <c r="E99" s="169"/>
      <c r="F99" s="178" t="s">
        <v>175</v>
      </c>
      <c r="G99" s="179">
        <f>G98*C96</f>
        <v>23.817185497073261</v>
      </c>
      <c r="H99" s="180" t="s">
        <v>170</v>
      </c>
      <c r="I99" s="169"/>
      <c r="J99" s="181" t="s">
        <v>289</v>
      </c>
      <c r="K99" s="194">
        <f>K98/3600</f>
        <v>1.0917468269022013</v>
      </c>
      <c r="L99" s="182" t="s">
        <v>290</v>
      </c>
      <c r="M99" s="20"/>
      <c r="N99" s="756" t="s">
        <v>383</v>
      </c>
      <c r="O99" s="757"/>
      <c r="P99" s="282" t="s">
        <v>384</v>
      </c>
      <c r="Q99" s="289">
        <f>AK10</f>
        <v>1.085</v>
      </c>
      <c r="R99" s="283" t="s">
        <v>61</v>
      </c>
      <c r="S99" s="282">
        <f>S97*S95/S98</f>
        <v>1.085</v>
      </c>
      <c r="T99" s="283" t="s">
        <v>61</v>
      </c>
      <c r="U99" s="20"/>
      <c r="W99" s="20"/>
      <c r="X99" s="515"/>
      <c r="Y99" s="515"/>
      <c r="Z99" s="515"/>
      <c r="AA99" s="515"/>
      <c r="AB99" s="515"/>
      <c r="AC99" s="515"/>
      <c r="AD99" s="515"/>
      <c r="AE99" s="515"/>
      <c r="AF99" s="515"/>
      <c r="AG99" s="515"/>
      <c r="AH99" s="515"/>
      <c r="AI99" s="515"/>
      <c r="AJ99" s="515"/>
      <c r="AK99" s="515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0"/>
      <c r="BP99" s="20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0"/>
      <c r="CD99" s="20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0"/>
      <c r="CR99" s="20"/>
      <c r="CS99" s="20"/>
      <c r="CT99" s="20"/>
      <c r="CU99" s="20"/>
      <c r="CV99" s="20"/>
      <c r="CW99" s="20"/>
      <c r="CX99" s="20"/>
      <c r="CY99" s="20"/>
      <c r="CZ99" s="20"/>
      <c r="DA99" s="20"/>
      <c r="DB99" s="20"/>
      <c r="DC99" s="20"/>
      <c r="DD99" s="20"/>
      <c r="DE99" s="20"/>
      <c r="DF99" s="20"/>
      <c r="DG99" s="20"/>
      <c r="DH99" s="20"/>
      <c r="DI99" s="20"/>
      <c r="DJ99" s="20"/>
      <c r="DK99" s="20"/>
      <c r="DL99" s="20"/>
      <c r="DM99" s="20"/>
      <c r="DN99" s="20"/>
      <c r="DO99" s="20"/>
      <c r="DP99" s="20"/>
      <c r="DQ99" s="20"/>
      <c r="DR99" s="20"/>
      <c r="DS99" s="20"/>
      <c r="DT99" s="20"/>
      <c r="DU99" s="20"/>
      <c r="DV99" s="20"/>
      <c r="DW99" s="20"/>
      <c r="DX99" s="20"/>
      <c r="DY99" s="20"/>
      <c r="DZ99" s="20"/>
      <c r="EA99" s="20"/>
      <c r="EB99" s="20"/>
      <c r="EC99" s="20"/>
      <c r="ED99" s="20"/>
      <c r="EE99" s="20"/>
      <c r="EF99" s="20"/>
      <c r="EG99" s="20"/>
      <c r="EH99" s="20"/>
      <c r="EI99" s="20"/>
    </row>
    <row r="100" spans="1:139" ht="15.75" thickBot="1" x14ac:dyDescent="0.3">
      <c r="A100" s="169"/>
      <c r="B100" s="183" t="s">
        <v>152</v>
      </c>
      <c r="C100" s="179" t="s">
        <v>153</v>
      </c>
      <c r="D100" s="180">
        <v>0.47</v>
      </c>
      <c r="E100" s="169"/>
      <c r="F100" s="178" t="s">
        <v>176</v>
      </c>
      <c r="G100" s="179">
        <f>G99*3.76</f>
        <v>89.55261746899545</v>
      </c>
      <c r="H100" s="180" t="s">
        <v>170</v>
      </c>
      <c r="I100" s="169"/>
      <c r="J100" s="249" t="s">
        <v>354</v>
      </c>
      <c r="K100" s="32">
        <f>+(K99/Densidad_kgm3($K$102,$K$101,$K$105,$K$104,$K$103,E128*101.325,K109))/0.93</f>
        <v>4.9185037037971435</v>
      </c>
      <c r="L100" s="250" t="s">
        <v>211</v>
      </c>
      <c r="M100" s="20"/>
      <c r="N100" s="789" t="s">
        <v>367</v>
      </c>
      <c r="O100" s="790"/>
      <c r="P100" s="284" t="s">
        <v>385</v>
      </c>
      <c r="Q100" s="285">
        <f>AK11</f>
        <v>1.35625</v>
      </c>
      <c r="R100" s="281" t="s">
        <v>28</v>
      </c>
      <c r="S100" s="285">
        <f>+S96*S98*S99</f>
        <v>2.7124999999999999</v>
      </c>
      <c r="T100" s="281" t="s">
        <v>28</v>
      </c>
      <c r="U100" s="20"/>
      <c r="W100" s="20"/>
      <c r="X100" s="515"/>
      <c r="Y100" s="515"/>
      <c r="Z100" s="515"/>
      <c r="AA100" s="515"/>
      <c r="AB100" s="515"/>
      <c r="AC100" s="515"/>
      <c r="AD100" s="515"/>
      <c r="AE100" s="515"/>
      <c r="AF100" s="515"/>
      <c r="AG100" s="515"/>
      <c r="AH100" s="515"/>
      <c r="AI100" s="515"/>
      <c r="AJ100" s="515"/>
      <c r="AK100" s="515"/>
      <c r="AL100" s="20"/>
      <c r="AM100" s="20"/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0"/>
      <c r="BP100" s="20"/>
      <c r="BQ100" s="20"/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0"/>
      <c r="CD100" s="20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0"/>
      <c r="CR100" s="20"/>
      <c r="CS100" s="20"/>
      <c r="CT100" s="20"/>
      <c r="CU100" s="20"/>
      <c r="CV100" s="20"/>
      <c r="CW100" s="20"/>
      <c r="CX100" s="20"/>
      <c r="CY100" s="20"/>
      <c r="CZ100" s="20"/>
      <c r="DA100" s="20"/>
      <c r="DB100" s="20"/>
      <c r="DC100" s="20"/>
      <c r="DD100" s="20"/>
      <c r="DE100" s="20"/>
      <c r="DF100" s="20"/>
      <c r="DG100" s="20"/>
      <c r="DH100" s="20"/>
      <c r="DI100" s="20"/>
      <c r="DJ100" s="20"/>
      <c r="DK100" s="20"/>
      <c r="DL100" s="20"/>
      <c r="DM100" s="20"/>
      <c r="DN100" s="20"/>
      <c r="DO100" s="20"/>
      <c r="DP100" s="20"/>
      <c r="DQ100" s="20"/>
      <c r="DR100" s="20"/>
      <c r="DS100" s="20"/>
      <c r="DT100" s="20"/>
      <c r="DU100" s="20"/>
      <c r="DV100" s="20"/>
      <c r="DW100" s="20"/>
      <c r="DX100" s="20"/>
      <c r="DY100" s="20"/>
      <c r="DZ100" s="20"/>
      <c r="EA100" s="20"/>
      <c r="EB100" s="20"/>
      <c r="EC100" s="20"/>
      <c r="ED100" s="20"/>
      <c r="EE100" s="20"/>
      <c r="EF100" s="20"/>
      <c r="EG100" s="20"/>
      <c r="EH100" s="20"/>
      <c r="EI100" s="20"/>
    </row>
    <row r="101" spans="1:139" ht="15.75" thickBot="1" x14ac:dyDescent="0.3">
      <c r="A101" s="169"/>
      <c r="B101" s="183" t="s">
        <v>154</v>
      </c>
      <c r="C101" s="179" t="s">
        <v>155</v>
      </c>
      <c r="D101" s="180">
        <v>6.5000000000000002E-2</v>
      </c>
      <c r="E101" s="169"/>
      <c r="F101" s="191" t="s">
        <v>177</v>
      </c>
      <c r="G101" s="192">
        <f>(G100*C111+G99*C110)*C97/C109</f>
        <v>0.18155669240165598</v>
      </c>
      <c r="H101" s="193" t="s">
        <v>170</v>
      </c>
      <c r="I101" s="169"/>
      <c r="J101" s="247" t="s">
        <v>179</v>
      </c>
      <c r="K101" s="248">
        <f>+G103/$G$109</f>
        <v>8.3137271908053215E-2</v>
      </c>
      <c r="L101" s="251" t="s">
        <v>291</v>
      </c>
      <c r="M101" s="20"/>
      <c r="N101" s="779" t="s">
        <v>398</v>
      </c>
      <c r="O101" s="780"/>
      <c r="P101" s="781"/>
      <c r="Q101" s="779" t="s">
        <v>396</v>
      </c>
      <c r="R101" s="781"/>
      <c r="S101" s="717" t="s">
        <v>397</v>
      </c>
      <c r="T101" s="719"/>
      <c r="U101" s="20"/>
      <c r="W101" s="20"/>
      <c r="X101" s="515"/>
      <c r="Y101" s="515"/>
      <c r="Z101" s="515"/>
      <c r="AA101" s="515"/>
      <c r="AB101" s="515"/>
      <c r="AC101" s="515"/>
      <c r="AD101" s="515"/>
      <c r="AE101" s="515"/>
      <c r="AF101" s="515"/>
      <c r="AG101" s="515"/>
      <c r="AH101" s="515"/>
      <c r="AI101" s="515"/>
      <c r="AJ101" s="515"/>
      <c r="AK101" s="515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20"/>
      <c r="CU101" s="20"/>
      <c r="CV101" s="20"/>
      <c r="CW101" s="20"/>
      <c r="CX101" s="20"/>
      <c r="CY101" s="20"/>
      <c r="CZ101" s="20"/>
      <c r="DA101" s="20"/>
      <c r="DB101" s="20"/>
      <c r="DC101" s="20"/>
      <c r="DD101" s="20"/>
      <c r="DE101" s="20"/>
      <c r="DF101" s="20"/>
      <c r="DG101" s="20"/>
      <c r="DH101" s="20"/>
      <c r="DI101" s="20"/>
      <c r="DJ101" s="20"/>
      <c r="DK101" s="20"/>
      <c r="DL101" s="20"/>
      <c r="DM101" s="20"/>
      <c r="DN101" s="20"/>
      <c r="DO101" s="20"/>
      <c r="DP101" s="20"/>
      <c r="DQ101" s="20"/>
      <c r="DR101" s="20"/>
      <c r="DS101" s="20"/>
      <c r="DT101" s="20"/>
      <c r="DU101" s="20"/>
      <c r="DV101" s="20"/>
      <c r="DW101" s="20"/>
      <c r="DX101" s="20"/>
      <c r="DY101" s="20"/>
      <c r="DZ101" s="20"/>
      <c r="EA101" s="20"/>
      <c r="EB101" s="20"/>
      <c r="EC101" s="20"/>
      <c r="ED101" s="20"/>
      <c r="EE101" s="20"/>
      <c r="EF101" s="20"/>
      <c r="EG101" s="20"/>
      <c r="EH101" s="20"/>
      <c r="EI101" s="20"/>
    </row>
    <row r="102" spans="1:139" ht="15.75" thickBot="1" x14ac:dyDescent="0.3">
      <c r="A102" s="169"/>
      <c r="B102" s="183" t="s">
        <v>156</v>
      </c>
      <c r="C102" s="179" t="s">
        <v>157</v>
      </c>
      <c r="D102" s="180">
        <v>0.44</v>
      </c>
      <c r="E102" s="169"/>
      <c r="F102" s="776" t="s">
        <v>178</v>
      </c>
      <c r="G102" s="777"/>
      <c r="H102" s="778"/>
      <c r="I102" s="169"/>
      <c r="J102" s="181" t="s">
        <v>181</v>
      </c>
      <c r="K102" s="194">
        <f>+G104/$G$109</f>
        <v>4.3756458898975394E-3</v>
      </c>
      <c r="L102" s="182" t="s">
        <v>291</v>
      </c>
      <c r="M102" s="20"/>
      <c r="N102" s="791" t="s">
        <v>386</v>
      </c>
      <c r="O102" s="792"/>
      <c r="P102" s="286" t="s">
        <v>387</v>
      </c>
      <c r="Q102" s="290">
        <f>Q21/300</f>
        <v>4.4697759489119919</v>
      </c>
      <c r="R102" s="287" t="s">
        <v>388</v>
      </c>
      <c r="S102" s="282">
        <f>Q102</f>
        <v>4.4697759489119919</v>
      </c>
      <c r="T102" s="283" t="s">
        <v>388</v>
      </c>
      <c r="U102" s="20"/>
      <c r="W102" s="20"/>
      <c r="X102" s="515"/>
      <c r="Y102" s="515"/>
      <c r="Z102" s="515"/>
      <c r="AA102" s="515"/>
      <c r="AB102" s="515"/>
      <c r="AC102" s="515"/>
      <c r="AD102" s="515"/>
      <c r="AE102" s="515"/>
      <c r="AF102" s="515"/>
      <c r="AG102" s="515"/>
      <c r="AH102" s="515"/>
      <c r="AI102" s="515"/>
      <c r="AJ102" s="515"/>
      <c r="AK102" s="515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0"/>
      <c r="BP102" s="20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0"/>
      <c r="CD102" s="20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0"/>
      <c r="CR102" s="20"/>
      <c r="CS102" s="20"/>
      <c r="CT102" s="20"/>
      <c r="CU102" s="20"/>
      <c r="CV102" s="20"/>
      <c r="CW102" s="20"/>
      <c r="CX102" s="20"/>
      <c r="CY102" s="20"/>
      <c r="CZ102" s="20"/>
      <c r="DA102" s="20"/>
      <c r="DB102" s="20"/>
      <c r="DC102" s="20"/>
      <c r="DD102" s="20"/>
      <c r="DE102" s="20"/>
      <c r="DF102" s="20"/>
      <c r="DG102" s="20"/>
      <c r="DH102" s="20"/>
      <c r="DI102" s="20"/>
      <c r="DJ102" s="20"/>
      <c r="DK102" s="20"/>
      <c r="DL102" s="20"/>
      <c r="DM102" s="20"/>
      <c r="DN102" s="20"/>
      <c r="DO102" s="20"/>
      <c r="DP102" s="20"/>
      <c r="DQ102" s="20"/>
      <c r="DR102" s="20"/>
      <c r="DS102" s="20"/>
      <c r="DT102" s="20"/>
      <c r="DU102" s="20"/>
      <c r="DV102" s="20"/>
      <c r="DW102" s="20"/>
      <c r="DX102" s="20"/>
      <c r="DY102" s="20"/>
      <c r="DZ102" s="20"/>
      <c r="EA102" s="20"/>
      <c r="EB102" s="20"/>
      <c r="EC102" s="20"/>
      <c r="ED102" s="20"/>
      <c r="EE102" s="20"/>
      <c r="EF102" s="20"/>
      <c r="EG102" s="20"/>
      <c r="EH102" s="20"/>
      <c r="EI102" s="20"/>
    </row>
    <row r="103" spans="1:139" ht="15.75" thickBot="1" x14ac:dyDescent="0.3">
      <c r="A103" s="169"/>
      <c r="B103" s="183" t="s">
        <v>158</v>
      </c>
      <c r="C103" s="179" t="s">
        <v>159</v>
      </c>
      <c r="D103" s="180">
        <v>2.5000000000000001E-2</v>
      </c>
      <c r="E103" s="169"/>
      <c r="F103" s="320" t="s">
        <v>179</v>
      </c>
      <c r="G103" s="196">
        <f>G94*C94*1000</f>
        <v>11851.927122921927</v>
      </c>
      <c r="H103" s="197" t="s">
        <v>180</v>
      </c>
      <c r="I103" s="169"/>
      <c r="J103" s="181" t="s">
        <v>183</v>
      </c>
      <c r="K103" s="194">
        <f>+G106/$G$109</f>
        <v>0.20786472587515267</v>
      </c>
      <c r="L103" s="182" t="s">
        <v>291</v>
      </c>
      <c r="M103" s="20"/>
      <c r="N103" s="756" t="s">
        <v>389</v>
      </c>
      <c r="O103" s="757"/>
      <c r="P103" s="282" t="s">
        <v>390</v>
      </c>
      <c r="Q103" s="289">
        <f>Q99+0.2</f>
        <v>1.2849999999999999</v>
      </c>
      <c r="R103" s="283" t="s">
        <v>61</v>
      </c>
      <c r="S103" s="288">
        <f>+S99+0.24</f>
        <v>1.325</v>
      </c>
      <c r="T103" s="283" t="s">
        <v>61</v>
      </c>
      <c r="U103" s="20"/>
      <c r="W103" s="20"/>
      <c r="X103" s="515"/>
      <c r="Y103" s="515"/>
      <c r="Z103" s="515"/>
      <c r="AA103" s="515"/>
      <c r="AB103" s="515"/>
      <c r="AC103" s="515"/>
      <c r="AD103" s="515"/>
      <c r="AE103" s="515"/>
      <c r="AF103" s="515"/>
      <c r="AG103" s="515"/>
      <c r="AH103" s="515"/>
      <c r="AI103" s="515"/>
      <c r="AJ103" s="515"/>
      <c r="AK103" s="515"/>
      <c r="AL103" s="20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0"/>
      <c r="BI103" s="20"/>
      <c r="BJ103" s="20"/>
      <c r="BK103" s="20"/>
      <c r="BL103" s="20"/>
      <c r="BM103" s="20"/>
      <c r="BN103" s="20"/>
      <c r="BO103" s="20"/>
      <c r="BP103" s="20"/>
      <c r="BQ103" s="20"/>
      <c r="BR103" s="20"/>
      <c r="BS103" s="20"/>
      <c r="BT103" s="20"/>
      <c r="BU103" s="20"/>
      <c r="BV103" s="20"/>
      <c r="BW103" s="20"/>
      <c r="BX103" s="20"/>
      <c r="BY103" s="20"/>
      <c r="BZ103" s="20"/>
      <c r="CA103" s="20"/>
      <c r="CB103" s="20"/>
      <c r="CC103" s="20"/>
      <c r="CD103" s="20"/>
      <c r="CE103" s="20"/>
      <c r="CF103" s="20"/>
      <c r="CG103" s="20"/>
      <c r="CH103" s="20"/>
      <c r="CI103" s="20"/>
      <c r="CJ103" s="20"/>
      <c r="CK103" s="20"/>
      <c r="CL103" s="20"/>
      <c r="CM103" s="20"/>
      <c r="CN103" s="20"/>
      <c r="CO103" s="20"/>
      <c r="CP103" s="20"/>
      <c r="CQ103" s="20"/>
      <c r="CR103" s="20"/>
      <c r="CS103" s="20"/>
      <c r="CT103" s="20"/>
      <c r="CU103" s="20"/>
      <c r="CV103" s="20"/>
      <c r="CW103" s="20"/>
      <c r="CX103" s="20"/>
      <c r="CY103" s="20"/>
      <c r="CZ103" s="20"/>
      <c r="DA103" s="20"/>
      <c r="DB103" s="20"/>
      <c r="DC103" s="20"/>
      <c r="DD103" s="20"/>
      <c r="DE103" s="20"/>
      <c r="DF103" s="20"/>
      <c r="DG103" s="20"/>
      <c r="DH103" s="20"/>
      <c r="DI103" s="20"/>
      <c r="DJ103" s="20"/>
      <c r="DK103" s="20"/>
      <c r="DL103" s="20"/>
      <c r="DM103" s="20"/>
      <c r="DN103" s="20"/>
      <c r="DO103" s="20"/>
      <c r="DP103" s="20"/>
      <c r="DQ103" s="20"/>
      <c r="DR103" s="20"/>
      <c r="DS103" s="20"/>
      <c r="DT103" s="20"/>
      <c r="DU103" s="20"/>
      <c r="DV103" s="20"/>
      <c r="DW103" s="20"/>
      <c r="DX103" s="20"/>
      <c r="DY103" s="20"/>
      <c r="DZ103" s="20"/>
      <c r="EA103" s="20"/>
      <c r="EB103" s="20"/>
      <c r="EC103" s="20"/>
      <c r="ED103" s="20"/>
      <c r="EE103" s="20"/>
      <c r="EF103" s="20"/>
      <c r="EG103" s="20"/>
      <c r="EH103" s="20"/>
      <c r="EI103" s="20"/>
    </row>
    <row r="104" spans="1:139" ht="15.75" thickBot="1" x14ac:dyDescent="0.3">
      <c r="A104" s="169"/>
      <c r="B104" s="185" t="s">
        <v>160</v>
      </c>
      <c r="C104" s="116">
        <f>C93*(1-C95)</f>
        <v>318.8128579961442</v>
      </c>
      <c r="D104" s="117" t="s">
        <v>31</v>
      </c>
      <c r="E104" s="169"/>
      <c r="F104" s="178" t="s">
        <v>181</v>
      </c>
      <c r="G104" s="179">
        <f>(G94*1000-G103)</f>
        <v>623.78563804852274</v>
      </c>
      <c r="H104" s="180" t="s">
        <v>180</v>
      </c>
      <c r="I104" s="169"/>
      <c r="J104" s="181" t="s">
        <v>184</v>
      </c>
      <c r="K104" s="194">
        <f>+G107/$G$109</f>
        <v>7.644094486693058E-2</v>
      </c>
      <c r="L104" s="182" t="s">
        <v>291</v>
      </c>
      <c r="M104" s="20"/>
      <c r="N104" s="756" t="s">
        <v>391</v>
      </c>
      <c r="O104" s="757"/>
      <c r="P104" s="282" t="s">
        <v>392</v>
      </c>
      <c r="Q104" s="289">
        <f>Q96*Q98+0.1</f>
        <v>1.35</v>
      </c>
      <c r="R104" s="283" t="s">
        <v>61</v>
      </c>
      <c r="S104" s="288">
        <f>2*S96+0.12</f>
        <v>2.62</v>
      </c>
      <c r="T104" s="283" t="s">
        <v>61</v>
      </c>
      <c r="U104" s="20"/>
      <c r="W104" s="20"/>
      <c r="X104" s="515"/>
      <c r="Y104" s="515"/>
      <c r="Z104" s="515"/>
      <c r="AA104" s="515"/>
      <c r="AB104" s="515"/>
      <c r="AC104" s="515"/>
      <c r="AD104" s="515"/>
      <c r="AE104" s="515"/>
      <c r="AF104" s="515"/>
      <c r="AG104" s="515"/>
      <c r="AH104" s="515"/>
      <c r="AI104" s="515"/>
      <c r="AJ104" s="515"/>
      <c r="AK104" s="515"/>
      <c r="AL104" s="20"/>
      <c r="AM104" s="20"/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0"/>
      <c r="BI104" s="20"/>
      <c r="BJ104" s="20"/>
      <c r="BK104" s="20"/>
      <c r="BL104" s="20"/>
      <c r="BM104" s="20"/>
      <c r="BN104" s="20"/>
      <c r="BO104" s="20"/>
      <c r="BP104" s="20"/>
      <c r="BQ104" s="20"/>
      <c r="BR104" s="20"/>
      <c r="BS104" s="20"/>
      <c r="BT104" s="20"/>
      <c r="BU104" s="20"/>
      <c r="BV104" s="20"/>
      <c r="BW104" s="20"/>
      <c r="BX104" s="20"/>
      <c r="BY104" s="20"/>
      <c r="BZ104" s="20"/>
      <c r="CA104" s="20"/>
      <c r="CB104" s="20"/>
      <c r="CC104" s="20"/>
      <c r="CD104" s="20"/>
      <c r="CE104" s="20"/>
      <c r="CF104" s="20"/>
      <c r="CG104" s="20"/>
      <c r="CH104" s="20"/>
      <c r="CI104" s="20"/>
      <c r="CJ104" s="20"/>
      <c r="CK104" s="20"/>
      <c r="CL104" s="20"/>
      <c r="CM104" s="20"/>
      <c r="CN104" s="20"/>
      <c r="CO104" s="20"/>
      <c r="CP104" s="20"/>
      <c r="CQ104" s="20"/>
      <c r="CR104" s="20"/>
      <c r="CS104" s="20"/>
      <c r="CT104" s="20"/>
      <c r="CU104" s="20"/>
      <c r="CV104" s="20"/>
      <c r="CW104" s="20"/>
      <c r="CX104" s="20"/>
      <c r="CY104" s="20"/>
      <c r="CZ104" s="20"/>
      <c r="DA104" s="20"/>
      <c r="DB104" s="20"/>
      <c r="DC104" s="20"/>
      <c r="DD104" s="20"/>
      <c r="DE104" s="20"/>
      <c r="DF104" s="20"/>
      <c r="DG104" s="20"/>
      <c r="DH104" s="20"/>
      <c r="DI104" s="20"/>
      <c r="DJ104" s="20"/>
      <c r="DK104" s="20"/>
      <c r="DL104" s="20"/>
      <c r="DM104" s="20"/>
      <c r="DN104" s="20"/>
      <c r="DO104" s="20"/>
      <c r="DP104" s="20"/>
      <c r="DQ104" s="20"/>
      <c r="DR104" s="20"/>
      <c r="DS104" s="20"/>
      <c r="DT104" s="20"/>
      <c r="DU104" s="20"/>
      <c r="DV104" s="20"/>
      <c r="DW104" s="20"/>
      <c r="DX104" s="20"/>
      <c r="DY104" s="20"/>
      <c r="DZ104" s="20"/>
      <c r="EA104" s="20"/>
      <c r="EB104" s="20"/>
      <c r="EC104" s="20"/>
      <c r="ED104" s="20"/>
      <c r="EE104" s="20"/>
      <c r="EF104" s="20"/>
      <c r="EG104" s="20"/>
      <c r="EH104" s="20"/>
      <c r="EI104" s="20"/>
    </row>
    <row r="105" spans="1:139" ht="15.75" thickBot="1" x14ac:dyDescent="0.3">
      <c r="A105" s="169"/>
      <c r="B105" s="195" t="s">
        <v>153</v>
      </c>
      <c r="C105" s="196">
        <v>12.0107</v>
      </c>
      <c r="D105" s="197" t="s">
        <v>161</v>
      </c>
      <c r="E105" s="169"/>
      <c r="F105" s="178" t="s">
        <v>182</v>
      </c>
      <c r="G105" s="179">
        <f>G95*1000</f>
        <v>10279.79630223494</v>
      </c>
      <c r="H105" s="180" t="s">
        <v>180</v>
      </c>
      <c r="I105" s="169"/>
      <c r="J105" s="181" t="s">
        <v>185</v>
      </c>
      <c r="K105" s="194">
        <f>+G108/$G$109</f>
        <v>0.62818141145996609</v>
      </c>
      <c r="L105" s="182" t="s">
        <v>291</v>
      </c>
      <c r="M105" s="20"/>
      <c r="N105" s="779" t="s">
        <v>393</v>
      </c>
      <c r="O105" s="780"/>
      <c r="P105" s="281" t="s">
        <v>394</v>
      </c>
      <c r="Q105" s="280">
        <f>Q102/(Q103*Q104)</f>
        <v>2.5766110096048376</v>
      </c>
      <c r="R105" s="281" t="s">
        <v>61</v>
      </c>
      <c r="S105" s="280">
        <f>S102/(S103*S104)</f>
        <v>1.2875632864502353</v>
      </c>
      <c r="T105" s="281" t="s">
        <v>61</v>
      </c>
      <c r="U105" s="20"/>
      <c r="W105" s="20"/>
      <c r="X105" s="515"/>
      <c r="Y105" s="515"/>
      <c r="Z105" s="515"/>
      <c r="AA105" s="515"/>
      <c r="AB105" s="515"/>
      <c r="AC105" s="515"/>
      <c r="AD105" s="515"/>
      <c r="AE105" s="515"/>
      <c r="AF105" s="515"/>
      <c r="AG105" s="515"/>
      <c r="AH105" s="515"/>
      <c r="AI105" s="515"/>
      <c r="AJ105" s="515"/>
      <c r="AK105" s="515"/>
      <c r="AL105" s="20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0"/>
      <c r="BI105" s="20"/>
      <c r="BJ105" s="20"/>
      <c r="BK105" s="20"/>
      <c r="BL105" s="20"/>
      <c r="BM105" s="20"/>
      <c r="BN105" s="20"/>
      <c r="BO105" s="20"/>
      <c r="BP105" s="20"/>
      <c r="BQ105" s="20"/>
      <c r="BR105" s="20"/>
      <c r="BS105" s="20"/>
      <c r="BT105" s="20"/>
      <c r="BU105" s="20"/>
      <c r="BV105" s="20"/>
      <c r="BW105" s="20"/>
      <c r="BX105" s="20"/>
      <c r="BY105" s="20"/>
      <c r="BZ105" s="20"/>
      <c r="CA105" s="20"/>
      <c r="CB105" s="20"/>
      <c r="CC105" s="20"/>
      <c r="CD105" s="20"/>
      <c r="CE105" s="20"/>
      <c r="CF105" s="20"/>
      <c r="CG105" s="20"/>
      <c r="CH105" s="20"/>
      <c r="CI105" s="20"/>
      <c r="CJ105" s="20"/>
      <c r="CK105" s="20"/>
      <c r="CL105" s="20"/>
      <c r="CM105" s="20"/>
      <c r="CN105" s="20"/>
      <c r="CO105" s="20"/>
      <c r="CP105" s="20"/>
      <c r="CQ105" s="20"/>
      <c r="CR105" s="20"/>
      <c r="CS105" s="20"/>
      <c r="CT105" s="20"/>
      <c r="CU105" s="20"/>
      <c r="CV105" s="20"/>
      <c r="CW105" s="20"/>
      <c r="CX105" s="20"/>
      <c r="CY105" s="20"/>
      <c r="CZ105" s="20"/>
      <c r="DA105" s="20"/>
      <c r="DB105" s="20"/>
      <c r="DC105" s="20"/>
      <c r="DD105" s="20"/>
      <c r="DE105" s="20"/>
      <c r="DF105" s="20"/>
      <c r="DG105" s="20"/>
      <c r="DH105" s="20"/>
      <c r="DI105" s="20"/>
      <c r="DJ105" s="20"/>
      <c r="DK105" s="20"/>
      <c r="DL105" s="20"/>
      <c r="DM105" s="20"/>
      <c r="DN105" s="20"/>
      <c r="DO105" s="20"/>
      <c r="DP105" s="20"/>
      <c r="DQ105" s="20"/>
      <c r="DR105" s="20"/>
      <c r="DS105" s="20"/>
      <c r="DT105" s="20"/>
      <c r="DU105" s="20"/>
      <c r="DV105" s="20"/>
      <c r="DW105" s="20"/>
      <c r="DX105" s="20"/>
      <c r="DY105" s="20"/>
      <c r="DZ105" s="20"/>
      <c r="EA105" s="20"/>
      <c r="EB105" s="20"/>
      <c r="EC105" s="20"/>
      <c r="ED105" s="20"/>
      <c r="EE105" s="20"/>
      <c r="EF105" s="20"/>
      <c r="EG105" s="20"/>
      <c r="EH105" s="20"/>
      <c r="EI105" s="20"/>
    </row>
    <row r="106" spans="1:139" ht="15.75" thickBot="1" x14ac:dyDescent="0.3">
      <c r="A106" s="169"/>
      <c r="B106" s="183" t="s">
        <v>162</v>
      </c>
      <c r="C106" s="179">
        <f>1.00794*2</f>
        <v>2.0158800000000001</v>
      </c>
      <c r="D106" s="180" t="s">
        <v>161</v>
      </c>
      <c r="E106" s="169"/>
      <c r="F106" s="178" t="s">
        <v>183</v>
      </c>
      <c r="G106" s="179">
        <f>G105+(G101+G97)*1000</f>
        <v>29632.889388325155</v>
      </c>
      <c r="H106" s="180" t="s">
        <v>180</v>
      </c>
      <c r="I106" s="169"/>
      <c r="J106" s="186" t="s">
        <v>288</v>
      </c>
      <c r="K106" s="187">
        <f>+SUM(K101:K105)</f>
        <v>1</v>
      </c>
      <c r="L106" s="188" t="s">
        <v>291</v>
      </c>
      <c r="M106" s="20"/>
      <c r="N106" s="20"/>
      <c r="O106" s="20"/>
      <c r="P106" s="189"/>
      <c r="Q106" s="169"/>
      <c r="R106" s="169"/>
      <c r="S106" s="169"/>
      <c r="T106" s="169"/>
      <c r="U106" s="20"/>
      <c r="W106" s="20"/>
      <c r="X106" s="515"/>
      <c r="Y106" s="515"/>
      <c r="Z106" s="515"/>
      <c r="AA106" s="515"/>
      <c r="AB106" s="515"/>
      <c r="AC106" s="515"/>
      <c r="AD106" s="515"/>
      <c r="AE106" s="515"/>
      <c r="AF106" s="515"/>
      <c r="AG106" s="515"/>
      <c r="AH106" s="515"/>
      <c r="AI106" s="515"/>
      <c r="AJ106" s="515"/>
      <c r="AK106" s="515"/>
      <c r="AL106" s="20"/>
      <c r="AM106" s="20"/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0"/>
      <c r="BI106" s="20"/>
      <c r="BJ106" s="20"/>
      <c r="BK106" s="20"/>
      <c r="BL106" s="20"/>
      <c r="BM106" s="20"/>
      <c r="BN106" s="20"/>
      <c r="BO106" s="20"/>
      <c r="BP106" s="20"/>
      <c r="BQ106" s="20"/>
      <c r="BR106" s="20"/>
      <c r="BS106" s="20"/>
      <c r="BT106" s="20"/>
      <c r="BU106" s="20"/>
      <c r="BV106" s="20"/>
      <c r="BW106" s="20"/>
      <c r="BX106" s="20"/>
      <c r="BY106" s="20"/>
      <c r="BZ106" s="20"/>
      <c r="CA106" s="20"/>
      <c r="CB106" s="20"/>
      <c r="CC106" s="20"/>
      <c r="CD106" s="20"/>
      <c r="CE106" s="20"/>
      <c r="CF106" s="20"/>
      <c r="CG106" s="20"/>
      <c r="CH106" s="20"/>
      <c r="CI106" s="20"/>
      <c r="CJ106" s="20"/>
      <c r="CK106" s="20"/>
      <c r="CL106" s="20"/>
      <c r="CM106" s="20"/>
      <c r="CN106" s="20"/>
      <c r="CO106" s="20"/>
      <c r="CP106" s="20"/>
      <c r="CQ106" s="20"/>
      <c r="CR106" s="20"/>
      <c r="CS106" s="20"/>
      <c r="CT106" s="20"/>
      <c r="CU106" s="20"/>
      <c r="CV106" s="20"/>
      <c r="CW106" s="20"/>
      <c r="CX106" s="20"/>
      <c r="CY106" s="20"/>
      <c r="CZ106" s="20"/>
      <c r="DA106" s="20"/>
      <c r="DB106" s="20"/>
      <c r="DC106" s="20"/>
      <c r="DD106" s="20"/>
      <c r="DE106" s="20"/>
      <c r="DF106" s="20"/>
      <c r="DG106" s="20"/>
      <c r="DH106" s="20"/>
      <c r="DI106" s="20"/>
      <c r="DJ106" s="20"/>
      <c r="DK106" s="20"/>
      <c r="DL106" s="20"/>
      <c r="DM106" s="20"/>
      <c r="DN106" s="20"/>
      <c r="DO106" s="20"/>
      <c r="DP106" s="20"/>
      <c r="DQ106" s="20"/>
      <c r="DR106" s="20"/>
      <c r="DS106" s="20"/>
      <c r="DT106" s="20"/>
      <c r="DU106" s="20"/>
      <c r="DV106" s="20"/>
      <c r="DW106" s="20"/>
      <c r="DX106" s="20"/>
      <c r="DY106" s="20"/>
      <c r="DZ106" s="20"/>
      <c r="EA106" s="20"/>
      <c r="EB106" s="20"/>
      <c r="EC106" s="20"/>
      <c r="ED106" s="20"/>
      <c r="EE106" s="20"/>
      <c r="EF106" s="20"/>
      <c r="EG106" s="20"/>
      <c r="EH106" s="20"/>
      <c r="EI106" s="20"/>
    </row>
    <row r="107" spans="1:139" x14ac:dyDescent="0.25">
      <c r="A107" s="169"/>
      <c r="B107" s="183" t="s">
        <v>163</v>
      </c>
      <c r="C107" s="179">
        <v>44.009500000000003</v>
      </c>
      <c r="D107" s="180" t="s">
        <v>161</v>
      </c>
      <c r="E107" s="169"/>
      <c r="F107" s="178" t="s">
        <v>184</v>
      </c>
      <c r="G107" s="179">
        <f>(G99-G98)*1000+G104/2</f>
        <v>10897.308595501265</v>
      </c>
      <c r="H107" s="180" t="s">
        <v>180</v>
      </c>
      <c r="I107" s="169"/>
      <c r="J107" s="199"/>
      <c r="K107" s="200"/>
      <c r="L107" s="199"/>
      <c r="M107" s="20"/>
      <c r="N107" s="793" t="s">
        <v>441</v>
      </c>
      <c r="O107" s="794"/>
      <c r="P107" s="91">
        <f>2*(Q103*Q104+Q103*Q105+Q104*Q105)</f>
        <v>17.048240020617495</v>
      </c>
      <c r="Q107" s="91" t="s">
        <v>28</v>
      </c>
      <c r="R107" s="328" t="s">
        <v>442</v>
      </c>
      <c r="S107" s="20"/>
      <c r="T107" s="20"/>
      <c r="U107" s="20"/>
      <c r="W107" s="20"/>
      <c r="X107" s="515"/>
      <c r="Y107" s="515"/>
      <c r="Z107" s="515"/>
      <c r="AA107" s="515"/>
      <c r="AB107" s="515"/>
      <c r="AC107" s="515"/>
      <c r="AD107" s="515"/>
      <c r="AE107" s="515"/>
      <c r="AF107" s="515"/>
      <c r="AG107" s="515"/>
      <c r="AH107" s="515"/>
      <c r="AI107" s="515"/>
      <c r="AJ107" s="515"/>
      <c r="AK107" s="515"/>
      <c r="AL107" s="20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0"/>
      <c r="BI107" s="20"/>
      <c r="BJ107" s="20"/>
      <c r="BK107" s="20"/>
      <c r="BL107" s="20"/>
      <c r="BM107" s="20"/>
      <c r="BN107" s="20"/>
      <c r="BO107" s="20"/>
      <c r="BP107" s="20"/>
      <c r="BQ107" s="20"/>
      <c r="BR107" s="20"/>
      <c r="BS107" s="20"/>
      <c r="BT107" s="20"/>
      <c r="BU107" s="20"/>
      <c r="BV107" s="20"/>
      <c r="BW107" s="20"/>
      <c r="BX107" s="20"/>
      <c r="BY107" s="20"/>
      <c r="BZ107" s="20"/>
      <c r="CA107" s="20"/>
      <c r="CB107" s="20"/>
      <c r="CC107" s="20"/>
      <c r="CD107" s="20"/>
      <c r="CE107" s="20"/>
      <c r="CF107" s="20"/>
      <c r="CG107" s="20"/>
      <c r="CH107" s="20"/>
      <c r="CI107" s="20"/>
      <c r="CJ107" s="20"/>
      <c r="CK107" s="20"/>
      <c r="CL107" s="20"/>
      <c r="CM107" s="20"/>
      <c r="CN107" s="20"/>
      <c r="CO107" s="20"/>
      <c r="CP107" s="20"/>
      <c r="CQ107" s="20"/>
      <c r="CR107" s="20"/>
      <c r="CS107" s="20"/>
      <c r="CT107" s="20"/>
      <c r="CU107" s="20"/>
      <c r="CV107" s="20"/>
      <c r="CW107" s="20"/>
      <c r="CX107" s="20"/>
      <c r="CY107" s="20"/>
      <c r="CZ107" s="20"/>
      <c r="DA107" s="20"/>
      <c r="DB107" s="20"/>
      <c r="DC107" s="20"/>
      <c r="DD107" s="20"/>
      <c r="DE107" s="20"/>
      <c r="DF107" s="20"/>
      <c r="DG107" s="20"/>
      <c r="DH107" s="20"/>
      <c r="DI107" s="20"/>
      <c r="DJ107" s="20"/>
      <c r="DK107" s="20"/>
      <c r="DL107" s="20"/>
      <c r="DM107" s="20"/>
      <c r="DN107" s="20"/>
      <c r="DO107" s="20"/>
      <c r="DP107" s="20"/>
      <c r="DQ107" s="20"/>
      <c r="DR107" s="20"/>
      <c r="DS107" s="20"/>
      <c r="DT107" s="20"/>
      <c r="DU107" s="20"/>
      <c r="DV107" s="20"/>
      <c r="DW107" s="20"/>
      <c r="DX107" s="20"/>
      <c r="DY107" s="20"/>
      <c r="DZ107" s="20"/>
      <c r="EA107" s="20"/>
      <c r="EB107" s="20"/>
      <c r="EC107" s="20"/>
      <c r="ED107" s="20"/>
      <c r="EE107" s="20"/>
      <c r="EF107" s="20"/>
      <c r="EG107" s="20"/>
      <c r="EH107" s="20"/>
      <c r="EI107" s="20"/>
    </row>
    <row r="108" spans="1:139" ht="15.75" thickBot="1" x14ac:dyDescent="0.3">
      <c r="A108" s="169"/>
      <c r="B108" s="183" t="s">
        <v>164</v>
      </c>
      <c r="C108" s="179">
        <v>28.010100000000001</v>
      </c>
      <c r="D108" s="180" t="s">
        <v>161</v>
      </c>
      <c r="E108" s="169"/>
      <c r="F108" s="178" t="s">
        <v>185</v>
      </c>
      <c r="G108" s="179">
        <f>G100*1000</f>
        <v>89552.61746899545</v>
      </c>
      <c r="H108" s="180" t="s">
        <v>180</v>
      </c>
      <c r="I108" s="169"/>
      <c r="J108" s="43"/>
      <c r="K108" s="20"/>
      <c r="L108" s="43"/>
      <c r="M108" s="20"/>
      <c r="N108" s="795" t="s">
        <v>443</v>
      </c>
      <c r="O108" s="796"/>
      <c r="P108" s="5" t="s">
        <v>442</v>
      </c>
      <c r="Q108" s="319" t="s">
        <v>445</v>
      </c>
      <c r="R108" s="329" t="s">
        <v>446</v>
      </c>
      <c r="S108" s="20"/>
      <c r="T108" s="20"/>
      <c r="U108" s="20"/>
      <c r="W108" s="20"/>
      <c r="X108" s="515"/>
      <c r="Y108" s="515"/>
      <c r="Z108" s="515"/>
      <c r="AA108" s="515"/>
      <c r="AB108" s="515"/>
      <c r="AC108" s="515"/>
      <c r="AD108" s="515"/>
      <c r="AE108" s="515"/>
      <c r="AF108" s="515"/>
      <c r="AG108" s="515"/>
      <c r="AH108" s="515"/>
      <c r="AI108" s="515"/>
      <c r="AJ108" s="515"/>
      <c r="AK108" s="515"/>
      <c r="AL108" s="20"/>
      <c r="AM108" s="20"/>
      <c r="AN108" s="20"/>
      <c r="AO108" s="20"/>
      <c r="AP108" s="20"/>
      <c r="AQ108" s="20"/>
      <c r="AR108" s="20"/>
      <c r="AS108" s="20"/>
      <c r="AT108" s="20"/>
      <c r="AU108" s="20"/>
      <c r="AV108" s="20"/>
      <c r="AW108" s="20"/>
      <c r="AX108" s="20"/>
      <c r="AY108" s="20"/>
      <c r="AZ108" s="20"/>
      <c r="BA108" s="20"/>
      <c r="BB108" s="20"/>
      <c r="BC108" s="20"/>
      <c r="BD108" s="20"/>
      <c r="BE108" s="20"/>
      <c r="BF108" s="20"/>
      <c r="BG108" s="20"/>
      <c r="BH108" s="20"/>
      <c r="BI108" s="20"/>
      <c r="BJ108" s="20"/>
      <c r="BK108" s="20"/>
      <c r="BL108" s="20"/>
      <c r="BM108" s="20"/>
      <c r="BN108" s="20"/>
      <c r="BO108" s="20"/>
      <c r="BP108" s="20"/>
      <c r="BQ108" s="20"/>
      <c r="BR108" s="20"/>
      <c r="BS108" s="20"/>
      <c r="BT108" s="20"/>
      <c r="BU108" s="20"/>
      <c r="BV108" s="20"/>
      <c r="BW108" s="20"/>
      <c r="BX108" s="20"/>
      <c r="BY108" s="20"/>
      <c r="BZ108" s="20"/>
      <c r="CA108" s="20"/>
      <c r="CB108" s="20"/>
      <c r="CC108" s="20"/>
      <c r="CD108" s="20"/>
      <c r="CE108" s="20"/>
      <c r="CF108" s="20"/>
      <c r="CG108" s="20"/>
      <c r="CH108" s="20"/>
      <c r="CI108" s="20"/>
      <c r="CJ108" s="20"/>
      <c r="CK108" s="20"/>
      <c r="CL108" s="20"/>
      <c r="CM108" s="20"/>
      <c r="CN108" s="20"/>
      <c r="CO108" s="20"/>
      <c r="CP108" s="20"/>
      <c r="CQ108" s="20"/>
      <c r="CR108" s="20"/>
      <c r="CS108" s="20"/>
      <c r="CT108" s="20"/>
      <c r="CU108" s="20"/>
      <c r="CV108" s="20"/>
      <c r="CW108" s="20"/>
      <c r="CX108" s="20"/>
      <c r="CY108" s="20"/>
      <c r="CZ108" s="20"/>
      <c r="DA108" s="20"/>
      <c r="DB108" s="20"/>
      <c r="DC108" s="20"/>
      <c r="DD108" s="20"/>
      <c r="DE108" s="20"/>
      <c r="DF108" s="20"/>
      <c r="DG108" s="20"/>
      <c r="DH108" s="20"/>
      <c r="DI108" s="20"/>
      <c r="DJ108" s="20"/>
      <c r="DK108" s="20"/>
      <c r="DL108" s="20"/>
      <c r="DM108" s="20"/>
      <c r="DN108" s="20"/>
      <c r="DO108" s="20"/>
      <c r="DP108" s="20"/>
      <c r="DQ108" s="20"/>
      <c r="DR108" s="20"/>
      <c r="DS108" s="20"/>
      <c r="DT108" s="20"/>
      <c r="DU108" s="20"/>
      <c r="DV108" s="20"/>
      <c r="DW108" s="20"/>
      <c r="DX108" s="20"/>
      <c r="DY108" s="20"/>
      <c r="DZ108" s="20"/>
      <c r="EA108" s="20"/>
      <c r="EB108" s="20"/>
      <c r="EC108" s="20"/>
      <c r="ED108" s="20"/>
      <c r="EE108" s="20"/>
      <c r="EF108" s="20"/>
      <c r="EG108" s="20"/>
      <c r="EH108" s="20"/>
      <c r="EI108" s="20"/>
    </row>
    <row r="109" spans="1:139" x14ac:dyDescent="0.25">
      <c r="A109" s="169"/>
      <c r="B109" s="183" t="s">
        <v>165</v>
      </c>
      <c r="C109" s="179">
        <v>18.015280000000001</v>
      </c>
      <c r="D109" s="180" t="s">
        <v>161</v>
      </c>
      <c r="E109" s="169"/>
      <c r="F109" s="178" t="s">
        <v>187</v>
      </c>
      <c r="G109" s="179">
        <f>SUM(G103:G104,G106:G108)</f>
        <v>142558.52821379231</v>
      </c>
      <c r="H109" s="180" t="s">
        <v>180</v>
      </c>
      <c r="I109" s="169"/>
      <c r="J109" s="173" t="s">
        <v>296</v>
      </c>
      <c r="K109" s="201">
        <f>Tadiabatica(C96,C94,D14,C97)</f>
        <v>971.63537265471882</v>
      </c>
      <c r="L109" s="202" t="s">
        <v>133</v>
      </c>
      <c r="M109" s="20"/>
      <c r="N109" s="797" t="s">
        <v>207</v>
      </c>
      <c r="O109" s="798"/>
      <c r="P109" s="98">
        <f>IF(P108="Refractario",0.29,IF(P108="Semirefractario",0.45,0.9))</f>
        <v>0.28999999999999998</v>
      </c>
      <c r="Q109" s="98" t="s">
        <v>447</v>
      </c>
      <c r="R109" s="329" t="s">
        <v>444</v>
      </c>
      <c r="S109" s="20"/>
      <c r="T109" s="20"/>
      <c r="U109" s="20"/>
      <c r="W109" s="20"/>
      <c r="X109" s="515"/>
      <c r="Y109" s="515"/>
      <c r="Z109" s="515"/>
      <c r="AA109" s="515"/>
      <c r="AB109" s="515"/>
      <c r="AC109" s="515"/>
      <c r="AD109" s="515"/>
      <c r="AE109" s="515"/>
      <c r="AF109" s="515"/>
      <c r="AG109" s="515"/>
      <c r="AH109" s="515"/>
      <c r="AI109" s="515"/>
      <c r="AJ109" s="515"/>
      <c r="AK109" s="515"/>
      <c r="AL109" s="20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  <c r="BB109" s="20"/>
      <c r="BC109" s="20"/>
      <c r="BD109" s="20"/>
      <c r="BE109" s="20"/>
      <c r="BF109" s="20"/>
      <c r="BG109" s="20"/>
      <c r="BH109" s="20"/>
      <c r="BI109" s="20"/>
      <c r="BJ109" s="20"/>
      <c r="BK109" s="20"/>
      <c r="BL109" s="20"/>
      <c r="BM109" s="20"/>
      <c r="BN109" s="20"/>
      <c r="BO109" s="20"/>
      <c r="BP109" s="20"/>
      <c r="BQ109" s="20"/>
      <c r="BR109" s="20"/>
      <c r="BS109" s="20"/>
      <c r="BT109" s="20"/>
      <c r="BU109" s="20"/>
      <c r="BV109" s="20"/>
      <c r="BW109" s="20"/>
      <c r="BX109" s="20"/>
      <c r="BY109" s="20"/>
      <c r="BZ109" s="20"/>
      <c r="CA109" s="20"/>
      <c r="CB109" s="20"/>
      <c r="CC109" s="20"/>
      <c r="CD109" s="20"/>
      <c r="CE109" s="20"/>
      <c r="CF109" s="20"/>
      <c r="CG109" s="20"/>
      <c r="CH109" s="20"/>
      <c r="CI109" s="20"/>
      <c r="CJ109" s="20"/>
      <c r="CK109" s="20"/>
      <c r="CL109" s="20"/>
      <c r="CM109" s="20"/>
      <c r="CN109" s="20"/>
      <c r="CO109" s="20"/>
      <c r="CP109" s="20"/>
      <c r="CQ109" s="20"/>
      <c r="CR109" s="20"/>
      <c r="CS109" s="20"/>
      <c r="CT109" s="20"/>
      <c r="CU109" s="20"/>
      <c r="CV109" s="20"/>
      <c r="CW109" s="20"/>
      <c r="CX109" s="20"/>
      <c r="CY109" s="20"/>
      <c r="CZ109" s="20"/>
      <c r="DA109" s="20"/>
      <c r="DB109" s="20"/>
      <c r="DC109" s="20"/>
      <c r="DD109" s="20"/>
      <c r="DE109" s="20"/>
      <c r="DF109" s="20"/>
      <c r="DG109" s="20"/>
      <c r="DH109" s="20"/>
      <c r="DI109" s="20"/>
      <c r="DJ109" s="20"/>
      <c r="DK109" s="20"/>
      <c r="DL109" s="20"/>
      <c r="DM109" s="20"/>
      <c r="DN109" s="20"/>
      <c r="DO109" s="20"/>
      <c r="DP109" s="20"/>
      <c r="DQ109" s="20"/>
      <c r="DR109" s="20"/>
      <c r="DS109" s="20"/>
      <c r="DT109" s="20"/>
      <c r="DU109" s="20"/>
      <c r="DV109" s="20"/>
      <c r="DW109" s="20"/>
      <c r="DX109" s="20"/>
      <c r="DY109" s="20"/>
      <c r="DZ109" s="20"/>
      <c r="EA109" s="20"/>
      <c r="EB109" s="20"/>
      <c r="EC109" s="20"/>
      <c r="ED109" s="20"/>
      <c r="EE109" s="20"/>
      <c r="EF109" s="20"/>
      <c r="EG109" s="20"/>
      <c r="EH109" s="20"/>
      <c r="EI109" s="20"/>
    </row>
    <row r="110" spans="1:139" ht="15.75" thickBot="1" x14ac:dyDescent="0.3">
      <c r="A110" s="169"/>
      <c r="B110" s="183" t="s">
        <v>166</v>
      </c>
      <c r="C110" s="179">
        <v>31.998799999999999</v>
      </c>
      <c r="D110" s="180" t="s">
        <v>161</v>
      </c>
      <c r="E110" s="169"/>
      <c r="F110" s="178" t="s">
        <v>186</v>
      </c>
      <c r="G110" s="179">
        <f>1180+273.15</f>
        <v>1453.15</v>
      </c>
      <c r="H110" s="180" t="s">
        <v>13</v>
      </c>
      <c r="I110" s="326"/>
      <c r="J110" s="203" t="s">
        <v>297</v>
      </c>
      <c r="K110" s="204">
        <f>+DH_KJKmol(25,K109,G104/1000,G103/1000,G108/1000,G107/1000,G106/1000)/3600</f>
        <v>1291.843254906825</v>
      </c>
      <c r="L110" s="198" t="s">
        <v>190</v>
      </c>
      <c r="M110" s="20"/>
      <c r="N110" s="795" t="s">
        <v>448</v>
      </c>
      <c r="O110" s="796"/>
      <c r="P110" s="5">
        <v>0.12</v>
      </c>
      <c r="Q110" s="5" t="s">
        <v>61</v>
      </c>
      <c r="R110" s="330">
        <f>+K109</f>
        <v>971.63537265471882</v>
      </c>
      <c r="S110" s="20"/>
      <c r="T110" s="20"/>
      <c r="U110" s="20"/>
      <c r="W110" s="20"/>
      <c r="X110" s="515"/>
      <c r="Y110" s="515"/>
      <c r="Z110" s="515"/>
      <c r="AA110" s="515"/>
      <c r="AB110" s="515"/>
      <c r="AC110" s="515"/>
      <c r="AD110" s="515"/>
      <c r="AE110" s="515"/>
      <c r="AF110" s="515"/>
      <c r="AG110" s="515"/>
      <c r="AH110" s="515"/>
      <c r="AI110" s="515"/>
      <c r="AJ110" s="515"/>
      <c r="AK110" s="515"/>
      <c r="AL110" s="20"/>
      <c r="AM110" s="20"/>
      <c r="AN110" s="20"/>
      <c r="AO110" s="20"/>
      <c r="AP110" s="20"/>
      <c r="AQ110" s="20"/>
      <c r="AR110" s="20"/>
      <c r="AS110" s="20"/>
      <c r="AT110" s="20"/>
      <c r="AU110" s="20"/>
      <c r="AV110" s="20"/>
      <c r="AW110" s="20"/>
      <c r="AX110" s="20"/>
      <c r="AY110" s="20"/>
      <c r="AZ110" s="20"/>
      <c r="BA110" s="20"/>
      <c r="BB110" s="20"/>
      <c r="BC110" s="20"/>
      <c r="BD110" s="20"/>
      <c r="BE110" s="20"/>
      <c r="BF110" s="20"/>
      <c r="BG110" s="20"/>
      <c r="BH110" s="20"/>
      <c r="BI110" s="20"/>
      <c r="BJ110" s="20"/>
      <c r="BK110" s="20"/>
      <c r="BL110" s="20"/>
      <c r="BM110" s="20"/>
      <c r="BN110" s="20"/>
      <c r="BO110" s="20"/>
      <c r="BP110" s="20"/>
      <c r="BQ110" s="20"/>
      <c r="BR110" s="20"/>
      <c r="BS110" s="20"/>
      <c r="BT110" s="20"/>
      <c r="BU110" s="20"/>
      <c r="BV110" s="20"/>
      <c r="BW110" s="20"/>
      <c r="BX110" s="20"/>
      <c r="BY110" s="20"/>
      <c r="BZ110" s="20"/>
      <c r="CA110" s="20"/>
      <c r="CB110" s="20"/>
      <c r="CC110" s="20"/>
      <c r="CD110" s="20"/>
      <c r="CE110" s="20"/>
      <c r="CF110" s="20"/>
      <c r="CG110" s="20"/>
      <c r="CH110" s="20"/>
      <c r="CI110" s="20"/>
      <c r="CJ110" s="20"/>
      <c r="CK110" s="20"/>
      <c r="CL110" s="20"/>
      <c r="CM110" s="20"/>
      <c r="CN110" s="20"/>
      <c r="CO110" s="20"/>
      <c r="CP110" s="20"/>
      <c r="CQ110" s="20"/>
      <c r="CR110" s="20"/>
      <c r="CS110" s="20"/>
      <c r="CT110" s="20"/>
      <c r="CU110" s="20"/>
      <c r="CV110" s="20"/>
      <c r="CW110" s="20"/>
      <c r="CX110" s="20"/>
      <c r="CY110" s="20"/>
      <c r="CZ110" s="20"/>
      <c r="DA110" s="20"/>
      <c r="DB110" s="20"/>
      <c r="DC110" s="20"/>
      <c r="DD110" s="20"/>
      <c r="DE110" s="20"/>
      <c r="DF110" s="20"/>
      <c r="DG110" s="20"/>
      <c r="DH110" s="20"/>
      <c r="DI110" s="20"/>
      <c r="DJ110" s="20"/>
      <c r="DK110" s="20"/>
      <c r="DL110" s="20"/>
      <c r="DM110" s="20"/>
      <c r="DN110" s="20"/>
      <c r="DO110" s="20"/>
      <c r="DP110" s="20"/>
      <c r="DQ110" s="20"/>
      <c r="DR110" s="20"/>
      <c r="DS110" s="20"/>
      <c r="DT110" s="20"/>
      <c r="DU110" s="20"/>
      <c r="DV110" s="20"/>
      <c r="DW110" s="20"/>
      <c r="DX110" s="20"/>
      <c r="DY110" s="20"/>
      <c r="DZ110" s="20"/>
      <c r="EA110" s="20"/>
      <c r="EB110" s="20"/>
      <c r="EC110" s="20"/>
      <c r="ED110" s="20"/>
      <c r="EE110" s="20"/>
      <c r="EF110" s="20"/>
      <c r="EG110" s="20"/>
      <c r="EH110" s="20"/>
      <c r="EI110" s="20"/>
    </row>
    <row r="111" spans="1:139" ht="15.75" thickBot="1" x14ac:dyDescent="0.3">
      <c r="A111" s="169"/>
      <c r="B111" s="185" t="s">
        <v>167</v>
      </c>
      <c r="C111" s="116">
        <v>28.013400000000001</v>
      </c>
      <c r="D111" s="117" t="s">
        <v>161</v>
      </c>
      <c r="E111" s="169"/>
      <c r="F111" s="178" t="s">
        <v>188</v>
      </c>
      <c r="G111" s="321">
        <f>(G103*C107)+(G104*C108)+(C109*G106)+(G107*C110)+(C111*G108)</f>
        <v>3930288.5768479249</v>
      </c>
      <c r="H111" s="180" t="s">
        <v>189</v>
      </c>
      <c r="I111" s="326"/>
      <c r="J111" s="43"/>
      <c r="K111" s="20"/>
      <c r="L111" s="20"/>
      <c r="M111" s="20"/>
      <c r="N111" s="799" t="s">
        <v>449</v>
      </c>
      <c r="O111" s="800"/>
      <c r="P111" s="113">
        <f>P109*P107*(R111-D19)/P110</f>
        <v>29307.329059567888</v>
      </c>
      <c r="Q111" s="113" t="s">
        <v>450</v>
      </c>
      <c r="R111" s="331">
        <f>-264.44+1.03*R110</f>
        <v>736.34443383436042</v>
      </c>
      <c r="S111" s="20"/>
      <c r="T111" s="20"/>
      <c r="U111" s="20"/>
      <c r="W111" s="20"/>
      <c r="X111" s="515"/>
      <c r="Y111" s="515"/>
      <c r="Z111" s="515"/>
      <c r="AA111" s="515"/>
      <c r="AB111" s="515"/>
      <c r="AC111" s="515"/>
      <c r="AD111" s="515"/>
      <c r="AE111" s="515"/>
      <c r="AF111" s="515"/>
      <c r="AG111" s="515"/>
      <c r="AH111" s="515"/>
      <c r="AI111" s="515"/>
      <c r="AJ111" s="515"/>
      <c r="AK111" s="515"/>
      <c r="AL111" s="20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  <c r="BA111" s="20"/>
      <c r="BB111" s="20"/>
      <c r="BC111" s="20"/>
      <c r="BD111" s="20"/>
      <c r="BE111" s="20"/>
      <c r="BF111" s="20"/>
      <c r="BG111" s="20"/>
      <c r="BH111" s="20"/>
      <c r="BI111" s="20"/>
      <c r="BJ111" s="20"/>
      <c r="BK111" s="20"/>
      <c r="BL111" s="20"/>
      <c r="BM111" s="20"/>
      <c r="BN111" s="20"/>
      <c r="BO111" s="20"/>
      <c r="BP111" s="20"/>
      <c r="BQ111" s="20"/>
      <c r="BR111" s="20"/>
      <c r="BS111" s="20"/>
      <c r="BT111" s="20"/>
      <c r="BU111" s="20"/>
      <c r="BV111" s="20"/>
      <c r="BW111" s="20"/>
      <c r="BX111" s="20"/>
      <c r="BY111" s="20"/>
      <c r="BZ111" s="20"/>
      <c r="CA111" s="20"/>
      <c r="CB111" s="20"/>
      <c r="CC111" s="20"/>
      <c r="CD111" s="20"/>
      <c r="CE111" s="20"/>
      <c r="CF111" s="20"/>
      <c r="CG111" s="20"/>
      <c r="CH111" s="20"/>
      <c r="CI111" s="20"/>
      <c r="CJ111" s="20"/>
      <c r="CK111" s="20"/>
      <c r="CL111" s="20"/>
      <c r="CM111" s="20"/>
      <c r="CN111" s="20"/>
      <c r="CO111" s="20"/>
      <c r="CP111" s="20"/>
      <c r="CQ111" s="20"/>
      <c r="CR111" s="20"/>
      <c r="CS111" s="20"/>
      <c r="CT111" s="20"/>
      <c r="CU111" s="20"/>
      <c r="CV111" s="20"/>
      <c r="CW111" s="20"/>
      <c r="CX111" s="20"/>
      <c r="CY111" s="20"/>
      <c r="CZ111" s="20"/>
      <c r="DA111" s="20"/>
      <c r="DB111" s="20"/>
      <c r="DC111" s="20"/>
      <c r="DD111" s="20"/>
      <c r="DE111" s="20"/>
      <c r="DF111" s="20"/>
      <c r="DG111" s="20"/>
      <c r="DH111" s="20"/>
      <c r="DI111" s="20"/>
      <c r="DJ111" s="20"/>
      <c r="DK111" s="20"/>
      <c r="DL111" s="20"/>
      <c r="DM111" s="20"/>
      <c r="DN111" s="20"/>
      <c r="DO111" s="20"/>
      <c r="DP111" s="20"/>
      <c r="DQ111" s="20"/>
      <c r="DR111" s="20"/>
      <c r="DS111" s="20"/>
      <c r="DT111" s="20"/>
      <c r="DU111" s="20"/>
      <c r="DV111" s="20"/>
      <c r="DW111" s="20"/>
      <c r="DX111" s="20"/>
      <c r="DY111" s="20"/>
      <c r="DZ111" s="20"/>
      <c r="EA111" s="20"/>
      <c r="EB111" s="20"/>
      <c r="EC111" s="20"/>
      <c r="ED111" s="20"/>
      <c r="EE111" s="20"/>
      <c r="EF111" s="20"/>
      <c r="EG111" s="20"/>
      <c r="EH111" s="20"/>
      <c r="EI111" s="20"/>
    </row>
    <row r="112" spans="1:139" ht="15.75" thickBot="1" x14ac:dyDescent="0.3">
      <c r="A112" s="169"/>
      <c r="B112" s="205"/>
      <c r="C112" s="206"/>
      <c r="D112" s="206"/>
      <c r="E112" s="169"/>
      <c r="F112" s="191" t="s">
        <v>191</v>
      </c>
      <c r="G112" s="187">
        <f>+Q21</f>
        <v>1340.9327846735976</v>
      </c>
      <c r="H112" s="193" t="s">
        <v>190</v>
      </c>
      <c r="I112" s="326"/>
      <c r="J112" s="43"/>
      <c r="K112" s="20"/>
      <c r="L112" s="20"/>
      <c r="M112" s="20"/>
      <c r="N112" s="169"/>
      <c r="O112" s="169"/>
      <c r="P112" s="169"/>
      <c r="Q112" s="42"/>
      <c r="R112" s="20"/>
      <c r="S112" s="20"/>
      <c r="T112" s="20"/>
      <c r="U112" s="20"/>
      <c r="W112" s="20"/>
      <c r="X112" s="515"/>
      <c r="Y112" s="515"/>
      <c r="Z112" s="515"/>
      <c r="AA112" s="515"/>
      <c r="AB112" s="515"/>
      <c r="AC112" s="515"/>
      <c r="AD112" s="515"/>
      <c r="AE112" s="515"/>
      <c r="AF112" s="515"/>
      <c r="AG112" s="515"/>
      <c r="AH112" s="515"/>
      <c r="AI112" s="515"/>
      <c r="AJ112" s="515"/>
      <c r="AK112" s="515"/>
      <c r="AL112" s="20"/>
      <c r="AM112" s="20"/>
      <c r="AN112" s="20"/>
      <c r="AO112" s="20"/>
      <c r="AP112" s="20"/>
      <c r="AQ112" s="20"/>
      <c r="AR112" s="20"/>
      <c r="AS112" s="20"/>
      <c r="AT112" s="20"/>
      <c r="AU112" s="20"/>
      <c r="AV112" s="20"/>
      <c r="AW112" s="20"/>
      <c r="AX112" s="20"/>
      <c r="AY112" s="20"/>
      <c r="AZ112" s="20"/>
      <c r="BA112" s="20"/>
      <c r="BB112" s="20"/>
      <c r="BC112" s="20"/>
      <c r="BD112" s="20"/>
      <c r="BE112" s="20"/>
      <c r="BF112" s="20"/>
      <c r="BG112" s="20"/>
      <c r="BH112" s="20"/>
      <c r="BI112" s="20"/>
      <c r="BJ112" s="20"/>
      <c r="BK112" s="20"/>
      <c r="BL112" s="20"/>
      <c r="BM112" s="20"/>
      <c r="BN112" s="20"/>
      <c r="BO112" s="20"/>
      <c r="BP112" s="20"/>
      <c r="BQ112" s="20"/>
      <c r="BR112" s="20"/>
      <c r="BS112" s="20"/>
      <c r="BT112" s="20"/>
      <c r="BU112" s="20"/>
      <c r="BV112" s="20"/>
      <c r="BW112" s="20"/>
      <c r="BX112" s="20"/>
      <c r="BY112" s="20"/>
      <c r="BZ112" s="20"/>
      <c r="CA112" s="20"/>
      <c r="CB112" s="20"/>
      <c r="CC112" s="20"/>
      <c r="CD112" s="20"/>
      <c r="CE112" s="20"/>
      <c r="CF112" s="20"/>
      <c r="CG112" s="20"/>
      <c r="CH112" s="20"/>
      <c r="CI112" s="20"/>
      <c r="CJ112" s="20"/>
      <c r="CK112" s="20"/>
      <c r="CL112" s="20"/>
      <c r="CM112" s="20"/>
      <c r="CN112" s="20"/>
      <c r="CO112" s="20"/>
      <c r="CP112" s="20"/>
      <c r="CQ112" s="20"/>
      <c r="CR112" s="20"/>
      <c r="CS112" s="20"/>
      <c r="CT112" s="20"/>
      <c r="CU112" s="20"/>
      <c r="CV112" s="20"/>
      <c r="CW112" s="20"/>
      <c r="CX112" s="20"/>
      <c r="CY112" s="20"/>
      <c r="CZ112" s="20"/>
      <c r="DA112" s="20"/>
      <c r="DB112" s="20"/>
      <c r="DC112" s="20"/>
      <c r="DD112" s="20"/>
      <c r="DE112" s="20"/>
      <c r="DF112" s="20"/>
      <c r="DG112" s="20"/>
      <c r="DH112" s="20"/>
      <c r="DI112" s="20"/>
      <c r="DJ112" s="20"/>
      <c r="DK112" s="20"/>
      <c r="DL112" s="20"/>
      <c r="DM112" s="20"/>
      <c r="DN112" s="20"/>
      <c r="DO112" s="20"/>
      <c r="DP112" s="20"/>
      <c r="DQ112" s="20"/>
      <c r="DR112" s="20"/>
      <c r="DS112" s="20"/>
      <c r="DT112" s="20"/>
      <c r="DU112" s="20"/>
      <c r="DV112" s="20"/>
      <c r="DW112" s="20"/>
      <c r="DX112" s="20"/>
      <c r="DY112" s="20"/>
      <c r="DZ112" s="20"/>
      <c r="EA112" s="20"/>
      <c r="EB112" s="20"/>
      <c r="EC112" s="20"/>
      <c r="ED112" s="20"/>
      <c r="EE112" s="20"/>
      <c r="EF112" s="20"/>
      <c r="EG112" s="20"/>
      <c r="EH112" s="20"/>
      <c r="EI112" s="20"/>
    </row>
    <row r="113" spans="1:139" ht="15.75" thickBot="1" x14ac:dyDescent="0.3">
      <c r="A113" s="169"/>
      <c r="B113" s="207" t="s">
        <v>271</v>
      </c>
      <c r="C113" s="208" t="s">
        <v>313</v>
      </c>
      <c r="D113" s="209">
        <f>+K110*0.141</f>
        <v>182.14989894186232</v>
      </c>
      <c r="E113" s="831" t="s">
        <v>578</v>
      </c>
      <c r="F113" s="832"/>
      <c r="G113" s="200">
        <v>53.326999999999998</v>
      </c>
      <c r="H113" s="831" t="s">
        <v>579</v>
      </c>
      <c r="I113" s="832"/>
      <c r="J113" s="605">
        <f>+G113+SUM(E66:L66)</f>
        <v>146.82499999999999</v>
      </c>
      <c r="K113" s="169"/>
      <c r="L113" s="169"/>
      <c r="M113" s="169"/>
      <c r="N113" s="169"/>
      <c r="O113" s="169"/>
      <c r="P113" s="169"/>
      <c r="Q113" s="42"/>
      <c r="R113" s="20"/>
      <c r="S113" s="20"/>
      <c r="T113" s="20"/>
      <c r="U113" s="20"/>
      <c r="W113" s="20"/>
      <c r="X113" s="515"/>
      <c r="Y113" s="515"/>
      <c r="Z113" s="515"/>
      <c r="AA113" s="515"/>
      <c r="AB113" s="515"/>
      <c r="AC113" s="515"/>
      <c r="AD113" s="515"/>
      <c r="AE113" s="515"/>
      <c r="AF113" s="515"/>
      <c r="AG113" s="515"/>
      <c r="AH113" s="515"/>
      <c r="AI113" s="515"/>
      <c r="AJ113" s="515"/>
      <c r="AK113" s="515"/>
      <c r="AL113" s="20"/>
      <c r="AM113" s="20"/>
      <c r="AN113" s="20"/>
      <c r="AO113" s="20"/>
      <c r="AP113" s="20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  <c r="BA113" s="20"/>
      <c r="BB113" s="20"/>
      <c r="BC113" s="20"/>
      <c r="BD113" s="20"/>
      <c r="BE113" s="20"/>
      <c r="BF113" s="20"/>
      <c r="BG113" s="20"/>
      <c r="BH113" s="20"/>
      <c r="BI113" s="20"/>
      <c r="BJ113" s="20"/>
      <c r="BK113" s="20"/>
      <c r="BL113" s="20"/>
      <c r="BM113" s="20"/>
      <c r="BN113" s="20"/>
      <c r="BO113" s="20"/>
      <c r="BP113" s="20"/>
      <c r="BQ113" s="20"/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B113" s="20"/>
      <c r="CC113" s="20"/>
      <c r="CD113" s="20"/>
      <c r="CE113" s="20"/>
      <c r="CF113" s="20"/>
      <c r="CG113" s="20"/>
      <c r="CH113" s="20"/>
      <c r="CI113" s="20"/>
      <c r="CJ113" s="20"/>
      <c r="CK113" s="20"/>
      <c r="CL113" s="20"/>
      <c r="CM113" s="20"/>
      <c r="CN113" s="20"/>
      <c r="CO113" s="20"/>
      <c r="CP113" s="20"/>
      <c r="CQ113" s="20"/>
      <c r="CR113" s="20"/>
      <c r="CS113" s="20"/>
      <c r="CT113" s="20"/>
      <c r="CU113" s="20"/>
      <c r="CV113" s="20"/>
      <c r="CW113" s="20"/>
      <c r="CX113" s="20"/>
      <c r="CY113" s="20"/>
      <c r="CZ113" s="20"/>
      <c r="DA113" s="20"/>
      <c r="DB113" s="20"/>
      <c r="DC113" s="20"/>
      <c r="DD113" s="20"/>
      <c r="DE113" s="20"/>
      <c r="DF113" s="20"/>
      <c r="DG113" s="20"/>
      <c r="DH113" s="20"/>
      <c r="DI113" s="20"/>
      <c r="DJ113" s="20"/>
      <c r="DK113" s="20"/>
      <c r="DL113" s="20"/>
      <c r="DM113" s="20"/>
      <c r="DN113" s="20"/>
      <c r="DO113" s="20"/>
      <c r="DP113" s="20"/>
      <c r="DQ113" s="20"/>
      <c r="DR113" s="20"/>
      <c r="DS113" s="20"/>
      <c r="DT113" s="20"/>
      <c r="DU113" s="20"/>
      <c r="DV113" s="20"/>
      <c r="DW113" s="20"/>
      <c r="DX113" s="20"/>
      <c r="DY113" s="20"/>
      <c r="DZ113" s="20"/>
      <c r="EA113" s="20"/>
      <c r="EB113" s="20"/>
      <c r="EC113" s="20"/>
      <c r="ED113" s="20"/>
      <c r="EE113" s="20"/>
      <c r="EF113" s="20"/>
      <c r="EG113" s="20"/>
      <c r="EH113" s="20"/>
      <c r="EI113" s="20"/>
    </row>
    <row r="114" spans="1:139" ht="15.75" thickBot="1" x14ac:dyDescent="0.3">
      <c r="A114" s="169"/>
      <c r="B114" s="210" t="s">
        <v>305</v>
      </c>
      <c r="C114" s="211" t="s">
        <v>306</v>
      </c>
      <c r="D114" s="606" t="s">
        <v>190</v>
      </c>
      <c r="E114" s="607">
        <v>101.4431345179968</v>
      </c>
      <c r="F114" s="39">
        <v>68.432881239487344</v>
      </c>
      <c r="G114" s="39">
        <v>24.057563096719278</v>
      </c>
      <c r="H114" s="39">
        <v>23.351149115379513</v>
      </c>
      <c r="I114" s="39">
        <v>366.1066482738413</v>
      </c>
      <c r="J114" s="39">
        <v>200.78726233741048</v>
      </c>
      <c r="K114" s="39">
        <v>170.62197805290538</v>
      </c>
      <c r="L114" s="608">
        <v>30.205444719587298</v>
      </c>
      <c r="M114" s="20"/>
      <c r="N114" s="20"/>
      <c r="O114" s="803" t="s">
        <v>364</v>
      </c>
      <c r="P114" s="804"/>
      <c r="Q114" s="261">
        <f>+(P118-P117)*1000000</f>
        <v>64150289.641232051</v>
      </c>
      <c r="R114" s="20"/>
      <c r="S114" s="20"/>
      <c r="T114" s="20"/>
      <c r="U114" s="20"/>
      <c r="W114" s="20"/>
      <c r="X114" s="515"/>
      <c r="Y114" s="515"/>
      <c r="Z114" s="515"/>
      <c r="AA114" s="515"/>
      <c r="AB114" s="515"/>
      <c r="AC114" s="515"/>
      <c r="AD114" s="515"/>
      <c r="AE114" s="515"/>
      <c r="AF114" s="515"/>
      <c r="AG114" s="515"/>
      <c r="AH114" s="515"/>
      <c r="AI114" s="515"/>
      <c r="AJ114" s="515"/>
      <c r="AK114" s="515"/>
      <c r="AL114" s="20"/>
      <c r="AM114" s="20"/>
      <c r="AN114" s="20"/>
      <c r="AO114" s="20"/>
      <c r="AP114" s="20"/>
      <c r="AQ114" s="20"/>
      <c r="AR114" s="20"/>
      <c r="AS114" s="20"/>
      <c r="AT114" s="20"/>
      <c r="AU114" s="20"/>
      <c r="AV114" s="20"/>
      <c r="AW114" s="20"/>
      <c r="AX114" s="20"/>
      <c r="AY114" s="20"/>
      <c r="AZ114" s="20"/>
      <c r="BA114" s="20"/>
      <c r="BB114" s="20"/>
      <c r="BC114" s="20"/>
      <c r="BD114" s="20"/>
      <c r="BE114" s="20"/>
      <c r="BF114" s="20"/>
      <c r="BG114" s="20"/>
      <c r="BH114" s="20"/>
      <c r="BI114" s="20"/>
      <c r="BJ114" s="20"/>
      <c r="BK114" s="20"/>
      <c r="BL114" s="20"/>
      <c r="BM114" s="20"/>
      <c r="BN114" s="20"/>
      <c r="BO114" s="20"/>
      <c r="BP114" s="20"/>
      <c r="BQ114" s="20"/>
      <c r="BR114" s="20"/>
      <c r="BS114" s="20"/>
      <c r="BT114" s="20"/>
      <c r="BU114" s="20"/>
      <c r="BV114" s="20"/>
      <c r="BW114" s="20"/>
      <c r="BX114" s="20"/>
      <c r="BY114" s="20"/>
      <c r="BZ114" s="20"/>
      <c r="CA114" s="20"/>
      <c r="CB114" s="20"/>
      <c r="CC114" s="20"/>
      <c r="CD114" s="20"/>
      <c r="CE114" s="20"/>
      <c r="CF114" s="20"/>
      <c r="CG114" s="20"/>
      <c r="CH114" s="20"/>
      <c r="CI114" s="20"/>
      <c r="CJ114" s="20"/>
      <c r="CK114" s="20"/>
      <c r="CL114" s="20"/>
      <c r="CM114" s="20"/>
      <c r="CN114" s="20"/>
      <c r="CO114" s="20"/>
      <c r="CP114" s="20"/>
      <c r="CQ114" s="20"/>
      <c r="CR114" s="20"/>
      <c r="CS114" s="20"/>
      <c r="CT114" s="20"/>
      <c r="CU114" s="20"/>
      <c r="CV114" s="20"/>
      <c r="CW114" s="20"/>
      <c r="CX114" s="20"/>
      <c r="CY114" s="20"/>
      <c r="CZ114" s="20"/>
      <c r="DA114" s="20"/>
      <c r="DB114" s="20"/>
      <c r="DC114" s="20"/>
      <c r="DD114" s="20"/>
      <c r="DE114" s="20"/>
      <c r="DF114" s="20"/>
      <c r="DG114" s="20"/>
      <c r="DH114" s="20"/>
      <c r="DI114" s="20"/>
      <c r="DJ114" s="20"/>
      <c r="DK114" s="20"/>
      <c r="DL114" s="20"/>
      <c r="DM114" s="20"/>
      <c r="DN114" s="20"/>
      <c r="DO114" s="20"/>
      <c r="DP114" s="20"/>
      <c r="DQ114" s="20"/>
      <c r="DR114" s="20"/>
      <c r="DS114" s="20"/>
      <c r="DT114" s="20"/>
      <c r="DU114" s="20"/>
      <c r="DV114" s="20"/>
      <c r="DW114" s="20"/>
      <c r="DX114" s="20"/>
      <c r="DY114" s="20"/>
      <c r="DZ114" s="20"/>
      <c r="EA114" s="20"/>
      <c r="EB114" s="20"/>
      <c r="EC114" s="20"/>
      <c r="ED114" s="20"/>
      <c r="EE114" s="20"/>
      <c r="EF114" s="20"/>
      <c r="EG114" s="20"/>
      <c r="EH114" s="20"/>
      <c r="EI114" s="20"/>
    </row>
    <row r="115" spans="1:139" ht="15.75" thickBot="1" x14ac:dyDescent="0.3">
      <c r="A115" s="169"/>
      <c r="B115" s="525"/>
      <c r="C115" s="525"/>
      <c r="D115" s="525"/>
      <c r="E115" s="525"/>
      <c r="F115" s="525"/>
      <c r="G115" s="525"/>
      <c r="H115" s="525"/>
      <c r="I115" s="525"/>
      <c r="J115" s="525"/>
      <c r="K115" s="525"/>
      <c r="L115" s="525"/>
      <c r="M115" s="20"/>
      <c r="N115" s="20"/>
      <c r="O115" s="262" t="s">
        <v>356</v>
      </c>
      <c r="P115" s="263">
        <f>+L119</f>
        <v>155.99311213913754</v>
      </c>
      <c r="Q115" s="264" t="s">
        <v>133</v>
      </c>
      <c r="R115" s="20"/>
      <c r="S115" s="20"/>
      <c r="T115" s="20"/>
      <c r="U115" s="20"/>
      <c r="W115" s="20"/>
      <c r="X115" s="515"/>
      <c r="Y115" s="515"/>
      <c r="Z115" s="515"/>
      <c r="AA115" s="515"/>
      <c r="AB115" s="515"/>
      <c r="AC115" s="515"/>
      <c r="AD115" s="515"/>
      <c r="AE115" s="515"/>
      <c r="AF115" s="515"/>
      <c r="AG115" s="515"/>
      <c r="AH115" s="515"/>
      <c r="AI115" s="515"/>
      <c r="AJ115" s="515"/>
      <c r="AK115" s="515"/>
      <c r="AL115" s="20"/>
      <c r="AM115" s="20"/>
      <c r="AN115" s="20"/>
      <c r="AO115" s="20"/>
      <c r="AP115" s="20"/>
      <c r="AQ115" s="20"/>
      <c r="AR115" s="20"/>
      <c r="AS115" s="20"/>
      <c r="AT115" s="20"/>
      <c r="AU115" s="20"/>
      <c r="AV115" s="20"/>
      <c r="AW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I115" s="20"/>
      <c r="BJ115" s="20"/>
      <c r="BK115" s="20"/>
      <c r="BL115" s="20"/>
      <c r="BM115" s="20"/>
      <c r="BN115" s="20"/>
      <c r="BO115" s="20"/>
      <c r="BP115" s="20"/>
      <c r="BQ115" s="20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/>
      <c r="CC115" s="20"/>
      <c r="CD115" s="20"/>
      <c r="CE115" s="20"/>
      <c r="CF115" s="20"/>
      <c r="CG115" s="20"/>
      <c r="CH115" s="20"/>
      <c r="CI115" s="20"/>
      <c r="CJ115" s="20"/>
      <c r="CK115" s="20"/>
      <c r="CL115" s="20"/>
      <c r="CM115" s="20"/>
      <c r="CN115" s="20"/>
      <c r="CO115" s="20"/>
      <c r="CP115" s="20"/>
      <c r="CQ115" s="20"/>
      <c r="CR115" s="20"/>
      <c r="CS115" s="20"/>
      <c r="CT115" s="20"/>
      <c r="CU115" s="20"/>
      <c r="CV115" s="20"/>
      <c r="CW115" s="20"/>
      <c r="CX115" s="20"/>
      <c r="CY115" s="20"/>
      <c r="CZ115" s="20"/>
      <c r="DA115" s="20"/>
      <c r="DB115" s="20"/>
      <c r="DC115" s="20"/>
      <c r="DD115" s="20"/>
      <c r="DE115" s="20"/>
      <c r="DF115" s="20"/>
      <c r="DG115" s="20"/>
      <c r="DH115" s="20"/>
      <c r="DI115" s="20"/>
      <c r="DJ115" s="20"/>
      <c r="DK115" s="20"/>
      <c r="DL115" s="20"/>
      <c r="DM115" s="20"/>
      <c r="DN115" s="20"/>
      <c r="DO115" s="20"/>
      <c r="DP115" s="20"/>
      <c r="DQ115" s="20"/>
      <c r="DR115" s="20"/>
      <c r="DS115" s="20"/>
      <c r="DT115" s="20"/>
      <c r="DU115" s="20"/>
      <c r="DV115" s="20"/>
      <c r="DW115" s="20"/>
      <c r="DX115" s="20"/>
      <c r="DY115" s="20"/>
      <c r="DZ115" s="20"/>
      <c r="EA115" s="20"/>
      <c r="EB115" s="20"/>
      <c r="EC115" s="20"/>
      <c r="ED115" s="20"/>
      <c r="EE115" s="20"/>
      <c r="EF115" s="20"/>
      <c r="EG115" s="20"/>
      <c r="EH115" s="20"/>
      <c r="EI115" s="20"/>
    </row>
    <row r="116" spans="1:139" x14ac:dyDescent="0.25">
      <c r="A116" s="169"/>
      <c r="B116" s="170" t="s">
        <v>303</v>
      </c>
      <c r="C116" s="201" t="s">
        <v>307</v>
      </c>
      <c r="D116" s="526" t="s">
        <v>190</v>
      </c>
      <c r="E116" s="529">
        <f>+K110-(P111/1000)</f>
        <v>1262.5359258472572</v>
      </c>
      <c r="F116" s="151">
        <f>E117</f>
        <v>1143.5235294950041</v>
      </c>
      <c r="G116" s="92">
        <f t="shared" ref="G116:H116" si="35">F117</f>
        <v>1064.8049011952273</v>
      </c>
      <c r="H116" s="92">
        <f t="shared" si="35"/>
        <v>1033.4526579978565</v>
      </c>
      <c r="I116" s="92">
        <f>+H117</f>
        <v>1001.8118741150361</v>
      </c>
      <c r="J116" s="92">
        <f>+I117</f>
        <v>618.33942107097039</v>
      </c>
      <c r="K116" s="92">
        <f t="shared" ref="K116" si="36">J117</f>
        <v>395.77977169845218</v>
      </c>
      <c r="L116" s="93">
        <f t="shared" ref="L116" si="37">K117</f>
        <v>205.3777971277259</v>
      </c>
      <c r="M116" s="20"/>
      <c r="N116" s="20"/>
      <c r="O116" s="262" t="s">
        <v>357</v>
      </c>
      <c r="P116" s="263">
        <v>200</v>
      </c>
      <c r="Q116" s="264" t="s">
        <v>133</v>
      </c>
      <c r="R116" s="20"/>
      <c r="S116" s="20"/>
      <c r="T116" s="20"/>
      <c r="U116" s="20"/>
      <c r="W116" s="20"/>
      <c r="X116" s="515"/>
      <c r="Y116" s="515"/>
      <c r="Z116" s="515"/>
      <c r="AA116" s="515"/>
      <c r="AB116" s="515"/>
      <c r="AC116" s="515"/>
      <c r="AD116" s="515"/>
      <c r="AE116" s="515"/>
      <c r="AF116" s="515"/>
      <c r="AG116" s="515"/>
      <c r="AH116" s="515"/>
      <c r="AI116" s="515"/>
      <c r="AJ116" s="515"/>
      <c r="AK116" s="515"/>
      <c r="AL116" s="20"/>
      <c r="AM116" s="20"/>
      <c r="AN116" s="20"/>
      <c r="AO116" s="20"/>
      <c r="AP116" s="20"/>
      <c r="AQ116" s="20"/>
      <c r="AR116" s="20"/>
      <c r="AS116" s="20"/>
      <c r="AT116" s="20"/>
      <c r="AU116" s="20"/>
      <c r="AV116" s="20"/>
      <c r="AW116" s="20"/>
      <c r="AX116" s="20"/>
      <c r="AY116" s="20"/>
      <c r="AZ116" s="20"/>
      <c r="BA116" s="20"/>
      <c r="BB116" s="20"/>
      <c r="BC116" s="20"/>
      <c r="BD116" s="20"/>
      <c r="BE116" s="20"/>
      <c r="BF116" s="20"/>
      <c r="BG116" s="20"/>
      <c r="BH116" s="20"/>
      <c r="BI116" s="20"/>
      <c r="BJ116" s="20"/>
      <c r="BK116" s="20"/>
      <c r="BL116" s="20"/>
      <c r="BM116" s="20"/>
      <c r="BN116" s="20"/>
      <c r="BO116" s="20"/>
      <c r="BP116" s="20"/>
      <c r="BQ116" s="20"/>
      <c r="BR116" s="20"/>
      <c r="BS116" s="20"/>
      <c r="BT116" s="20"/>
      <c r="BU116" s="20"/>
      <c r="BV116" s="20"/>
      <c r="BW116" s="20"/>
      <c r="BX116" s="20"/>
      <c r="BY116" s="20"/>
      <c r="BZ116" s="20"/>
      <c r="CA116" s="20"/>
      <c r="CB116" s="20"/>
      <c r="CC116" s="20"/>
      <c r="CD116" s="20"/>
      <c r="CE116" s="20"/>
      <c r="CF116" s="20"/>
      <c r="CG116" s="20"/>
      <c r="CH116" s="20"/>
      <c r="CI116" s="20"/>
      <c r="CJ116" s="20"/>
      <c r="CK116" s="20"/>
      <c r="CL116" s="20"/>
      <c r="CM116" s="20"/>
      <c r="CN116" s="20"/>
      <c r="CO116" s="20"/>
      <c r="CP116" s="20"/>
      <c r="CQ116" s="20"/>
      <c r="CR116" s="20"/>
      <c r="CS116" s="20"/>
      <c r="CT116" s="20"/>
      <c r="CU116" s="20"/>
      <c r="CV116" s="20"/>
      <c r="CW116" s="20"/>
      <c r="CX116" s="20"/>
      <c r="CY116" s="20"/>
      <c r="CZ116" s="20"/>
      <c r="DA116" s="20"/>
      <c r="DB116" s="20"/>
      <c r="DC116" s="20"/>
      <c r="DD116" s="20"/>
      <c r="DE116" s="20"/>
      <c r="DF116" s="20"/>
      <c r="DG116" s="20"/>
      <c r="DH116" s="20"/>
      <c r="DI116" s="20"/>
      <c r="DJ116" s="20"/>
      <c r="DK116" s="20"/>
      <c r="DL116" s="20"/>
      <c r="DM116" s="20"/>
      <c r="DN116" s="20"/>
      <c r="DO116" s="20"/>
      <c r="DP116" s="20"/>
      <c r="DQ116" s="20"/>
      <c r="DR116" s="20"/>
      <c r="DS116" s="20"/>
      <c r="DT116" s="20"/>
      <c r="DU116" s="20"/>
      <c r="DV116" s="20"/>
      <c r="DW116" s="20"/>
      <c r="DX116" s="20"/>
      <c r="DY116" s="20"/>
      <c r="DZ116" s="20"/>
      <c r="EA116" s="20"/>
      <c r="EB116" s="20"/>
      <c r="EC116" s="20"/>
      <c r="ED116" s="20"/>
      <c r="EE116" s="20"/>
      <c r="EF116" s="20"/>
      <c r="EG116" s="20"/>
      <c r="EH116" s="20"/>
      <c r="EI116" s="20"/>
    </row>
    <row r="117" spans="1:139" x14ac:dyDescent="0.25">
      <c r="A117" s="169"/>
      <c r="B117" s="183" t="s">
        <v>304</v>
      </c>
      <c r="C117" s="216" t="s">
        <v>308</v>
      </c>
      <c r="D117" s="527" t="s">
        <v>190</v>
      </c>
      <c r="E117" s="221">
        <f>E116-E122-E114</f>
        <v>1143.5235294950041</v>
      </c>
      <c r="F117" s="219">
        <f>+E117-F122-F114</f>
        <v>1064.8049011952273</v>
      </c>
      <c r="G117" s="218">
        <f>+F117-G122-G114</f>
        <v>1033.4526579978565</v>
      </c>
      <c r="H117" s="218">
        <f>+G117-H122-H114</f>
        <v>1001.8118741150361</v>
      </c>
      <c r="I117" s="218">
        <f>+H117-I122-I114</f>
        <v>618.33942107097039</v>
      </c>
      <c r="J117" s="218">
        <f t="shared" ref="J117:L117" si="38">+I117-J122-J114</f>
        <v>395.77977169845218</v>
      </c>
      <c r="K117" s="218">
        <f t="shared" si="38"/>
        <v>205.3777971277259</v>
      </c>
      <c r="L117" s="220">
        <f t="shared" si="38"/>
        <v>161.53700734244811</v>
      </c>
      <c r="M117" s="20"/>
      <c r="N117" s="20"/>
      <c r="O117" s="265" t="s">
        <v>359</v>
      </c>
      <c r="P117" s="263">
        <f>+DH_KJKmol(P116,P115,G104/1000,G103/1000,G108/1000,G107/1000,G106/1000)/3600</f>
        <v>-55.32520989890196</v>
      </c>
      <c r="Q117" s="266" t="s">
        <v>358</v>
      </c>
      <c r="R117" s="20"/>
      <c r="S117" s="20"/>
      <c r="T117" s="20"/>
      <c r="U117" s="20"/>
      <c r="W117" s="20"/>
      <c r="X117" s="515"/>
      <c r="Y117" s="515"/>
      <c r="Z117" s="515"/>
      <c r="AA117" s="515"/>
      <c r="AB117" s="515"/>
      <c r="AC117" s="515"/>
      <c r="AD117" s="515"/>
      <c r="AE117" s="515"/>
      <c r="AF117" s="515"/>
      <c r="AG117" s="515"/>
      <c r="AH117" s="515"/>
      <c r="AI117" s="515"/>
      <c r="AJ117" s="515"/>
      <c r="AK117" s="515"/>
      <c r="AL117" s="20"/>
      <c r="AM117" s="20"/>
      <c r="AN117" s="20"/>
      <c r="AO117" s="20"/>
      <c r="AP117" s="20"/>
      <c r="AQ117" s="20"/>
      <c r="AR117" s="20"/>
      <c r="AS117" s="20"/>
      <c r="AT117" s="20"/>
      <c r="AU117" s="20"/>
      <c r="AV117" s="20"/>
      <c r="AW117" s="20"/>
      <c r="AX117" s="20"/>
      <c r="AY117" s="20"/>
      <c r="AZ117" s="20"/>
      <c r="BA117" s="20"/>
      <c r="BB117" s="20"/>
      <c r="BC117" s="20"/>
      <c r="BD117" s="20"/>
      <c r="BE117" s="20"/>
      <c r="BF117" s="20"/>
      <c r="BG117" s="20"/>
      <c r="BH117" s="20"/>
      <c r="BI117" s="20"/>
      <c r="BJ117" s="20"/>
      <c r="BK117" s="20"/>
      <c r="BL117" s="20"/>
      <c r="BM117" s="20"/>
      <c r="BN117" s="20"/>
      <c r="BO117" s="20"/>
      <c r="BP117" s="20"/>
      <c r="BQ117" s="20"/>
      <c r="BR117" s="20"/>
      <c r="BS117" s="20"/>
      <c r="BT117" s="20"/>
      <c r="BU117" s="20"/>
      <c r="BV117" s="20"/>
      <c r="BW117" s="20"/>
      <c r="BX117" s="20"/>
      <c r="BY117" s="20"/>
      <c r="BZ117" s="20"/>
      <c r="CA117" s="20"/>
      <c r="CB117" s="20"/>
      <c r="CC117" s="20"/>
      <c r="CD117" s="20"/>
      <c r="CE117" s="20"/>
      <c r="CF117" s="20"/>
      <c r="CG117" s="20"/>
      <c r="CH117" s="20"/>
      <c r="CI117" s="20"/>
      <c r="CJ117" s="20"/>
      <c r="CK117" s="20"/>
      <c r="CL117" s="20"/>
      <c r="CM117" s="20"/>
      <c r="CN117" s="20"/>
      <c r="CO117" s="20"/>
      <c r="CP117" s="20"/>
      <c r="CQ117" s="20"/>
      <c r="CR117" s="20"/>
      <c r="CS117" s="20"/>
      <c r="CT117" s="20"/>
      <c r="CU117" s="20"/>
      <c r="CV117" s="20"/>
      <c r="CW117" s="20"/>
      <c r="CX117" s="20"/>
      <c r="CY117" s="20"/>
      <c r="CZ117" s="20"/>
      <c r="DA117" s="20"/>
      <c r="DB117" s="20"/>
      <c r="DC117" s="20"/>
      <c r="DD117" s="20"/>
      <c r="DE117" s="20"/>
      <c r="DF117" s="20"/>
      <c r="DG117" s="20"/>
      <c r="DH117" s="20"/>
      <c r="DI117" s="20"/>
      <c r="DJ117" s="20"/>
      <c r="DK117" s="20"/>
      <c r="DL117" s="20"/>
      <c r="DM117" s="20"/>
      <c r="DN117" s="20"/>
      <c r="DO117" s="20"/>
      <c r="DP117" s="20"/>
      <c r="DQ117" s="20"/>
      <c r="DR117" s="20"/>
      <c r="DS117" s="20"/>
      <c r="DT117" s="20"/>
      <c r="DU117" s="20"/>
      <c r="DV117" s="20"/>
      <c r="DW117" s="20"/>
      <c r="DX117" s="20"/>
      <c r="DY117" s="20"/>
      <c r="DZ117" s="20"/>
      <c r="EA117" s="20"/>
      <c r="EB117" s="20"/>
      <c r="EC117" s="20"/>
      <c r="ED117" s="20"/>
      <c r="EE117" s="20"/>
      <c r="EF117" s="20"/>
      <c r="EG117" s="20"/>
      <c r="EH117" s="20"/>
      <c r="EI117" s="20"/>
    </row>
    <row r="118" spans="1:139" x14ac:dyDescent="0.25">
      <c r="A118" s="169"/>
      <c r="B118" s="221" t="s">
        <v>300</v>
      </c>
      <c r="C118" s="216" t="s">
        <v>309</v>
      </c>
      <c r="D118" s="527" t="s">
        <v>133</v>
      </c>
      <c r="E118" s="221">
        <f t="shared" ref="E118:H119" si="39">Tcalculada(E116,$K$98,$K$102,$K$101,$K$105,$K$104,$K$103)</f>
        <v>952.16069977988741</v>
      </c>
      <c r="F118" s="219">
        <f t="shared" si="39"/>
        <v>872.45582991620449</v>
      </c>
      <c r="G118" s="218">
        <f t="shared" si="39"/>
        <v>819.12550699059909</v>
      </c>
      <c r="H118" s="218">
        <f t="shared" si="39"/>
        <v>797.74000228353043</v>
      </c>
      <c r="I118" s="218">
        <f t="shared" ref="I118:L119" si="40">Tcalculada(I116,$K$98,$K$102,$K$101,$K$105,$K$104,$K$103)</f>
        <v>776.07027153089666</v>
      </c>
      <c r="J118" s="218">
        <f t="shared" si="40"/>
        <v>505.18000223363674</v>
      </c>
      <c r="K118" s="218">
        <f t="shared" si="40"/>
        <v>339.07460872652962</v>
      </c>
      <c r="L118" s="220">
        <f t="shared" si="40"/>
        <v>190.90281392354049</v>
      </c>
      <c r="M118" s="20"/>
      <c r="N118" s="20"/>
      <c r="O118" s="267" t="s">
        <v>360</v>
      </c>
      <c r="P118" s="263">
        <f>25/1000*22.09*(P115-P116)/LN((P115-153)/(P116-153))</f>
        <v>8.8250797423300895</v>
      </c>
      <c r="Q118" s="266" t="s">
        <v>19</v>
      </c>
      <c r="R118" s="20"/>
      <c r="S118" s="20"/>
      <c r="T118" s="20"/>
      <c r="U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/>
      <c r="AN118" s="20"/>
      <c r="AO118" s="20"/>
      <c r="AP118" s="20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  <c r="BA118" s="20"/>
      <c r="BB118" s="20"/>
      <c r="BC118" s="20"/>
      <c r="BD118" s="20"/>
      <c r="BE118" s="20"/>
      <c r="BF118" s="20"/>
      <c r="BG118" s="20"/>
      <c r="BH118" s="20"/>
      <c r="BI118" s="20"/>
      <c r="BJ118" s="20"/>
      <c r="BK118" s="20"/>
      <c r="BL118" s="20"/>
      <c r="BM118" s="20"/>
      <c r="BN118" s="20"/>
      <c r="BO118" s="20"/>
      <c r="BP118" s="20"/>
      <c r="BQ118" s="20"/>
      <c r="BR118" s="20"/>
      <c r="BS118" s="20"/>
      <c r="BT118" s="20"/>
      <c r="BU118" s="20"/>
      <c r="BV118" s="20"/>
      <c r="BW118" s="20"/>
      <c r="BX118" s="20"/>
      <c r="BY118" s="20"/>
      <c r="BZ118" s="20"/>
      <c r="CA118" s="20"/>
      <c r="CB118" s="20"/>
      <c r="CC118" s="20"/>
      <c r="CD118" s="20"/>
      <c r="CE118" s="20"/>
      <c r="CF118" s="20"/>
      <c r="CG118" s="20"/>
      <c r="CH118" s="20"/>
      <c r="CI118" s="20"/>
      <c r="CJ118" s="20"/>
      <c r="CK118" s="20"/>
      <c r="CL118" s="20"/>
      <c r="CM118" s="20"/>
      <c r="CN118" s="20"/>
      <c r="CO118" s="20"/>
      <c r="CP118" s="20"/>
      <c r="CQ118" s="20"/>
      <c r="CR118" s="20"/>
      <c r="CS118" s="20"/>
      <c r="CT118" s="20"/>
      <c r="CU118" s="20"/>
      <c r="CV118" s="20"/>
      <c r="CW118" s="20"/>
      <c r="CX118" s="20"/>
      <c r="CY118" s="20"/>
      <c r="CZ118" s="20"/>
      <c r="DA118" s="20"/>
      <c r="DB118" s="20"/>
      <c r="DC118" s="20"/>
      <c r="DD118" s="20"/>
      <c r="DE118" s="20"/>
      <c r="DF118" s="20"/>
      <c r="DG118" s="20"/>
      <c r="DH118" s="20"/>
      <c r="DI118" s="20"/>
      <c r="DJ118" s="20"/>
      <c r="DK118" s="20"/>
      <c r="DL118" s="20"/>
      <c r="DM118" s="20"/>
      <c r="DN118" s="20"/>
      <c r="DO118" s="20"/>
      <c r="DP118" s="20"/>
      <c r="DQ118" s="20"/>
      <c r="DR118" s="20"/>
      <c r="DS118" s="20"/>
      <c r="DT118" s="20"/>
      <c r="DU118" s="20"/>
      <c r="DV118" s="20"/>
      <c r="DW118" s="20"/>
      <c r="DX118" s="20"/>
      <c r="DY118" s="20"/>
      <c r="DZ118" s="20"/>
      <c r="EA118" s="20"/>
      <c r="EB118" s="20"/>
      <c r="EC118" s="20"/>
      <c r="ED118" s="20"/>
      <c r="EE118" s="20"/>
      <c r="EF118" s="20"/>
      <c r="EG118" s="20"/>
      <c r="EH118" s="20"/>
      <c r="EI118" s="20"/>
    </row>
    <row r="119" spans="1:139" x14ac:dyDescent="0.25">
      <c r="A119" s="169"/>
      <c r="B119" s="183" t="s">
        <v>301</v>
      </c>
      <c r="C119" s="216" t="s">
        <v>310</v>
      </c>
      <c r="D119" s="527" t="s">
        <v>133</v>
      </c>
      <c r="E119" s="221">
        <f t="shared" si="39"/>
        <v>872.45582991620449</v>
      </c>
      <c r="F119" s="219">
        <f t="shared" si="39"/>
        <v>819.12550699059909</v>
      </c>
      <c r="G119" s="218">
        <f t="shared" si="39"/>
        <v>797.74000228353043</v>
      </c>
      <c r="H119" s="218">
        <f t="shared" si="39"/>
        <v>776.07027153089666</v>
      </c>
      <c r="I119" s="218">
        <f t="shared" si="40"/>
        <v>505.18000223363674</v>
      </c>
      <c r="J119" s="218">
        <f t="shared" si="40"/>
        <v>339.07460872652962</v>
      </c>
      <c r="K119" s="218">
        <f t="shared" si="40"/>
        <v>190.90281392354049</v>
      </c>
      <c r="L119" s="220">
        <f t="shared" si="40"/>
        <v>155.99311213913754</v>
      </c>
      <c r="M119" s="20"/>
      <c r="N119" s="20"/>
      <c r="O119" s="268" t="s">
        <v>361</v>
      </c>
      <c r="P119" s="263">
        <f>+P121/P120</f>
        <v>1.8084445226379258</v>
      </c>
      <c r="Q119" s="264" t="s">
        <v>38</v>
      </c>
      <c r="R119" s="20"/>
      <c r="S119" s="20"/>
      <c r="T119" s="20"/>
      <c r="U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/>
      <c r="AN119" s="20"/>
      <c r="AO119" s="20"/>
      <c r="AP119" s="20"/>
      <c r="AQ119" s="20"/>
      <c r="AR119" s="20"/>
      <c r="AS119" s="20"/>
      <c r="AT119" s="20"/>
      <c r="AU119" s="20"/>
      <c r="AV119" s="20"/>
      <c r="AW119" s="20"/>
      <c r="AX119" s="20"/>
      <c r="AY119" s="20"/>
      <c r="AZ119" s="20"/>
      <c r="BA119" s="20"/>
      <c r="BB119" s="20"/>
      <c r="BC119" s="20"/>
      <c r="BD119" s="20"/>
      <c r="BE119" s="20"/>
      <c r="BF119" s="20"/>
      <c r="BG119" s="20"/>
      <c r="BH119" s="20"/>
      <c r="BI119" s="20"/>
      <c r="BJ119" s="20"/>
      <c r="BK119" s="20"/>
      <c r="BL119" s="20"/>
      <c r="BM119" s="20"/>
      <c r="BN119" s="20"/>
      <c r="BO119" s="20"/>
      <c r="BP119" s="20"/>
      <c r="BQ119" s="20"/>
      <c r="BR119" s="20"/>
      <c r="BS119" s="20"/>
      <c r="BT119" s="20"/>
      <c r="BU119" s="20"/>
      <c r="BV119" s="20"/>
      <c r="BW119" s="20"/>
      <c r="BX119" s="20"/>
      <c r="BY119" s="20"/>
      <c r="BZ119" s="20"/>
      <c r="CA119" s="20"/>
      <c r="CB119" s="20"/>
      <c r="CC119" s="20"/>
      <c r="CD119" s="20"/>
      <c r="CE119" s="20"/>
      <c r="CF119" s="20"/>
      <c r="CG119" s="20"/>
      <c r="CH119" s="20"/>
      <c r="CI119" s="20"/>
      <c r="CJ119" s="20"/>
      <c r="CK119" s="20"/>
      <c r="CL119" s="20"/>
      <c r="CM119" s="20"/>
      <c r="CN119" s="20"/>
      <c r="CO119" s="20"/>
      <c r="CP119" s="20"/>
      <c r="CQ119" s="20"/>
      <c r="CR119" s="20"/>
      <c r="CS119" s="20"/>
      <c r="CT119" s="20"/>
      <c r="CU119" s="20"/>
      <c r="CV119" s="20"/>
      <c r="CW119" s="20"/>
      <c r="CX119" s="20"/>
      <c r="CY119" s="20"/>
      <c r="CZ119" s="20"/>
      <c r="DA119" s="20"/>
      <c r="DB119" s="20"/>
      <c r="DC119" s="20"/>
      <c r="DD119" s="20"/>
      <c r="DE119" s="20"/>
      <c r="DF119" s="20"/>
      <c r="DG119" s="20"/>
      <c r="DH119" s="20"/>
      <c r="DI119" s="20"/>
      <c r="DJ119" s="20"/>
      <c r="DK119" s="20"/>
      <c r="DL119" s="20"/>
      <c r="DM119" s="20"/>
      <c r="DN119" s="20"/>
      <c r="DO119" s="20"/>
      <c r="DP119" s="20"/>
      <c r="DQ119" s="20"/>
      <c r="DR119" s="20"/>
      <c r="DS119" s="20"/>
      <c r="DT119" s="20"/>
      <c r="DU119" s="20"/>
      <c r="DV119" s="20"/>
      <c r="DW119" s="20"/>
      <c r="DX119" s="20"/>
      <c r="DY119" s="20"/>
      <c r="DZ119" s="20"/>
      <c r="EA119" s="20"/>
      <c r="EB119" s="20"/>
      <c r="EC119" s="20"/>
      <c r="ED119" s="20"/>
      <c r="EE119" s="20"/>
      <c r="EF119" s="20"/>
      <c r="EG119" s="20"/>
      <c r="EH119" s="20"/>
      <c r="EI119" s="20"/>
    </row>
    <row r="120" spans="1:139" x14ac:dyDescent="0.25">
      <c r="A120" s="169"/>
      <c r="B120" s="183" t="s">
        <v>302</v>
      </c>
      <c r="C120" s="216" t="s">
        <v>195</v>
      </c>
      <c r="D120" s="527" t="s">
        <v>133</v>
      </c>
      <c r="E120" s="221">
        <f>+AVERAGE(E118:E119)</f>
        <v>912.30826484804595</v>
      </c>
      <c r="F120" s="219">
        <f t="shared" ref="F120:H120" si="41">+AVERAGE(F118:F119)</f>
        <v>845.79066845340185</v>
      </c>
      <c r="G120" s="218">
        <f t="shared" si="41"/>
        <v>808.43275463706482</v>
      </c>
      <c r="H120" s="218">
        <f t="shared" si="41"/>
        <v>786.90513690721355</v>
      </c>
      <c r="I120" s="218">
        <f>+AVERAGE(I118:I119)</f>
        <v>640.6251368822667</v>
      </c>
      <c r="J120" s="218">
        <f>+AVERAGE(J118:J119)</f>
        <v>422.12730548008318</v>
      </c>
      <c r="K120" s="218">
        <f t="shared" ref="K120:L120" si="42">+AVERAGE(K118:K119)</f>
        <v>264.98871132503507</v>
      </c>
      <c r="L120" s="220">
        <f t="shared" si="42"/>
        <v>173.44796303133901</v>
      </c>
      <c r="M120" s="20"/>
      <c r="N120" s="20"/>
      <c r="O120" s="268" t="s">
        <v>363</v>
      </c>
      <c r="P120" s="263">
        <v>3.6599462819533444</v>
      </c>
      <c r="Q120" s="264" t="s">
        <v>44</v>
      </c>
      <c r="R120" s="20"/>
      <c r="S120" s="20"/>
      <c r="T120" s="20"/>
      <c r="U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/>
      <c r="AN120" s="20"/>
      <c r="AO120" s="20"/>
      <c r="AP120" s="2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  <c r="BB120" s="20"/>
      <c r="BC120" s="20"/>
      <c r="BD120" s="20"/>
      <c r="BE120" s="20"/>
      <c r="BF120" s="20"/>
      <c r="BG120" s="20"/>
      <c r="BH120" s="20"/>
      <c r="BI120" s="20"/>
      <c r="BJ120" s="20"/>
      <c r="BK120" s="20"/>
      <c r="BL120" s="20"/>
      <c r="BM120" s="20"/>
      <c r="BN120" s="20"/>
      <c r="BO120" s="20"/>
      <c r="BP120" s="20"/>
      <c r="BQ120" s="20"/>
      <c r="BR120" s="20"/>
      <c r="BS120" s="20"/>
      <c r="BT120" s="20"/>
      <c r="BU120" s="20"/>
      <c r="BV120" s="20"/>
      <c r="BW120" s="20"/>
      <c r="BX120" s="20"/>
      <c r="BY120" s="20"/>
      <c r="BZ120" s="20"/>
      <c r="CA120" s="20"/>
      <c r="CB120" s="20"/>
      <c r="CC120" s="20"/>
      <c r="CD120" s="20"/>
      <c r="CE120" s="20"/>
      <c r="CF120" s="20"/>
      <c r="CG120" s="20"/>
      <c r="CH120" s="20"/>
      <c r="CI120" s="20"/>
      <c r="CJ120" s="20"/>
      <c r="CK120" s="20"/>
      <c r="CL120" s="20"/>
      <c r="CM120" s="20"/>
      <c r="CN120" s="20"/>
      <c r="CO120" s="20"/>
      <c r="CP120" s="20"/>
      <c r="CQ120" s="20"/>
      <c r="CR120" s="20"/>
      <c r="CS120" s="20"/>
      <c r="CT120" s="20"/>
      <c r="CU120" s="20"/>
      <c r="CV120" s="20"/>
      <c r="CW120" s="20"/>
      <c r="CX120" s="20"/>
      <c r="CY120" s="20"/>
      <c r="CZ120" s="20"/>
      <c r="DA120" s="20"/>
      <c r="DB120" s="20"/>
      <c r="DC120" s="20"/>
      <c r="DD120" s="20"/>
      <c r="DE120" s="20"/>
      <c r="DF120" s="20"/>
      <c r="DG120" s="20"/>
      <c r="DH120" s="20"/>
      <c r="DI120" s="20"/>
      <c r="DJ120" s="20"/>
      <c r="DK120" s="20"/>
      <c r="DL120" s="20"/>
      <c r="DM120" s="20"/>
      <c r="DN120" s="20"/>
      <c r="DO120" s="20"/>
      <c r="DP120" s="20"/>
      <c r="DQ120" s="20"/>
      <c r="DR120" s="20"/>
      <c r="DS120" s="20"/>
      <c r="DT120" s="20"/>
      <c r="DU120" s="20"/>
      <c r="DV120" s="20"/>
      <c r="DW120" s="20"/>
      <c r="DX120" s="20"/>
      <c r="DY120" s="20"/>
      <c r="DZ120" s="20"/>
      <c r="EA120" s="20"/>
      <c r="EB120" s="20"/>
      <c r="EC120" s="20"/>
      <c r="ED120" s="20"/>
      <c r="EE120" s="20"/>
      <c r="EF120" s="20"/>
      <c r="EG120" s="20"/>
      <c r="EH120" s="20"/>
      <c r="EI120" s="20"/>
    </row>
    <row r="121" spans="1:139" x14ac:dyDescent="0.25">
      <c r="A121" s="169"/>
      <c r="B121" s="221" t="s">
        <v>298</v>
      </c>
      <c r="C121" s="216" t="s">
        <v>311</v>
      </c>
      <c r="D121" s="527" t="s">
        <v>190</v>
      </c>
      <c r="E121" s="221">
        <f>3.33*(E66+E67)*(E120-$D$19)/1000</f>
        <v>41.844978623770828</v>
      </c>
      <c r="F121" s="218">
        <f t="shared" ref="F121:H121" si="43">3.33*(F66+F67)*(F120-$D$19)/1000</f>
        <v>22.661234189050024</v>
      </c>
      <c r="G121" s="218">
        <f t="shared" si="43"/>
        <v>15.339926708895584</v>
      </c>
      <c r="H121" s="218">
        <f t="shared" si="43"/>
        <v>16.953196915630624</v>
      </c>
      <c r="I121" s="218">
        <f>3.33*(I66+I67)*(I120-$D$19)/1000</f>
        <v>28.696343818039637</v>
      </c>
      <c r="J121" s="218">
        <f>3.33*(J66+J67)*(J120-$D$19)/1000</f>
        <v>23.208715423214283</v>
      </c>
      <c r="K121" s="218">
        <f>3.33*(K66+K67)*(K120-$D$19)/1000</f>
        <v>12.741845444509975</v>
      </c>
      <c r="L121" s="220">
        <f>3.33*(L66+L67)*(L120-$D$19)/1000</f>
        <v>5.4331999003858984</v>
      </c>
      <c r="M121" s="20"/>
      <c r="N121" s="20"/>
      <c r="O121" s="267" t="s">
        <v>362</v>
      </c>
      <c r="P121" s="263">
        <f>+P118*0.75</f>
        <v>6.6188098067475671</v>
      </c>
      <c r="Q121" s="264" t="s">
        <v>190</v>
      </c>
      <c r="R121" s="20"/>
      <c r="S121" s="20"/>
      <c r="T121" s="20"/>
      <c r="U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/>
      <c r="AN121" s="20"/>
      <c r="AO121" s="20"/>
      <c r="AP121" s="20"/>
      <c r="AQ121" s="20"/>
      <c r="AR121" s="20"/>
      <c r="AS121" s="20"/>
      <c r="AT121" s="20"/>
      <c r="AU121" s="20"/>
      <c r="AV121" s="20"/>
      <c r="AW121" s="20"/>
      <c r="AX121" s="20"/>
      <c r="AY121" s="20"/>
      <c r="AZ121" s="20"/>
      <c r="BA121" s="20"/>
      <c r="BB121" s="20"/>
      <c r="BC121" s="20"/>
      <c r="BD121" s="20"/>
      <c r="BE121" s="20"/>
      <c r="BF121" s="20"/>
      <c r="BG121" s="20"/>
      <c r="BH121" s="20"/>
      <c r="BI121" s="20"/>
      <c r="BJ121" s="20"/>
      <c r="BK121" s="20"/>
      <c r="BL121" s="20"/>
      <c r="BM121" s="20"/>
      <c r="BN121" s="20"/>
      <c r="BO121" s="20"/>
      <c r="BP121" s="20"/>
      <c r="BQ121" s="20"/>
      <c r="BR121" s="20"/>
      <c r="BS121" s="20"/>
      <c r="BT121" s="20"/>
      <c r="BU121" s="20"/>
      <c r="BV121" s="20"/>
      <c r="BW121" s="20"/>
      <c r="BX121" s="20"/>
      <c r="BY121" s="20"/>
      <c r="BZ121" s="20"/>
      <c r="CA121" s="20"/>
      <c r="CB121" s="20"/>
      <c r="CC121" s="20"/>
      <c r="CD121" s="20"/>
      <c r="CE121" s="20"/>
      <c r="CF121" s="20"/>
      <c r="CG121" s="20"/>
      <c r="CH121" s="20"/>
      <c r="CI121" s="20"/>
      <c r="CJ121" s="20"/>
      <c r="CK121" s="20"/>
      <c r="CL121" s="20"/>
      <c r="CM121" s="20"/>
      <c r="CN121" s="20"/>
      <c r="CO121" s="20"/>
      <c r="CP121" s="20"/>
      <c r="CQ121" s="20"/>
      <c r="CR121" s="20"/>
      <c r="CS121" s="20"/>
      <c r="CT121" s="20"/>
      <c r="CU121" s="20"/>
      <c r="CV121" s="20"/>
      <c r="CW121" s="20"/>
      <c r="CX121" s="20"/>
      <c r="CY121" s="20"/>
      <c r="CZ121" s="20"/>
      <c r="DA121" s="20"/>
      <c r="DB121" s="20"/>
      <c r="DC121" s="20"/>
      <c r="DD121" s="20"/>
      <c r="DE121" s="20"/>
      <c r="DF121" s="20"/>
      <c r="DG121" s="20"/>
      <c r="DH121" s="20"/>
      <c r="DI121" s="20"/>
      <c r="DJ121" s="20"/>
      <c r="DK121" s="20"/>
      <c r="DL121" s="20"/>
      <c r="DM121" s="20"/>
      <c r="DN121" s="20"/>
      <c r="DO121" s="20"/>
      <c r="DP121" s="20"/>
      <c r="DQ121" s="20"/>
      <c r="DR121" s="20"/>
      <c r="DS121" s="20"/>
      <c r="DT121" s="20"/>
      <c r="DU121" s="20"/>
      <c r="DV121" s="20"/>
      <c r="DW121" s="20"/>
      <c r="DX121" s="20"/>
      <c r="DY121" s="20"/>
      <c r="DZ121" s="20"/>
      <c r="EA121" s="20"/>
      <c r="EB121" s="20"/>
      <c r="EC121" s="20"/>
      <c r="ED121" s="20"/>
      <c r="EE121" s="20"/>
      <c r="EF121" s="20"/>
      <c r="EG121" s="20"/>
      <c r="EH121" s="20"/>
      <c r="EI121" s="20"/>
    </row>
    <row r="122" spans="1:139" ht="15.75" thickBot="1" x14ac:dyDescent="0.3">
      <c r="A122" s="169"/>
      <c r="B122" s="222" t="s">
        <v>299</v>
      </c>
      <c r="C122" s="223" t="s">
        <v>312</v>
      </c>
      <c r="D122" s="528" t="s">
        <v>190</v>
      </c>
      <c r="E122" s="222">
        <f>$D$113*(E66/$J$113)</f>
        <v>17.569261834256114</v>
      </c>
      <c r="F122" s="223">
        <f t="shared" ref="F122:H122" si="44">$D$113*(F66/$J$113)</f>
        <v>10.285747060289328</v>
      </c>
      <c r="G122" s="223">
        <f t="shared" si="44"/>
        <v>7.2946801006514592</v>
      </c>
      <c r="H122" s="223">
        <f t="shared" si="44"/>
        <v>8.2896347674409956</v>
      </c>
      <c r="I122" s="223">
        <f>$D$113*(I66/$J$113)</f>
        <v>17.36580477022434</v>
      </c>
      <c r="J122" s="223">
        <f>$D$113*(J66/$J$113)</f>
        <v>21.772387035107673</v>
      </c>
      <c r="K122" s="223">
        <f>$D$113*(K66/$J$113)</f>
        <v>19.779996517820894</v>
      </c>
      <c r="L122" s="224">
        <f>$D$113*(L66/$J$113)</f>
        <v>13.635345065690508</v>
      </c>
      <c r="M122" s="20"/>
      <c r="N122" s="20"/>
      <c r="O122" s="269" t="s">
        <v>365</v>
      </c>
      <c r="P122" s="270">
        <f>+(P121+K180)/Q21</f>
        <v>2.2310089909460182E-2</v>
      </c>
      <c r="Q122" s="271" t="s">
        <v>6</v>
      </c>
      <c r="R122" s="20"/>
      <c r="S122" s="20"/>
      <c r="T122" s="20"/>
      <c r="U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/>
      <c r="AN122" s="20"/>
      <c r="AO122" s="20"/>
      <c r="AP122" s="20"/>
      <c r="AQ122" s="20"/>
      <c r="AR122" s="20"/>
      <c r="AS122" s="20"/>
      <c r="AT122" s="20"/>
      <c r="AU122" s="20"/>
      <c r="AV122" s="20"/>
      <c r="AW122" s="20"/>
      <c r="AX122" s="20"/>
      <c r="AY122" s="20"/>
      <c r="AZ122" s="20"/>
      <c r="BA122" s="20"/>
      <c r="BB122" s="20"/>
      <c r="BC122" s="20"/>
      <c r="BD122" s="20"/>
      <c r="BE122" s="20"/>
      <c r="BF122" s="20"/>
      <c r="BG122" s="20"/>
      <c r="BH122" s="20"/>
      <c r="BI122" s="20"/>
      <c r="BJ122" s="20"/>
      <c r="BK122" s="20"/>
      <c r="BL122" s="20"/>
      <c r="BM122" s="20"/>
      <c r="BN122" s="20"/>
      <c r="BO122" s="20"/>
      <c r="BP122" s="20"/>
      <c r="BQ122" s="20"/>
      <c r="BR122" s="20"/>
      <c r="BS122" s="20"/>
      <c r="BT122" s="20"/>
      <c r="BU122" s="20"/>
      <c r="BV122" s="20"/>
      <c r="BW122" s="20"/>
      <c r="BX122" s="20"/>
      <c r="BY122" s="20"/>
      <c r="BZ122" s="20"/>
      <c r="CA122" s="20"/>
      <c r="CB122" s="20"/>
      <c r="CC122" s="20"/>
      <c r="CD122" s="20"/>
      <c r="CE122" s="20"/>
      <c r="CF122" s="20"/>
      <c r="CG122" s="20"/>
      <c r="CH122" s="20"/>
      <c r="CI122" s="20"/>
      <c r="CJ122" s="20"/>
      <c r="CK122" s="20"/>
      <c r="CL122" s="20"/>
      <c r="CM122" s="20"/>
      <c r="CN122" s="20"/>
      <c r="CO122" s="20"/>
      <c r="CP122" s="20"/>
      <c r="CQ122" s="20"/>
      <c r="CR122" s="20"/>
      <c r="CS122" s="20"/>
      <c r="CT122" s="20"/>
      <c r="CU122" s="20"/>
      <c r="CV122" s="20"/>
      <c r="CW122" s="20"/>
      <c r="CX122" s="20"/>
      <c r="CY122" s="20"/>
      <c r="CZ122" s="20"/>
      <c r="DA122" s="20"/>
      <c r="DB122" s="20"/>
      <c r="DC122" s="20"/>
      <c r="DD122" s="20"/>
      <c r="DE122" s="20"/>
      <c r="DF122" s="20"/>
      <c r="DG122" s="20"/>
      <c r="DH122" s="20"/>
      <c r="DI122" s="20"/>
      <c r="DJ122" s="20"/>
      <c r="DK122" s="20"/>
      <c r="DL122" s="20"/>
      <c r="DM122" s="20"/>
      <c r="DN122" s="20"/>
      <c r="DO122" s="20"/>
      <c r="DP122" s="20"/>
      <c r="DQ122" s="20"/>
      <c r="DR122" s="20"/>
      <c r="DS122" s="20"/>
      <c r="DT122" s="20"/>
      <c r="DU122" s="20"/>
      <c r="DV122" s="20"/>
      <c r="DW122" s="20"/>
      <c r="DX122" s="20"/>
      <c r="DY122" s="20"/>
      <c r="DZ122" s="20"/>
      <c r="EA122" s="20"/>
      <c r="EB122" s="20"/>
      <c r="EC122" s="20"/>
      <c r="ED122" s="20"/>
      <c r="EE122" s="20"/>
      <c r="EF122" s="20"/>
      <c r="EG122" s="20"/>
      <c r="EH122" s="20"/>
      <c r="EI122" s="20"/>
    </row>
    <row r="123" spans="1:139" ht="15.75" thickBot="1" x14ac:dyDescent="0.3">
      <c r="A123" s="169"/>
      <c r="B123" s="214"/>
      <c r="C123" s="214"/>
      <c r="D123" s="259"/>
      <c r="E123" s="260"/>
      <c r="F123" s="260"/>
      <c r="G123" s="260"/>
      <c r="H123" s="260"/>
      <c r="I123" s="260"/>
      <c r="J123" s="190"/>
      <c r="K123" s="169"/>
      <c r="L123" s="169"/>
      <c r="M123" s="169"/>
      <c r="N123" s="169"/>
      <c r="O123" s="169"/>
      <c r="P123" s="169"/>
      <c r="R123" s="20"/>
      <c r="S123" s="20"/>
      <c r="T123" s="20"/>
      <c r="U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/>
      <c r="AN123" s="20"/>
      <c r="AO123" s="20"/>
      <c r="AP123" s="20"/>
      <c r="AQ123" s="20"/>
      <c r="AR123" s="20"/>
      <c r="AS123" s="20"/>
      <c r="AT123" s="20"/>
      <c r="AU123" s="20"/>
      <c r="AV123" s="20"/>
      <c r="AW123" s="20"/>
      <c r="AX123" s="20"/>
      <c r="AY123" s="20"/>
      <c r="AZ123" s="20"/>
      <c r="BA123" s="20"/>
      <c r="BB123" s="20"/>
      <c r="BC123" s="20"/>
      <c r="BD123" s="20"/>
      <c r="BE123" s="20"/>
      <c r="BF123" s="20"/>
      <c r="BG123" s="20"/>
      <c r="BH123" s="20"/>
      <c r="BI123" s="20"/>
      <c r="BJ123" s="20"/>
      <c r="BK123" s="20"/>
      <c r="BL123" s="20"/>
      <c r="BM123" s="20"/>
      <c r="BN123" s="20"/>
      <c r="BO123" s="20"/>
      <c r="BP123" s="20"/>
      <c r="BQ123" s="20"/>
      <c r="BR123" s="20"/>
      <c r="BS123" s="20"/>
      <c r="BT123" s="20"/>
      <c r="BU123" s="20"/>
      <c r="BV123" s="20"/>
      <c r="BW123" s="20"/>
      <c r="BX123" s="20"/>
      <c r="BY123" s="20"/>
      <c r="BZ123" s="20"/>
      <c r="CA123" s="20"/>
      <c r="CB123" s="20"/>
      <c r="CC123" s="20"/>
      <c r="CD123" s="20"/>
      <c r="CE123" s="20"/>
      <c r="CF123" s="20"/>
      <c r="CG123" s="20"/>
      <c r="CH123" s="20"/>
      <c r="CI123" s="20"/>
      <c r="CJ123" s="20"/>
      <c r="CK123" s="20"/>
      <c r="CL123" s="20"/>
      <c r="CM123" s="20"/>
      <c r="CN123" s="20"/>
      <c r="CO123" s="20"/>
      <c r="CP123" s="20"/>
      <c r="CQ123" s="20"/>
      <c r="CR123" s="20"/>
      <c r="CS123" s="20"/>
      <c r="CT123" s="20"/>
      <c r="CU123" s="20"/>
      <c r="CV123" s="20"/>
      <c r="CW123" s="20"/>
      <c r="CX123" s="20"/>
      <c r="CY123" s="20"/>
      <c r="CZ123" s="20"/>
      <c r="DA123" s="20"/>
      <c r="DB123" s="20"/>
      <c r="DC123" s="20"/>
      <c r="DD123" s="20"/>
      <c r="DE123" s="20"/>
      <c r="DF123" s="20"/>
      <c r="DG123" s="20"/>
      <c r="DH123" s="20"/>
      <c r="DI123" s="20"/>
      <c r="DJ123" s="20"/>
      <c r="DK123" s="20"/>
      <c r="DL123" s="20"/>
      <c r="DM123" s="20"/>
      <c r="DN123" s="20"/>
      <c r="DO123" s="20"/>
      <c r="DP123" s="20"/>
      <c r="DQ123" s="20"/>
      <c r="DR123" s="20"/>
      <c r="DS123" s="20"/>
      <c r="DT123" s="20"/>
      <c r="DU123" s="20"/>
      <c r="DV123" s="20"/>
      <c r="DW123" s="20"/>
      <c r="DX123" s="20"/>
      <c r="DY123" s="20"/>
      <c r="DZ123" s="20"/>
      <c r="EA123" s="20"/>
      <c r="EB123" s="20"/>
      <c r="EC123" s="20"/>
      <c r="ED123" s="20"/>
      <c r="EE123" s="20"/>
      <c r="EF123" s="20"/>
      <c r="EG123" s="20"/>
      <c r="EH123" s="20"/>
      <c r="EI123" s="20"/>
    </row>
    <row r="124" spans="1:139" ht="15.75" thickBot="1" x14ac:dyDescent="0.3">
      <c r="A124" s="664" t="s">
        <v>564</v>
      </c>
      <c r="B124" s="665"/>
      <c r="C124" s="665"/>
      <c r="D124" s="665"/>
      <c r="E124" s="665"/>
      <c r="F124" s="665"/>
      <c r="G124" s="665"/>
      <c r="H124" s="665"/>
      <c r="I124" s="665"/>
      <c r="J124" s="665"/>
      <c r="K124" s="665"/>
      <c r="L124" s="665"/>
      <c r="M124" s="665"/>
      <c r="N124" s="665"/>
      <c r="O124" s="665"/>
      <c r="P124" s="665"/>
      <c r="Q124" s="665"/>
      <c r="R124" s="665"/>
      <c r="S124" s="665"/>
      <c r="T124" s="665"/>
      <c r="U124" s="666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/>
      <c r="AN124" s="20"/>
      <c r="AO124" s="20"/>
      <c r="AP124" s="20"/>
      <c r="AQ124" s="20"/>
      <c r="AR124" s="20"/>
      <c r="AS124" s="20"/>
      <c r="AT124" s="20"/>
      <c r="AU124" s="20"/>
      <c r="AV124" s="20"/>
      <c r="AW124" s="20"/>
      <c r="AX124" s="20"/>
      <c r="AY124" s="20"/>
      <c r="AZ124" s="20"/>
      <c r="BA124" s="20"/>
      <c r="BB124" s="20"/>
      <c r="BC124" s="20"/>
      <c r="BD124" s="20"/>
      <c r="BE124" s="20"/>
      <c r="BF124" s="20"/>
      <c r="BG124" s="20"/>
      <c r="BH124" s="20"/>
      <c r="BI124" s="20"/>
      <c r="BJ124" s="20"/>
      <c r="BK124" s="20"/>
      <c r="BL124" s="20"/>
      <c r="BM124" s="20"/>
      <c r="BN124" s="20"/>
      <c r="BO124" s="20"/>
      <c r="BP124" s="20"/>
      <c r="BQ124" s="20"/>
      <c r="BR124" s="20"/>
      <c r="BS124" s="20"/>
      <c r="BT124" s="20"/>
      <c r="BU124" s="20"/>
      <c r="BV124" s="20"/>
      <c r="BW124" s="20"/>
      <c r="BX124" s="20"/>
      <c r="BY124" s="20"/>
      <c r="BZ124" s="20"/>
      <c r="CA124" s="20"/>
      <c r="CB124" s="20"/>
      <c r="CC124" s="20"/>
      <c r="CD124" s="20"/>
      <c r="CE124" s="20"/>
      <c r="CF124" s="20"/>
      <c r="CG124" s="20"/>
      <c r="CH124" s="20"/>
      <c r="CI124" s="20"/>
      <c r="CJ124" s="20"/>
      <c r="CK124" s="20"/>
      <c r="CL124" s="20"/>
      <c r="CM124" s="20"/>
      <c r="CN124" s="20"/>
      <c r="CO124" s="20"/>
      <c r="CP124" s="20"/>
      <c r="CQ124" s="20"/>
      <c r="CR124" s="20"/>
      <c r="CS124" s="20"/>
      <c r="CT124" s="20"/>
      <c r="CU124" s="20"/>
      <c r="CV124" s="20"/>
      <c r="CW124" s="20"/>
      <c r="CX124" s="20"/>
      <c r="CY124" s="20"/>
      <c r="CZ124" s="20"/>
      <c r="DA124" s="20"/>
      <c r="DB124" s="20"/>
      <c r="DC124" s="20"/>
      <c r="DD124" s="20"/>
      <c r="DE124" s="20"/>
      <c r="DF124" s="20"/>
      <c r="DG124" s="20"/>
      <c r="DH124" s="20"/>
      <c r="DI124" s="20"/>
      <c r="DJ124" s="20"/>
      <c r="DK124" s="20"/>
      <c r="DL124" s="20"/>
      <c r="DM124" s="20"/>
      <c r="DN124" s="20"/>
      <c r="DO124" s="20"/>
      <c r="DP124" s="20"/>
      <c r="DQ124" s="20"/>
      <c r="DR124" s="20"/>
      <c r="DS124" s="20"/>
      <c r="DT124" s="20"/>
      <c r="DU124" s="20"/>
      <c r="DV124" s="20"/>
      <c r="DW124" s="20"/>
      <c r="DX124" s="20"/>
      <c r="DY124" s="20"/>
      <c r="DZ124" s="20"/>
      <c r="EA124" s="20"/>
      <c r="EB124" s="20"/>
      <c r="EC124" s="20"/>
      <c r="ED124" s="20"/>
      <c r="EE124" s="20"/>
      <c r="EF124" s="20"/>
      <c r="EG124" s="20"/>
      <c r="EH124" s="20"/>
      <c r="EI124" s="20"/>
    </row>
    <row r="125" spans="1:139" ht="15.75" thickBot="1" x14ac:dyDescent="0.3">
      <c r="A125" s="20"/>
      <c r="B125" s="20"/>
      <c r="C125" s="20"/>
      <c r="D125" s="36"/>
      <c r="E125" s="20"/>
      <c r="F125" s="43"/>
      <c r="G125" s="20"/>
      <c r="H125" s="20"/>
      <c r="I125" s="20"/>
      <c r="J125" s="168"/>
      <c r="K125" s="20"/>
      <c r="L125" s="20"/>
      <c r="M125" s="20"/>
      <c r="N125" s="20"/>
      <c r="O125" s="20"/>
      <c r="P125" s="20"/>
      <c r="Q125" s="42"/>
      <c r="R125" s="20"/>
      <c r="S125" s="20"/>
      <c r="T125" s="20"/>
      <c r="U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/>
      <c r="AN125" s="20"/>
      <c r="AO125" s="20"/>
      <c r="AP125" s="20"/>
      <c r="AQ125" s="20"/>
      <c r="AR125" s="20"/>
      <c r="AS125" s="20"/>
      <c r="AT125" s="20"/>
      <c r="AU125" s="20"/>
      <c r="AV125" s="20"/>
      <c r="AW125" s="20"/>
      <c r="AX125" s="20"/>
      <c r="AY125" s="20"/>
      <c r="AZ125" s="20"/>
      <c r="BA125" s="20"/>
      <c r="BB125" s="20"/>
      <c r="BC125" s="20"/>
      <c r="BD125" s="20"/>
      <c r="BE125" s="20"/>
      <c r="BF125" s="20"/>
      <c r="BG125" s="20"/>
      <c r="BH125" s="20"/>
      <c r="BI125" s="20"/>
      <c r="BJ125" s="20"/>
      <c r="BK125" s="20"/>
      <c r="BL125" s="20"/>
      <c r="BM125" s="20"/>
      <c r="BN125" s="20"/>
      <c r="BO125" s="20"/>
      <c r="BP125" s="20"/>
      <c r="BQ125" s="20"/>
      <c r="BR125" s="20"/>
      <c r="BS125" s="20"/>
      <c r="BT125" s="20"/>
      <c r="BU125" s="20"/>
      <c r="BV125" s="20"/>
      <c r="BW125" s="20"/>
      <c r="BX125" s="20"/>
      <c r="BY125" s="20"/>
      <c r="BZ125" s="20"/>
      <c r="CA125" s="20"/>
      <c r="CB125" s="20"/>
      <c r="CC125" s="20"/>
      <c r="CD125" s="20"/>
      <c r="CE125" s="20"/>
      <c r="CF125" s="20"/>
      <c r="CG125" s="20"/>
      <c r="CH125" s="20"/>
      <c r="CI125" s="20"/>
      <c r="CJ125" s="20"/>
      <c r="CK125" s="20"/>
      <c r="CL125" s="20"/>
      <c r="CM125" s="20"/>
      <c r="CN125" s="20"/>
      <c r="CO125" s="20"/>
      <c r="CP125" s="20"/>
      <c r="CQ125" s="20"/>
      <c r="CR125" s="20"/>
      <c r="CS125" s="20"/>
      <c r="CT125" s="20"/>
      <c r="CU125" s="20"/>
      <c r="CV125" s="20"/>
      <c r="CW125" s="20"/>
      <c r="CX125" s="20"/>
      <c r="CY125" s="20"/>
      <c r="CZ125" s="20"/>
      <c r="DA125" s="20"/>
      <c r="DB125" s="20"/>
      <c r="DC125" s="20"/>
      <c r="DD125" s="20"/>
      <c r="DE125" s="20"/>
      <c r="DF125" s="20"/>
      <c r="DG125" s="20"/>
      <c r="DH125" s="20"/>
      <c r="DI125" s="20"/>
      <c r="DJ125" s="20"/>
      <c r="DK125" s="20"/>
      <c r="DL125" s="20"/>
      <c r="DM125" s="20"/>
      <c r="DN125" s="20"/>
      <c r="DO125" s="20"/>
      <c r="DP125" s="20"/>
      <c r="DQ125" s="20"/>
      <c r="DR125" s="20"/>
      <c r="DS125" s="20"/>
      <c r="DT125" s="20"/>
      <c r="DU125" s="20"/>
      <c r="DV125" s="20"/>
      <c r="DW125" s="20"/>
      <c r="DX125" s="20"/>
      <c r="DY125" s="20"/>
      <c r="DZ125" s="20"/>
      <c r="EA125" s="20"/>
      <c r="EB125" s="20"/>
      <c r="EC125" s="20"/>
      <c r="ED125" s="20"/>
      <c r="EE125" s="20"/>
      <c r="EF125" s="20"/>
      <c r="EG125" s="20"/>
      <c r="EH125" s="20"/>
      <c r="EI125" s="20"/>
    </row>
    <row r="126" spans="1:139" ht="15.75" thickBot="1" x14ac:dyDescent="0.3">
      <c r="A126" s="20"/>
      <c r="B126" s="811" t="s">
        <v>192</v>
      </c>
      <c r="C126" s="812"/>
      <c r="D126" s="812"/>
      <c r="E126" s="585">
        <f>+E45</f>
        <v>1</v>
      </c>
      <c r="F126" s="586">
        <f t="shared" ref="F126:L126" si="45">+F45</f>
        <v>2</v>
      </c>
      <c r="G126" s="586">
        <f t="shared" si="45"/>
        <v>3</v>
      </c>
      <c r="H126" s="586">
        <f t="shared" si="45"/>
        <v>4</v>
      </c>
      <c r="I126" s="586">
        <f t="shared" si="45"/>
        <v>5</v>
      </c>
      <c r="J126" s="586">
        <f t="shared" si="45"/>
        <v>6</v>
      </c>
      <c r="K126" s="586">
        <f t="shared" si="45"/>
        <v>7</v>
      </c>
      <c r="L126" s="587">
        <f t="shared" si="45"/>
        <v>8</v>
      </c>
      <c r="M126" s="20"/>
      <c r="N126" s="20"/>
      <c r="O126" s="20"/>
      <c r="P126" s="20"/>
      <c r="Q126" s="42"/>
      <c r="R126" s="20"/>
      <c r="S126" s="20"/>
      <c r="T126" s="20"/>
      <c r="U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/>
      <c r="AN126" s="20"/>
      <c r="AO126" s="20"/>
      <c r="AP126" s="20"/>
      <c r="AQ126" s="20"/>
      <c r="AR126" s="20"/>
      <c r="AS126" s="20"/>
      <c r="AT126" s="20"/>
      <c r="AU126" s="20"/>
      <c r="AV126" s="20"/>
      <c r="AW126" s="20"/>
      <c r="AX126" s="20"/>
      <c r="AY126" s="20"/>
      <c r="AZ126" s="20"/>
      <c r="BA126" s="20"/>
      <c r="BB126" s="20"/>
      <c r="BC126" s="20"/>
      <c r="BD126" s="20"/>
      <c r="BE126" s="20"/>
      <c r="BF126" s="20"/>
      <c r="BG126" s="20"/>
      <c r="BH126" s="20"/>
      <c r="BI126" s="20"/>
      <c r="BJ126" s="20"/>
      <c r="BK126" s="20"/>
      <c r="BL126" s="20"/>
      <c r="BM126" s="20"/>
      <c r="BN126" s="20"/>
      <c r="BO126" s="20"/>
      <c r="BP126" s="20"/>
      <c r="BQ126" s="20"/>
      <c r="BR126" s="20"/>
      <c r="BS126" s="20"/>
      <c r="BT126" s="20"/>
      <c r="BU126" s="20"/>
      <c r="BV126" s="20"/>
      <c r="BW126" s="20"/>
      <c r="BX126" s="20"/>
      <c r="BY126" s="20"/>
      <c r="BZ126" s="20"/>
      <c r="CA126" s="20"/>
      <c r="CB126" s="20"/>
      <c r="CC126" s="20"/>
      <c r="CD126" s="20"/>
      <c r="CE126" s="20"/>
      <c r="CF126" s="20"/>
      <c r="CG126" s="20"/>
      <c r="CH126" s="20"/>
      <c r="CI126" s="20"/>
      <c r="CJ126" s="20"/>
      <c r="CK126" s="20"/>
      <c r="CL126" s="20"/>
      <c r="CM126" s="20"/>
      <c r="CN126" s="20"/>
      <c r="CO126" s="20"/>
      <c r="CP126" s="20"/>
      <c r="CQ126" s="20"/>
      <c r="CR126" s="20"/>
      <c r="CS126" s="20"/>
      <c r="CT126" s="20"/>
      <c r="CU126" s="20"/>
      <c r="CV126" s="20"/>
      <c r="CW126" s="20"/>
      <c r="CX126" s="20"/>
      <c r="CY126" s="20"/>
      <c r="CZ126" s="20"/>
      <c r="DA126" s="20"/>
      <c r="DB126" s="20"/>
      <c r="DC126" s="20"/>
      <c r="DD126" s="20"/>
      <c r="DE126" s="20"/>
      <c r="DF126" s="20"/>
      <c r="DG126" s="20"/>
      <c r="DH126" s="20"/>
      <c r="DI126" s="20"/>
      <c r="DJ126" s="20"/>
      <c r="DK126" s="20"/>
      <c r="DL126" s="20"/>
      <c r="DM126" s="20"/>
      <c r="DN126" s="20"/>
      <c r="DO126" s="20"/>
      <c r="DP126" s="20"/>
      <c r="DQ126" s="20"/>
      <c r="DR126" s="20"/>
      <c r="DS126" s="20"/>
      <c r="DT126" s="20"/>
      <c r="DU126" s="20"/>
      <c r="DV126" s="20"/>
      <c r="DW126" s="20"/>
      <c r="DX126" s="20"/>
      <c r="DY126" s="20"/>
      <c r="DZ126" s="20"/>
      <c r="EA126" s="20"/>
      <c r="EB126" s="20"/>
      <c r="EC126" s="20"/>
      <c r="ED126" s="20"/>
      <c r="EE126" s="20"/>
      <c r="EF126" s="20"/>
      <c r="EG126" s="20"/>
      <c r="EH126" s="20"/>
      <c r="EI126" s="20"/>
    </row>
    <row r="127" spans="1:139" x14ac:dyDescent="0.25">
      <c r="A127" s="20"/>
      <c r="B127" s="94" t="s">
        <v>194</v>
      </c>
      <c r="C127" s="95" t="s">
        <v>195</v>
      </c>
      <c r="D127" s="96" t="s">
        <v>13</v>
      </c>
      <c r="E127" s="540">
        <f t="shared" ref="E127:L127" si="46">+E120</f>
        <v>912.30826484804595</v>
      </c>
      <c r="F127" s="531">
        <f t="shared" si="46"/>
        <v>845.79066845340185</v>
      </c>
      <c r="G127" s="530">
        <f t="shared" si="46"/>
        <v>808.43275463706482</v>
      </c>
      <c r="H127" s="530">
        <f t="shared" si="46"/>
        <v>786.90513690721355</v>
      </c>
      <c r="I127" s="530">
        <f t="shared" si="46"/>
        <v>640.6251368822667</v>
      </c>
      <c r="J127" s="530">
        <f t="shared" si="46"/>
        <v>422.12730548008318</v>
      </c>
      <c r="K127" s="530">
        <f t="shared" si="46"/>
        <v>264.98871132503507</v>
      </c>
      <c r="L127" s="541">
        <f t="shared" si="46"/>
        <v>173.44796303133901</v>
      </c>
      <c r="M127" s="20"/>
      <c r="N127" s="20"/>
      <c r="O127" s="20"/>
      <c r="P127" s="20"/>
      <c r="Q127" s="42"/>
      <c r="R127" s="20"/>
      <c r="S127" s="20"/>
      <c r="T127" s="20"/>
      <c r="U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  <c r="AQ127" s="20"/>
      <c r="AR127" s="20"/>
      <c r="AS127" s="20"/>
      <c r="AT127" s="20"/>
      <c r="AU127" s="20"/>
      <c r="AV127" s="20"/>
      <c r="AW127" s="20"/>
      <c r="AX127" s="20"/>
      <c r="AY127" s="20"/>
      <c r="AZ127" s="20"/>
      <c r="BA127" s="20"/>
      <c r="BB127" s="20"/>
      <c r="BC127" s="20"/>
      <c r="BD127" s="20"/>
      <c r="BE127" s="20"/>
      <c r="BF127" s="20"/>
      <c r="BG127" s="20"/>
      <c r="BH127" s="20"/>
      <c r="BI127" s="20"/>
      <c r="BJ127" s="20"/>
      <c r="BK127" s="20"/>
      <c r="BL127" s="20"/>
      <c r="BM127" s="20"/>
      <c r="BN127" s="20"/>
      <c r="BO127" s="20"/>
      <c r="BP127" s="20"/>
      <c r="BQ127" s="20"/>
      <c r="BR127" s="20"/>
      <c r="BS127" s="20"/>
      <c r="BT127" s="20"/>
      <c r="BU127" s="20"/>
      <c r="BV127" s="20"/>
      <c r="BW127" s="20"/>
      <c r="BX127" s="20"/>
      <c r="BY127" s="20"/>
      <c r="BZ127" s="20"/>
      <c r="CA127" s="20"/>
      <c r="CB127" s="20"/>
      <c r="CC127" s="20"/>
      <c r="CD127" s="20"/>
      <c r="CE127" s="20"/>
      <c r="CF127" s="20"/>
      <c r="CG127" s="20"/>
      <c r="CH127" s="20"/>
      <c r="CI127" s="20"/>
      <c r="CJ127" s="20"/>
      <c r="CK127" s="20"/>
      <c r="CL127" s="20"/>
      <c r="CM127" s="20"/>
      <c r="CN127" s="20"/>
      <c r="CO127" s="20"/>
      <c r="CP127" s="20"/>
      <c r="CQ127" s="20"/>
      <c r="CR127" s="20"/>
      <c r="CS127" s="20"/>
      <c r="CT127" s="20"/>
      <c r="CU127" s="20"/>
      <c r="CV127" s="20"/>
      <c r="CW127" s="20"/>
      <c r="CX127" s="20"/>
      <c r="CY127" s="20"/>
      <c r="CZ127" s="20"/>
      <c r="DA127" s="20"/>
      <c r="DB127" s="20"/>
      <c r="DC127" s="20"/>
      <c r="DD127" s="20"/>
      <c r="DE127" s="20"/>
      <c r="DF127" s="20"/>
      <c r="DG127" s="20"/>
      <c r="DH127" s="20"/>
      <c r="DI127" s="20"/>
      <c r="DJ127" s="20"/>
      <c r="DK127" s="20"/>
      <c r="DL127" s="20"/>
      <c r="DM127" s="20"/>
      <c r="DN127" s="20"/>
      <c r="DO127" s="20"/>
      <c r="DP127" s="20"/>
      <c r="DQ127" s="20"/>
      <c r="DR127" s="20"/>
      <c r="DS127" s="20"/>
      <c r="DT127" s="20"/>
      <c r="DU127" s="20"/>
      <c r="DV127" s="20"/>
      <c r="DW127" s="20"/>
      <c r="DX127" s="20"/>
      <c r="DY127" s="20"/>
      <c r="DZ127" s="20"/>
      <c r="EA127" s="20"/>
      <c r="EB127" s="20"/>
      <c r="EC127" s="20"/>
      <c r="ED127" s="20"/>
      <c r="EE127" s="20"/>
      <c r="EF127" s="20"/>
      <c r="EG127" s="20"/>
      <c r="EH127" s="20"/>
      <c r="EI127" s="20"/>
    </row>
    <row r="128" spans="1:139" x14ac:dyDescent="0.25">
      <c r="A128" s="24"/>
      <c r="B128" s="97" t="s">
        <v>196</v>
      </c>
      <c r="C128" s="98" t="s">
        <v>112</v>
      </c>
      <c r="D128" s="99" t="s">
        <v>197</v>
      </c>
      <c r="E128" s="34">
        <f>+D21/760</f>
        <v>0.88428170172353593</v>
      </c>
      <c r="F128" s="153">
        <f>E128</f>
        <v>0.88428170172353593</v>
      </c>
      <c r="G128" s="32">
        <f t="shared" ref="G128:H128" si="47">F128</f>
        <v>0.88428170172353593</v>
      </c>
      <c r="H128" s="32">
        <f t="shared" si="47"/>
        <v>0.88428170172353593</v>
      </c>
      <c r="I128" s="32">
        <f>G128</f>
        <v>0.88428170172353593</v>
      </c>
      <c r="J128" s="32">
        <f>H128</f>
        <v>0.88428170172353593</v>
      </c>
      <c r="K128" s="32">
        <f t="shared" ref="K128" si="48">J128</f>
        <v>0.88428170172353593</v>
      </c>
      <c r="L128" s="33">
        <f t="shared" ref="L128" si="49">K128</f>
        <v>0.88428170172353593</v>
      </c>
      <c r="M128" s="20"/>
      <c r="N128" s="20"/>
      <c r="O128" s="20"/>
      <c r="P128" s="20"/>
      <c r="Q128" s="42"/>
      <c r="R128" s="20"/>
      <c r="S128" s="20"/>
      <c r="T128" s="20"/>
      <c r="U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/>
      <c r="AN128" s="20"/>
      <c r="AO128" s="20"/>
      <c r="AP128" s="20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  <c r="BA128" s="20"/>
      <c r="BB128" s="20"/>
      <c r="BC128" s="20"/>
      <c r="BD128" s="20"/>
      <c r="BE128" s="20"/>
      <c r="BF128" s="20"/>
      <c r="BG128" s="20"/>
      <c r="BH128" s="20"/>
      <c r="BI128" s="20"/>
      <c r="BJ128" s="20"/>
      <c r="BK128" s="20"/>
      <c r="BL128" s="20"/>
      <c r="BM128" s="20"/>
      <c r="BN128" s="20"/>
      <c r="BO128" s="20"/>
      <c r="BP128" s="20"/>
      <c r="BQ128" s="20"/>
      <c r="BR128" s="20"/>
      <c r="BS128" s="20"/>
      <c r="BT128" s="20"/>
      <c r="BU128" s="20"/>
      <c r="BV128" s="20"/>
      <c r="BW128" s="20"/>
      <c r="BX128" s="20"/>
      <c r="BY128" s="20"/>
      <c r="BZ128" s="20"/>
      <c r="CA128" s="20"/>
      <c r="CB128" s="20"/>
      <c r="CC128" s="20"/>
      <c r="CD128" s="20"/>
      <c r="CE128" s="20"/>
      <c r="CF128" s="20"/>
      <c r="CG128" s="20"/>
      <c r="CH128" s="20"/>
      <c r="CI128" s="20"/>
      <c r="CJ128" s="20"/>
      <c r="CK128" s="20"/>
      <c r="CL128" s="20"/>
      <c r="CM128" s="20"/>
      <c r="CN128" s="20"/>
      <c r="CO128" s="20"/>
      <c r="CP128" s="20"/>
      <c r="CQ128" s="20"/>
      <c r="CR128" s="20"/>
      <c r="CS128" s="20"/>
      <c r="CT128" s="20"/>
      <c r="CU128" s="20"/>
      <c r="CV128" s="20"/>
      <c r="CW128" s="20"/>
      <c r="CX128" s="20"/>
      <c r="CY128" s="20"/>
      <c r="CZ128" s="20"/>
      <c r="DA128" s="20"/>
      <c r="DB128" s="20"/>
      <c r="DC128" s="20"/>
      <c r="DD128" s="20"/>
      <c r="DE128" s="20"/>
      <c r="DF128" s="20"/>
      <c r="DG128" s="20"/>
      <c r="DH128" s="20"/>
      <c r="DI128" s="20"/>
      <c r="DJ128" s="20"/>
      <c r="DK128" s="20"/>
      <c r="DL128" s="20"/>
      <c r="DM128" s="20"/>
      <c r="DN128" s="20"/>
      <c r="DO128" s="20"/>
      <c r="DP128" s="20"/>
      <c r="DQ128" s="20"/>
      <c r="DR128" s="20"/>
      <c r="DS128" s="20"/>
      <c r="DT128" s="20"/>
      <c r="DU128" s="20"/>
      <c r="DV128" s="20"/>
      <c r="DW128" s="20"/>
      <c r="DX128" s="20"/>
      <c r="DY128" s="20"/>
      <c r="DZ128" s="20"/>
      <c r="EA128" s="20"/>
      <c r="EB128" s="20"/>
      <c r="EC128" s="20"/>
      <c r="ED128" s="20"/>
      <c r="EE128" s="20"/>
      <c r="EF128" s="20"/>
      <c r="EG128" s="20"/>
      <c r="EH128" s="20"/>
      <c r="EI128" s="20"/>
    </row>
    <row r="129" spans="1:139" x14ac:dyDescent="0.25">
      <c r="A129" s="24"/>
      <c r="B129" s="97" t="s">
        <v>198</v>
      </c>
      <c r="C129" s="98" t="s">
        <v>199</v>
      </c>
      <c r="D129" s="99" t="s">
        <v>200</v>
      </c>
      <c r="E129" s="34">
        <f t="shared" ref="E129:H129" si="50">+cp(E127,$K$102,$K$101,$K$105,$K$104,$K$103)</f>
        <v>1.367731661940508</v>
      </c>
      <c r="F129" s="153">
        <f t="shared" si="50"/>
        <v>1.3520372948916903</v>
      </c>
      <c r="G129" s="32">
        <f t="shared" si="50"/>
        <v>1.3428527286799015</v>
      </c>
      <c r="H129" s="32">
        <f t="shared" si="50"/>
        <v>1.3374361059260398</v>
      </c>
      <c r="I129" s="32">
        <f>+cp(I127,$K$102,$K$101,$K$105,$K$104,$K$103)</f>
        <v>1.2977089752433142</v>
      </c>
      <c r="J129" s="32">
        <f>+cp(J127,$K$102,$K$101,$K$105,$K$104,$K$103)</f>
        <v>1.2272161278687466</v>
      </c>
      <c r="K129" s="32">
        <f>+cp(K127,$K$102,$K$101,$K$105,$K$104,$K$103)</f>
        <v>1.1767562026708223</v>
      </c>
      <c r="L129" s="33">
        <f>+cp(L127,$K$102,$K$101,$K$105,$K$104,$K$103)</f>
        <v>1.1502772047602794</v>
      </c>
      <c r="M129" s="20"/>
      <c r="N129" s="20"/>
      <c r="O129" s="20"/>
      <c r="P129" s="20"/>
      <c r="Q129" s="42"/>
      <c r="R129" s="20"/>
      <c r="S129" s="20"/>
      <c r="T129" s="20"/>
      <c r="U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/>
      <c r="AN129" s="20"/>
      <c r="AO129" s="20"/>
      <c r="AP129" s="20"/>
      <c r="AQ129" s="20"/>
      <c r="AR129" s="20"/>
      <c r="AS129" s="20"/>
      <c r="AT129" s="20"/>
      <c r="AU129" s="20"/>
      <c r="AV129" s="20"/>
      <c r="AW129" s="20"/>
      <c r="AX129" s="20"/>
      <c r="AY129" s="20"/>
      <c r="AZ129" s="20"/>
      <c r="BA129" s="20"/>
      <c r="BB129" s="20"/>
      <c r="BC129" s="20"/>
      <c r="BD129" s="20"/>
      <c r="BE129" s="20"/>
      <c r="BF129" s="20"/>
      <c r="BG129" s="20"/>
      <c r="BH129" s="20"/>
      <c r="BI129" s="20"/>
      <c r="BJ129" s="20"/>
      <c r="BK129" s="20"/>
      <c r="BL129" s="20"/>
      <c r="BM129" s="20"/>
      <c r="BN129" s="20"/>
      <c r="BO129" s="20"/>
      <c r="BP129" s="20"/>
      <c r="BQ129" s="20"/>
      <c r="BR129" s="20"/>
      <c r="BS129" s="20"/>
      <c r="BT129" s="20"/>
      <c r="BU129" s="20"/>
      <c r="BV129" s="20"/>
      <c r="BW129" s="20"/>
      <c r="BX129" s="20"/>
      <c r="BY129" s="20"/>
      <c r="BZ129" s="20"/>
      <c r="CA129" s="20"/>
      <c r="CB129" s="20"/>
      <c r="CC129" s="20"/>
      <c r="CD129" s="20"/>
      <c r="CE129" s="20"/>
      <c r="CF129" s="20"/>
      <c r="CG129" s="20"/>
      <c r="CH129" s="20"/>
      <c r="CI129" s="20"/>
      <c r="CJ129" s="20"/>
      <c r="CK129" s="20"/>
      <c r="CL129" s="20"/>
      <c r="CM129" s="20"/>
      <c r="CN129" s="20"/>
      <c r="CO129" s="20"/>
      <c r="CP129" s="20"/>
      <c r="CQ129" s="20"/>
      <c r="CR129" s="20"/>
      <c r="CS129" s="20"/>
      <c r="CT129" s="20"/>
      <c r="CU129" s="20"/>
      <c r="CV129" s="20"/>
      <c r="CW129" s="20"/>
      <c r="CX129" s="20"/>
      <c r="CY129" s="20"/>
      <c r="CZ129" s="20"/>
      <c r="DA129" s="20"/>
      <c r="DB129" s="20"/>
      <c r="DC129" s="20"/>
      <c r="DD129" s="20"/>
      <c r="DE129" s="20"/>
      <c r="DF129" s="20"/>
      <c r="DG129" s="20"/>
      <c r="DH129" s="20"/>
      <c r="DI129" s="20"/>
      <c r="DJ129" s="20"/>
      <c r="DK129" s="20"/>
      <c r="DL129" s="20"/>
      <c r="DM129" s="20"/>
      <c r="DN129" s="20"/>
      <c r="DO129" s="20"/>
      <c r="DP129" s="20"/>
      <c r="DQ129" s="20"/>
      <c r="DR129" s="20"/>
      <c r="DS129" s="20"/>
      <c r="DT129" s="20"/>
      <c r="DU129" s="20"/>
      <c r="DV129" s="20"/>
      <c r="DW129" s="20"/>
      <c r="DX129" s="20"/>
      <c r="DY129" s="20"/>
      <c r="DZ129" s="20"/>
      <c r="EA129" s="20"/>
      <c r="EB129" s="20"/>
      <c r="EC129" s="20"/>
      <c r="ED129" s="20"/>
      <c r="EE129" s="20"/>
      <c r="EF129" s="20"/>
      <c r="EG129" s="20"/>
      <c r="EH129" s="20"/>
      <c r="EI129" s="20"/>
    </row>
    <row r="130" spans="1:139" x14ac:dyDescent="0.25">
      <c r="A130" s="24"/>
      <c r="B130" s="97" t="s">
        <v>201</v>
      </c>
      <c r="C130" s="100" t="s">
        <v>202</v>
      </c>
      <c r="D130" s="99" t="s">
        <v>203</v>
      </c>
      <c r="E130" s="34">
        <f t="shared" ref="E130:H130" si="51">+Densidad_kgm3($K$102,$K$101,$K$105,$K$104,$K$103,E128*101.325,E127)</f>
        <v>0.25061911641955059</v>
      </c>
      <c r="F130" s="153">
        <f t="shared" si="51"/>
        <v>0.26551765546167877</v>
      </c>
      <c r="G130" s="32">
        <f t="shared" si="51"/>
        <v>0.27468864644403934</v>
      </c>
      <c r="H130" s="32">
        <f t="shared" si="51"/>
        <v>0.28026702814277843</v>
      </c>
      <c r="I130" s="32">
        <f>+Densidad_kgm3($K$102,$K$101,$K$105,$K$104,$K$103,I128*101.325,I127)</f>
        <v>0.32513305615006011</v>
      </c>
      <c r="J130" s="32">
        <f>+Densidad_kgm3($K$102,$K$101,$K$105,$K$104,$K$103,J128*101.325,J127)</f>
        <v>0.42730936353995747</v>
      </c>
      <c r="K130" s="32">
        <f>+Densidad_kgm3($K$102,$K$101,$K$105,$K$104,$K$103,K128*101.325,K127)</f>
        <v>0.55208535761521116</v>
      </c>
      <c r="L130" s="33">
        <f>+Densidad_kgm3($K$102,$K$101,$K$105,$K$104,$K$103,L128*101.325,L127)</f>
        <v>0.66524822655230664</v>
      </c>
      <c r="M130" s="20"/>
      <c r="N130" s="20"/>
      <c r="O130" s="20"/>
      <c r="P130" s="20"/>
      <c r="Q130" s="42"/>
      <c r="R130" s="20"/>
      <c r="S130" s="20"/>
      <c r="T130" s="20"/>
      <c r="U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/>
      <c r="AN130" s="20"/>
      <c r="AO130" s="20"/>
      <c r="AP130" s="2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  <c r="BB130" s="20"/>
      <c r="BC130" s="20"/>
      <c r="BD130" s="20"/>
      <c r="BE130" s="20"/>
      <c r="BF130" s="20"/>
      <c r="BG130" s="20"/>
      <c r="BH130" s="20"/>
      <c r="BI130" s="20"/>
      <c r="BJ130" s="20"/>
      <c r="BK130" s="20"/>
      <c r="BL130" s="20"/>
      <c r="BM130" s="20"/>
      <c r="BN130" s="20"/>
      <c r="BO130" s="20"/>
      <c r="BP130" s="20"/>
      <c r="BQ130" s="20"/>
      <c r="BR130" s="20"/>
      <c r="BS130" s="20"/>
      <c r="BT130" s="20"/>
      <c r="BU130" s="20"/>
      <c r="BV130" s="20"/>
      <c r="BW130" s="20"/>
      <c r="BX130" s="20"/>
      <c r="BY130" s="20"/>
      <c r="BZ130" s="20"/>
      <c r="CA130" s="20"/>
      <c r="CB130" s="20"/>
      <c r="CC130" s="20"/>
      <c r="CD130" s="20"/>
      <c r="CE130" s="20"/>
      <c r="CF130" s="20"/>
      <c r="CG130" s="20"/>
      <c r="CH130" s="20"/>
      <c r="CI130" s="20"/>
      <c r="CJ130" s="20"/>
      <c r="CK130" s="20"/>
      <c r="CL130" s="20"/>
      <c r="CM130" s="20"/>
      <c r="CN130" s="20"/>
      <c r="CO130" s="20"/>
      <c r="CP130" s="20"/>
      <c r="CQ130" s="20"/>
      <c r="CR130" s="20"/>
      <c r="CS130" s="20"/>
      <c r="CT130" s="20"/>
      <c r="CU130" s="20"/>
      <c r="CV130" s="20"/>
      <c r="CW130" s="20"/>
      <c r="CX130" s="20"/>
      <c r="CY130" s="20"/>
      <c r="CZ130" s="20"/>
      <c r="DA130" s="20"/>
      <c r="DB130" s="20"/>
      <c r="DC130" s="20"/>
      <c r="DD130" s="20"/>
      <c r="DE130" s="20"/>
      <c r="DF130" s="20"/>
      <c r="DG130" s="20"/>
      <c r="DH130" s="20"/>
      <c r="DI130" s="20"/>
      <c r="DJ130" s="20"/>
      <c r="DK130" s="20"/>
      <c r="DL130" s="20"/>
      <c r="DM130" s="20"/>
      <c r="DN130" s="20"/>
      <c r="DO130" s="20"/>
      <c r="DP130" s="20"/>
      <c r="DQ130" s="20"/>
      <c r="DR130" s="20"/>
      <c r="DS130" s="20"/>
      <c r="DT130" s="20"/>
      <c r="DU130" s="20"/>
      <c r="DV130" s="20"/>
      <c r="DW130" s="20"/>
      <c r="DX130" s="20"/>
      <c r="DY130" s="20"/>
      <c r="DZ130" s="20"/>
      <c r="EA130" s="20"/>
      <c r="EB130" s="20"/>
      <c r="EC130" s="20"/>
      <c r="ED130" s="20"/>
      <c r="EE130" s="20"/>
      <c r="EF130" s="20"/>
      <c r="EG130" s="20"/>
      <c r="EH130" s="20"/>
      <c r="EI130" s="20"/>
    </row>
    <row r="131" spans="1:139" x14ac:dyDescent="0.25">
      <c r="A131" s="24"/>
      <c r="B131" s="97" t="s">
        <v>204</v>
      </c>
      <c r="C131" s="100" t="s">
        <v>205</v>
      </c>
      <c r="D131" s="99" t="s">
        <v>206</v>
      </c>
      <c r="E131" s="101">
        <f>0.0000175+0.0000000335*E127</f>
        <v>4.8062326872409539E-5</v>
      </c>
      <c r="F131" s="154">
        <f t="shared" ref="F131:H131" si="52">0.0000175+0.0000000335*F127</f>
        <v>4.583398739318896E-5</v>
      </c>
      <c r="G131" s="102">
        <f t="shared" si="52"/>
        <v>4.4582497280341675E-5</v>
      </c>
      <c r="H131" s="102">
        <f t="shared" si="52"/>
        <v>4.3861322086391655E-5</v>
      </c>
      <c r="I131" s="102">
        <f>0.0000175+0.0000000335*I127</f>
        <v>3.8960942085555935E-5</v>
      </c>
      <c r="J131" s="102">
        <f>0.0000175+0.0000000335*J127</f>
        <v>3.1641264733582784E-5</v>
      </c>
      <c r="K131" s="102">
        <f t="shared" ref="K131:L131" si="53">0.0000175+0.0000000335*K127</f>
        <v>2.6377121829388674E-5</v>
      </c>
      <c r="L131" s="103">
        <f t="shared" si="53"/>
        <v>2.3310506761549857E-5</v>
      </c>
      <c r="M131" s="20"/>
      <c r="N131" s="20"/>
      <c r="O131" s="20"/>
      <c r="P131" s="20"/>
      <c r="Q131" s="42"/>
      <c r="R131" s="20"/>
      <c r="S131" s="20"/>
      <c r="T131" s="20"/>
      <c r="U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  <c r="AM131" s="20"/>
      <c r="AN131" s="20"/>
      <c r="AO131" s="20"/>
      <c r="AP131" s="20"/>
      <c r="AQ131" s="20"/>
      <c r="AR131" s="20"/>
      <c r="AS131" s="20"/>
      <c r="AT131" s="20"/>
      <c r="AU131" s="20"/>
      <c r="AV131" s="20"/>
      <c r="AW131" s="20"/>
      <c r="AX131" s="20"/>
      <c r="AY131" s="20"/>
      <c r="AZ131" s="20"/>
      <c r="BA131" s="20"/>
      <c r="BB131" s="20"/>
      <c r="BC131" s="20"/>
      <c r="BD131" s="20"/>
      <c r="BE131" s="20"/>
      <c r="BF131" s="20"/>
      <c r="BG131" s="20"/>
      <c r="BH131" s="20"/>
      <c r="BI131" s="20"/>
      <c r="BJ131" s="20"/>
      <c r="BK131" s="20"/>
      <c r="BL131" s="20"/>
      <c r="BM131" s="20"/>
      <c r="BN131" s="20"/>
      <c r="BO131" s="20"/>
      <c r="BP131" s="20"/>
      <c r="BQ131" s="20"/>
      <c r="BR131" s="20"/>
      <c r="BS131" s="20"/>
      <c r="BT131" s="20"/>
      <c r="BU131" s="20"/>
      <c r="BV131" s="20"/>
      <c r="BW131" s="20"/>
      <c r="BX131" s="20"/>
      <c r="BY131" s="20"/>
      <c r="BZ131" s="20"/>
      <c r="CA131" s="20"/>
      <c r="CB131" s="20"/>
      <c r="CC131" s="20"/>
      <c r="CD131" s="20"/>
      <c r="CE131" s="20"/>
      <c r="CF131" s="20"/>
      <c r="CG131" s="20"/>
      <c r="CH131" s="20"/>
      <c r="CI131" s="20"/>
      <c r="CJ131" s="20"/>
      <c r="CK131" s="20"/>
      <c r="CL131" s="20"/>
      <c r="CM131" s="20"/>
      <c r="CN131" s="20"/>
      <c r="CO131" s="20"/>
      <c r="CP131" s="20"/>
      <c r="CQ131" s="20"/>
      <c r="CR131" s="20"/>
      <c r="CS131" s="20"/>
      <c r="CT131" s="20"/>
      <c r="CU131" s="20"/>
      <c r="CV131" s="20"/>
      <c r="CW131" s="20"/>
      <c r="CX131" s="20"/>
      <c r="CY131" s="20"/>
      <c r="CZ131" s="20"/>
      <c r="DA131" s="20"/>
      <c r="DB131" s="20"/>
      <c r="DC131" s="20"/>
      <c r="DD131" s="20"/>
      <c r="DE131" s="20"/>
      <c r="DF131" s="20"/>
      <c r="DG131" s="20"/>
      <c r="DH131" s="20"/>
      <c r="DI131" s="20"/>
      <c r="DJ131" s="20"/>
      <c r="DK131" s="20"/>
      <c r="DL131" s="20"/>
      <c r="DM131" s="20"/>
      <c r="DN131" s="20"/>
      <c r="DO131" s="20"/>
      <c r="DP131" s="20"/>
      <c r="DQ131" s="20"/>
      <c r="DR131" s="20"/>
      <c r="DS131" s="20"/>
      <c r="DT131" s="20"/>
      <c r="DU131" s="20"/>
      <c r="DV131" s="20"/>
      <c r="DW131" s="20"/>
      <c r="DX131" s="20"/>
      <c r="DY131" s="20"/>
      <c r="DZ131" s="20"/>
      <c r="EA131" s="20"/>
      <c r="EB131" s="20"/>
      <c r="EC131" s="20"/>
      <c r="ED131" s="20"/>
      <c r="EE131" s="20"/>
      <c r="EF131" s="20"/>
      <c r="EG131" s="20"/>
      <c r="EH131" s="20"/>
      <c r="EI131" s="20"/>
    </row>
    <row r="132" spans="1:139" x14ac:dyDescent="0.25">
      <c r="A132" s="24"/>
      <c r="B132" s="97" t="s">
        <v>207</v>
      </c>
      <c r="C132" s="100" t="s">
        <v>150</v>
      </c>
      <c r="D132" s="99" t="s">
        <v>208</v>
      </c>
      <c r="E132" s="101">
        <f>(0.0229+0.0000647*E127)/1000</f>
        <v>8.1926344735668575E-5</v>
      </c>
      <c r="F132" s="154">
        <f t="shared" ref="F132:H132" si="54">(0.0229+0.0000647*F127)/1000</f>
        <v>7.7622656248935114E-5</v>
      </c>
      <c r="G132" s="102">
        <f t="shared" si="54"/>
        <v>7.5205599225018098E-5</v>
      </c>
      <c r="H132" s="102">
        <f t="shared" si="54"/>
        <v>7.3812762357896718E-5</v>
      </c>
      <c r="I132" s="102">
        <f>(0.0229+0.0000647*I127)/1000</f>
        <v>6.4348446356282665E-5</v>
      </c>
      <c r="J132" s="102">
        <f>(0.0229+0.0000647*J127)/1000</f>
        <v>5.021163666456138E-5</v>
      </c>
      <c r="K132" s="102">
        <f t="shared" ref="K132:L132" si="55">(0.0229+0.0000647*K127)/1000</f>
        <v>4.0044769622729761E-5</v>
      </c>
      <c r="L132" s="103">
        <f t="shared" si="55"/>
        <v>3.412208320812764E-5</v>
      </c>
      <c r="M132" s="20"/>
      <c r="N132" s="20"/>
      <c r="O132" s="20"/>
      <c r="P132" s="20"/>
      <c r="Q132" s="42"/>
      <c r="R132" s="20"/>
      <c r="S132" s="20"/>
      <c r="T132" s="20"/>
      <c r="U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20"/>
      <c r="AM132" s="20"/>
      <c r="AN132" s="20"/>
      <c r="AO132" s="20"/>
      <c r="AP132" s="20"/>
      <c r="AQ132" s="20"/>
      <c r="AR132" s="20"/>
      <c r="AS132" s="20"/>
      <c r="AT132" s="20"/>
      <c r="AU132" s="20"/>
      <c r="AV132" s="20"/>
      <c r="AW132" s="20"/>
      <c r="AX132" s="20"/>
      <c r="AY132" s="20"/>
      <c r="AZ132" s="20"/>
      <c r="BA132" s="20"/>
      <c r="BB132" s="20"/>
      <c r="BC132" s="20"/>
      <c r="BD132" s="20"/>
      <c r="BE132" s="20"/>
      <c r="BF132" s="20"/>
      <c r="BG132" s="20"/>
      <c r="BH132" s="20"/>
      <c r="BI132" s="20"/>
      <c r="BJ132" s="20"/>
      <c r="BK132" s="20"/>
      <c r="BL132" s="20"/>
      <c r="BM132" s="20"/>
      <c r="BN132" s="20"/>
      <c r="BO132" s="20"/>
      <c r="BP132" s="20"/>
      <c r="BQ132" s="20"/>
      <c r="BR132" s="20"/>
      <c r="BS132" s="20"/>
      <c r="BT132" s="20"/>
      <c r="BU132" s="20"/>
      <c r="BV132" s="20"/>
      <c r="BW132" s="20"/>
      <c r="BX132" s="20"/>
      <c r="BY132" s="20"/>
      <c r="BZ132" s="20"/>
      <c r="CA132" s="20"/>
      <c r="CB132" s="20"/>
      <c r="CC132" s="20"/>
      <c r="CD132" s="20"/>
      <c r="CE132" s="20"/>
      <c r="CF132" s="20"/>
      <c r="CG132" s="20"/>
      <c r="CH132" s="20"/>
      <c r="CI132" s="20"/>
      <c r="CJ132" s="20"/>
      <c r="CK132" s="20"/>
      <c r="CL132" s="20"/>
      <c r="CM132" s="20"/>
      <c r="CN132" s="20"/>
      <c r="CO132" s="20"/>
      <c r="CP132" s="20"/>
      <c r="CQ132" s="20"/>
      <c r="CR132" s="20"/>
      <c r="CS132" s="20"/>
      <c r="CT132" s="20"/>
      <c r="CU132" s="20"/>
      <c r="CV132" s="20"/>
      <c r="CW132" s="20"/>
      <c r="CX132" s="20"/>
      <c r="CY132" s="20"/>
      <c r="CZ132" s="20"/>
      <c r="DA132" s="20"/>
      <c r="DB132" s="20"/>
      <c r="DC132" s="20"/>
      <c r="DD132" s="20"/>
      <c r="DE132" s="20"/>
      <c r="DF132" s="20"/>
      <c r="DG132" s="20"/>
      <c r="DH132" s="20"/>
      <c r="DI132" s="20"/>
      <c r="DJ132" s="20"/>
      <c r="DK132" s="20"/>
      <c r="DL132" s="20"/>
      <c r="DM132" s="20"/>
      <c r="DN132" s="20"/>
      <c r="DO132" s="20"/>
      <c r="DP132" s="20"/>
      <c r="DQ132" s="20"/>
      <c r="DR132" s="20"/>
      <c r="DS132" s="20"/>
      <c r="DT132" s="20"/>
      <c r="DU132" s="20"/>
      <c r="DV132" s="20"/>
      <c r="DW132" s="20"/>
      <c r="DX132" s="20"/>
      <c r="DY132" s="20"/>
      <c r="DZ132" s="20"/>
      <c r="EA132" s="20"/>
      <c r="EB132" s="20"/>
      <c r="EC132" s="20"/>
      <c r="ED132" s="20"/>
      <c r="EE132" s="20"/>
      <c r="EF132" s="20"/>
      <c r="EG132" s="20"/>
      <c r="EH132" s="20"/>
      <c r="EI132" s="20"/>
    </row>
    <row r="133" spans="1:139" x14ac:dyDescent="0.25">
      <c r="A133" s="24"/>
      <c r="B133" s="97" t="s">
        <v>109</v>
      </c>
      <c r="C133" s="100" t="s">
        <v>110</v>
      </c>
      <c r="D133" s="99" t="s">
        <v>28</v>
      </c>
      <c r="E133" s="34">
        <f>+E61</f>
        <v>1.456</v>
      </c>
      <c r="F133" s="32">
        <f t="shared" ref="F133:H133" si="56">+F61</f>
        <v>1.1499999999999999</v>
      </c>
      <c r="G133" s="32">
        <f t="shared" si="56"/>
        <v>0.86899999999999999</v>
      </c>
      <c r="H133" s="32">
        <f t="shared" si="56"/>
        <v>0.82399999999999995</v>
      </c>
      <c r="I133" s="32">
        <f t="shared" ref="I133:L134" si="57">+I61</f>
        <v>0.64500000000000002</v>
      </c>
      <c r="J133" s="32">
        <f t="shared" si="57"/>
        <v>0.627</v>
      </c>
      <c r="K133" s="32">
        <f t="shared" si="57"/>
        <v>0.49199999999999999</v>
      </c>
      <c r="L133" s="33">
        <f t="shared" si="57"/>
        <v>0.49199999999999999</v>
      </c>
      <c r="M133" s="20"/>
      <c r="N133" s="20"/>
      <c r="O133" s="20"/>
      <c r="P133" s="20"/>
      <c r="Q133" s="42"/>
      <c r="R133" s="20"/>
      <c r="S133" s="20"/>
      <c r="T133" s="20"/>
      <c r="U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  <c r="AM133" s="20"/>
      <c r="AN133" s="20"/>
      <c r="AO133" s="20"/>
      <c r="AP133" s="20"/>
      <c r="AQ133" s="20"/>
      <c r="AR133" s="20"/>
      <c r="AS133" s="20"/>
      <c r="AT133" s="20"/>
      <c r="AU133" s="20"/>
      <c r="AV133" s="20"/>
      <c r="AW133" s="20"/>
      <c r="AX133" s="20"/>
      <c r="AY133" s="20"/>
      <c r="AZ133" s="20"/>
      <c r="BA133" s="20"/>
      <c r="BB133" s="20"/>
      <c r="BC133" s="20"/>
      <c r="BD133" s="20"/>
      <c r="BE133" s="20"/>
      <c r="BF133" s="20"/>
      <c r="BG133" s="20"/>
      <c r="BH133" s="20"/>
      <c r="BI133" s="20"/>
      <c r="BJ133" s="20"/>
      <c r="BK133" s="20"/>
      <c r="BL133" s="20"/>
      <c r="BM133" s="20"/>
      <c r="BN133" s="20"/>
      <c r="BO133" s="20"/>
      <c r="BP133" s="20"/>
      <c r="BQ133" s="20"/>
      <c r="BR133" s="20"/>
      <c r="BS133" s="20"/>
      <c r="BT133" s="20"/>
      <c r="BU133" s="20"/>
      <c r="BV133" s="20"/>
      <c r="BW133" s="20"/>
      <c r="BX133" s="20"/>
      <c r="BY133" s="20"/>
      <c r="BZ133" s="20"/>
      <c r="CA133" s="20"/>
      <c r="CB133" s="20"/>
      <c r="CC133" s="20"/>
      <c r="CD133" s="20"/>
      <c r="CE133" s="20"/>
      <c r="CF133" s="20"/>
      <c r="CG133" s="20"/>
      <c r="CH133" s="20"/>
      <c r="CI133" s="20"/>
      <c r="CJ133" s="20"/>
      <c r="CK133" s="20"/>
      <c r="CL133" s="20"/>
      <c r="CM133" s="20"/>
      <c r="CN133" s="20"/>
      <c r="CO133" s="20"/>
      <c r="CP133" s="20"/>
      <c r="CQ133" s="20"/>
      <c r="CR133" s="20"/>
      <c r="CS133" s="20"/>
      <c r="CT133" s="20"/>
      <c r="CU133" s="20"/>
      <c r="CV133" s="20"/>
      <c r="CW133" s="20"/>
      <c r="CX133" s="20"/>
      <c r="CY133" s="20"/>
      <c r="CZ133" s="20"/>
      <c r="DA133" s="20"/>
      <c r="DB133" s="20"/>
      <c r="DC133" s="20"/>
      <c r="DD133" s="20"/>
      <c r="DE133" s="20"/>
      <c r="DF133" s="20"/>
      <c r="DG133" s="20"/>
      <c r="DH133" s="20"/>
      <c r="DI133" s="20"/>
      <c r="DJ133" s="20"/>
      <c r="DK133" s="20"/>
      <c r="DL133" s="20"/>
      <c r="DM133" s="20"/>
      <c r="DN133" s="20"/>
      <c r="DO133" s="20"/>
      <c r="DP133" s="20"/>
      <c r="DQ133" s="20"/>
      <c r="DR133" s="20"/>
      <c r="DS133" s="20"/>
      <c r="DT133" s="20"/>
      <c r="DU133" s="20"/>
      <c r="DV133" s="20"/>
      <c r="DW133" s="20"/>
      <c r="DX133" s="20"/>
      <c r="DY133" s="20"/>
      <c r="DZ133" s="20"/>
      <c r="EA133" s="20"/>
      <c r="EB133" s="20"/>
      <c r="EC133" s="20"/>
      <c r="ED133" s="20"/>
      <c r="EE133" s="20"/>
      <c r="EF133" s="20"/>
      <c r="EG133" s="20"/>
      <c r="EH133" s="20"/>
      <c r="EI133" s="20"/>
    </row>
    <row r="134" spans="1:139" x14ac:dyDescent="0.25">
      <c r="A134" s="24"/>
      <c r="B134" s="97" t="s">
        <v>111</v>
      </c>
      <c r="C134" s="100" t="s">
        <v>112</v>
      </c>
      <c r="D134" s="99" t="s">
        <v>61</v>
      </c>
      <c r="E134" s="34">
        <f>+E62</f>
        <v>4.944</v>
      </c>
      <c r="F134" s="32">
        <f t="shared" ref="F134:H134" si="58">+F62</f>
        <v>5.085</v>
      </c>
      <c r="G134" s="32">
        <f t="shared" si="58"/>
        <v>3.9790000000000001</v>
      </c>
      <c r="H134" s="32">
        <f t="shared" si="58"/>
        <v>3.8889999999999998</v>
      </c>
      <c r="I134" s="32">
        <f t="shared" si="57"/>
        <v>8.1180000000000003</v>
      </c>
      <c r="J134" s="32">
        <f t="shared" si="57"/>
        <v>10.722</v>
      </c>
      <c r="K134" s="32">
        <f t="shared" si="57"/>
        <v>10.582000000000001</v>
      </c>
      <c r="L134" s="33">
        <f t="shared" si="57"/>
        <v>10.582000000000001</v>
      </c>
      <c r="M134" s="20"/>
      <c r="N134" s="20"/>
      <c r="O134" s="20"/>
      <c r="P134" s="20"/>
      <c r="Q134" s="42"/>
      <c r="R134" s="20"/>
      <c r="S134" s="20"/>
      <c r="T134" s="20"/>
      <c r="U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20"/>
      <c r="AM134" s="20"/>
      <c r="AN134" s="20"/>
      <c r="AO134" s="20"/>
      <c r="AP134" s="20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  <c r="BA134" s="20"/>
      <c r="BB134" s="20"/>
      <c r="BC134" s="20"/>
      <c r="BD134" s="20"/>
      <c r="BE134" s="20"/>
      <c r="BF134" s="20"/>
      <c r="BG134" s="20"/>
      <c r="BH134" s="20"/>
      <c r="BI134" s="20"/>
      <c r="BJ134" s="20"/>
      <c r="BK134" s="20"/>
      <c r="BL134" s="20"/>
      <c r="BM134" s="20"/>
      <c r="BN134" s="20"/>
      <c r="BO134" s="20"/>
      <c r="BP134" s="20"/>
      <c r="BQ134" s="20"/>
      <c r="BR134" s="20"/>
      <c r="BS134" s="20"/>
      <c r="BT134" s="20"/>
      <c r="BU134" s="20"/>
      <c r="BV134" s="20"/>
      <c r="BW134" s="20"/>
      <c r="BX134" s="20"/>
      <c r="BY134" s="20"/>
      <c r="BZ134" s="20"/>
      <c r="CA134" s="20"/>
      <c r="CB134" s="20"/>
      <c r="CC134" s="20"/>
      <c r="CD134" s="20"/>
      <c r="CE134" s="20"/>
      <c r="CF134" s="20"/>
      <c r="CG134" s="20"/>
      <c r="CH134" s="20"/>
      <c r="CI134" s="20"/>
      <c r="CJ134" s="20"/>
      <c r="CK134" s="20"/>
      <c r="CL134" s="20"/>
      <c r="CM134" s="20"/>
      <c r="CN134" s="20"/>
      <c r="CO134" s="20"/>
      <c r="CP134" s="20"/>
      <c r="CQ134" s="20"/>
      <c r="CR134" s="20"/>
      <c r="CS134" s="20"/>
      <c r="CT134" s="20"/>
      <c r="CU134" s="20"/>
      <c r="CV134" s="20"/>
      <c r="CW134" s="20"/>
      <c r="CX134" s="20"/>
      <c r="CY134" s="20"/>
      <c r="CZ134" s="20"/>
      <c r="DA134" s="20"/>
      <c r="DB134" s="20"/>
      <c r="DC134" s="20"/>
      <c r="DD134" s="20"/>
      <c r="DE134" s="20"/>
      <c r="DF134" s="20"/>
      <c r="DG134" s="20"/>
      <c r="DH134" s="20"/>
      <c r="DI134" s="20"/>
      <c r="DJ134" s="20"/>
      <c r="DK134" s="20"/>
      <c r="DL134" s="20"/>
      <c r="DM134" s="20"/>
      <c r="DN134" s="20"/>
      <c r="DO134" s="20"/>
      <c r="DP134" s="20"/>
      <c r="DQ134" s="20"/>
      <c r="DR134" s="20"/>
      <c r="DS134" s="20"/>
      <c r="DT134" s="20"/>
      <c r="DU134" s="20"/>
      <c r="DV134" s="20"/>
      <c r="DW134" s="20"/>
      <c r="DX134" s="20"/>
      <c r="DY134" s="20"/>
      <c r="DZ134" s="20"/>
      <c r="EA134" s="20"/>
      <c r="EB134" s="20"/>
      <c r="EC134" s="20"/>
      <c r="ED134" s="20"/>
      <c r="EE134" s="20"/>
      <c r="EF134" s="20"/>
      <c r="EG134" s="20"/>
      <c r="EH134" s="20"/>
      <c r="EI134" s="20"/>
    </row>
    <row r="135" spans="1:139" x14ac:dyDescent="0.25">
      <c r="A135" s="20"/>
      <c r="B135" s="97" t="s">
        <v>209</v>
      </c>
      <c r="C135" s="100" t="s">
        <v>210</v>
      </c>
      <c r="D135" s="99" t="s">
        <v>211</v>
      </c>
      <c r="E135" s="34">
        <f t="shared" ref="E135:J135" si="59">($G$111/(3600*1000))/(E130*E133)</f>
        <v>2.9918951438749555</v>
      </c>
      <c r="F135" s="153">
        <f t="shared" si="59"/>
        <v>3.5754498706339137</v>
      </c>
      <c r="G135" s="32">
        <f t="shared" si="59"/>
        <v>4.5736344721626212</v>
      </c>
      <c r="H135" s="32">
        <f t="shared" si="59"/>
        <v>4.7274039986841947</v>
      </c>
      <c r="I135" s="32">
        <f t="shared" si="59"/>
        <v>5.2059632429439917</v>
      </c>
      <c r="J135" s="32">
        <f t="shared" si="59"/>
        <v>4.0748533919046181</v>
      </c>
      <c r="K135" s="32">
        <f t="shared" ref="K135:L135" si="60">($G$111/(3600*1000))/(K130*K133)</f>
        <v>4.0193016986359975</v>
      </c>
      <c r="L135" s="33">
        <f t="shared" si="60"/>
        <v>3.3355934327776926</v>
      </c>
      <c r="M135" s="20"/>
      <c r="N135" s="20"/>
      <c r="O135" s="20"/>
      <c r="P135" s="20"/>
      <c r="Q135" s="42"/>
      <c r="R135" s="20"/>
      <c r="S135" s="20"/>
      <c r="T135" s="20"/>
      <c r="U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20"/>
      <c r="AM135" s="20"/>
      <c r="AN135" s="20"/>
      <c r="AO135" s="20"/>
      <c r="AP135" s="20"/>
      <c r="AQ135" s="20"/>
      <c r="AR135" s="20"/>
      <c r="AS135" s="20"/>
      <c r="AT135" s="20"/>
      <c r="AU135" s="20"/>
      <c r="AV135" s="20"/>
      <c r="AW135" s="20"/>
      <c r="AX135" s="20"/>
      <c r="AY135" s="20"/>
      <c r="AZ135" s="20"/>
      <c r="BA135" s="20"/>
      <c r="BB135" s="20"/>
      <c r="BC135" s="20"/>
      <c r="BD135" s="20"/>
      <c r="BE135" s="20"/>
      <c r="BF135" s="20"/>
      <c r="BG135" s="20"/>
      <c r="BH135" s="20"/>
      <c r="BI135" s="20"/>
      <c r="BJ135" s="20"/>
      <c r="BK135" s="20"/>
      <c r="BL135" s="20"/>
      <c r="BM135" s="20"/>
      <c r="BN135" s="20"/>
      <c r="BO135" s="20"/>
      <c r="BP135" s="20"/>
      <c r="BQ135" s="20"/>
      <c r="BR135" s="20"/>
      <c r="BS135" s="20"/>
      <c r="BT135" s="20"/>
      <c r="BU135" s="20"/>
      <c r="BV135" s="20"/>
      <c r="BW135" s="20"/>
      <c r="BX135" s="20"/>
      <c r="BY135" s="20"/>
      <c r="BZ135" s="20"/>
      <c r="CA135" s="20"/>
      <c r="CB135" s="20"/>
      <c r="CC135" s="20"/>
      <c r="CD135" s="20"/>
      <c r="CE135" s="20"/>
      <c r="CF135" s="20"/>
      <c r="CG135" s="20"/>
      <c r="CH135" s="20"/>
      <c r="CI135" s="20"/>
      <c r="CJ135" s="20"/>
      <c r="CK135" s="20"/>
      <c r="CL135" s="20"/>
      <c r="CM135" s="20"/>
      <c r="CN135" s="20"/>
      <c r="CO135" s="20"/>
      <c r="CP135" s="20"/>
      <c r="CQ135" s="20"/>
      <c r="CR135" s="20"/>
      <c r="CS135" s="20"/>
      <c r="CT135" s="20"/>
      <c r="CU135" s="20"/>
      <c r="CV135" s="20"/>
      <c r="CW135" s="20"/>
      <c r="CX135" s="20"/>
      <c r="CY135" s="20"/>
      <c r="CZ135" s="20"/>
      <c r="DA135" s="20"/>
      <c r="DB135" s="20"/>
      <c r="DC135" s="20"/>
      <c r="DD135" s="20"/>
      <c r="DE135" s="20"/>
      <c r="DF135" s="20"/>
      <c r="DG135" s="20"/>
      <c r="DH135" s="20"/>
      <c r="DI135" s="20"/>
      <c r="DJ135" s="20"/>
      <c r="DK135" s="20"/>
      <c r="DL135" s="20"/>
      <c r="DM135" s="20"/>
      <c r="DN135" s="20"/>
      <c r="DO135" s="20"/>
      <c r="DP135" s="20"/>
      <c r="DQ135" s="20"/>
      <c r="DR135" s="20"/>
      <c r="DS135" s="20"/>
      <c r="DT135" s="20"/>
      <c r="DU135" s="20"/>
      <c r="DV135" s="20"/>
      <c r="DW135" s="20"/>
      <c r="DX135" s="20"/>
      <c r="DY135" s="20"/>
      <c r="DZ135" s="20"/>
      <c r="EA135" s="20"/>
      <c r="EB135" s="20"/>
      <c r="EC135" s="20"/>
      <c r="ED135" s="20"/>
      <c r="EE135" s="20"/>
      <c r="EF135" s="20"/>
      <c r="EG135" s="20"/>
      <c r="EH135" s="20"/>
      <c r="EI135" s="20"/>
    </row>
    <row r="136" spans="1:139" x14ac:dyDescent="0.25">
      <c r="A136" s="20"/>
      <c r="B136" s="97" t="s">
        <v>212</v>
      </c>
      <c r="C136" s="100" t="s">
        <v>213</v>
      </c>
      <c r="D136" s="99" t="s">
        <v>13</v>
      </c>
      <c r="E136" s="34" t="e">
        <f t="shared" ref="E136:L136" si="61">+E89</f>
        <v>#VALUE!</v>
      </c>
      <c r="F136" s="153" t="e">
        <f t="shared" si="61"/>
        <v>#VALUE!</v>
      </c>
      <c r="G136" s="32" t="e">
        <f t="shared" si="61"/>
        <v>#VALUE!</v>
      </c>
      <c r="H136" s="32" t="e">
        <f t="shared" si="61"/>
        <v>#VALUE!</v>
      </c>
      <c r="I136" s="32">
        <f t="shared" si="61"/>
        <v>380.51306097013406</v>
      </c>
      <c r="J136" s="32">
        <f t="shared" si="61"/>
        <v>104.84517691713769</v>
      </c>
      <c r="K136" s="32">
        <f t="shared" si="61"/>
        <v>100.02480936147813</v>
      </c>
      <c r="L136" s="33" t="e">
        <f t="shared" si="61"/>
        <v>#VALUE!</v>
      </c>
      <c r="M136" s="20"/>
      <c r="N136" s="20"/>
      <c r="O136" s="20"/>
      <c r="P136" s="20"/>
      <c r="Q136" s="42"/>
      <c r="R136" s="20"/>
      <c r="S136" s="20"/>
      <c r="T136" s="20"/>
      <c r="U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  <c r="BA136" s="20"/>
      <c r="BB136" s="20"/>
      <c r="BC136" s="20"/>
      <c r="BD136" s="20"/>
      <c r="BE136" s="20"/>
      <c r="BF136" s="20"/>
      <c r="BG136" s="20"/>
      <c r="BH136" s="20"/>
      <c r="BI136" s="20"/>
      <c r="BJ136" s="20"/>
      <c r="BK136" s="20"/>
      <c r="BL136" s="20"/>
      <c r="BM136" s="20"/>
      <c r="BN136" s="20"/>
      <c r="BO136" s="20"/>
      <c r="BP136" s="20"/>
      <c r="BQ136" s="20"/>
      <c r="BR136" s="20"/>
      <c r="BS136" s="20"/>
      <c r="BT136" s="20"/>
      <c r="BU136" s="20"/>
      <c r="BV136" s="20"/>
      <c r="BW136" s="20"/>
      <c r="BX136" s="20"/>
      <c r="BY136" s="20"/>
      <c r="BZ136" s="20"/>
      <c r="CA136" s="20"/>
      <c r="CB136" s="20"/>
      <c r="CC136" s="20"/>
      <c r="CD136" s="20"/>
      <c r="CE136" s="20"/>
      <c r="CF136" s="20"/>
      <c r="CG136" s="20"/>
      <c r="CH136" s="20"/>
      <c r="CI136" s="20"/>
      <c r="CJ136" s="20"/>
      <c r="CK136" s="20"/>
      <c r="CL136" s="20"/>
      <c r="CM136" s="20"/>
      <c r="CN136" s="20"/>
      <c r="CO136" s="20"/>
      <c r="CP136" s="20"/>
      <c r="CQ136" s="20"/>
      <c r="CR136" s="20"/>
      <c r="CS136" s="20"/>
      <c r="CT136" s="20"/>
      <c r="CU136" s="20"/>
      <c r="CV136" s="20"/>
      <c r="CW136" s="20"/>
      <c r="CX136" s="20"/>
      <c r="CY136" s="20"/>
      <c r="CZ136" s="20"/>
      <c r="DA136" s="20"/>
      <c r="DB136" s="20"/>
      <c r="DC136" s="20"/>
      <c r="DD136" s="20"/>
      <c r="DE136" s="20"/>
      <c r="DF136" s="20"/>
      <c r="DG136" s="20"/>
      <c r="DH136" s="20"/>
      <c r="DI136" s="20"/>
      <c r="DJ136" s="20"/>
      <c r="DK136" s="20"/>
      <c r="DL136" s="20"/>
      <c r="DM136" s="20"/>
      <c r="DN136" s="20"/>
      <c r="DO136" s="20"/>
      <c r="DP136" s="20"/>
      <c r="DQ136" s="20"/>
      <c r="DR136" s="20"/>
      <c r="DS136" s="20"/>
      <c r="DT136" s="20"/>
      <c r="DU136" s="20"/>
      <c r="DV136" s="20"/>
      <c r="DW136" s="20"/>
      <c r="DX136" s="20"/>
      <c r="DY136" s="20"/>
      <c r="DZ136" s="20"/>
      <c r="EA136" s="20"/>
      <c r="EB136" s="20"/>
      <c r="EC136" s="20"/>
      <c r="ED136" s="20"/>
      <c r="EE136" s="20"/>
      <c r="EF136" s="20"/>
      <c r="EG136" s="20"/>
      <c r="EH136" s="20"/>
      <c r="EI136" s="20"/>
    </row>
    <row r="137" spans="1:139" x14ac:dyDescent="0.25">
      <c r="A137" s="20"/>
      <c r="B137" s="97" t="s">
        <v>214</v>
      </c>
      <c r="C137" s="100" t="s">
        <v>205</v>
      </c>
      <c r="D137" s="99" t="s">
        <v>215</v>
      </c>
      <c r="E137" s="101" t="e">
        <f>0.0000175+0.0000000335*E136</f>
        <v>#VALUE!</v>
      </c>
      <c r="F137" s="154" t="e">
        <f t="shared" ref="F137:H137" si="62">0.0000175+0.0000000335*F136</f>
        <v>#VALUE!</v>
      </c>
      <c r="G137" s="102" t="e">
        <f t="shared" si="62"/>
        <v>#VALUE!</v>
      </c>
      <c r="H137" s="102" t="e">
        <f t="shared" si="62"/>
        <v>#VALUE!</v>
      </c>
      <c r="I137" s="102">
        <f>0.0000175+0.0000000335*I136</f>
        <v>3.0247187542499492E-5</v>
      </c>
      <c r="J137" s="102">
        <f>0.0000175+0.0000000335*J136</f>
        <v>2.101231342672411E-5</v>
      </c>
      <c r="K137" s="102">
        <f t="shared" ref="K137:L137" si="63">0.0000175+0.0000000335*K136</f>
        <v>2.0850831113609516E-5</v>
      </c>
      <c r="L137" s="103" t="e">
        <f t="shared" si="63"/>
        <v>#VALUE!</v>
      </c>
      <c r="M137" s="20"/>
      <c r="N137" s="20"/>
      <c r="O137" s="20"/>
      <c r="P137" s="20"/>
      <c r="Q137" s="42"/>
      <c r="R137" s="20"/>
      <c r="S137" s="20"/>
      <c r="T137" s="20"/>
      <c r="U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20"/>
      <c r="AM137" s="20"/>
      <c r="AN137" s="20"/>
      <c r="AO137" s="20"/>
      <c r="AP137" s="20"/>
      <c r="AQ137" s="20"/>
      <c r="AR137" s="20"/>
      <c r="AS137" s="20"/>
      <c r="AT137" s="20"/>
      <c r="AU137" s="20"/>
      <c r="AV137" s="20"/>
      <c r="AW137" s="20"/>
      <c r="AX137" s="20"/>
      <c r="AY137" s="20"/>
      <c r="AZ137" s="20"/>
      <c r="BA137" s="20"/>
      <c r="BB137" s="20"/>
      <c r="BC137" s="20"/>
      <c r="BD137" s="20"/>
      <c r="BE137" s="20"/>
      <c r="BF137" s="20"/>
      <c r="BG137" s="20"/>
      <c r="BH137" s="20"/>
      <c r="BI137" s="20"/>
      <c r="BJ137" s="20"/>
      <c r="BK137" s="20"/>
      <c r="BL137" s="20"/>
      <c r="BM137" s="20"/>
      <c r="BN137" s="20"/>
      <c r="BO137" s="20"/>
      <c r="BP137" s="20"/>
      <c r="BQ137" s="20"/>
      <c r="BR137" s="20"/>
      <c r="BS137" s="20"/>
      <c r="BT137" s="20"/>
      <c r="BU137" s="20"/>
      <c r="BV137" s="20"/>
      <c r="BW137" s="20"/>
      <c r="BX137" s="20"/>
      <c r="BY137" s="20"/>
      <c r="BZ137" s="20"/>
      <c r="CA137" s="20"/>
      <c r="CB137" s="20"/>
      <c r="CC137" s="20"/>
      <c r="CD137" s="20"/>
      <c r="CE137" s="20"/>
      <c r="CF137" s="20"/>
      <c r="CG137" s="20"/>
      <c r="CH137" s="20"/>
      <c r="CI137" s="20"/>
      <c r="CJ137" s="20"/>
      <c r="CK137" s="20"/>
      <c r="CL137" s="20"/>
      <c r="CM137" s="20"/>
      <c r="CN137" s="20"/>
      <c r="CO137" s="20"/>
      <c r="CP137" s="20"/>
      <c r="CQ137" s="20"/>
      <c r="CR137" s="20"/>
      <c r="CS137" s="20"/>
      <c r="CT137" s="20"/>
      <c r="CU137" s="20"/>
      <c r="CV137" s="20"/>
      <c r="CW137" s="20"/>
      <c r="CX137" s="20"/>
      <c r="CY137" s="20"/>
      <c r="CZ137" s="20"/>
      <c r="DA137" s="20"/>
      <c r="DB137" s="20"/>
      <c r="DC137" s="20"/>
      <c r="DD137" s="20"/>
      <c r="DE137" s="20"/>
      <c r="DF137" s="20"/>
      <c r="DG137" s="20"/>
      <c r="DH137" s="20"/>
      <c r="DI137" s="20"/>
      <c r="DJ137" s="20"/>
      <c r="DK137" s="20"/>
      <c r="DL137" s="20"/>
      <c r="DM137" s="20"/>
      <c r="DN137" s="20"/>
      <c r="DO137" s="20"/>
      <c r="DP137" s="20"/>
      <c r="DQ137" s="20"/>
      <c r="DR137" s="20"/>
      <c r="DS137" s="20"/>
      <c r="DT137" s="20"/>
      <c r="DU137" s="20"/>
      <c r="DV137" s="20"/>
      <c r="DW137" s="20"/>
      <c r="DX137" s="20"/>
      <c r="DY137" s="20"/>
      <c r="DZ137" s="20"/>
      <c r="EA137" s="20"/>
      <c r="EB137" s="20"/>
      <c r="EC137" s="20"/>
      <c r="ED137" s="20"/>
      <c r="EE137" s="20"/>
      <c r="EF137" s="20"/>
      <c r="EG137" s="20"/>
      <c r="EH137" s="20"/>
      <c r="EI137" s="20"/>
    </row>
    <row r="138" spans="1:139" x14ac:dyDescent="0.25">
      <c r="A138" s="20"/>
      <c r="B138" s="97" t="s">
        <v>216</v>
      </c>
      <c r="C138" s="100" t="s">
        <v>217</v>
      </c>
      <c r="D138" s="99" t="s">
        <v>218</v>
      </c>
      <c r="E138" s="101">
        <f>E131/E130</f>
        <v>1.9177438480770349E-4</v>
      </c>
      <c r="F138" s="154">
        <f t="shared" ref="F138:H138" si="64">F131/F130</f>
        <v>1.7262124175318361E-4</v>
      </c>
      <c r="G138" s="102">
        <f t="shared" si="64"/>
        <v>1.623019293206361E-4</v>
      </c>
      <c r="H138" s="102">
        <f t="shared" si="64"/>
        <v>1.5649833081345218E-4</v>
      </c>
      <c r="I138" s="102">
        <f>I131/I130</f>
        <v>1.1983076266343745E-4</v>
      </c>
      <c r="J138" s="102">
        <f>J131/J130</f>
        <v>7.4047674667030851E-5</v>
      </c>
      <c r="K138" s="102">
        <f t="shared" ref="K138:L138" si="65">K131/K130</f>
        <v>4.7777253038057982E-5</v>
      </c>
      <c r="L138" s="103">
        <f t="shared" si="65"/>
        <v>3.5040314022869499E-5</v>
      </c>
      <c r="M138" s="20"/>
      <c r="N138" s="20"/>
      <c r="O138" s="20"/>
      <c r="P138" s="20"/>
      <c r="Q138" s="42"/>
      <c r="R138" s="20"/>
      <c r="S138" s="20"/>
      <c r="T138" s="20"/>
      <c r="U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20"/>
      <c r="AM138" s="20"/>
      <c r="AN138" s="20"/>
      <c r="AO138" s="20"/>
      <c r="AP138" s="20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  <c r="BA138" s="20"/>
      <c r="BB138" s="20"/>
      <c r="BC138" s="20"/>
      <c r="BD138" s="20"/>
      <c r="BE138" s="20"/>
      <c r="BF138" s="20"/>
      <c r="BG138" s="20"/>
      <c r="BH138" s="20"/>
      <c r="BI138" s="20"/>
      <c r="BJ138" s="20"/>
      <c r="BK138" s="20"/>
      <c r="BL138" s="20"/>
      <c r="BM138" s="20"/>
      <c r="BN138" s="20"/>
      <c r="BO138" s="20"/>
      <c r="BP138" s="20"/>
      <c r="BQ138" s="20"/>
      <c r="BR138" s="20"/>
      <c r="BS138" s="20"/>
      <c r="BT138" s="20"/>
      <c r="BU138" s="20"/>
      <c r="BV138" s="20"/>
      <c r="BW138" s="20"/>
      <c r="BX138" s="20"/>
      <c r="BY138" s="20"/>
      <c r="BZ138" s="20"/>
      <c r="CA138" s="20"/>
      <c r="CB138" s="20"/>
      <c r="CC138" s="20"/>
      <c r="CD138" s="20"/>
      <c r="CE138" s="20"/>
      <c r="CF138" s="20"/>
      <c r="CG138" s="20"/>
      <c r="CH138" s="20"/>
      <c r="CI138" s="20"/>
      <c r="CJ138" s="20"/>
      <c r="CK138" s="20"/>
      <c r="CL138" s="20"/>
      <c r="CM138" s="20"/>
      <c r="CN138" s="20"/>
      <c r="CO138" s="20"/>
      <c r="CP138" s="20"/>
      <c r="CQ138" s="20"/>
      <c r="CR138" s="20"/>
      <c r="CS138" s="20"/>
      <c r="CT138" s="20"/>
      <c r="CU138" s="20"/>
      <c r="CV138" s="20"/>
      <c r="CW138" s="20"/>
      <c r="CX138" s="20"/>
      <c r="CY138" s="20"/>
      <c r="CZ138" s="20"/>
      <c r="DA138" s="20"/>
      <c r="DB138" s="20"/>
      <c r="DC138" s="20"/>
      <c r="DD138" s="20"/>
      <c r="DE138" s="20"/>
      <c r="DF138" s="20"/>
      <c r="DG138" s="20"/>
      <c r="DH138" s="20"/>
      <c r="DI138" s="20"/>
      <c r="DJ138" s="20"/>
      <c r="DK138" s="20"/>
      <c r="DL138" s="20"/>
      <c r="DM138" s="20"/>
      <c r="DN138" s="20"/>
      <c r="DO138" s="20"/>
      <c r="DP138" s="20"/>
      <c r="DQ138" s="20"/>
      <c r="DR138" s="20"/>
      <c r="DS138" s="20"/>
      <c r="DT138" s="20"/>
      <c r="DU138" s="20"/>
      <c r="DV138" s="20"/>
      <c r="DW138" s="20"/>
      <c r="DX138" s="20"/>
      <c r="DY138" s="20"/>
      <c r="DZ138" s="20"/>
      <c r="EA138" s="20"/>
      <c r="EB138" s="20"/>
      <c r="EC138" s="20"/>
      <c r="ED138" s="20"/>
      <c r="EE138" s="20"/>
      <c r="EF138" s="20"/>
      <c r="EG138" s="20"/>
      <c r="EH138" s="20"/>
      <c r="EI138" s="20"/>
    </row>
    <row r="139" spans="1:139" x14ac:dyDescent="0.25">
      <c r="A139" s="20"/>
      <c r="B139" s="97" t="s">
        <v>219</v>
      </c>
      <c r="C139" s="100" t="s">
        <v>220</v>
      </c>
      <c r="D139" s="104" t="s">
        <v>122</v>
      </c>
      <c r="E139" s="34">
        <f>E131*E129/E132</f>
        <v>0.80238373165584131</v>
      </c>
      <c r="F139" s="153">
        <f t="shared" ref="F139:H139" si="66">F131*F129/F132</f>
        <v>0.79833985750825398</v>
      </c>
      <c r="G139" s="32">
        <f>G131*G129/G132</f>
        <v>0.79605413348472254</v>
      </c>
      <c r="H139" s="32">
        <f t="shared" si="66"/>
        <v>0.79473676283184991</v>
      </c>
      <c r="I139" s="32">
        <f>I131*I129/I132</f>
        <v>0.78572159999671043</v>
      </c>
      <c r="J139" s="32">
        <f>J131*J129/J132</f>
        <v>0.77334006550365042</v>
      </c>
      <c r="K139" s="32">
        <f t="shared" ref="K139:L139" si="67">K131*K129/K132</f>
        <v>0.77511849896418961</v>
      </c>
      <c r="L139" s="33">
        <f t="shared" si="67"/>
        <v>0.78581206181556829</v>
      </c>
      <c r="M139" s="20"/>
      <c r="N139" s="20"/>
      <c r="O139" s="20"/>
      <c r="P139" s="20"/>
      <c r="Q139" s="42"/>
      <c r="R139" s="20"/>
      <c r="S139" s="20"/>
      <c r="T139" s="20"/>
      <c r="U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20"/>
      <c r="AM139" s="20"/>
      <c r="AN139" s="20"/>
      <c r="AO139" s="20"/>
      <c r="AP139" s="20"/>
      <c r="AQ139" s="20"/>
      <c r="AR139" s="20"/>
      <c r="AS139" s="20"/>
      <c r="AT139" s="20"/>
      <c r="AU139" s="20"/>
      <c r="AV139" s="20"/>
      <c r="AW139" s="20"/>
      <c r="AX139" s="20"/>
      <c r="AY139" s="20"/>
      <c r="AZ139" s="20"/>
      <c r="BA139" s="20"/>
      <c r="BB139" s="20"/>
      <c r="BC139" s="20"/>
      <c r="BD139" s="20"/>
      <c r="BE139" s="20"/>
      <c r="BF139" s="20"/>
      <c r="BG139" s="20"/>
      <c r="BH139" s="20"/>
      <c r="BI139" s="20"/>
      <c r="BJ139" s="20"/>
      <c r="BK139" s="20"/>
      <c r="BL139" s="20"/>
      <c r="BM139" s="20"/>
      <c r="BN139" s="20"/>
      <c r="BO139" s="20"/>
      <c r="BP139" s="20"/>
      <c r="BQ139" s="20"/>
      <c r="BR139" s="20"/>
      <c r="BS139" s="20"/>
      <c r="BT139" s="20"/>
      <c r="BU139" s="20"/>
      <c r="BV139" s="20"/>
      <c r="BW139" s="20"/>
      <c r="BX139" s="20"/>
      <c r="BY139" s="20"/>
      <c r="BZ139" s="20"/>
      <c r="CA139" s="20"/>
      <c r="CB139" s="20"/>
      <c r="CC139" s="20"/>
      <c r="CD139" s="20"/>
      <c r="CE139" s="20"/>
      <c r="CF139" s="20"/>
      <c r="CG139" s="20"/>
      <c r="CH139" s="20"/>
      <c r="CI139" s="20"/>
      <c r="CJ139" s="20"/>
      <c r="CK139" s="20"/>
      <c r="CL139" s="20"/>
      <c r="CM139" s="20"/>
      <c r="CN139" s="20"/>
      <c r="CO139" s="20"/>
      <c r="CP139" s="20"/>
      <c r="CQ139" s="20"/>
      <c r="CR139" s="20"/>
      <c r="CS139" s="20"/>
      <c r="CT139" s="20"/>
      <c r="CU139" s="20"/>
      <c r="CV139" s="20"/>
      <c r="CW139" s="20"/>
      <c r="CX139" s="20"/>
      <c r="CY139" s="20"/>
      <c r="CZ139" s="20"/>
      <c r="DA139" s="20"/>
      <c r="DB139" s="20"/>
      <c r="DC139" s="20"/>
      <c r="DD139" s="20"/>
      <c r="DE139" s="20"/>
      <c r="DF139" s="20"/>
      <c r="DG139" s="20"/>
      <c r="DH139" s="20"/>
      <c r="DI139" s="20"/>
      <c r="DJ139" s="20"/>
      <c r="DK139" s="20"/>
      <c r="DL139" s="20"/>
      <c r="DM139" s="20"/>
      <c r="DN139" s="20"/>
      <c r="DO139" s="20"/>
      <c r="DP139" s="20"/>
      <c r="DQ139" s="20"/>
      <c r="DR139" s="20"/>
      <c r="DS139" s="20"/>
      <c r="DT139" s="20"/>
      <c r="DU139" s="20"/>
      <c r="DV139" s="20"/>
      <c r="DW139" s="20"/>
      <c r="DX139" s="20"/>
      <c r="DY139" s="20"/>
      <c r="DZ139" s="20"/>
      <c r="EA139" s="20"/>
      <c r="EB139" s="20"/>
      <c r="EC139" s="20"/>
      <c r="ED139" s="20"/>
      <c r="EE139" s="20"/>
      <c r="EF139" s="20"/>
      <c r="EG139" s="20"/>
      <c r="EH139" s="20"/>
      <c r="EI139" s="20"/>
    </row>
    <row r="140" spans="1:139" x14ac:dyDescent="0.25">
      <c r="A140" s="20"/>
      <c r="B140" s="97" t="s">
        <v>113</v>
      </c>
      <c r="C140" s="100" t="s">
        <v>114</v>
      </c>
      <c r="D140" s="99" t="s">
        <v>61</v>
      </c>
      <c r="E140" s="34">
        <f>4*E133/E134</f>
        <v>1.1779935275080906</v>
      </c>
      <c r="F140" s="153">
        <f>4*F133/F134</f>
        <v>0.90462143559488684</v>
      </c>
      <c r="G140" s="32">
        <f>4*G133/G134</f>
        <v>0.87358632822317162</v>
      </c>
      <c r="H140" s="32">
        <f t="shared" ref="H140" si="68">4*H133/H134</f>
        <v>0.84751864232450502</v>
      </c>
      <c r="I140" s="32">
        <f>4*I133/I134</f>
        <v>0.31781226903178122</v>
      </c>
      <c r="J140" s="32">
        <f>4*J133/J134</f>
        <v>0.23391158365976497</v>
      </c>
      <c r="K140" s="32">
        <f t="shared" ref="K140:L140" si="69">4*K133/K134</f>
        <v>0.18597618597618595</v>
      </c>
      <c r="L140" s="33">
        <f t="shared" si="69"/>
        <v>0.18597618597618595</v>
      </c>
      <c r="M140" s="20"/>
      <c r="N140" s="20"/>
      <c r="O140" s="20"/>
      <c r="P140" s="20"/>
      <c r="Q140" s="42"/>
      <c r="R140" s="20"/>
      <c r="S140" s="20"/>
      <c r="T140" s="20"/>
      <c r="U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  <c r="AM140" s="20"/>
      <c r="AN140" s="20"/>
      <c r="AO140" s="20"/>
      <c r="AP140" s="20"/>
      <c r="AQ140" s="20"/>
      <c r="AR140" s="20"/>
      <c r="AS140" s="20"/>
      <c r="AT140" s="20"/>
      <c r="AU140" s="20"/>
      <c r="AV140" s="20"/>
      <c r="AW140" s="20"/>
      <c r="AX140" s="20"/>
      <c r="AY140" s="20"/>
      <c r="AZ140" s="20"/>
      <c r="BA140" s="20"/>
      <c r="BB140" s="20"/>
      <c r="BC140" s="20"/>
      <c r="BD140" s="20"/>
      <c r="BE140" s="20"/>
      <c r="BF140" s="20"/>
      <c r="BG140" s="20"/>
      <c r="BH140" s="20"/>
      <c r="BI140" s="20"/>
      <c r="BJ140" s="20"/>
      <c r="BK140" s="20"/>
      <c r="BL140" s="20"/>
      <c r="BM140" s="20"/>
      <c r="BN140" s="20"/>
      <c r="BO140" s="20"/>
      <c r="BP140" s="20"/>
      <c r="BQ140" s="20"/>
      <c r="BR140" s="20"/>
      <c r="BS140" s="20"/>
      <c r="BT140" s="20"/>
      <c r="BU140" s="20"/>
      <c r="BV140" s="20"/>
      <c r="BW140" s="20"/>
      <c r="BX140" s="20"/>
      <c r="BY140" s="20"/>
      <c r="BZ140" s="20"/>
      <c r="CA140" s="20"/>
      <c r="CB140" s="20"/>
      <c r="CC140" s="20"/>
      <c r="CD140" s="20"/>
      <c r="CE140" s="20"/>
      <c r="CF140" s="20"/>
      <c r="CG140" s="20"/>
      <c r="CH140" s="20"/>
      <c r="CI140" s="20"/>
      <c r="CJ140" s="20"/>
      <c r="CK140" s="20"/>
      <c r="CL140" s="20"/>
      <c r="CM140" s="20"/>
      <c r="CN140" s="20"/>
      <c r="CO140" s="20"/>
      <c r="CP140" s="20"/>
      <c r="CQ140" s="20"/>
      <c r="CR140" s="20"/>
      <c r="CS140" s="20"/>
      <c r="CT140" s="20"/>
      <c r="CU140" s="20"/>
      <c r="CV140" s="20"/>
      <c r="CW140" s="20"/>
      <c r="CX140" s="20"/>
      <c r="CY140" s="20"/>
      <c r="CZ140" s="20"/>
      <c r="DA140" s="20"/>
      <c r="DB140" s="20"/>
      <c r="DC140" s="20"/>
      <c r="DD140" s="20"/>
      <c r="DE140" s="20"/>
      <c r="DF140" s="20"/>
      <c r="DG140" s="20"/>
      <c r="DH140" s="20"/>
      <c r="DI140" s="20"/>
      <c r="DJ140" s="20"/>
      <c r="DK140" s="20"/>
      <c r="DL140" s="20"/>
      <c r="DM140" s="20"/>
      <c r="DN140" s="20"/>
      <c r="DO140" s="20"/>
      <c r="DP140" s="20"/>
      <c r="DQ140" s="20"/>
      <c r="DR140" s="20"/>
      <c r="DS140" s="20"/>
      <c r="DT140" s="20"/>
      <c r="DU140" s="20"/>
      <c r="DV140" s="20"/>
      <c r="DW140" s="20"/>
      <c r="DX140" s="20"/>
      <c r="DY140" s="20"/>
      <c r="DZ140" s="20"/>
      <c r="EA140" s="20"/>
      <c r="EB140" s="20"/>
      <c r="EC140" s="20"/>
      <c r="ED140" s="20"/>
      <c r="EE140" s="20"/>
      <c r="EF140" s="20"/>
      <c r="EG140" s="20"/>
      <c r="EH140" s="20"/>
      <c r="EI140" s="20"/>
    </row>
    <row r="141" spans="1:139" x14ac:dyDescent="0.25">
      <c r="A141" s="20"/>
      <c r="B141" s="97" t="s">
        <v>221</v>
      </c>
      <c r="C141" s="100" t="s">
        <v>222</v>
      </c>
      <c r="D141" s="99" t="s">
        <v>122</v>
      </c>
      <c r="E141" s="101">
        <f>(E130*E135*E140)/E131</f>
        <v>18378.018096637948</v>
      </c>
      <c r="F141" s="154">
        <f t="shared" ref="F141:H141" si="70">(F130*F135*F140)/F131</f>
        <v>18737.141281227934</v>
      </c>
      <c r="G141" s="102">
        <f t="shared" si="70"/>
        <v>24617.48028440386</v>
      </c>
      <c r="H141" s="102">
        <f t="shared" si="70"/>
        <v>25601.314709612681</v>
      </c>
      <c r="I141" s="102">
        <f>(I130*I135*I140)/I131</f>
        <v>13807.130606212057</v>
      </c>
      <c r="J141" s="102">
        <f>(J130*J135*J140)/J131</f>
        <v>12872.185580003892</v>
      </c>
      <c r="K141" s="102">
        <f t="shared" ref="K141:L141" si="71">(K130*K135*K140)/K131</f>
        <v>15645.403464374476</v>
      </c>
      <c r="L141" s="103">
        <f t="shared" si="71"/>
        <v>17703.635423767475</v>
      </c>
      <c r="M141" s="20"/>
      <c r="N141" s="20"/>
      <c r="O141" s="20"/>
      <c r="P141" s="20"/>
      <c r="Q141" s="42"/>
      <c r="R141" s="20"/>
      <c r="S141" s="20"/>
      <c r="T141" s="20"/>
      <c r="U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20"/>
      <c r="AM141" s="20"/>
      <c r="AN141" s="20"/>
      <c r="AO141" s="20"/>
      <c r="AP141" s="20"/>
      <c r="AQ141" s="20"/>
      <c r="AR141" s="20"/>
      <c r="AS141" s="20"/>
      <c r="AT141" s="20"/>
      <c r="AU141" s="20"/>
      <c r="AV141" s="20"/>
      <c r="AW141" s="20"/>
      <c r="AX141" s="20"/>
      <c r="AY141" s="20"/>
      <c r="AZ141" s="20"/>
      <c r="BA141" s="20"/>
      <c r="BB141" s="20"/>
      <c r="BC141" s="20"/>
      <c r="BD141" s="20"/>
      <c r="BE141" s="20"/>
      <c r="BF141" s="20"/>
      <c r="BG141" s="20"/>
      <c r="BH141" s="20"/>
      <c r="BI141" s="20"/>
      <c r="BJ141" s="20"/>
      <c r="BK141" s="20"/>
      <c r="BL141" s="20"/>
      <c r="BM141" s="20"/>
      <c r="BN141" s="20"/>
      <c r="BO141" s="20"/>
      <c r="BP141" s="20"/>
      <c r="BQ141" s="20"/>
      <c r="BR141" s="20"/>
      <c r="BS141" s="20"/>
      <c r="BT141" s="20"/>
      <c r="BU141" s="20"/>
      <c r="BV141" s="20"/>
      <c r="BW141" s="20"/>
      <c r="BX141" s="20"/>
      <c r="BY141" s="20"/>
      <c r="BZ141" s="20"/>
      <c r="CA141" s="20"/>
      <c r="CB141" s="20"/>
      <c r="CC141" s="20"/>
      <c r="CD141" s="20"/>
      <c r="CE141" s="20"/>
      <c r="CF141" s="20"/>
      <c r="CG141" s="20"/>
      <c r="CH141" s="20"/>
      <c r="CI141" s="20"/>
      <c r="CJ141" s="20"/>
      <c r="CK141" s="20"/>
      <c r="CL141" s="20"/>
      <c r="CM141" s="20"/>
      <c r="CN141" s="20"/>
      <c r="CO141" s="20"/>
      <c r="CP141" s="20"/>
      <c r="CQ141" s="20"/>
      <c r="CR141" s="20"/>
      <c r="CS141" s="20"/>
      <c r="CT141" s="20"/>
      <c r="CU141" s="20"/>
      <c r="CV141" s="20"/>
      <c r="CW141" s="20"/>
      <c r="CX141" s="20"/>
      <c r="CY141" s="20"/>
      <c r="CZ141" s="20"/>
      <c r="DA141" s="20"/>
      <c r="DB141" s="20"/>
      <c r="DC141" s="20"/>
      <c r="DD141" s="20"/>
      <c r="DE141" s="20"/>
      <c r="DF141" s="20"/>
      <c r="DG141" s="20"/>
      <c r="DH141" s="20"/>
      <c r="DI141" s="20"/>
      <c r="DJ141" s="20"/>
      <c r="DK141" s="20"/>
      <c r="DL141" s="20"/>
      <c r="DM141" s="20"/>
      <c r="DN141" s="20"/>
      <c r="DO141" s="20"/>
      <c r="DP141" s="20"/>
      <c r="DQ141" s="20"/>
      <c r="DR141" s="20"/>
      <c r="DS141" s="20"/>
      <c r="DT141" s="20"/>
      <c r="DU141" s="20"/>
      <c r="DV141" s="20"/>
      <c r="DW141" s="20"/>
      <c r="DX141" s="20"/>
      <c r="DY141" s="20"/>
      <c r="DZ141" s="20"/>
      <c r="EA141" s="20"/>
      <c r="EB141" s="20"/>
      <c r="EC141" s="20"/>
      <c r="ED141" s="20"/>
      <c r="EE141" s="20"/>
      <c r="EF141" s="20"/>
      <c r="EG141" s="20"/>
      <c r="EH141" s="20"/>
      <c r="EI141" s="20"/>
    </row>
    <row r="142" spans="1:139" x14ac:dyDescent="0.25">
      <c r="A142" s="20"/>
      <c r="B142" s="97" t="s">
        <v>266</v>
      </c>
      <c r="C142" s="100" t="s">
        <v>224</v>
      </c>
      <c r="D142" s="99" t="s">
        <v>122</v>
      </c>
      <c r="E142" s="34">
        <f>0.664*E141^(1/2)*E139^(1/3)</f>
        <v>83.645925038314289</v>
      </c>
      <c r="F142" s="153">
        <f t="shared" ref="F142:H142" si="72">0.664*F141^(1/2)*F139^(1/3)</f>
        <v>84.317104169394298</v>
      </c>
      <c r="G142" s="32">
        <f>0.664*G141^(1/2)*G139^(1/3)</f>
        <v>96.554105768750333</v>
      </c>
      <c r="H142" s="32">
        <f t="shared" si="72"/>
        <v>98.410245341241108</v>
      </c>
      <c r="I142" s="32">
        <f>0.664*I141^(1/2)*I139^(1/3)</f>
        <v>71.996164400529736</v>
      </c>
      <c r="J142" s="32">
        <f>0.664*J141^(1/2)*J139^(1/3)</f>
        <v>69.148759883739672</v>
      </c>
      <c r="K142" s="32">
        <f t="shared" ref="K142:L142" si="73">0.664*K141^(1/2)*K139^(1/3)</f>
        <v>76.292907072357877</v>
      </c>
      <c r="L142" s="33">
        <f t="shared" si="73"/>
        <v>81.527765298163644</v>
      </c>
      <c r="M142" s="20"/>
      <c r="N142" s="20"/>
      <c r="O142" s="20"/>
      <c r="P142" s="20"/>
      <c r="Q142" s="42"/>
      <c r="R142" s="20"/>
      <c r="S142" s="20"/>
      <c r="T142" s="20"/>
      <c r="U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AY142" s="20"/>
      <c r="AZ142" s="20"/>
      <c r="BA142" s="20"/>
      <c r="BB142" s="20"/>
      <c r="BC142" s="20"/>
      <c r="BD142" s="20"/>
      <c r="BE142" s="20"/>
      <c r="BF142" s="20"/>
      <c r="BG142" s="20"/>
      <c r="BH142" s="20"/>
      <c r="BI142" s="20"/>
      <c r="BJ142" s="20"/>
      <c r="BK142" s="20"/>
      <c r="BL142" s="20"/>
      <c r="BM142" s="20"/>
      <c r="BN142" s="20"/>
      <c r="BO142" s="20"/>
      <c r="BP142" s="20"/>
      <c r="BQ142" s="20"/>
      <c r="BR142" s="20"/>
      <c r="BS142" s="20"/>
      <c r="BT142" s="20"/>
      <c r="BU142" s="20"/>
      <c r="BV142" s="20"/>
      <c r="BW142" s="20"/>
      <c r="BX142" s="20"/>
      <c r="BY142" s="20"/>
      <c r="BZ142" s="20"/>
      <c r="CA142" s="20"/>
      <c r="CB142" s="20"/>
      <c r="CC142" s="20"/>
      <c r="CD142" s="20"/>
      <c r="CE142" s="20"/>
      <c r="CF142" s="20"/>
      <c r="CG142" s="20"/>
      <c r="CH142" s="20"/>
      <c r="CI142" s="20"/>
      <c r="CJ142" s="20"/>
      <c r="CK142" s="20"/>
      <c r="CL142" s="20"/>
      <c r="CM142" s="20"/>
      <c r="CN142" s="20"/>
      <c r="CO142" s="20"/>
      <c r="CP142" s="20"/>
      <c r="CQ142" s="20"/>
      <c r="CR142" s="20"/>
      <c r="CS142" s="20"/>
      <c r="CT142" s="20"/>
      <c r="CU142" s="20"/>
      <c r="CV142" s="20"/>
      <c r="CW142" s="20"/>
      <c r="CX142" s="20"/>
      <c r="CY142" s="20"/>
      <c r="CZ142" s="20"/>
      <c r="DA142" s="20"/>
      <c r="DB142" s="20"/>
      <c r="DC142" s="20"/>
      <c r="DD142" s="20"/>
      <c r="DE142" s="20"/>
      <c r="DF142" s="20"/>
      <c r="DG142" s="20"/>
      <c r="DH142" s="20"/>
      <c r="DI142" s="20"/>
      <c r="DJ142" s="20"/>
      <c r="DK142" s="20"/>
      <c r="DL142" s="20"/>
      <c r="DM142" s="20"/>
      <c r="DN142" s="20"/>
      <c r="DO142" s="20"/>
      <c r="DP142" s="20"/>
      <c r="DQ142" s="20"/>
      <c r="DR142" s="20"/>
      <c r="DS142" s="20"/>
      <c r="DT142" s="20"/>
      <c r="DU142" s="20"/>
      <c r="DV142" s="20"/>
      <c r="DW142" s="20"/>
      <c r="DX142" s="20"/>
      <c r="DY142" s="20"/>
      <c r="DZ142" s="20"/>
      <c r="EA142" s="20"/>
      <c r="EB142" s="20"/>
      <c r="EC142" s="20"/>
      <c r="ED142" s="20"/>
      <c r="EE142" s="20"/>
      <c r="EF142" s="20"/>
      <c r="EG142" s="20"/>
      <c r="EH142" s="20"/>
      <c r="EI142" s="20"/>
    </row>
    <row r="143" spans="1:139" x14ac:dyDescent="0.25">
      <c r="A143" s="20"/>
      <c r="B143" s="97" t="s">
        <v>267</v>
      </c>
      <c r="C143" s="100" t="s">
        <v>224</v>
      </c>
      <c r="D143" s="99" t="s">
        <v>122</v>
      </c>
      <c r="E143" s="34">
        <f>(0.037*E141^(0.8)*E139)/(1+2.443*E141^(-0.1)*(E139^0.67-1))</f>
        <v>87.55256569080332</v>
      </c>
      <c r="F143" s="153">
        <f t="shared" ref="F143:H143" si="74">(0.037*F141^(0.8)*F139)/(1+2.443*F141^(-0.1)*(F139^0.67-1))</f>
        <v>88.716047855841921</v>
      </c>
      <c r="G143" s="32">
        <f t="shared" si="74"/>
        <v>109.80075448357346</v>
      </c>
      <c r="H143" s="32">
        <f t="shared" si="74"/>
        <v>113.15531585123811</v>
      </c>
      <c r="I143" s="32">
        <f>(0.037*I141^(0.8)*I139)/(1+2.443*I141^(-0.1)*(I139^0.67-1))</f>
        <v>69.391428933044764</v>
      </c>
      <c r="J143" s="32">
        <f>(0.037*J141^(0.8)*J139)/(1+2.443*J141^(-0.1)*(J139^0.67-1))</f>
        <v>65.296325959245607</v>
      </c>
      <c r="K143" s="32">
        <f t="shared" ref="K143:L143" si="75">(0.037*K141^(0.8)*K139)/(1+2.443*K141^(-0.1)*(K139^0.67-1))</f>
        <v>76.134541409417281</v>
      </c>
      <c r="L143" s="33">
        <f t="shared" si="75"/>
        <v>84.324392089763947</v>
      </c>
      <c r="M143" s="20"/>
      <c r="N143" s="20"/>
      <c r="O143" s="20"/>
      <c r="P143" s="20"/>
      <c r="Q143" s="42"/>
      <c r="R143" s="20"/>
      <c r="S143" s="20"/>
      <c r="T143" s="20"/>
      <c r="U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  <c r="AM143" s="20"/>
      <c r="AN143" s="20"/>
      <c r="AO143" s="20"/>
      <c r="AP143" s="20"/>
      <c r="AQ143" s="20"/>
      <c r="AR143" s="20"/>
      <c r="AS143" s="20"/>
      <c r="AT143" s="20"/>
      <c r="AU143" s="20"/>
      <c r="AV143" s="20"/>
      <c r="AW143" s="20"/>
      <c r="AX143" s="20"/>
      <c r="AY143" s="20"/>
      <c r="AZ143" s="20"/>
      <c r="BA143" s="20"/>
      <c r="BB143" s="20"/>
      <c r="BC143" s="20"/>
      <c r="BD143" s="20"/>
      <c r="BE143" s="20"/>
      <c r="BF143" s="20"/>
      <c r="BG143" s="20"/>
      <c r="BH143" s="20"/>
      <c r="BI143" s="20"/>
      <c r="BJ143" s="20"/>
      <c r="BK143" s="20"/>
      <c r="BL143" s="20"/>
      <c r="BM143" s="20"/>
      <c r="BN143" s="20"/>
      <c r="BO143" s="20"/>
      <c r="BP143" s="20"/>
      <c r="BQ143" s="20"/>
      <c r="BR143" s="20"/>
      <c r="BS143" s="20"/>
      <c r="BT143" s="20"/>
      <c r="BU143" s="20"/>
      <c r="BV143" s="20"/>
      <c r="BW143" s="20"/>
      <c r="BX143" s="20"/>
      <c r="BY143" s="20"/>
      <c r="BZ143" s="20"/>
      <c r="CA143" s="20"/>
      <c r="CB143" s="20"/>
      <c r="CC143" s="20"/>
      <c r="CD143" s="20"/>
      <c r="CE143" s="20"/>
      <c r="CF143" s="20"/>
      <c r="CG143" s="20"/>
      <c r="CH143" s="20"/>
      <c r="CI143" s="20"/>
      <c r="CJ143" s="20"/>
      <c r="CK143" s="20"/>
      <c r="CL143" s="20"/>
      <c r="CM143" s="20"/>
      <c r="CN143" s="20"/>
      <c r="CO143" s="20"/>
      <c r="CP143" s="20"/>
      <c r="CQ143" s="20"/>
      <c r="CR143" s="20"/>
      <c r="CS143" s="20"/>
      <c r="CT143" s="20"/>
      <c r="CU143" s="20"/>
      <c r="CV143" s="20"/>
      <c r="CW143" s="20"/>
      <c r="CX143" s="20"/>
      <c r="CY143" s="20"/>
      <c r="CZ143" s="20"/>
      <c r="DA143" s="20"/>
      <c r="DB143" s="20"/>
      <c r="DC143" s="20"/>
      <c r="DD143" s="20"/>
      <c r="DE143" s="20"/>
      <c r="DF143" s="20"/>
      <c r="DG143" s="20"/>
      <c r="DH143" s="20"/>
      <c r="DI143" s="20"/>
      <c r="DJ143" s="20"/>
      <c r="DK143" s="20"/>
      <c r="DL143" s="20"/>
      <c r="DM143" s="20"/>
      <c r="DN143" s="20"/>
      <c r="DO143" s="20"/>
      <c r="DP143" s="20"/>
      <c r="DQ143" s="20"/>
      <c r="DR143" s="20"/>
      <c r="DS143" s="20"/>
      <c r="DT143" s="20"/>
      <c r="DU143" s="20"/>
      <c r="DV143" s="20"/>
      <c r="DW143" s="20"/>
      <c r="DX143" s="20"/>
      <c r="DY143" s="20"/>
      <c r="DZ143" s="20"/>
      <c r="EA143" s="20"/>
      <c r="EB143" s="20"/>
      <c r="EC143" s="20"/>
      <c r="ED143" s="20"/>
      <c r="EE143" s="20"/>
      <c r="EF143" s="20"/>
      <c r="EG143" s="20"/>
      <c r="EH143" s="20"/>
      <c r="EI143" s="20"/>
    </row>
    <row r="144" spans="1:139" x14ac:dyDescent="0.25">
      <c r="A144" s="20"/>
      <c r="B144" s="97" t="s">
        <v>268</v>
      </c>
      <c r="C144" s="100" t="s">
        <v>224</v>
      </c>
      <c r="D144" s="99" t="s">
        <v>122</v>
      </c>
      <c r="E144" s="34">
        <f t="shared" ref="E144" si="76">SQRT(E142^2+E143^2)</f>
        <v>121.08712786484665</v>
      </c>
      <c r="F144" s="153">
        <f t="shared" ref="F144:H144" si="77">SQRT(F142^2+F143^2)</f>
        <v>122.39244749032729</v>
      </c>
      <c r="G144" s="32">
        <f t="shared" si="77"/>
        <v>146.21525579078607</v>
      </c>
      <c r="H144" s="32">
        <f t="shared" si="77"/>
        <v>149.96233491619398</v>
      </c>
      <c r="I144" s="32">
        <f>SQRT(I142^2+I143^2)</f>
        <v>99.993090250066317</v>
      </c>
      <c r="J144" s="32">
        <f>SQRT(J142^2+J143^2)</f>
        <v>95.106052263960237</v>
      </c>
      <c r="K144" s="32">
        <f t="shared" ref="K144:L144" si="78">SQRT(K142^2+K143^2)</f>
        <v>107.78254063239422</v>
      </c>
      <c r="L144" s="33">
        <f t="shared" si="78"/>
        <v>117.29185656225542</v>
      </c>
      <c r="M144" s="20"/>
      <c r="N144" s="20"/>
      <c r="O144" s="20"/>
      <c r="P144" s="20"/>
      <c r="Q144" s="42"/>
      <c r="R144" s="20"/>
      <c r="S144" s="20"/>
      <c r="T144" s="20"/>
      <c r="U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  <c r="AM144" s="20"/>
      <c r="AN144" s="20"/>
      <c r="AO144" s="20"/>
      <c r="AP144" s="20"/>
      <c r="AQ144" s="20"/>
      <c r="AR144" s="20"/>
      <c r="AS144" s="20"/>
      <c r="AT144" s="20"/>
      <c r="AU144" s="20"/>
      <c r="AV144" s="20"/>
      <c r="AW144" s="20"/>
      <c r="AX144" s="20"/>
      <c r="AY144" s="20"/>
      <c r="AZ144" s="20"/>
      <c r="BA144" s="20"/>
      <c r="BB144" s="20"/>
      <c r="BC144" s="20"/>
      <c r="BD144" s="20"/>
      <c r="BE144" s="20"/>
      <c r="BF144" s="20"/>
      <c r="BG144" s="20"/>
      <c r="BH144" s="20"/>
      <c r="BI144" s="20"/>
      <c r="BJ144" s="20"/>
      <c r="BK144" s="20"/>
      <c r="BL144" s="20"/>
      <c r="BM144" s="20"/>
      <c r="BN144" s="20"/>
      <c r="BO144" s="20"/>
      <c r="BP144" s="20"/>
      <c r="BQ144" s="20"/>
      <c r="BR144" s="20"/>
      <c r="BS144" s="20"/>
      <c r="BT144" s="20"/>
      <c r="BU144" s="20"/>
      <c r="BV144" s="20"/>
      <c r="BW144" s="20"/>
      <c r="BX144" s="20"/>
      <c r="BY144" s="20"/>
      <c r="BZ144" s="20"/>
      <c r="CA144" s="20"/>
      <c r="CB144" s="20"/>
      <c r="CC144" s="20"/>
      <c r="CD144" s="20"/>
      <c r="CE144" s="20"/>
      <c r="CF144" s="20"/>
      <c r="CG144" s="20"/>
      <c r="CH144" s="20"/>
      <c r="CI144" s="20"/>
      <c r="CJ144" s="20"/>
      <c r="CK144" s="20"/>
      <c r="CL144" s="20"/>
      <c r="CM144" s="20"/>
      <c r="CN144" s="20"/>
      <c r="CO144" s="20"/>
      <c r="CP144" s="20"/>
      <c r="CQ144" s="20"/>
      <c r="CR144" s="20"/>
      <c r="CS144" s="20"/>
      <c r="CT144" s="20"/>
      <c r="CU144" s="20"/>
      <c r="CV144" s="20"/>
      <c r="CW144" s="20"/>
      <c r="CX144" s="20"/>
      <c r="CY144" s="20"/>
      <c r="CZ144" s="20"/>
      <c r="DA144" s="20"/>
      <c r="DB144" s="20"/>
      <c r="DC144" s="20"/>
      <c r="DD144" s="20"/>
      <c r="DE144" s="20"/>
      <c r="DF144" s="20"/>
      <c r="DG144" s="20"/>
      <c r="DH144" s="20"/>
      <c r="DI144" s="20"/>
      <c r="DJ144" s="20"/>
      <c r="DK144" s="20"/>
      <c r="DL144" s="20"/>
      <c r="DM144" s="20"/>
      <c r="DN144" s="20"/>
      <c r="DO144" s="20"/>
      <c r="DP144" s="20"/>
      <c r="DQ144" s="20"/>
      <c r="DR144" s="20"/>
      <c r="DS144" s="20"/>
      <c r="DT144" s="20"/>
      <c r="DU144" s="20"/>
      <c r="DV144" s="20"/>
      <c r="DW144" s="20"/>
      <c r="DX144" s="20"/>
      <c r="DY144" s="20"/>
      <c r="DZ144" s="20"/>
      <c r="EA144" s="20"/>
      <c r="EB144" s="20"/>
      <c r="EC144" s="20"/>
      <c r="ED144" s="20"/>
      <c r="EE144" s="20"/>
      <c r="EF144" s="20"/>
      <c r="EG144" s="20"/>
      <c r="EH144" s="20"/>
      <c r="EI144" s="20"/>
    </row>
    <row r="145" spans="1:139" x14ac:dyDescent="0.25">
      <c r="A145" s="20"/>
      <c r="B145" s="97" t="s">
        <v>265</v>
      </c>
      <c r="C145" s="100" t="s">
        <v>224</v>
      </c>
      <c r="D145" s="99" t="s">
        <v>122</v>
      </c>
      <c r="E145" s="34" t="e">
        <f>2+ (0.4*E141^0.5+0.06*E141^(2/3))*E139^(0.4)*(E131/E137)^(1/4)</f>
        <v>#VALUE!</v>
      </c>
      <c r="F145" s="153" t="e">
        <f t="shared" ref="F145:H145" si="79">2+ (0.4*F141^0.5+0.06*F141^(2/3))*F139^(0.4)*(F131/F137)^(1/4)</f>
        <v>#VALUE!</v>
      </c>
      <c r="G145" s="32" t="e">
        <f t="shared" si="79"/>
        <v>#VALUE!</v>
      </c>
      <c r="H145" s="32" t="e">
        <f t="shared" si="79"/>
        <v>#VALUE!</v>
      </c>
      <c r="I145" s="32">
        <f>2+ (0.4*I141^0.5+0.06*I141^(2/3))*I139^(0.4)*(I131/I137)^(1/4)</f>
        <v>80.873120398767142</v>
      </c>
      <c r="J145" s="32">
        <f>2+ (0.4*J141^0.5+0.06*J141^(2/3))*J139^(0.4)*(J131/J137)^(1/4)</f>
        <v>80.299825824764838</v>
      </c>
      <c r="K145" s="32">
        <f t="shared" ref="K145:L145" si="80">2+ (0.4*K141^0.5+0.06*K141^(2/3))*K139^(0.4)*(K131/K137)^(1/4)</f>
        <v>85.869713037113243</v>
      </c>
      <c r="L145" s="33" t="e">
        <f t="shared" si="80"/>
        <v>#VALUE!</v>
      </c>
      <c r="M145" s="20"/>
      <c r="N145" s="20"/>
      <c r="O145" s="20"/>
      <c r="P145" s="20"/>
      <c r="Q145" s="42"/>
      <c r="R145" s="20"/>
      <c r="S145" s="20"/>
      <c r="T145" s="20"/>
      <c r="U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  <c r="AQ145" s="20"/>
      <c r="AR145" s="20"/>
      <c r="AS145" s="20"/>
      <c r="AT145" s="20"/>
      <c r="AU145" s="20"/>
      <c r="AV145" s="20"/>
      <c r="AW145" s="20"/>
      <c r="AX145" s="20"/>
      <c r="AY145" s="20"/>
      <c r="AZ145" s="20"/>
      <c r="BA145" s="20"/>
      <c r="BB145" s="20"/>
      <c r="BC145" s="20"/>
      <c r="BD145" s="20"/>
      <c r="BE145" s="20"/>
      <c r="BF145" s="20"/>
      <c r="BG145" s="20"/>
      <c r="BH145" s="20"/>
      <c r="BI145" s="20"/>
      <c r="BJ145" s="20"/>
      <c r="BK145" s="20"/>
      <c r="BL145" s="20"/>
      <c r="BM145" s="20"/>
      <c r="BN145" s="20"/>
      <c r="BO145" s="20"/>
      <c r="BP145" s="20"/>
      <c r="BQ145" s="20"/>
      <c r="BR145" s="20"/>
      <c r="BS145" s="20"/>
      <c r="BT145" s="20"/>
      <c r="BU145" s="20"/>
      <c r="BV145" s="20"/>
      <c r="BW145" s="20"/>
      <c r="BX145" s="20"/>
      <c r="BY145" s="20"/>
      <c r="BZ145" s="20"/>
      <c r="CA145" s="20"/>
      <c r="CB145" s="20"/>
      <c r="CC145" s="20"/>
      <c r="CD145" s="20"/>
      <c r="CE145" s="20"/>
      <c r="CF145" s="20"/>
      <c r="CG145" s="20"/>
      <c r="CH145" s="20"/>
      <c r="CI145" s="20"/>
      <c r="CJ145" s="20"/>
      <c r="CK145" s="20"/>
      <c r="CL145" s="20"/>
      <c r="CM145" s="20"/>
      <c r="CN145" s="20"/>
      <c r="CO145" s="20"/>
      <c r="CP145" s="20"/>
      <c r="CQ145" s="20"/>
      <c r="CR145" s="20"/>
      <c r="CS145" s="20"/>
      <c r="CT145" s="20"/>
      <c r="CU145" s="20"/>
      <c r="CV145" s="20"/>
      <c r="CW145" s="20"/>
      <c r="CX145" s="20"/>
      <c r="CY145" s="20"/>
      <c r="CZ145" s="20"/>
      <c r="DA145" s="20"/>
      <c r="DB145" s="20"/>
      <c r="DC145" s="20"/>
      <c r="DD145" s="20"/>
      <c r="DE145" s="20"/>
      <c r="DF145" s="20"/>
      <c r="DG145" s="20"/>
      <c r="DH145" s="20"/>
      <c r="DI145" s="20"/>
      <c r="DJ145" s="20"/>
      <c r="DK145" s="20"/>
      <c r="DL145" s="20"/>
      <c r="DM145" s="20"/>
      <c r="DN145" s="20"/>
      <c r="DO145" s="20"/>
      <c r="DP145" s="20"/>
      <c r="DQ145" s="20"/>
      <c r="DR145" s="20"/>
      <c r="DS145" s="20"/>
      <c r="DT145" s="20"/>
      <c r="DU145" s="20"/>
      <c r="DV145" s="20"/>
      <c r="DW145" s="20"/>
      <c r="DX145" s="20"/>
      <c r="DY145" s="20"/>
      <c r="DZ145" s="20"/>
      <c r="EA145" s="20"/>
      <c r="EB145" s="20"/>
      <c r="EC145" s="20"/>
      <c r="ED145" s="20"/>
      <c r="EE145" s="20"/>
      <c r="EF145" s="20"/>
      <c r="EG145" s="20"/>
      <c r="EH145" s="20"/>
      <c r="EI145" s="20"/>
    </row>
    <row r="146" spans="1:139" ht="15.75" thickBot="1" x14ac:dyDescent="0.3">
      <c r="A146" s="20"/>
      <c r="B146" s="105" t="s">
        <v>269</v>
      </c>
      <c r="C146" s="106" t="s">
        <v>224</v>
      </c>
      <c r="D146" s="107" t="s">
        <v>122</v>
      </c>
      <c r="E146" s="532" t="e">
        <f>2.36*(0.027*E141^0.8*E139^(1/3)*(E131/E137)^(1/4))-13.6</f>
        <v>#VALUE!</v>
      </c>
      <c r="F146" s="533" t="e">
        <f t="shared" ref="F146:H146" si="81">2.36*(0.027*F141^0.8*F139^(1/3)*(F131/F137)^(1/4))-13.6</f>
        <v>#VALUE!</v>
      </c>
      <c r="G146" s="534" t="e">
        <f t="shared" si="81"/>
        <v>#VALUE!</v>
      </c>
      <c r="H146" s="534" t="e">
        <f t="shared" si="81"/>
        <v>#VALUE!</v>
      </c>
      <c r="I146" s="534">
        <f>2.36*(0.027*I141^0.8*I139^(1/3)*(I131/I137)^(1/4))-13.6</f>
        <v>114.90919120666805</v>
      </c>
      <c r="J146" s="534">
        <f>2.36*(0.027*J141^0.8*J139^(1/3)*(J131/J137)^(1/4))-13.6</f>
        <v>112.070331988197</v>
      </c>
      <c r="K146" s="534">
        <f t="shared" ref="K146:L146" si="82">2.36*(0.027*K141^0.8*K139^(1/3)*(K131/K137)^(1/4))-13.6</f>
        <v>127.14529647099033</v>
      </c>
      <c r="L146" s="535" t="e">
        <f t="shared" si="82"/>
        <v>#VALUE!</v>
      </c>
      <c r="M146" s="20"/>
      <c r="N146" s="20"/>
      <c r="O146" s="20"/>
      <c r="P146" s="20"/>
      <c r="Q146" s="42"/>
      <c r="R146" s="20"/>
      <c r="S146" s="20"/>
      <c r="T146" s="20"/>
      <c r="U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20"/>
      <c r="AM146" s="20"/>
      <c r="AN146" s="20"/>
      <c r="AO146" s="20"/>
      <c r="AP146" s="20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  <c r="BA146" s="20"/>
      <c r="BB146" s="20"/>
      <c r="BC146" s="20"/>
      <c r="BD146" s="20"/>
      <c r="BE146" s="20"/>
      <c r="BF146" s="20"/>
      <c r="BG146" s="20"/>
      <c r="BH146" s="20"/>
      <c r="BI146" s="20"/>
      <c r="BJ146" s="20"/>
      <c r="BK146" s="20"/>
      <c r="BL146" s="20"/>
      <c r="BM146" s="20"/>
      <c r="BN146" s="20"/>
      <c r="BO146" s="20"/>
      <c r="BP146" s="2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  <c r="CG146" s="20"/>
      <c r="CH146" s="20"/>
      <c r="CI146" s="20"/>
      <c r="CJ146" s="20"/>
      <c r="CK146" s="20"/>
      <c r="CL146" s="20"/>
      <c r="CM146" s="20"/>
      <c r="CN146" s="20"/>
      <c r="CO146" s="20"/>
      <c r="CP146" s="20"/>
      <c r="CQ146" s="20"/>
      <c r="CR146" s="20"/>
      <c r="CS146" s="20"/>
      <c r="CT146" s="20"/>
      <c r="CU146" s="20"/>
      <c r="CV146" s="20"/>
      <c r="CW146" s="20"/>
      <c r="CX146" s="20"/>
      <c r="CY146" s="20"/>
      <c r="CZ146" s="20"/>
      <c r="DA146" s="20"/>
      <c r="DB146" s="20"/>
      <c r="DC146" s="20"/>
      <c r="DD146" s="20"/>
      <c r="DE146" s="20"/>
      <c r="DF146" s="20"/>
      <c r="DG146" s="20"/>
      <c r="DH146" s="20"/>
      <c r="DI146" s="20"/>
      <c r="DJ146" s="20"/>
      <c r="DK146" s="20"/>
      <c r="DL146" s="20"/>
      <c r="DM146" s="20"/>
      <c r="DN146" s="20"/>
      <c r="DO146" s="20"/>
      <c r="DP146" s="20"/>
      <c r="DQ146" s="20"/>
      <c r="DR146" s="20"/>
      <c r="DS146" s="20"/>
      <c r="DT146" s="20"/>
      <c r="DU146" s="20"/>
      <c r="DV146" s="20"/>
      <c r="DW146" s="20"/>
      <c r="DX146" s="20"/>
      <c r="DY146" s="20"/>
      <c r="DZ146" s="20"/>
      <c r="EA146" s="20"/>
      <c r="EB146" s="20"/>
      <c r="EC146" s="20"/>
      <c r="ED146" s="20"/>
      <c r="EE146" s="20"/>
      <c r="EF146" s="20"/>
      <c r="EG146" s="20"/>
      <c r="EH146" s="20"/>
      <c r="EI146" s="20"/>
    </row>
    <row r="147" spans="1:139" x14ac:dyDescent="0.25">
      <c r="A147" s="20"/>
      <c r="B147" s="118" t="s">
        <v>223</v>
      </c>
      <c r="C147" s="130" t="s">
        <v>224</v>
      </c>
      <c r="D147" s="131" t="s">
        <v>122</v>
      </c>
      <c r="E147" s="142" t="e">
        <f>+E145</f>
        <v>#VALUE!</v>
      </c>
      <c r="F147" s="152" t="e">
        <f>+F145</f>
        <v>#VALUE!</v>
      </c>
      <c r="G147" s="143">
        <f>+G143</f>
        <v>109.80075448357346</v>
      </c>
      <c r="H147" s="143">
        <f>+H143</f>
        <v>113.15531585123811</v>
      </c>
      <c r="I147" s="143">
        <f>+I143</f>
        <v>69.391428933044764</v>
      </c>
      <c r="J147" s="143">
        <f>+J143</f>
        <v>65.296325959245607</v>
      </c>
      <c r="K147" s="143">
        <f t="shared" ref="K147:L147" si="83">+K143</f>
        <v>76.134541409417281</v>
      </c>
      <c r="L147" s="144">
        <f t="shared" si="83"/>
        <v>84.324392089763947</v>
      </c>
      <c r="M147" s="20"/>
      <c r="N147" s="20"/>
      <c r="O147" s="20"/>
      <c r="P147" s="20"/>
      <c r="Q147" s="42"/>
      <c r="R147" s="20"/>
      <c r="S147" s="20"/>
      <c r="T147" s="20"/>
      <c r="U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20"/>
      <c r="AM147" s="20"/>
      <c r="AN147" s="20"/>
      <c r="AO147" s="20"/>
      <c r="AP147" s="20"/>
      <c r="AQ147" s="20"/>
      <c r="AR147" s="20"/>
      <c r="AS147" s="20"/>
      <c r="AT147" s="20"/>
      <c r="AU147" s="20"/>
      <c r="AV147" s="20"/>
      <c r="AW147" s="20"/>
      <c r="AX147" s="20"/>
      <c r="AY147" s="20"/>
      <c r="AZ147" s="20"/>
      <c r="BA147" s="20"/>
      <c r="BB147" s="20"/>
      <c r="BC147" s="20"/>
      <c r="BD147" s="20"/>
      <c r="BE147" s="20"/>
      <c r="BF147" s="20"/>
      <c r="BG147" s="20"/>
      <c r="BH147" s="20"/>
      <c r="BI147" s="20"/>
      <c r="BJ147" s="20"/>
      <c r="BK147" s="20"/>
      <c r="BL147" s="20"/>
      <c r="BM147" s="20"/>
      <c r="BN147" s="20"/>
      <c r="BO147" s="20"/>
      <c r="BP147" s="20"/>
      <c r="BQ147" s="20"/>
      <c r="BR147" s="20"/>
      <c r="BS147" s="20"/>
      <c r="BT147" s="20"/>
      <c r="BU147" s="20"/>
      <c r="BV147" s="20"/>
      <c r="BW147" s="20"/>
      <c r="BX147" s="20"/>
      <c r="BY147" s="20"/>
      <c r="BZ147" s="20"/>
      <c r="CA147" s="20"/>
      <c r="CB147" s="20"/>
      <c r="CC147" s="20"/>
      <c r="CD147" s="20"/>
      <c r="CE147" s="20"/>
      <c r="CF147" s="20"/>
      <c r="CG147" s="20"/>
      <c r="CH147" s="20"/>
      <c r="CI147" s="20"/>
      <c r="CJ147" s="20"/>
      <c r="CK147" s="20"/>
      <c r="CL147" s="20"/>
      <c r="CM147" s="20"/>
      <c r="CN147" s="20"/>
      <c r="CO147" s="20"/>
      <c r="CP147" s="20"/>
      <c r="CQ147" s="20"/>
      <c r="CR147" s="20"/>
      <c r="CS147" s="20"/>
      <c r="CT147" s="20"/>
      <c r="CU147" s="20"/>
      <c r="CV147" s="20"/>
      <c r="CW147" s="20"/>
      <c r="CX147" s="20"/>
      <c r="CY147" s="20"/>
      <c r="CZ147" s="20"/>
      <c r="DA147" s="20"/>
      <c r="DB147" s="20"/>
      <c r="DC147" s="20"/>
      <c r="DD147" s="20"/>
      <c r="DE147" s="20"/>
      <c r="DF147" s="20"/>
      <c r="DG147" s="20"/>
      <c r="DH147" s="20"/>
      <c r="DI147" s="20"/>
      <c r="DJ147" s="20"/>
      <c r="DK147" s="20"/>
      <c r="DL147" s="20"/>
      <c r="DM147" s="20"/>
      <c r="DN147" s="20"/>
      <c r="DO147" s="20"/>
      <c r="DP147" s="20"/>
      <c r="DQ147" s="20"/>
      <c r="DR147" s="20"/>
      <c r="DS147" s="20"/>
      <c r="DT147" s="20"/>
      <c r="DU147" s="20"/>
      <c r="DV147" s="20"/>
      <c r="DW147" s="20"/>
      <c r="DX147" s="20"/>
      <c r="DY147" s="20"/>
      <c r="DZ147" s="20"/>
      <c r="EA147" s="20"/>
      <c r="EB147" s="20"/>
      <c r="EC147" s="20"/>
      <c r="ED147" s="20"/>
      <c r="EE147" s="20"/>
      <c r="EF147" s="20"/>
      <c r="EG147" s="20"/>
      <c r="EH147" s="20"/>
      <c r="EI147" s="20"/>
    </row>
    <row r="148" spans="1:139" x14ac:dyDescent="0.25">
      <c r="A148" s="20"/>
      <c r="B148" s="97" t="s">
        <v>113</v>
      </c>
      <c r="C148" s="100" t="s">
        <v>114</v>
      </c>
      <c r="D148" s="99" t="s">
        <v>61</v>
      </c>
      <c r="E148" s="246">
        <f>+E140</f>
        <v>1.1779935275080906</v>
      </c>
      <c r="F148" s="179">
        <f t="shared" ref="F148:H148" si="84">+F140</f>
        <v>0.90462143559488684</v>
      </c>
      <c r="G148" s="179">
        <f t="shared" si="84"/>
        <v>0.87358632822317162</v>
      </c>
      <c r="H148" s="179">
        <f t="shared" si="84"/>
        <v>0.84751864232450502</v>
      </c>
      <c r="I148" s="179">
        <f>+I140</f>
        <v>0.31781226903178122</v>
      </c>
      <c r="J148" s="179">
        <f>+J140</f>
        <v>0.23391158365976497</v>
      </c>
      <c r="K148" s="179">
        <f t="shared" ref="K148:L148" si="85">+K140</f>
        <v>0.18597618597618595</v>
      </c>
      <c r="L148" s="180">
        <f t="shared" si="85"/>
        <v>0.18597618597618595</v>
      </c>
      <c r="M148" s="20"/>
      <c r="N148" s="20"/>
      <c r="O148" s="20"/>
      <c r="P148" s="20"/>
      <c r="Q148" s="42"/>
      <c r="R148" s="20"/>
      <c r="S148" s="20"/>
      <c r="T148" s="20"/>
      <c r="U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20"/>
      <c r="AM148" s="20"/>
      <c r="AN148" s="20"/>
      <c r="AO148" s="20"/>
      <c r="AP148" s="20"/>
      <c r="AQ148" s="20"/>
      <c r="AR148" s="20"/>
      <c r="AS148" s="20"/>
      <c r="AT148" s="20"/>
      <c r="AU148" s="20"/>
      <c r="AV148" s="20"/>
      <c r="AW148" s="20"/>
      <c r="AX148" s="20"/>
      <c r="AY148" s="20"/>
      <c r="AZ148" s="20"/>
      <c r="BA148" s="20"/>
      <c r="BB148" s="20"/>
      <c r="BC148" s="20"/>
      <c r="BD148" s="20"/>
      <c r="BE148" s="20"/>
      <c r="BF148" s="20"/>
      <c r="BG148" s="20"/>
      <c r="BH148" s="20"/>
      <c r="BI148" s="20"/>
      <c r="BJ148" s="20"/>
      <c r="BK148" s="20"/>
      <c r="BL148" s="20"/>
      <c r="BM148" s="20"/>
      <c r="BN148" s="20"/>
      <c r="BO148" s="20"/>
      <c r="BP148" s="20"/>
      <c r="BQ148" s="20"/>
      <c r="BR148" s="20"/>
      <c r="BS148" s="20"/>
      <c r="BT148" s="20"/>
      <c r="BU148" s="20"/>
      <c r="BV148" s="20"/>
      <c r="BW148" s="20"/>
      <c r="BX148" s="20"/>
      <c r="BY148" s="20"/>
      <c r="BZ148" s="20"/>
      <c r="CA148" s="20"/>
      <c r="CB148" s="20"/>
      <c r="CC148" s="20"/>
      <c r="CD148" s="20"/>
      <c r="CE148" s="20"/>
      <c r="CF148" s="20"/>
      <c r="CG148" s="20"/>
      <c r="CH148" s="20"/>
      <c r="CI148" s="20"/>
      <c r="CJ148" s="20"/>
      <c r="CK148" s="20"/>
      <c r="CL148" s="20"/>
      <c r="CM148" s="20"/>
      <c r="CN148" s="20"/>
      <c r="CO148" s="20"/>
      <c r="CP148" s="20"/>
      <c r="CQ148" s="20"/>
      <c r="CR148" s="20"/>
      <c r="CS148" s="20"/>
      <c r="CT148" s="20"/>
      <c r="CU148" s="20"/>
      <c r="CV148" s="20"/>
      <c r="CW148" s="20"/>
      <c r="CX148" s="20"/>
      <c r="CY148" s="20"/>
      <c r="CZ148" s="20"/>
      <c r="DA148" s="20"/>
      <c r="DB148" s="20"/>
      <c r="DC148" s="20"/>
      <c r="DD148" s="20"/>
      <c r="DE148" s="20"/>
      <c r="DF148" s="20"/>
      <c r="DG148" s="20"/>
      <c r="DH148" s="20"/>
      <c r="DI148" s="20"/>
      <c r="DJ148" s="20"/>
      <c r="DK148" s="20"/>
      <c r="DL148" s="20"/>
      <c r="DM148" s="20"/>
      <c r="DN148" s="20"/>
      <c r="DO148" s="20"/>
      <c r="DP148" s="20"/>
      <c r="DQ148" s="20"/>
      <c r="DR148" s="20"/>
      <c r="DS148" s="20"/>
      <c r="DT148" s="20"/>
      <c r="DU148" s="20"/>
      <c r="DV148" s="20"/>
      <c r="DW148" s="20"/>
      <c r="DX148" s="20"/>
      <c r="DY148" s="20"/>
      <c r="DZ148" s="20"/>
      <c r="EA148" s="20"/>
      <c r="EB148" s="20"/>
      <c r="EC148" s="20"/>
      <c r="ED148" s="20"/>
      <c r="EE148" s="20"/>
      <c r="EF148" s="20"/>
      <c r="EG148" s="20"/>
      <c r="EH148" s="20"/>
      <c r="EI148" s="20"/>
    </row>
    <row r="149" spans="1:139" x14ac:dyDescent="0.25">
      <c r="A149" s="20"/>
      <c r="B149" s="108" t="s">
        <v>225</v>
      </c>
      <c r="C149" s="98" t="s">
        <v>226</v>
      </c>
      <c r="D149" s="99" t="s">
        <v>28</v>
      </c>
      <c r="E149" s="80">
        <f>+E68</f>
        <v>2.1160000000000001</v>
      </c>
      <c r="F149" s="81">
        <f t="shared" ref="F149:H149" si="86">+F68</f>
        <v>1.583</v>
      </c>
      <c r="G149" s="81">
        <f t="shared" si="86"/>
        <v>0.57699999999999996</v>
      </c>
      <c r="H149" s="81">
        <f t="shared" si="86"/>
        <v>0.57699999999999996</v>
      </c>
      <c r="I149" s="81">
        <f>+I68</f>
        <v>15.8147</v>
      </c>
      <c r="J149" s="81">
        <f>+J68</f>
        <v>7.6449999999999996</v>
      </c>
      <c r="K149" s="81">
        <f>+K68</f>
        <v>7.6449999999999996</v>
      </c>
      <c r="L149" s="82">
        <f>+L68</f>
        <v>3.89</v>
      </c>
      <c r="M149" s="20"/>
      <c r="N149" s="20"/>
      <c r="O149" s="20"/>
      <c r="P149" s="20"/>
      <c r="Q149" s="42"/>
      <c r="R149" s="20"/>
      <c r="S149" s="20"/>
      <c r="T149" s="20"/>
      <c r="U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20"/>
      <c r="AM149" s="20"/>
      <c r="AN149" s="20"/>
      <c r="AO149" s="20"/>
      <c r="AP149" s="20"/>
      <c r="AQ149" s="20"/>
      <c r="AR149" s="20"/>
      <c r="AS149" s="20"/>
      <c r="AT149" s="20"/>
      <c r="AU149" s="20"/>
      <c r="AV149" s="20"/>
      <c r="AW149" s="20"/>
      <c r="AX149" s="20"/>
      <c r="AY149" s="20"/>
      <c r="AZ149" s="20"/>
      <c r="BA149" s="20"/>
      <c r="BB149" s="20"/>
      <c r="BC149" s="20"/>
      <c r="BD149" s="20"/>
      <c r="BE149" s="20"/>
      <c r="BF149" s="20"/>
      <c r="BG149" s="20"/>
      <c r="BH149" s="20"/>
      <c r="BI149" s="20"/>
      <c r="BJ149" s="20"/>
      <c r="BK149" s="20"/>
      <c r="BL149" s="20"/>
      <c r="BM149" s="20"/>
      <c r="BN149" s="20"/>
      <c r="BO149" s="20"/>
      <c r="BP149" s="20"/>
      <c r="BQ149" s="20"/>
      <c r="BR149" s="20"/>
      <c r="BS149" s="20"/>
      <c r="BT149" s="20"/>
      <c r="BU149" s="20"/>
      <c r="BV149" s="20"/>
      <c r="BW149" s="20"/>
      <c r="BX149" s="20"/>
      <c r="BY149" s="20"/>
      <c r="BZ149" s="20"/>
      <c r="CA149" s="20"/>
      <c r="CB149" s="20"/>
      <c r="CC149" s="20"/>
      <c r="CD149" s="20"/>
      <c r="CE149" s="20"/>
      <c r="CF149" s="20"/>
      <c r="CG149" s="20"/>
      <c r="CH149" s="20"/>
      <c r="CI149" s="20"/>
      <c r="CJ149" s="20"/>
      <c r="CK149" s="20"/>
      <c r="CL149" s="20"/>
      <c r="CM149" s="20"/>
      <c r="CN149" s="20"/>
      <c r="CO149" s="20"/>
      <c r="CP149" s="20"/>
      <c r="CQ149" s="20"/>
      <c r="CR149" s="20"/>
      <c r="CS149" s="20"/>
      <c r="CT149" s="20"/>
      <c r="CU149" s="20"/>
      <c r="CV149" s="20"/>
      <c r="CW149" s="20"/>
      <c r="CX149" s="20"/>
      <c r="CY149" s="20"/>
      <c r="CZ149" s="20"/>
      <c r="DA149" s="20"/>
      <c r="DB149" s="20"/>
      <c r="DC149" s="20"/>
      <c r="DD149" s="20"/>
      <c r="DE149" s="20"/>
      <c r="DF149" s="20"/>
      <c r="DG149" s="20"/>
      <c r="DH149" s="20"/>
      <c r="DI149" s="20"/>
      <c r="DJ149" s="20"/>
      <c r="DK149" s="20"/>
      <c r="DL149" s="20"/>
      <c r="DM149" s="20"/>
      <c r="DN149" s="20"/>
      <c r="DO149" s="20"/>
      <c r="DP149" s="20"/>
      <c r="DQ149" s="20"/>
      <c r="DR149" s="20"/>
      <c r="DS149" s="20"/>
      <c r="DT149" s="20"/>
      <c r="DU149" s="20"/>
      <c r="DV149" s="20"/>
      <c r="DW149" s="20"/>
      <c r="DX149" s="20"/>
      <c r="DY149" s="20"/>
      <c r="DZ149" s="20"/>
      <c r="EA149" s="20"/>
      <c r="EB149" s="20"/>
      <c r="EC149" s="20"/>
      <c r="ED149" s="20"/>
      <c r="EE149" s="20"/>
      <c r="EF149" s="20"/>
      <c r="EG149" s="20"/>
      <c r="EH149" s="20"/>
      <c r="EI149" s="20"/>
    </row>
    <row r="150" spans="1:139" x14ac:dyDescent="0.25">
      <c r="A150" s="20"/>
      <c r="B150" s="97" t="s">
        <v>227</v>
      </c>
      <c r="C150" s="98" t="s">
        <v>60</v>
      </c>
      <c r="D150" s="99" t="s">
        <v>228</v>
      </c>
      <c r="E150" s="109" t="e">
        <f t="shared" ref="E150:J150" si="87">E147*E132/E148</f>
        <v>#VALUE!</v>
      </c>
      <c r="F150" s="155" t="e">
        <f t="shared" si="87"/>
        <v>#VALUE!</v>
      </c>
      <c r="G150" s="110">
        <f t="shared" si="87"/>
        <v>9.4525649835796085E-3</v>
      </c>
      <c r="H150" s="110">
        <f t="shared" si="87"/>
        <v>9.8550120567875137E-3</v>
      </c>
      <c r="I150" s="110">
        <f t="shared" si="87"/>
        <v>1.4049900137232615E-2</v>
      </c>
      <c r="J150" s="110">
        <f t="shared" si="87"/>
        <v>1.401655849316694E-2</v>
      </c>
      <c r="K150" s="110">
        <f t="shared" ref="K150:L150" si="88">K147*K132/K148</f>
        <v>1.6393443897503569E-2</v>
      </c>
      <c r="L150" s="111">
        <f t="shared" si="88"/>
        <v>1.5471464307425594E-2</v>
      </c>
      <c r="M150" s="20"/>
      <c r="N150" s="20"/>
      <c r="O150" s="20"/>
      <c r="P150" s="20"/>
      <c r="Q150" s="42"/>
      <c r="R150" s="20"/>
      <c r="S150" s="20"/>
      <c r="T150" s="20"/>
      <c r="U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20"/>
      <c r="AM150" s="20"/>
      <c r="AN150" s="20"/>
      <c r="AO150" s="20"/>
      <c r="AP150" s="20"/>
      <c r="AQ150" s="20"/>
      <c r="AR150" s="20"/>
      <c r="AS150" s="20"/>
      <c r="AT150" s="20"/>
      <c r="AU150" s="20"/>
      <c r="AV150" s="20"/>
      <c r="AW150" s="20"/>
      <c r="AX150" s="20"/>
      <c r="AY150" s="20"/>
      <c r="AZ150" s="20"/>
      <c r="BA150" s="20"/>
      <c r="BB150" s="20"/>
      <c r="BC150" s="20"/>
      <c r="BD150" s="20"/>
      <c r="BE150" s="20"/>
      <c r="BF150" s="20"/>
      <c r="BG150" s="20"/>
      <c r="BH150" s="20"/>
      <c r="BI150" s="20"/>
      <c r="BJ150" s="20"/>
      <c r="BK150" s="20"/>
      <c r="BL150" s="20"/>
      <c r="BM150" s="20"/>
      <c r="BN150" s="20"/>
      <c r="BO150" s="20"/>
      <c r="BP150" s="20"/>
      <c r="BQ150" s="20"/>
      <c r="BR150" s="20"/>
      <c r="BS150" s="20"/>
      <c r="BT150" s="20"/>
      <c r="BU150" s="20"/>
      <c r="BV150" s="20"/>
      <c r="BW150" s="20"/>
      <c r="BX150" s="20"/>
      <c r="BY150" s="20"/>
      <c r="BZ150" s="20"/>
      <c r="CA150" s="20"/>
      <c r="CB150" s="20"/>
      <c r="CC150" s="20"/>
      <c r="CD150" s="20"/>
      <c r="CE150" s="20"/>
      <c r="CF150" s="20"/>
      <c r="CG150" s="20"/>
      <c r="CH150" s="20"/>
      <c r="CI150" s="20"/>
      <c r="CJ150" s="20"/>
      <c r="CK150" s="20"/>
      <c r="CL150" s="20"/>
      <c r="CM150" s="20"/>
      <c r="CN150" s="20"/>
      <c r="CO150" s="20"/>
      <c r="CP150" s="20"/>
      <c r="CQ150" s="20"/>
      <c r="CR150" s="20"/>
      <c r="CS150" s="20"/>
      <c r="CT150" s="20"/>
      <c r="CU150" s="20"/>
      <c r="CV150" s="20"/>
      <c r="CW150" s="20"/>
      <c r="CX150" s="20"/>
      <c r="CY150" s="20"/>
      <c r="CZ150" s="20"/>
      <c r="DA150" s="20"/>
      <c r="DB150" s="20"/>
      <c r="DC150" s="20"/>
      <c r="DD150" s="20"/>
      <c r="DE150" s="20"/>
      <c r="DF150" s="20"/>
      <c r="DG150" s="20"/>
      <c r="DH150" s="20"/>
      <c r="DI150" s="20"/>
      <c r="DJ150" s="20"/>
      <c r="DK150" s="20"/>
      <c r="DL150" s="20"/>
      <c r="DM150" s="20"/>
      <c r="DN150" s="20"/>
      <c r="DO150" s="20"/>
      <c r="DP150" s="20"/>
      <c r="DQ150" s="20"/>
      <c r="DR150" s="20"/>
      <c r="DS150" s="20"/>
      <c r="DT150" s="20"/>
      <c r="DU150" s="20"/>
      <c r="DV150" s="20"/>
      <c r="DW150" s="20"/>
      <c r="DX150" s="20"/>
      <c r="DY150" s="20"/>
      <c r="DZ150" s="20"/>
      <c r="EA150" s="20"/>
      <c r="EB150" s="20"/>
      <c r="EC150" s="20"/>
      <c r="ED150" s="20"/>
      <c r="EE150" s="20"/>
      <c r="EF150" s="20"/>
      <c r="EG150" s="20"/>
      <c r="EH150" s="20"/>
      <c r="EI150" s="20"/>
    </row>
    <row r="151" spans="1:139" x14ac:dyDescent="0.25">
      <c r="A151" s="20"/>
      <c r="B151" s="97" t="s">
        <v>349</v>
      </c>
      <c r="C151" s="98" t="s">
        <v>60</v>
      </c>
      <c r="D151" s="99" t="s">
        <v>228</v>
      </c>
      <c r="E151" s="132" t="e">
        <f>+E150</f>
        <v>#VALUE!</v>
      </c>
      <c r="F151" s="156" t="e">
        <f>+F150</f>
        <v>#VALUE!</v>
      </c>
      <c r="G151" s="129">
        <f>+G150</f>
        <v>9.4525649835796085E-3</v>
      </c>
      <c r="H151" s="129">
        <f>+H150</f>
        <v>9.8550120567875137E-3</v>
      </c>
      <c r="I151" s="129">
        <f>+I150</f>
        <v>1.4049900137232615E-2</v>
      </c>
      <c r="J151" s="129">
        <f>+hcnvi(J150,0.01,J52,J55,(J52*J55),AH113,J86)</f>
        <v>7.3337127498584391E-4</v>
      </c>
      <c r="K151" s="129">
        <f t="shared" ref="K151:L151" si="89">+hcnvi(K150,0.01,K52,K55,(K52*K55),AI113,K86)</f>
        <v>8.5773414767840788E-4</v>
      </c>
      <c r="L151" s="133">
        <f t="shared" si="89"/>
        <v>7.9544803637149591E-4</v>
      </c>
      <c r="M151" s="20"/>
      <c r="N151" s="20"/>
      <c r="O151" s="20"/>
      <c r="P151" s="20"/>
      <c r="Q151" s="42"/>
      <c r="R151" s="20"/>
      <c r="S151" s="20"/>
      <c r="T151" s="20"/>
      <c r="U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20"/>
      <c r="AM151" s="20"/>
      <c r="AN151" s="20"/>
      <c r="AO151" s="20"/>
      <c r="AP151" s="20"/>
      <c r="AQ151" s="20"/>
      <c r="AR151" s="20"/>
      <c r="AS151" s="20"/>
      <c r="AT151" s="20"/>
      <c r="AU151" s="20"/>
      <c r="AV151" s="20"/>
      <c r="AW151" s="20"/>
      <c r="AX151" s="20"/>
      <c r="AY151" s="20"/>
      <c r="AZ151" s="20"/>
      <c r="BA151" s="20"/>
      <c r="BB151" s="20"/>
      <c r="BC151" s="20"/>
      <c r="BD151" s="20"/>
      <c r="BE151" s="20"/>
      <c r="BF151" s="20"/>
      <c r="BG151" s="20"/>
      <c r="BH151" s="20"/>
      <c r="BI151" s="20"/>
      <c r="BJ151" s="20"/>
      <c r="BK151" s="20"/>
      <c r="BL151" s="20"/>
      <c r="BM151" s="20"/>
      <c r="BN151" s="20"/>
      <c r="BO151" s="20"/>
      <c r="BP151" s="20"/>
      <c r="BQ151" s="20"/>
      <c r="BR151" s="20"/>
      <c r="BS151" s="20"/>
      <c r="BT151" s="20"/>
      <c r="BU151" s="20"/>
      <c r="BV151" s="20"/>
      <c r="BW151" s="20"/>
      <c r="BX151" s="20"/>
      <c r="BY151" s="20"/>
      <c r="BZ151" s="20"/>
      <c r="CA151" s="20"/>
      <c r="CB151" s="20"/>
      <c r="CC151" s="20"/>
      <c r="CD151" s="20"/>
      <c r="CE151" s="20"/>
      <c r="CF151" s="20"/>
      <c r="CG151" s="20"/>
      <c r="CH151" s="20"/>
      <c r="CI151" s="20"/>
      <c r="CJ151" s="20"/>
      <c r="CK151" s="20"/>
      <c r="CL151" s="20"/>
      <c r="CM151" s="20"/>
      <c r="CN151" s="20"/>
      <c r="CO151" s="20"/>
      <c r="CP151" s="20"/>
      <c r="CQ151" s="20"/>
      <c r="CR151" s="20"/>
      <c r="CS151" s="20"/>
      <c r="CT151" s="20"/>
      <c r="CU151" s="20"/>
      <c r="CV151" s="20"/>
      <c r="CW151" s="20"/>
      <c r="CX151" s="20"/>
      <c r="CY151" s="20"/>
      <c r="CZ151" s="20"/>
      <c r="DA151" s="20"/>
      <c r="DB151" s="20"/>
      <c r="DC151" s="20"/>
      <c r="DD151" s="20"/>
      <c r="DE151" s="20"/>
      <c r="DF151" s="20"/>
      <c r="DG151" s="20"/>
      <c r="DH151" s="20"/>
      <c r="DI151" s="20"/>
      <c r="DJ151" s="20"/>
      <c r="DK151" s="20"/>
      <c r="DL151" s="20"/>
      <c r="DM151" s="20"/>
      <c r="DN151" s="20"/>
      <c r="DO151" s="20"/>
      <c r="DP151" s="20"/>
      <c r="DQ151" s="20"/>
      <c r="DR151" s="20"/>
      <c r="DS151" s="20"/>
      <c r="DT151" s="20"/>
      <c r="DU151" s="20"/>
      <c r="DV151" s="20"/>
      <c r="DW151" s="20"/>
      <c r="DX151" s="20"/>
      <c r="DY151" s="20"/>
      <c r="DZ151" s="20"/>
      <c r="EA151" s="20"/>
      <c r="EB151" s="20"/>
      <c r="EC151" s="20"/>
      <c r="ED151" s="20"/>
      <c r="EE151" s="20"/>
      <c r="EF151" s="20"/>
      <c r="EG151" s="20"/>
      <c r="EH151" s="20"/>
      <c r="EI151" s="20"/>
    </row>
    <row r="152" spans="1:139" ht="15.75" thickBot="1" x14ac:dyDescent="0.3">
      <c r="A152" s="20"/>
      <c r="B152" s="112" t="s">
        <v>229</v>
      </c>
      <c r="C152" s="113" t="s">
        <v>230</v>
      </c>
      <c r="D152" s="114" t="s">
        <v>19</v>
      </c>
      <c r="E152" s="115" t="e">
        <f t="shared" ref="E152:J152" si="90">E149*E150*(E127-E136)</f>
        <v>#VALUE!</v>
      </c>
      <c r="F152" s="157" t="e">
        <f t="shared" si="90"/>
        <v>#VALUE!</v>
      </c>
      <c r="G152" s="116" t="e">
        <f t="shared" si="90"/>
        <v>#VALUE!</v>
      </c>
      <c r="H152" s="157" t="e">
        <f t="shared" si="90"/>
        <v>#VALUE!</v>
      </c>
      <c r="I152" s="157">
        <f t="shared" si="90"/>
        <v>57.795591184407463</v>
      </c>
      <c r="J152" s="157">
        <f t="shared" si="90"/>
        <v>33.998870863299452</v>
      </c>
      <c r="K152" s="157">
        <f t="shared" ref="K152:L152" si="91">K149*K150*(K127-K136)</f>
        <v>20.674575878079533</v>
      </c>
      <c r="L152" s="188" t="e">
        <f t="shared" si="91"/>
        <v>#VALUE!</v>
      </c>
      <c r="M152" s="20"/>
      <c r="N152" s="20"/>
      <c r="O152" s="20"/>
      <c r="P152" s="20"/>
      <c r="Q152" s="42"/>
      <c r="R152" s="20"/>
      <c r="S152" s="20"/>
      <c r="T152" s="20"/>
      <c r="U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20"/>
      <c r="AM152" s="20"/>
      <c r="AN152" s="20"/>
      <c r="AO152" s="20"/>
      <c r="AP152" s="20"/>
      <c r="AQ152" s="20"/>
      <c r="AR152" s="20"/>
      <c r="AS152" s="20"/>
      <c r="AT152" s="20"/>
      <c r="AU152" s="20"/>
      <c r="AV152" s="20"/>
      <c r="AW152" s="20"/>
      <c r="AX152" s="20"/>
      <c r="AY152" s="20"/>
      <c r="AZ152" s="20"/>
      <c r="BA152" s="20"/>
      <c r="BB152" s="20"/>
      <c r="BC152" s="20"/>
      <c r="BD152" s="20"/>
      <c r="BE152" s="20"/>
      <c r="BF152" s="20"/>
      <c r="BG152" s="20"/>
      <c r="BH152" s="20"/>
      <c r="BI152" s="20"/>
      <c r="BJ152" s="20"/>
      <c r="BK152" s="20"/>
      <c r="BL152" s="20"/>
      <c r="BM152" s="20"/>
      <c r="BN152" s="20"/>
      <c r="BO152" s="20"/>
      <c r="BP152" s="20"/>
      <c r="BQ152" s="20"/>
      <c r="BR152" s="20"/>
      <c r="BS152" s="20"/>
      <c r="BT152" s="20"/>
      <c r="BU152" s="20"/>
      <c r="BV152" s="20"/>
      <c r="BW152" s="20"/>
      <c r="BX152" s="20"/>
      <c r="BY152" s="20"/>
      <c r="BZ152" s="20"/>
      <c r="CA152" s="20"/>
      <c r="CB152" s="20"/>
      <c r="CC152" s="20"/>
      <c r="CD152" s="20"/>
      <c r="CE152" s="20"/>
      <c r="CF152" s="20"/>
      <c r="CG152" s="20"/>
      <c r="CH152" s="20"/>
      <c r="CI152" s="20"/>
      <c r="CJ152" s="20"/>
      <c r="CK152" s="20"/>
      <c r="CL152" s="20"/>
      <c r="CM152" s="20"/>
      <c r="CN152" s="20"/>
      <c r="CO152" s="20"/>
      <c r="CP152" s="20"/>
      <c r="CQ152" s="20"/>
      <c r="CR152" s="20"/>
      <c r="CS152" s="20"/>
      <c r="CT152" s="20"/>
      <c r="CU152" s="20"/>
      <c r="CV152" s="20"/>
      <c r="CW152" s="20"/>
      <c r="CX152" s="20"/>
      <c r="CY152" s="20"/>
      <c r="CZ152" s="20"/>
      <c r="DA152" s="20"/>
      <c r="DB152" s="20"/>
      <c r="DC152" s="20"/>
      <c r="DD152" s="20"/>
      <c r="DE152" s="20"/>
      <c r="DF152" s="20"/>
      <c r="DG152" s="20"/>
      <c r="DH152" s="20"/>
      <c r="DI152" s="20"/>
      <c r="DJ152" s="20"/>
      <c r="DK152" s="20"/>
      <c r="DL152" s="20"/>
      <c r="DM152" s="20"/>
      <c r="DN152" s="20"/>
      <c r="DO152" s="20"/>
      <c r="DP152" s="20"/>
      <c r="DQ152" s="20"/>
      <c r="DR152" s="20"/>
      <c r="DS152" s="20"/>
      <c r="DT152" s="20"/>
      <c r="DU152" s="20"/>
      <c r="DV152" s="20"/>
      <c r="DW152" s="20"/>
      <c r="DX152" s="20"/>
      <c r="DY152" s="20"/>
      <c r="DZ152" s="20"/>
      <c r="EA152" s="20"/>
      <c r="EB152" s="20"/>
      <c r="EC152" s="20"/>
      <c r="ED152" s="20"/>
      <c r="EE152" s="20"/>
      <c r="EF152" s="20"/>
      <c r="EG152" s="20"/>
      <c r="EH152" s="20"/>
      <c r="EI152" s="20"/>
    </row>
    <row r="153" spans="1:139" ht="15.75" thickBot="1" x14ac:dyDescent="0.3">
      <c r="A153" s="42"/>
      <c r="B153" s="42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20"/>
      <c r="S153" s="20"/>
      <c r="T153" s="20"/>
      <c r="U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20"/>
      <c r="AM153" s="20"/>
      <c r="AN153" s="20"/>
      <c r="AO153" s="20"/>
      <c r="AP153" s="20"/>
      <c r="AQ153" s="20"/>
      <c r="AR153" s="20"/>
      <c r="AS153" s="20"/>
      <c r="AT153" s="20"/>
      <c r="AU153" s="20"/>
      <c r="AV153" s="20"/>
      <c r="AW153" s="20"/>
      <c r="AX153" s="20"/>
      <c r="AY153" s="20"/>
      <c r="AZ153" s="20"/>
      <c r="BA153" s="20"/>
      <c r="BB153" s="20"/>
      <c r="BC153" s="20"/>
      <c r="BD153" s="20"/>
      <c r="BE153" s="20"/>
      <c r="BF153" s="20"/>
      <c r="BG153" s="20"/>
      <c r="BH153" s="20"/>
      <c r="BI153" s="20"/>
      <c r="BJ153" s="20"/>
      <c r="BK153" s="20"/>
      <c r="BL153" s="20"/>
      <c r="BM153" s="20"/>
      <c r="BN153" s="20"/>
      <c r="BO153" s="20"/>
      <c r="BP153" s="20"/>
      <c r="BQ153" s="20"/>
      <c r="BR153" s="20"/>
      <c r="BS153" s="20"/>
      <c r="BT153" s="20"/>
      <c r="BU153" s="20"/>
      <c r="BV153" s="20"/>
      <c r="BW153" s="20"/>
      <c r="BX153" s="20"/>
      <c r="BY153" s="20"/>
      <c r="BZ153" s="20"/>
      <c r="CA153" s="20"/>
      <c r="CB153" s="20"/>
      <c r="CC153" s="20"/>
      <c r="CD153" s="20"/>
      <c r="CE153" s="20"/>
      <c r="CF153" s="20"/>
      <c r="CG153" s="20"/>
      <c r="CH153" s="20"/>
      <c r="CI153" s="20"/>
      <c r="CJ153" s="20"/>
      <c r="CK153" s="20"/>
      <c r="CL153" s="20"/>
      <c r="CM153" s="20"/>
      <c r="CN153" s="20"/>
      <c r="CO153" s="20"/>
      <c r="CP153" s="20"/>
      <c r="CQ153" s="20"/>
      <c r="CR153" s="20"/>
      <c r="CS153" s="20"/>
      <c r="CT153" s="20"/>
      <c r="CU153" s="20"/>
      <c r="CV153" s="20"/>
      <c r="CW153" s="20"/>
      <c r="CX153" s="20"/>
      <c r="CY153" s="20"/>
      <c r="CZ153" s="20"/>
      <c r="DA153" s="20"/>
      <c r="DB153" s="20"/>
      <c r="DC153" s="20"/>
      <c r="DD153" s="20"/>
      <c r="DE153" s="20"/>
      <c r="DF153" s="20"/>
      <c r="DG153" s="20"/>
      <c r="DH153" s="20"/>
      <c r="DI153" s="20"/>
      <c r="DJ153" s="20"/>
      <c r="DK153" s="20"/>
      <c r="DL153" s="20"/>
      <c r="DM153" s="20"/>
      <c r="DN153" s="20"/>
      <c r="DO153" s="20"/>
      <c r="DP153" s="20"/>
      <c r="DQ153" s="20"/>
      <c r="DR153" s="20"/>
      <c r="DS153" s="20"/>
      <c r="DT153" s="20"/>
      <c r="DU153" s="20"/>
      <c r="DV153" s="20"/>
      <c r="DW153" s="20"/>
      <c r="DX153" s="20"/>
      <c r="DY153" s="20"/>
      <c r="DZ153" s="20"/>
      <c r="EA153" s="20"/>
      <c r="EB153" s="20"/>
      <c r="EC153" s="20"/>
      <c r="ED153" s="20"/>
      <c r="EE153" s="20"/>
      <c r="EF153" s="20"/>
      <c r="EG153" s="20"/>
      <c r="EH153" s="20"/>
      <c r="EI153" s="20"/>
    </row>
    <row r="154" spans="1:139" ht="15.75" thickBot="1" x14ac:dyDescent="0.3">
      <c r="A154" s="670" t="s">
        <v>351</v>
      </c>
      <c r="B154" s="671"/>
      <c r="C154" s="671"/>
      <c r="D154" s="671"/>
      <c r="E154" s="671"/>
      <c r="F154" s="671"/>
      <c r="G154" s="671"/>
      <c r="H154" s="671"/>
      <c r="I154" s="671"/>
      <c r="J154" s="671"/>
      <c r="K154" s="671"/>
      <c r="L154" s="671"/>
      <c r="M154" s="671"/>
      <c r="N154" s="671"/>
      <c r="O154" s="671"/>
      <c r="P154" s="671"/>
      <c r="Q154" s="671"/>
      <c r="R154" s="671"/>
      <c r="S154" s="671"/>
      <c r="T154" s="671"/>
      <c r="U154" s="672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20"/>
      <c r="AM154" s="20"/>
      <c r="AN154" s="20"/>
      <c r="AO154" s="20"/>
      <c r="AP154" s="20"/>
      <c r="AQ154" s="20"/>
      <c r="AR154" s="20"/>
      <c r="AS154" s="20"/>
      <c r="AT154" s="20"/>
      <c r="AU154" s="20"/>
      <c r="AV154" s="20"/>
      <c r="AW154" s="20"/>
      <c r="AX154" s="20"/>
      <c r="AY154" s="20"/>
      <c r="AZ154" s="20"/>
      <c r="BA154" s="20"/>
      <c r="BB154" s="20"/>
      <c r="BC154" s="20"/>
      <c r="BD154" s="20"/>
      <c r="BE154" s="20"/>
      <c r="BF154" s="20"/>
      <c r="BG154" s="20"/>
      <c r="BH154" s="20"/>
      <c r="BI154" s="20"/>
      <c r="BJ154" s="20"/>
      <c r="BK154" s="20"/>
      <c r="BL154" s="20"/>
      <c r="BM154" s="20"/>
      <c r="BN154" s="20"/>
      <c r="BO154" s="20"/>
      <c r="BP154" s="20"/>
      <c r="BQ154" s="20"/>
      <c r="BR154" s="20"/>
      <c r="BS154" s="20"/>
      <c r="BT154" s="20"/>
      <c r="BU154" s="20"/>
      <c r="BV154" s="20"/>
      <c r="BW154" s="20"/>
      <c r="BX154" s="20"/>
      <c r="BY154" s="20"/>
      <c r="BZ154" s="20"/>
      <c r="CA154" s="20"/>
      <c r="CB154" s="20"/>
      <c r="CC154" s="20"/>
      <c r="CD154" s="20"/>
      <c r="CE154" s="20"/>
      <c r="CF154" s="20"/>
      <c r="CG154" s="20"/>
      <c r="CH154" s="20"/>
      <c r="CI154" s="20"/>
      <c r="CJ154" s="20"/>
      <c r="CK154" s="20"/>
      <c r="CL154" s="20"/>
      <c r="CM154" s="20"/>
      <c r="CN154" s="20"/>
      <c r="CO154" s="20"/>
      <c r="CP154" s="20"/>
      <c r="CQ154" s="20"/>
      <c r="CR154" s="20"/>
      <c r="CS154" s="20"/>
      <c r="CT154" s="20"/>
      <c r="CU154" s="20"/>
      <c r="CV154" s="20"/>
      <c r="CW154" s="20"/>
      <c r="CX154" s="20"/>
      <c r="CY154" s="20"/>
      <c r="CZ154" s="20"/>
      <c r="DA154" s="20"/>
      <c r="DB154" s="20"/>
      <c r="DC154" s="20"/>
      <c r="DD154" s="20"/>
      <c r="DE154" s="20"/>
      <c r="DF154" s="20"/>
      <c r="DG154" s="20"/>
      <c r="DH154" s="20"/>
      <c r="DI154" s="20"/>
      <c r="DJ154" s="20"/>
      <c r="DK154" s="20"/>
      <c r="DL154" s="20"/>
      <c r="DM154" s="20"/>
      <c r="DN154" s="20"/>
      <c r="DO154" s="20"/>
      <c r="DP154" s="20"/>
      <c r="DQ154" s="20"/>
      <c r="DR154" s="20"/>
      <c r="DS154" s="20"/>
      <c r="DT154" s="20"/>
      <c r="DU154" s="20"/>
      <c r="DV154" s="20"/>
      <c r="DW154" s="20"/>
      <c r="DX154" s="20"/>
      <c r="DY154" s="20"/>
      <c r="DZ154" s="20"/>
      <c r="EA154" s="20"/>
      <c r="EB154" s="20"/>
      <c r="EC154" s="20"/>
      <c r="ED154" s="20"/>
      <c r="EE154" s="20"/>
      <c r="EF154" s="20"/>
      <c r="EG154" s="20"/>
      <c r="EH154" s="20"/>
      <c r="EI154" s="20"/>
    </row>
    <row r="155" spans="1:139" ht="15.75" thickBot="1" x14ac:dyDescent="0.3">
      <c r="A155" s="20"/>
      <c r="B155" s="20"/>
      <c r="C155" s="20"/>
      <c r="D155" s="36"/>
      <c r="E155" s="20"/>
      <c r="F155" s="43"/>
      <c r="G155" s="20"/>
      <c r="H155" s="20"/>
      <c r="I155" s="20"/>
      <c r="J155" s="43"/>
      <c r="K155" s="20"/>
      <c r="L155" s="20"/>
      <c r="M155" s="20"/>
      <c r="N155" s="20"/>
      <c r="O155" s="20"/>
      <c r="P155" s="20"/>
      <c r="Q155" s="42"/>
      <c r="R155" s="20"/>
      <c r="S155" s="20"/>
      <c r="T155" s="20"/>
      <c r="U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20"/>
      <c r="AM155" s="20"/>
      <c r="AN155" s="20"/>
      <c r="AO155" s="20"/>
      <c r="AP155" s="20"/>
      <c r="AQ155" s="20"/>
      <c r="AR155" s="20"/>
      <c r="AS155" s="20"/>
      <c r="AT155" s="20"/>
      <c r="AU155" s="20"/>
      <c r="AV155" s="20"/>
      <c r="AW155" s="20"/>
      <c r="AX155" s="20"/>
      <c r="AY155" s="20"/>
      <c r="AZ155" s="20"/>
      <c r="BA155" s="20"/>
      <c r="BB155" s="20"/>
      <c r="BC155" s="20"/>
      <c r="BD155" s="20"/>
      <c r="BE155" s="20"/>
      <c r="BF155" s="20"/>
      <c r="BG155" s="20"/>
      <c r="BH155" s="20"/>
      <c r="BI155" s="20"/>
      <c r="BJ155" s="20"/>
      <c r="BK155" s="20"/>
      <c r="BL155" s="20"/>
      <c r="BM155" s="20"/>
      <c r="BN155" s="20"/>
      <c r="BO155" s="20"/>
      <c r="BP155" s="20"/>
      <c r="BQ155" s="20"/>
      <c r="BR155" s="20"/>
      <c r="BS155" s="20"/>
      <c r="BT155" s="20"/>
      <c r="BU155" s="20"/>
      <c r="BV155" s="20"/>
      <c r="BW155" s="20"/>
      <c r="BX155" s="20"/>
      <c r="BY155" s="20"/>
      <c r="BZ155" s="20"/>
      <c r="CA155" s="20"/>
      <c r="CB155" s="20"/>
      <c r="CC155" s="20"/>
      <c r="CD155" s="20"/>
      <c r="CE155" s="20"/>
      <c r="CF155" s="20"/>
      <c r="CG155" s="20"/>
      <c r="CH155" s="20"/>
      <c r="CI155" s="20"/>
      <c r="CJ155" s="20"/>
      <c r="CK155" s="20"/>
      <c r="CL155" s="20"/>
      <c r="CM155" s="20"/>
      <c r="CN155" s="20"/>
      <c r="CO155" s="20"/>
      <c r="CP155" s="20"/>
      <c r="CQ155" s="20"/>
      <c r="CR155" s="20"/>
      <c r="CS155" s="20"/>
      <c r="CT155" s="20"/>
      <c r="CU155" s="20"/>
      <c r="CV155" s="20"/>
      <c r="CW155" s="20"/>
      <c r="CX155" s="20"/>
      <c r="CY155" s="20"/>
      <c r="CZ155" s="20"/>
      <c r="DA155" s="20"/>
      <c r="DB155" s="20"/>
      <c r="DC155" s="20"/>
      <c r="DD155" s="20"/>
      <c r="DE155" s="20"/>
      <c r="DF155" s="20"/>
      <c r="DG155" s="20"/>
      <c r="DH155" s="20"/>
      <c r="DI155" s="20"/>
      <c r="DJ155" s="20"/>
      <c r="DK155" s="20"/>
      <c r="DL155" s="20"/>
      <c r="DM155" s="20"/>
      <c r="DN155" s="20"/>
      <c r="DO155" s="20"/>
      <c r="DP155" s="20"/>
      <c r="DQ155" s="20"/>
      <c r="DR155" s="20"/>
      <c r="DS155" s="20"/>
      <c r="DT155" s="20"/>
      <c r="DU155" s="20"/>
      <c r="DV155" s="20"/>
      <c r="DW155" s="20"/>
      <c r="DX155" s="20"/>
      <c r="DY155" s="20"/>
      <c r="DZ155" s="20"/>
      <c r="EA155" s="20"/>
      <c r="EB155" s="20"/>
      <c r="EC155" s="20"/>
      <c r="ED155" s="20"/>
      <c r="EE155" s="20"/>
      <c r="EF155" s="20"/>
      <c r="EG155" s="20"/>
      <c r="EH155" s="20"/>
      <c r="EI155" s="20"/>
    </row>
    <row r="156" spans="1:139" x14ac:dyDescent="0.25">
      <c r="A156" s="20"/>
      <c r="B156" s="118" t="s">
        <v>231</v>
      </c>
      <c r="C156" s="91" t="s">
        <v>232</v>
      </c>
      <c r="D156" s="131" t="s">
        <v>13</v>
      </c>
      <c r="E156" s="457">
        <f t="shared" ref="E156:L156" si="92">E127</f>
        <v>912.30826484804595</v>
      </c>
      <c r="F156" s="158">
        <f t="shared" si="92"/>
        <v>845.79066845340185</v>
      </c>
      <c r="G156" s="458">
        <f t="shared" si="92"/>
        <v>808.43275463706482</v>
      </c>
      <c r="H156" s="458">
        <f t="shared" si="92"/>
        <v>786.90513690721355</v>
      </c>
      <c r="I156" s="463">
        <f t="shared" si="92"/>
        <v>640.6251368822667</v>
      </c>
      <c r="J156" s="458">
        <f t="shared" si="92"/>
        <v>422.12730548008318</v>
      </c>
      <c r="K156" s="458">
        <f t="shared" si="92"/>
        <v>264.98871132503507</v>
      </c>
      <c r="L156" s="119">
        <f t="shared" si="92"/>
        <v>173.44796303133901</v>
      </c>
      <c r="M156" s="20"/>
      <c r="N156" s="20"/>
      <c r="O156" s="20"/>
      <c r="P156" s="20"/>
      <c r="Q156" s="42"/>
      <c r="R156" s="20"/>
      <c r="S156" s="20"/>
      <c r="T156" s="20"/>
      <c r="U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20"/>
      <c r="AM156" s="20"/>
      <c r="AN156" s="20"/>
      <c r="AO156" s="20"/>
      <c r="AP156" s="20"/>
      <c r="AQ156" s="20"/>
      <c r="AR156" s="20"/>
      <c r="AS156" s="20"/>
      <c r="AT156" s="20"/>
      <c r="AU156" s="20"/>
      <c r="AV156" s="20"/>
      <c r="AW156" s="20"/>
      <c r="AX156" s="20"/>
      <c r="AY156" s="20"/>
      <c r="AZ156" s="20"/>
      <c r="BA156" s="20"/>
      <c r="BB156" s="20"/>
      <c r="BC156" s="20"/>
      <c r="BD156" s="20"/>
      <c r="BE156" s="20"/>
      <c r="BF156" s="20"/>
      <c r="BG156" s="20"/>
      <c r="BH156" s="20"/>
      <c r="BI156" s="20"/>
      <c r="BJ156" s="20"/>
      <c r="BK156" s="20"/>
      <c r="BL156" s="20"/>
      <c r="BM156" s="20"/>
      <c r="BN156" s="20"/>
      <c r="BO156" s="20"/>
      <c r="BP156" s="20"/>
      <c r="BQ156" s="20"/>
      <c r="BR156" s="20"/>
      <c r="BS156" s="20"/>
      <c r="BT156" s="20"/>
      <c r="BU156" s="20"/>
      <c r="BV156" s="20"/>
      <c r="BW156" s="20"/>
      <c r="BX156" s="20"/>
      <c r="BY156" s="20"/>
      <c r="BZ156" s="20"/>
      <c r="CA156" s="20"/>
      <c r="CB156" s="20"/>
      <c r="CC156" s="20"/>
      <c r="CD156" s="20"/>
      <c r="CE156" s="20"/>
      <c r="CF156" s="20"/>
      <c r="CG156" s="20"/>
      <c r="CH156" s="20"/>
      <c r="CI156" s="20"/>
      <c r="CJ156" s="20"/>
      <c r="CK156" s="20"/>
      <c r="CL156" s="20"/>
      <c r="CM156" s="20"/>
      <c r="CN156" s="20"/>
      <c r="CO156" s="20"/>
      <c r="CP156" s="20"/>
      <c r="CQ156" s="20"/>
      <c r="CR156" s="20"/>
      <c r="CS156" s="20"/>
      <c r="CT156" s="20"/>
      <c r="CU156" s="20"/>
      <c r="CV156" s="20"/>
      <c r="CW156" s="20"/>
      <c r="CX156" s="20"/>
      <c r="CY156" s="20"/>
      <c r="CZ156" s="20"/>
      <c r="DA156" s="20"/>
      <c r="DB156" s="20"/>
      <c r="DC156" s="20"/>
      <c r="DD156" s="20"/>
      <c r="DE156" s="20"/>
      <c r="DF156" s="20"/>
      <c r="DG156" s="20"/>
      <c r="DH156" s="20"/>
      <c r="DI156" s="20"/>
      <c r="DJ156" s="20"/>
      <c r="DK156" s="20"/>
      <c r="DL156" s="20"/>
      <c r="DM156" s="20"/>
      <c r="DN156" s="20"/>
      <c r="DO156" s="20"/>
      <c r="DP156" s="20"/>
      <c r="DQ156" s="20"/>
      <c r="DR156" s="20"/>
      <c r="DS156" s="20"/>
      <c r="DT156" s="20"/>
      <c r="DU156" s="20"/>
      <c r="DV156" s="20"/>
      <c r="DW156" s="20"/>
      <c r="DX156" s="20"/>
      <c r="DY156" s="20"/>
      <c r="DZ156" s="20"/>
      <c r="EA156" s="20"/>
      <c r="EB156" s="20"/>
      <c r="EC156" s="20"/>
      <c r="ED156" s="20"/>
      <c r="EE156" s="20"/>
      <c r="EF156" s="20"/>
      <c r="EG156" s="20"/>
      <c r="EH156" s="20"/>
      <c r="EI156" s="20"/>
    </row>
    <row r="157" spans="1:139" x14ac:dyDescent="0.25">
      <c r="A157" s="20"/>
      <c r="B157" s="26" t="s">
        <v>233</v>
      </c>
      <c r="C157" s="27" t="s">
        <v>234</v>
      </c>
      <c r="D157" s="536" t="s">
        <v>13</v>
      </c>
      <c r="E157" s="538">
        <f>-264.44+1.03*E156</f>
        <v>675.23751279348744</v>
      </c>
      <c r="F157" s="159">
        <f>-264.44+1.03*F156</f>
        <v>606.72438850700382</v>
      </c>
      <c r="G157" s="27">
        <f>-264.44+1.03*G156</f>
        <v>568.2457372761769</v>
      </c>
      <c r="H157" s="27">
        <f>-264.44+1.03*H156</f>
        <v>546.07229101442999</v>
      </c>
      <c r="I157" s="27">
        <f>-264.44+1.03*I156</f>
        <v>395.40389098873476</v>
      </c>
      <c r="J157" s="27">
        <f t="shared" ref="J157:L157" si="93">-264.44+1.03*J156</f>
        <v>170.35112464448571</v>
      </c>
      <c r="K157" s="27">
        <f t="shared" si="93"/>
        <v>8.4983726647861317</v>
      </c>
      <c r="L157" s="28">
        <f t="shared" si="93"/>
        <v>-85.78859807772082</v>
      </c>
      <c r="M157" s="20"/>
      <c r="N157" s="20"/>
      <c r="O157" s="20"/>
      <c r="P157" s="20"/>
      <c r="Q157" s="42"/>
      <c r="R157" s="20"/>
      <c r="S157" s="20"/>
      <c r="T157" s="20"/>
      <c r="U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20"/>
      <c r="AM157" s="20"/>
      <c r="AN157" s="20"/>
      <c r="AO157" s="20"/>
      <c r="AP157" s="20"/>
      <c r="AQ157" s="20"/>
      <c r="AR157" s="20"/>
      <c r="AS157" s="20"/>
      <c r="AT157" s="20"/>
      <c r="AU157" s="20"/>
      <c r="AV157" s="20"/>
      <c r="AW157" s="20"/>
      <c r="AX157" s="20"/>
      <c r="AY157" s="20"/>
      <c r="AZ157" s="20"/>
      <c r="BA157" s="20"/>
      <c r="BB157" s="20"/>
      <c r="BC157" s="20"/>
      <c r="BD157" s="20"/>
      <c r="BE157" s="20"/>
      <c r="BF157" s="20"/>
      <c r="BG157" s="20"/>
      <c r="BH157" s="20"/>
      <c r="BI157" s="20"/>
      <c r="BJ157" s="20"/>
      <c r="BK157" s="20"/>
      <c r="BL157" s="20"/>
      <c r="BM157" s="20"/>
      <c r="BN157" s="20"/>
      <c r="BO157" s="20"/>
      <c r="BP157" s="20"/>
      <c r="BQ157" s="20"/>
      <c r="BR157" s="20"/>
      <c r="BS157" s="20"/>
      <c r="BT157" s="20"/>
      <c r="BU157" s="20"/>
      <c r="BV157" s="20"/>
      <c r="BW157" s="20"/>
      <c r="BX157" s="20"/>
      <c r="BY157" s="20"/>
      <c r="BZ157" s="20"/>
      <c r="CA157" s="20"/>
      <c r="CB157" s="20"/>
      <c r="CC157" s="20"/>
      <c r="CD157" s="20"/>
      <c r="CE157" s="20"/>
      <c r="CF157" s="20"/>
      <c r="CG157" s="20"/>
      <c r="CH157" s="20"/>
      <c r="CI157" s="20"/>
      <c r="CJ157" s="20"/>
      <c r="CK157" s="20"/>
      <c r="CL157" s="20"/>
      <c r="CM157" s="20"/>
      <c r="CN157" s="20"/>
      <c r="CO157" s="20"/>
      <c r="CP157" s="20"/>
      <c r="CQ157" s="20"/>
      <c r="CR157" s="20"/>
      <c r="CS157" s="20"/>
      <c r="CT157" s="20"/>
      <c r="CU157" s="20"/>
      <c r="CV157" s="20"/>
      <c r="CW157" s="20"/>
      <c r="CX157" s="20"/>
      <c r="CY157" s="20"/>
      <c r="CZ157" s="20"/>
      <c r="DA157" s="20"/>
      <c r="DB157" s="20"/>
      <c r="DC157" s="20"/>
      <c r="DD157" s="20"/>
      <c r="DE157" s="20"/>
      <c r="DF157" s="20"/>
      <c r="DG157" s="20"/>
      <c r="DH157" s="20"/>
      <c r="DI157" s="20"/>
      <c r="DJ157" s="20"/>
      <c r="DK157" s="20"/>
      <c r="DL157" s="20"/>
      <c r="DM157" s="20"/>
      <c r="DN157" s="20"/>
      <c r="DO157" s="20"/>
      <c r="DP157" s="20"/>
      <c r="DQ157" s="20"/>
      <c r="DR157" s="20"/>
      <c r="DS157" s="20"/>
      <c r="DT157" s="20"/>
      <c r="DU157" s="20"/>
      <c r="DV157" s="20"/>
      <c r="DW157" s="20"/>
      <c r="DX157" s="20"/>
      <c r="DY157" s="20"/>
      <c r="DZ157" s="20"/>
      <c r="EA157" s="20"/>
      <c r="EB157" s="20"/>
      <c r="EC157" s="20"/>
      <c r="ED157" s="20"/>
      <c r="EE157" s="20"/>
      <c r="EF157" s="20"/>
      <c r="EG157" s="20"/>
      <c r="EH157" s="20"/>
      <c r="EI157" s="20"/>
    </row>
    <row r="158" spans="1:139" ht="15.75" thickBot="1" x14ac:dyDescent="0.3">
      <c r="A158" s="20"/>
      <c r="B158" s="29" t="s">
        <v>235</v>
      </c>
      <c r="C158" s="30" t="s">
        <v>236</v>
      </c>
      <c r="D158" s="537" t="s">
        <v>13</v>
      </c>
      <c r="E158" s="539">
        <f>-87.31+0.79*E156</f>
        <v>633.41352922995634</v>
      </c>
      <c r="F158" s="160">
        <f>-87.31+0.79*F156</f>
        <v>580.86462807818748</v>
      </c>
      <c r="G158" s="30">
        <f>-87.31+0.79*G156</f>
        <v>551.3518761632813</v>
      </c>
      <c r="H158" s="30">
        <f>-87.31+0.79*H156</f>
        <v>534.34505815669877</v>
      </c>
      <c r="I158" s="30">
        <f>-87.31+0.79*I156</f>
        <v>418.78385813699072</v>
      </c>
      <c r="J158" s="30">
        <f t="shared" ref="J158:L158" si="94">-87.31+0.79*J156</f>
        <v>246.17057132926573</v>
      </c>
      <c r="K158" s="30">
        <f t="shared" si="94"/>
        <v>122.0310819467777</v>
      </c>
      <c r="L158" s="31">
        <f t="shared" si="94"/>
        <v>49.713890794757816</v>
      </c>
      <c r="M158" s="20"/>
      <c r="N158" s="20"/>
      <c r="O158" s="20"/>
      <c r="P158" s="20"/>
      <c r="Q158" s="42"/>
      <c r="R158" s="20"/>
      <c r="S158" s="20"/>
      <c r="T158" s="20"/>
      <c r="U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20"/>
      <c r="AM158" s="20"/>
      <c r="AN158" s="20"/>
      <c r="AO158" s="20"/>
      <c r="AP158" s="20"/>
      <c r="AQ158" s="20"/>
      <c r="AR158" s="20"/>
      <c r="AS158" s="20"/>
      <c r="AT158" s="20"/>
      <c r="AU158" s="20"/>
      <c r="AV158" s="20"/>
      <c r="AW158" s="20"/>
      <c r="AX158" s="20"/>
      <c r="AY158" s="20"/>
      <c r="AZ158" s="20"/>
      <c r="BA158" s="20"/>
      <c r="BB158" s="20"/>
      <c r="BC158" s="20"/>
      <c r="BD158" s="20"/>
      <c r="BE158" s="20"/>
      <c r="BF158" s="20"/>
      <c r="BG158" s="20"/>
      <c r="BH158" s="20"/>
      <c r="BI158" s="20"/>
      <c r="BJ158" s="20"/>
      <c r="BK158" s="20"/>
      <c r="BL158" s="20"/>
      <c r="BM158" s="20"/>
      <c r="BN158" s="20"/>
      <c r="BO158" s="20"/>
      <c r="BP158" s="20"/>
      <c r="BQ158" s="20"/>
      <c r="BR158" s="20"/>
      <c r="BS158" s="20"/>
      <c r="BT158" s="20"/>
      <c r="BU158" s="20"/>
      <c r="BV158" s="20"/>
      <c r="BW158" s="20"/>
      <c r="BX158" s="20"/>
      <c r="BY158" s="20"/>
      <c r="BZ158" s="20"/>
      <c r="CA158" s="20"/>
      <c r="CB158" s="20"/>
      <c r="CC158" s="20"/>
      <c r="CD158" s="20"/>
      <c r="CE158" s="20"/>
      <c r="CF158" s="20"/>
      <c r="CG158" s="20"/>
      <c r="CH158" s="20"/>
      <c r="CI158" s="20"/>
      <c r="CJ158" s="20"/>
      <c r="CK158" s="20"/>
      <c r="CL158" s="20"/>
      <c r="CM158" s="20"/>
      <c r="CN158" s="20"/>
      <c r="CO158" s="20"/>
      <c r="CP158" s="20"/>
      <c r="CQ158" s="20"/>
      <c r="CR158" s="20"/>
      <c r="CS158" s="20"/>
      <c r="CT158" s="20"/>
      <c r="CU158" s="20"/>
      <c r="CV158" s="20"/>
      <c r="CW158" s="20"/>
      <c r="CX158" s="20"/>
      <c r="CY158" s="20"/>
      <c r="CZ158" s="20"/>
      <c r="DA158" s="20"/>
      <c r="DB158" s="20"/>
      <c r="DC158" s="20"/>
      <c r="DD158" s="20"/>
      <c r="DE158" s="20"/>
      <c r="DF158" s="20"/>
      <c r="DG158" s="20"/>
      <c r="DH158" s="20"/>
      <c r="DI158" s="20"/>
      <c r="DJ158" s="20"/>
      <c r="DK158" s="20"/>
      <c r="DL158" s="20"/>
      <c r="DM158" s="20"/>
      <c r="DN158" s="20"/>
      <c r="DO158" s="20"/>
      <c r="DP158" s="20"/>
      <c r="DQ158" s="20"/>
      <c r="DR158" s="20"/>
      <c r="DS158" s="20"/>
      <c r="DT158" s="20"/>
      <c r="DU158" s="20"/>
      <c r="DV158" s="20"/>
      <c r="DW158" s="20"/>
      <c r="DX158" s="20"/>
      <c r="DY158" s="20"/>
      <c r="DZ158" s="20"/>
      <c r="EA158" s="20"/>
      <c r="EB158" s="20"/>
      <c r="EC158" s="20"/>
      <c r="ED158" s="20"/>
      <c r="EE158" s="20"/>
      <c r="EF158" s="20"/>
      <c r="EG158" s="20"/>
      <c r="EH158" s="20"/>
      <c r="EI158" s="20"/>
    </row>
    <row r="159" spans="1:139" ht="15.75" thickBot="1" x14ac:dyDescent="0.3">
      <c r="A159" s="20"/>
      <c r="B159" s="547"/>
      <c r="C159" s="547"/>
      <c r="D159" s="547"/>
      <c r="E159" s="258"/>
      <c r="F159" s="548"/>
      <c r="G159" s="258"/>
      <c r="H159" s="258"/>
      <c r="I159" s="258"/>
      <c r="J159" s="43"/>
      <c r="K159" s="20"/>
      <c r="L159" s="20"/>
      <c r="M159" s="20"/>
      <c r="N159" s="20"/>
      <c r="O159" s="20"/>
      <c r="P159" s="20"/>
      <c r="Q159" s="42"/>
      <c r="R159" s="20"/>
      <c r="S159" s="20"/>
      <c r="T159" s="20"/>
      <c r="U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20"/>
      <c r="AM159" s="20"/>
      <c r="AN159" s="20"/>
      <c r="AO159" s="20"/>
      <c r="AP159" s="20"/>
      <c r="AQ159" s="20"/>
      <c r="AR159" s="20"/>
      <c r="AS159" s="20"/>
      <c r="AT159" s="20"/>
      <c r="AU159" s="20"/>
      <c r="AV159" s="20"/>
      <c r="AW159" s="20"/>
      <c r="AX159" s="20"/>
      <c r="AY159" s="20"/>
      <c r="AZ159" s="20"/>
      <c r="BA159" s="20"/>
      <c r="BB159" s="20"/>
      <c r="BC159" s="20"/>
      <c r="BD159" s="20"/>
      <c r="BE159" s="20"/>
      <c r="BF159" s="20"/>
      <c r="BG159" s="20"/>
      <c r="BH159" s="20"/>
      <c r="BI159" s="20"/>
      <c r="BJ159" s="20"/>
      <c r="BK159" s="20"/>
      <c r="BL159" s="20"/>
      <c r="BM159" s="20"/>
      <c r="BN159" s="20"/>
      <c r="BO159" s="20"/>
      <c r="BP159" s="20"/>
      <c r="BQ159" s="20"/>
      <c r="BR159" s="20"/>
      <c r="BS159" s="20"/>
      <c r="BT159" s="20"/>
      <c r="BU159" s="20"/>
      <c r="BV159" s="20"/>
      <c r="BW159" s="20"/>
      <c r="BX159" s="20"/>
      <c r="BY159" s="20"/>
      <c r="BZ159" s="20"/>
      <c r="CA159" s="20"/>
      <c r="CB159" s="20"/>
      <c r="CC159" s="20"/>
      <c r="CD159" s="20"/>
      <c r="CE159" s="20"/>
      <c r="CF159" s="20"/>
      <c r="CG159" s="20"/>
      <c r="CH159" s="20"/>
      <c r="CI159" s="20"/>
      <c r="CJ159" s="20"/>
      <c r="CK159" s="20"/>
      <c r="CL159" s="20"/>
      <c r="CM159" s="20"/>
      <c r="CN159" s="20"/>
      <c r="CO159" s="20"/>
      <c r="CP159" s="20"/>
      <c r="CQ159" s="20"/>
      <c r="CR159" s="20"/>
      <c r="CS159" s="20"/>
      <c r="CT159" s="20"/>
      <c r="CU159" s="20"/>
      <c r="CV159" s="20"/>
      <c r="CW159" s="20"/>
      <c r="CX159" s="20"/>
      <c r="CY159" s="20"/>
      <c r="CZ159" s="20"/>
      <c r="DA159" s="20"/>
      <c r="DB159" s="20"/>
      <c r="DC159" s="20"/>
      <c r="DD159" s="20"/>
      <c r="DE159" s="20"/>
      <c r="DF159" s="20"/>
      <c r="DG159" s="20"/>
      <c r="DH159" s="20"/>
      <c r="DI159" s="20"/>
      <c r="DJ159" s="20"/>
      <c r="DK159" s="20"/>
      <c r="DL159" s="20"/>
      <c r="DM159" s="20"/>
      <c r="DN159" s="20"/>
      <c r="DO159" s="20"/>
      <c r="DP159" s="20"/>
      <c r="DQ159" s="20"/>
      <c r="DR159" s="20"/>
      <c r="DS159" s="20"/>
      <c r="DT159" s="20"/>
      <c r="DU159" s="20"/>
      <c r="DV159" s="20"/>
      <c r="DW159" s="20"/>
      <c r="DX159" s="20"/>
      <c r="DY159" s="20"/>
      <c r="DZ159" s="20"/>
      <c r="EA159" s="20"/>
      <c r="EB159" s="20"/>
      <c r="EC159" s="20"/>
      <c r="ED159" s="20"/>
      <c r="EE159" s="20"/>
      <c r="EF159" s="20"/>
      <c r="EG159" s="20"/>
      <c r="EH159" s="20"/>
      <c r="EI159" s="20"/>
    </row>
    <row r="160" spans="1:139" ht="15.75" thickBot="1" x14ac:dyDescent="0.3">
      <c r="A160" s="523"/>
      <c r="B160" s="549"/>
      <c r="C160" s="550"/>
      <c r="D160" s="550"/>
      <c r="E160" s="550"/>
      <c r="F160" s="551"/>
      <c r="G160" s="550"/>
      <c r="H160" s="550"/>
      <c r="I160" s="550"/>
      <c r="J160" s="503"/>
      <c r="K160" s="504"/>
      <c r="L160" s="507"/>
      <c r="M160" s="24"/>
      <c r="N160" s="24"/>
      <c r="O160" s="24"/>
      <c r="P160" s="24"/>
      <c r="Q160" s="42"/>
      <c r="R160" s="20"/>
      <c r="S160" s="20"/>
      <c r="T160" s="20"/>
      <c r="U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20"/>
      <c r="AM160" s="20"/>
      <c r="AN160" s="20"/>
      <c r="AO160" s="20"/>
      <c r="AP160" s="20"/>
      <c r="AQ160" s="20"/>
      <c r="AR160" s="20"/>
      <c r="AS160" s="20"/>
      <c r="AT160" s="20"/>
      <c r="AU160" s="20"/>
      <c r="AV160" s="20"/>
      <c r="AW160" s="20"/>
      <c r="AX160" s="20"/>
      <c r="AY160" s="20"/>
      <c r="AZ160" s="20"/>
      <c r="BA160" s="20"/>
      <c r="BB160" s="20"/>
      <c r="BC160" s="20"/>
      <c r="BD160" s="20"/>
      <c r="BE160" s="20"/>
      <c r="BF160" s="20"/>
      <c r="BG160" s="20"/>
      <c r="BH160" s="20"/>
      <c r="BI160" s="20"/>
      <c r="BJ160" s="20"/>
      <c r="BK160" s="20"/>
      <c r="BL160" s="20"/>
      <c r="BM160" s="20"/>
      <c r="BN160" s="20"/>
      <c r="BO160" s="20"/>
      <c r="BP160" s="20"/>
      <c r="BQ160" s="20"/>
      <c r="BR160" s="20"/>
      <c r="BS160" s="20"/>
      <c r="BT160" s="20"/>
      <c r="BU160" s="20"/>
      <c r="BV160" s="20"/>
      <c r="BW160" s="20"/>
      <c r="BX160" s="20"/>
      <c r="BY160" s="20"/>
      <c r="BZ160" s="20"/>
      <c r="CA160" s="20"/>
      <c r="CB160" s="20"/>
      <c r="CC160" s="20"/>
      <c r="CD160" s="20"/>
      <c r="CE160" s="20"/>
      <c r="CF160" s="20"/>
      <c r="CG160" s="20"/>
      <c r="CH160" s="20"/>
      <c r="CI160" s="20"/>
      <c r="CJ160" s="20"/>
      <c r="CK160" s="20"/>
      <c r="CL160" s="20"/>
      <c r="CM160" s="20"/>
      <c r="CN160" s="20"/>
      <c r="CO160" s="20"/>
      <c r="CP160" s="20"/>
      <c r="CQ160" s="20"/>
      <c r="CR160" s="20"/>
      <c r="CS160" s="20"/>
      <c r="CT160" s="20"/>
      <c r="CU160" s="20"/>
      <c r="CV160" s="20"/>
      <c r="CW160" s="20"/>
      <c r="CX160" s="20"/>
      <c r="CY160" s="20"/>
      <c r="CZ160" s="20"/>
      <c r="DA160" s="20"/>
      <c r="DB160" s="20"/>
      <c r="DC160" s="20"/>
      <c r="DD160" s="20"/>
      <c r="DE160" s="20"/>
      <c r="DF160" s="20"/>
      <c r="DG160" s="20"/>
      <c r="DH160" s="20"/>
      <c r="DI160" s="20"/>
      <c r="DJ160" s="20"/>
      <c r="DK160" s="20"/>
      <c r="DL160" s="20"/>
      <c r="DM160" s="20"/>
      <c r="DN160" s="20"/>
      <c r="DO160" s="20"/>
      <c r="DP160" s="20"/>
      <c r="DQ160" s="20"/>
      <c r="DR160" s="20"/>
      <c r="DS160" s="20"/>
      <c r="DT160" s="20"/>
      <c r="DU160" s="20"/>
      <c r="DV160" s="20"/>
      <c r="DW160" s="20"/>
      <c r="DX160" s="20"/>
      <c r="DY160" s="20"/>
      <c r="DZ160" s="20"/>
      <c r="EA160" s="20"/>
      <c r="EB160" s="20"/>
      <c r="EC160" s="20"/>
      <c r="ED160" s="20"/>
      <c r="EE160" s="20"/>
      <c r="EF160" s="20"/>
      <c r="EG160" s="20"/>
      <c r="EH160" s="20"/>
      <c r="EI160" s="20"/>
    </row>
    <row r="161" spans="1:139" ht="15.75" thickBot="1" x14ac:dyDescent="0.3">
      <c r="A161" s="24"/>
      <c r="B161" s="814" t="s">
        <v>192</v>
      </c>
      <c r="C161" s="815"/>
      <c r="D161" s="815"/>
      <c r="E161" s="542">
        <f>+E45</f>
        <v>1</v>
      </c>
      <c r="F161" s="579">
        <f t="shared" ref="F161:H161" si="95">+F45</f>
        <v>2</v>
      </c>
      <c r="G161" s="579">
        <f t="shared" si="95"/>
        <v>3</v>
      </c>
      <c r="H161" s="579">
        <f t="shared" si="95"/>
        <v>4</v>
      </c>
      <c r="I161" s="579">
        <f t="shared" ref="I161" si="96">+I45</f>
        <v>5</v>
      </c>
      <c r="J161" s="579">
        <f>+J45</f>
        <v>6</v>
      </c>
      <c r="K161" s="579">
        <f>+K45</f>
        <v>7</v>
      </c>
      <c r="L161" s="580">
        <f>+L45</f>
        <v>8</v>
      </c>
      <c r="M161" s="24"/>
      <c r="N161" s="24"/>
      <c r="O161" s="24"/>
      <c r="P161" s="24"/>
      <c r="Q161" s="42"/>
      <c r="R161" s="20"/>
      <c r="S161" s="20"/>
      <c r="T161" s="20"/>
      <c r="U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  <c r="AM161" s="20"/>
      <c r="AN161" s="20"/>
      <c r="AO161" s="20"/>
      <c r="AP161" s="20"/>
      <c r="AQ161" s="20"/>
      <c r="AR161" s="20"/>
      <c r="AS161" s="20"/>
      <c r="AT161" s="20"/>
      <c r="AU161" s="20"/>
      <c r="AV161" s="20"/>
      <c r="AW161" s="20"/>
      <c r="AX161" s="20"/>
      <c r="AY161" s="20"/>
      <c r="AZ161" s="20"/>
      <c r="BA161" s="20"/>
      <c r="BB161" s="20"/>
      <c r="BC161" s="20"/>
      <c r="BD161" s="20"/>
      <c r="BE161" s="20"/>
      <c r="BF161" s="20"/>
      <c r="BG161" s="20"/>
      <c r="BH161" s="20"/>
      <c r="BI161" s="20"/>
      <c r="BJ161" s="20"/>
      <c r="BK161" s="20"/>
      <c r="BL161" s="20"/>
      <c r="BM161" s="20"/>
      <c r="BN161" s="20"/>
      <c r="BO161" s="20"/>
      <c r="BP161" s="20"/>
      <c r="BQ161" s="20"/>
      <c r="BR161" s="20"/>
      <c r="BS161" s="20"/>
      <c r="BT161" s="20"/>
      <c r="BU161" s="20"/>
      <c r="BV161" s="20"/>
      <c r="BW161" s="20"/>
      <c r="BX161" s="20"/>
      <c r="BY161" s="20"/>
      <c r="BZ161" s="20"/>
      <c r="CA161" s="20"/>
      <c r="CB161" s="20"/>
      <c r="CC161" s="20"/>
      <c r="CD161" s="20"/>
      <c r="CE161" s="20"/>
      <c r="CF161" s="20"/>
      <c r="CG161" s="20"/>
      <c r="CH161" s="20"/>
      <c r="CI161" s="20"/>
      <c r="CJ161" s="20"/>
      <c r="CK161" s="20"/>
      <c r="CL161" s="20"/>
      <c r="CM161" s="20"/>
      <c r="CN161" s="20"/>
      <c r="CO161" s="20"/>
      <c r="CP161" s="20"/>
      <c r="CQ161" s="20"/>
      <c r="CR161" s="20"/>
      <c r="CS161" s="20"/>
      <c r="CT161" s="20"/>
      <c r="CU161" s="20"/>
      <c r="CV161" s="20"/>
      <c r="CW161" s="20"/>
      <c r="CX161" s="20"/>
      <c r="CY161" s="20"/>
      <c r="CZ161" s="20"/>
      <c r="DA161" s="20"/>
      <c r="DB161" s="20"/>
      <c r="DC161" s="20"/>
      <c r="DD161" s="20"/>
      <c r="DE161" s="20"/>
      <c r="DF161" s="20"/>
      <c r="DG161" s="20"/>
      <c r="DH161" s="20"/>
      <c r="DI161" s="20"/>
      <c r="DJ161" s="20"/>
      <c r="DK161" s="20"/>
      <c r="DL161" s="20"/>
      <c r="DM161" s="20"/>
      <c r="DN161" s="20"/>
      <c r="DO161" s="20"/>
      <c r="DP161" s="20"/>
      <c r="DQ161" s="20"/>
      <c r="DR161" s="20"/>
      <c r="DS161" s="20"/>
      <c r="DT161" s="20"/>
      <c r="DU161" s="20"/>
      <c r="DV161" s="20"/>
      <c r="DW161" s="20"/>
      <c r="DX161" s="20"/>
      <c r="DY161" s="20"/>
      <c r="DZ161" s="20"/>
      <c r="EA161" s="20"/>
      <c r="EB161" s="20"/>
      <c r="EC161" s="20"/>
      <c r="ED161" s="20"/>
      <c r="EE161" s="20"/>
      <c r="EF161" s="20"/>
      <c r="EG161" s="20"/>
      <c r="EH161" s="20"/>
      <c r="EI161" s="20"/>
    </row>
    <row r="162" spans="1:139" x14ac:dyDescent="0.25">
      <c r="A162" s="20"/>
      <c r="B162" s="80" t="s">
        <v>237</v>
      </c>
      <c r="C162" s="81" t="s">
        <v>238</v>
      </c>
      <c r="D162" s="485" t="s">
        <v>150</v>
      </c>
      <c r="E162" s="581">
        <f t="shared" ref="E162:H162" si="97">E127+273.15</f>
        <v>1185.4582648480459</v>
      </c>
      <c r="F162" s="582">
        <f t="shared" si="97"/>
        <v>1118.9406684534019</v>
      </c>
      <c r="G162" s="583">
        <f t="shared" si="97"/>
        <v>1081.5827546370647</v>
      </c>
      <c r="H162" s="583">
        <f t="shared" si="97"/>
        <v>1060.0551369072136</v>
      </c>
      <c r="I162" s="583">
        <f t="shared" ref="I162" si="98">I127+273.15</f>
        <v>913.77513688226668</v>
      </c>
      <c r="J162" s="583">
        <f>J127+273.15</f>
        <v>695.27730548008321</v>
      </c>
      <c r="K162" s="583">
        <f>K127+273.15</f>
        <v>538.13871132503505</v>
      </c>
      <c r="L162" s="584">
        <f>L127+273.15</f>
        <v>446.59796303133896</v>
      </c>
      <c r="M162" s="24"/>
      <c r="N162" s="24"/>
      <c r="O162" s="24"/>
      <c r="P162" s="24"/>
      <c r="Q162" s="42"/>
      <c r="R162" s="20"/>
      <c r="S162" s="20"/>
      <c r="T162" s="20"/>
      <c r="U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  <c r="AM162" s="20"/>
      <c r="AN162" s="20"/>
      <c r="AO162" s="20"/>
      <c r="AP162" s="20"/>
      <c r="AQ162" s="20"/>
      <c r="AR162" s="20"/>
      <c r="AS162" s="20"/>
      <c r="AT162" s="20"/>
      <c r="AU162" s="20"/>
      <c r="AV162" s="20"/>
      <c r="AW162" s="20"/>
      <c r="AX162" s="20"/>
      <c r="AY162" s="20"/>
      <c r="AZ162" s="20"/>
      <c r="BA162" s="20"/>
      <c r="BB162" s="20"/>
      <c r="BC162" s="20"/>
      <c r="BD162" s="20"/>
      <c r="BE162" s="20"/>
      <c r="BF162" s="20"/>
      <c r="BG162" s="20"/>
      <c r="BH162" s="20"/>
      <c r="BI162" s="20"/>
      <c r="BJ162" s="20"/>
      <c r="BK162" s="20"/>
      <c r="BL162" s="20"/>
      <c r="BM162" s="20"/>
      <c r="BN162" s="20"/>
      <c r="BO162" s="20"/>
      <c r="BP162" s="20"/>
      <c r="BQ162" s="20"/>
      <c r="BR162" s="20"/>
      <c r="BS162" s="20"/>
      <c r="BT162" s="20"/>
      <c r="BU162" s="20"/>
      <c r="BV162" s="20"/>
      <c r="BW162" s="20"/>
      <c r="BX162" s="20"/>
      <c r="BY162" s="20"/>
      <c r="BZ162" s="20"/>
      <c r="CA162" s="20"/>
      <c r="CB162" s="20"/>
      <c r="CC162" s="20"/>
      <c r="CD162" s="20"/>
      <c r="CE162" s="20"/>
      <c r="CF162" s="20"/>
      <c r="CG162" s="20"/>
      <c r="CH162" s="20"/>
      <c r="CI162" s="20"/>
      <c r="CJ162" s="20"/>
      <c r="CK162" s="20"/>
      <c r="CL162" s="20"/>
      <c r="CM162" s="20"/>
      <c r="CN162" s="20"/>
      <c r="CO162" s="20"/>
      <c r="CP162" s="20"/>
      <c r="CQ162" s="20"/>
      <c r="CR162" s="20"/>
      <c r="CS162" s="20"/>
      <c r="CT162" s="20"/>
      <c r="CU162" s="20"/>
      <c r="CV162" s="20"/>
      <c r="CW162" s="20"/>
      <c r="CX162" s="20"/>
      <c r="CY162" s="20"/>
      <c r="CZ162" s="20"/>
      <c r="DA162" s="20"/>
      <c r="DB162" s="20"/>
      <c r="DC162" s="20"/>
      <c r="DD162" s="20"/>
      <c r="DE162" s="20"/>
      <c r="DF162" s="20"/>
      <c r="DG162" s="20"/>
      <c r="DH162" s="20"/>
      <c r="DI162" s="20"/>
      <c r="DJ162" s="20"/>
      <c r="DK162" s="20"/>
      <c r="DL162" s="20"/>
      <c r="DM162" s="20"/>
      <c r="DN162" s="20"/>
      <c r="DO162" s="20"/>
      <c r="DP162" s="20"/>
      <c r="DQ162" s="20"/>
      <c r="DR162" s="20"/>
      <c r="DS162" s="20"/>
      <c r="DT162" s="20"/>
      <c r="DU162" s="20"/>
      <c r="DV162" s="20"/>
      <c r="DW162" s="20"/>
      <c r="DX162" s="20"/>
      <c r="DY162" s="20"/>
      <c r="DZ162" s="20"/>
      <c r="EA162" s="20"/>
      <c r="EB162" s="20"/>
      <c r="EC162" s="20"/>
      <c r="ED162" s="20"/>
      <c r="EE162" s="20"/>
      <c r="EF162" s="20"/>
      <c r="EG162" s="20"/>
      <c r="EH162" s="20"/>
      <c r="EI162" s="20"/>
    </row>
    <row r="163" spans="1:139" x14ac:dyDescent="0.25">
      <c r="A163" s="20"/>
      <c r="B163" s="80" t="s">
        <v>239</v>
      </c>
      <c r="C163" s="81" t="s">
        <v>240</v>
      </c>
      <c r="D163" s="485" t="s">
        <v>150</v>
      </c>
      <c r="E163" s="575" t="e">
        <f t="shared" ref="E163:H163" si="99">E136+273.15</f>
        <v>#VALUE!</v>
      </c>
      <c r="F163" s="576" t="e">
        <f t="shared" si="99"/>
        <v>#VALUE!</v>
      </c>
      <c r="G163" s="577" t="e">
        <f t="shared" si="99"/>
        <v>#VALUE!</v>
      </c>
      <c r="H163" s="577" t="e">
        <f t="shared" si="99"/>
        <v>#VALUE!</v>
      </c>
      <c r="I163" s="577">
        <f t="shared" ref="I163" si="100">I136+273.15</f>
        <v>653.66306097013398</v>
      </c>
      <c r="J163" s="577">
        <f>J136+273.15</f>
        <v>377.99517691713766</v>
      </c>
      <c r="K163" s="577">
        <f>K136+273.15</f>
        <v>373.17480936147808</v>
      </c>
      <c r="L163" s="578" t="e">
        <f>L136+273.15</f>
        <v>#VALUE!</v>
      </c>
      <c r="M163" s="20"/>
      <c r="N163" s="20"/>
      <c r="O163" s="20"/>
      <c r="P163" s="20"/>
      <c r="Q163" s="42"/>
      <c r="R163" s="20"/>
      <c r="S163" s="20"/>
      <c r="T163" s="20"/>
      <c r="U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  <c r="AM163" s="20"/>
      <c r="AN163" s="20"/>
      <c r="AO163" s="20"/>
      <c r="AP163" s="20"/>
      <c r="AQ163" s="20"/>
      <c r="AR163" s="20"/>
      <c r="AS163" s="20"/>
      <c r="AT163" s="20"/>
      <c r="AU163" s="20"/>
      <c r="AV163" s="20"/>
      <c r="AW163" s="20"/>
      <c r="AX163" s="20"/>
      <c r="AY163" s="20"/>
      <c r="AZ163" s="20"/>
      <c r="BA163" s="20"/>
      <c r="BB163" s="20"/>
      <c r="BC163" s="20"/>
      <c r="BD163" s="20"/>
      <c r="BE163" s="20"/>
      <c r="BF163" s="20"/>
      <c r="BG163" s="20"/>
      <c r="BH163" s="20"/>
      <c r="BI163" s="20"/>
      <c r="BJ163" s="20"/>
      <c r="BK163" s="20"/>
      <c r="BL163" s="20"/>
      <c r="BM163" s="20"/>
      <c r="BN163" s="20"/>
      <c r="BO163" s="20"/>
      <c r="BP163" s="20"/>
      <c r="BQ163" s="20"/>
      <c r="BR163" s="20"/>
      <c r="BS163" s="20"/>
      <c r="BT163" s="20"/>
      <c r="BU163" s="20"/>
      <c r="BV163" s="20"/>
      <c r="BW163" s="20"/>
      <c r="BX163" s="20"/>
      <c r="BY163" s="20"/>
      <c r="BZ163" s="20"/>
      <c r="CA163" s="20"/>
      <c r="CB163" s="20"/>
      <c r="CC163" s="20"/>
      <c r="CD163" s="20"/>
      <c r="CE163" s="20"/>
      <c r="CF163" s="20"/>
      <c r="CG163" s="20"/>
      <c r="CH163" s="20"/>
      <c r="CI163" s="20"/>
      <c r="CJ163" s="20"/>
      <c r="CK163" s="20"/>
      <c r="CL163" s="20"/>
      <c r="CM163" s="20"/>
      <c r="CN163" s="20"/>
      <c r="CO163" s="20"/>
      <c r="CP163" s="20"/>
      <c r="CQ163" s="20"/>
      <c r="CR163" s="20"/>
      <c r="CS163" s="20"/>
      <c r="CT163" s="20"/>
      <c r="CU163" s="20"/>
      <c r="CV163" s="20"/>
      <c r="CW163" s="20"/>
      <c r="CX163" s="20"/>
      <c r="CY163" s="20"/>
      <c r="CZ163" s="20"/>
      <c r="DA163" s="20"/>
      <c r="DB163" s="20"/>
      <c r="DC163" s="20"/>
      <c r="DD163" s="20"/>
      <c r="DE163" s="20"/>
      <c r="DF163" s="20"/>
      <c r="DG163" s="20"/>
      <c r="DH163" s="20"/>
      <c r="DI163" s="20"/>
      <c r="DJ163" s="20"/>
      <c r="DK163" s="20"/>
      <c r="DL163" s="20"/>
      <c r="DM163" s="20"/>
      <c r="DN163" s="20"/>
      <c r="DO163" s="20"/>
      <c r="DP163" s="20"/>
      <c r="DQ163" s="20"/>
      <c r="DR163" s="20"/>
      <c r="DS163" s="20"/>
      <c r="DT163" s="20"/>
      <c r="DU163" s="20"/>
      <c r="DV163" s="20"/>
      <c r="DW163" s="20"/>
      <c r="DX163" s="20"/>
      <c r="DY163" s="20"/>
      <c r="DZ163" s="20"/>
      <c r="EA163" s="20"/>
      <c r="EB163" s="20"/>
      <c r="EC163" s="20"/>
      <c r="ED163" s="20"/>
      <c r="EE163" s="20"/>
      <c r="EF163" s="20"/>
      <c r="EG163" s="20"/>
      <c r="EH163" s="20"/>
      <c r="EI163" s="20"/>
    </row>
    <row r="164" spans="1:139" x14ac:dyDescent="0.25">
      <c r="A164" s="20"/>
      <c r="B164" s="80" t="s">
        <v>241</v>
      </c>
      <c r="C164" s="81" t="s">
        <v>242</v>
      </c>
      <c r="D164" s="485" t="s">
        <v>150</v>
      </c>
      <c r="E164" s="575">
        <f t="shared" ref="E164:H165" si="101">E157+273.15</f>
        <v>948.38751279348742</v>
      </c>
      <c r="F164" s="576">
        <f t="shared" si="101"/>
        <v>879.8743885070038</v>
      </c>
      <c r="G164" s="577">
        <f t="shared" si="101"/>
        <v>841.39573727617687</v>
      </c>
      <c r="H164" s="577">
        <f t="shared" si="101"/>
        <v>819.22229101442997</v>
      </c>
      <c r="I164" s="577">
        <f t="shared" ref="I164" si="102">I157+273.15</f>
        <v>668.55389098873479</v>
      </c>
      <c r="J164" s="577">
        <f t="shared" ref="J164:L165" si="103">J157+273.15</f>
        <v>443.50112464448569</v>
      </c>
      <c r="K164" s="577">
        <f t="shared" si="103"/>
        <v>281.64837266478611</v>
      </c>
      <c r="L164" s="578">
        <f t="shared" si="103"/>
        <v>187.36140192227916</v>
      </c>
      <c r="M164" s="20"/>
      <c r="N164" s="20"/>
      <c r="O164" s="20"/>
      <c r="P164" s="20"/>
      <c r="Q164" s="42"/>
      <c r="R164" s="20"/>
      <c r="S164" s="20"/>
      <c r="T164" s="20"/>
      <c r="U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  <c r="AM164" s="20"/>
      <c r="AN164" s="20"/>
      <c r="AO164" s="20"/>
      <c r="AP164" s="20"/>
      <c r="AQ164" s="20"/>
      <c r="AR164" s="20"/>
      <c r="AS164" s="20"/>
      <c r="AT164" s="20"/>
      <c r="AU164" s="20"/>
      <c r="AV164" s="20"/>
      <c r="AW164" s="20"/>
      <c r="AX164" s="20"/>
      <c r="AY164" s="20"/>
      <c r="AZ164" s="20"/>
      <c r="BA164" s="20"/>
      <c r="BB164" s="20"/>
      <c r="BC164" s="20"/>
      <c r="BD164" s="20"/>
      <c r="BE164" s="20"/>
      <c r="BF164" s="20"/>
      <c r="BG164" s="20"/>
      <c r="BH164" s="20"/>
      <c r="BI164" s="20"/>
      <c r="BJ164" s="20"/>
      <c r="BK164" s="20"/>
      <c r="BL164" s="20"/>
      <c r="BM164" s="20"/>
      <c r="BN164" s="20"/>
      <c r="BO164" s="20"/>
      <c r="BP164" s="20"/>
      <c r="BQ164" s="20"/>
      <c r="BR164" s="20"/>
      <c r="BS164" s="20"/>
      <c r="BT164" s="20"/>
      <c r="BU164" s="20"/>
      <c r="BV164" s="20"/>
      <c r="BW164" s="20"/>
      <c r="BX164" s="20"/>
      <c r="BY164" s="20"/>
      <c r="BZ164" s="20"/>
      <c r="CA164" s="20"/>
      <c r="CB164" s="20"/>
      <c r="CC164" s="20"/>
      <c r="CD164" s="20"/>
      <c r="CE164" s="20"/>
      <c r="CF164" s="20"/>
      <c r="CG164" s="20"/>
      <c r="CH164" s="20"/>
      <c r="CI164" s="20"/>
      <c r="CJ164" s="20"/>
      <c r="CK164" s="20"/>
      <c r="CL164" s="20"/>
      <c r="CM164" s="20"/>
      <c r="CN164" s="20"/>
      <c r="CO164" s="20"/>
      <c r="CP164" s="20"/>
      <c r="CQ164" s="20"/>
      <c r="CR164" s="20"/>
      <c r="CS164" s="20"/>
      <c r="CT164" s="20"/>
      <c r="CU164" s="20"/>
      <c r="CV164" s="20"/>
      <c r="CW164" s="20"/>
      <c r="CX164" s="20"/>
      <c r="CY164" s="20"/>
      <c r="CZ164" s="20"/>
      <c r="DA164" s="20"/>
      <c r="DB164" s="20"/>
      <c r="DC164" s="20"/>
      <c r="DD164" s="20"/>
      <c r="DE164" s="20"/>
      <c r="DF164" s="20"/>
      <c r="DG164" s="20"/>
      <c r="DH164" s="20"/>
      <c r="DI164" s="20"/>
      <c r="DJ164" s="20"/>
      <c r="DK164" s="20"/>
      <c r="DL164" s="20"/>
      <c r="DM164" s="20"/>
      <c r="DN164" s="20"/>
      <c r="DO164" s="20"/>
      <c r="DP164" s="20"/>
      <c r="DQ164" s="20"/>
      <c r="DR164" s="20"/>
      <c r="DS164" s="20"/>
      <c r="DT164" s="20"/>
      <c r="DU164" s="20"/>
      <c r="DV164" s="20"/>
      <c r="DW164" s="20"/>
      <c r="DX164" s="20"/>
      <c r="DY164" s="20"/>
      <c r="DZ164" s="20"/>
      <c r="EA164" s="20"/>
      <c r="EB164" s="20"/>
      <c r="EC164" s="20"/>
      <c r="ED164" s="20"/>
      <c r="EE164" s="20"/>
      <c r="EF164" s="20"/>
      <c r="EG164" s="20"/>
      <c r="EH164" s="20"/>
      <c r="EI164" s="20"/>
    </row>
    <row r="165" spans="1:139" x14ac:dyDescent="0.25">
      <c r="A165" s="20"/>
      <c r="B165" s="80" t="s">
        <v>235</v>
      </c>
      <c r="C165" s="81" t="s">
        <v>243</v>
      </c>
      <c r="D165" s="485" t="s">
        <v>150</v>
      </c>
      <c r="E165" s="575">
        <f t="shared" si="101"/>
        <v>906.56352922995632</v>
      </c>
      <c r="F165" s="576">
        <f t="shared" si="101"/>
        <v>854.01462807818746</v>
      </c>
      <c r="G165" s="577">
        <f t="shared" si="101"/>
        <v>824.50187616328128</v>
      </c>
      <c r="H165" s="577">
        <f t="shared" si="101"/>
        <v>807.49505815669875</v>
      </c>
      <c r="I165" s="577">
        <f t="shared" ref="I165" si="104">I158+273.15</f>
        <v>691.93385813699069</v>
      </c>
      <c r="J165" s="577">
        <f t="shared" si="103"/>
        <v>519.3205713292657</v>
      </c>
      <c r="K165" s="577">
        <f t="shared" si="103"/>
        <v>395.18108194677768</v>
      </c>
      <c r="L165" s="578">
        <f t="shared" si="103"/>
        <v>322.86389079475782</v>
      </c>
      <c r="M165" s="20"/>
      <c r="N165" s="20"/>
      <c r="O165" s="20"/>
      <c r="P165" s="20"/>
      <c r="Q165" s="42"/>
      <c r="R165" s="20"/>
      <c r="S165" s="20"/>
      <c r="T165" s="20"/>
      <c r="U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  <c r="AM165" s="20"/>
      <c r="AN165" s="20"/>
      <c r="AO165" s="20"/>
      <c r="AP165" s="20"/>
      <c r="AQ165" s="20"/>
      <c r="AR165" s="20"/>
      <c r="AS165" s="20"/>
      <c r="AT165" s="20"/>
      <c r="AU165" s="20"/>
      <c r="AV165" s="20"/>
      <c r="AW165" s="20"/>
      <c r="AX165" s="20"/>
      <c r="AY165" s="20"/>
      <c r="AZ165" s="20"/>
      <c r="BA165" s="20"/>
      <c r="BB165" s="20"/>
      <c r="BC165" s="20"/>
      <c r="BD165" s="20"/>
      <c r="BE165" s="20"/>
      <c r="BF165" s="20"/>
      <c r="BG165" s="20"/>
      <c r="BH165" s="20"/>
      <c r="BI165" s="20"/>
      <c r="BJ165" s="20"/>
      <c r="BK165" s="20"/>
      <c r="BL165" s="20"/>
      <c r="BM165" s="20"/>
      <c r="BN165" s="20"/>
      <c r="BO165" s="20"/>
      <c r="BP165" s="20"/>
      <c r="BQ165" s="20"/>
      <c r="BR165" s="20"/>
      <c r="BS165" s="20"/>
      <c r="BT165" s="20"/>
      <c r="BU165" s="20"/>
      <c r="BV165" s="20"/>
      <c r="BW165" s="20"/>
      <c r="BX165" s="20"/>
      <c r="BY165" s="20"/>
      <c r="BZ165" s="20"/>
      <c r="CA165" s="20"/>
      <c r="CB165" s="20"/>
      <c r="CC165" s="20"/>
      <c r="CD165" s="20"/>
      <c r="CE165" s="20"/>
      <c r="CF165" s="20"/>
      <c r="CG165" s="20"/>
      <c r="CH165" s="20"/>
      <c r="CI165" s="20"/>
      <c r="CJ165" s="20"/>
      <c r="CK165" s="20"/>
      <c r="CL165" s="20"/>
      <c r="CM165" s="20"/>
      <c r="CN165" s="20"/>
      <c r="CO165" s="20"/>
      <c r="CP165" s="20"/>
      <c r="CQ165" s="20"/>
      <c r="CR165" s="20"/>
      <c r="CS165" s="20"/>
      <c r="CT165" s="20"/>
      <c r="CU165" s="20"/>
      <c r="CV165" s="20"/>
      <c r="CW165" s="20"/>
      <c r="CX165" s="20"/>
      <c r="CY165" s="20"/>
      <c r="CZ165" s="20"/>
      <c r="DA165" s="20"/>
      <c r="DB165" s="20"/>
      <c r="DC165" s="20"/>
      <c r="DD165" s="20"/>
      <c r="DE165" s="20"/>
      <c r="DF165" s="20"/>
      <c r="DG165" s="20"/>
      <c r="DH165" s="20"/>
      <c r="DI165" s="20"/>
      <c r="DJ165" s="20"/>
      <c r="DK165" s="20"/>
      <c r="DL165" s="20"/>
      <c r="DM165" s="20"/>
      <c r="DN165" s="20"/>
      <c r="DO165" s="20"/>
      <c r="DP165" s="20"/>
      <c r="DQ165" s="20"/>
      <c r="DR165" s="20"/>
      <c r="DS165" s="20"/>
      <c r="DT165" s="20"/>
      <c r="DU165" s="20"/>
      <c r="DV165" s="20"/>
      <c r="DW165" s="20"/>
      <c r="DX165" s="20"/>
      <c r="DY165" s="20"/>
      <c r="DZ165" s="20"/>
      <c r="EA165" s="20"/>
      <c r="EB165" s="20"/>
      <c r="EC165" s="20"/>
      <c r="ED165" s="20"/>
      <c r="EE165" s="20"/>
      <c r="EF165" s="20"/>
      <c r="EG165" s="20"/>
      <c r="EH165" s="20"/>
      <c r="EI165" s="20"/>
    </row>
    <row r="166" spans="1:139" x14ac:dyDescent="0.25">
      <c r="A166" s="20"/>
      <c r="B166" s="80" t="s">
        <v>244</v>
      </c>
      <c r="C166" s="85" t="s">
        <v>245</v>
      </c>
      <c r="D166" s="485" t="s">
        <v>246</v>
      </c>
      <c r="E166" s="134">
        <v>5.6699999999999998E-8</v>
      </c>
      <c r="F166" s="161">
        <v>5.6699999999999998E-8</v>
      </c>
      <c r="G166" s="135">
        <v>5.6699999999999998E-8</v>
      </c>
      <c r="H166" s="135">
        <v>5.6699999999999998E-8</v>
      </c>
      <c r="I166" s="135">
        <v>5.6699999999999998E-8</v>
      </c>
      <c r="J166" s="135">
        <v>5.6699999999999998E-8</v>
      </c>
      <c r="K166" s="135">
        <v>5.6699999999999998E-8</v>
      </c>
      <c r="L166" s="136">
        <v>5.6699999999999998E-8</v>
      </c>
      <c r="M166" s="20"/>
      <c r="N166" s="20"/>
      <c r="O166" s="20"/>
      <c r="P166" s="20"/>
      <c r="Q166" s="42"/>
      <c r="R166" s="20"/>
      <c r="S166" s="20"/>
      <c r="T166" s="20"/>
      <c r="U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  <c r="AM166" s="20"/>
      <c r="AN166" s="20"/>
      <c r="AO166" s="20"/>
      <c r="AP166" s="20"/>
      <c r="AQ166" s="20"/>
      <c r="AR166" s="20"/>
      <c r="AS166" s="20"/>
      <c r="AT166" s="20"/>
      <c r="AU166" s="20"/>
      <c r="AV166" s="20"/>
      <c r="AW166" s="20"/>
      <c r="AX166" s="20"/>
      <c r="AY166" s="20"/>
      <c r="AZ166" s="20"/>
      <c r="BA166" s="20"/>
      <c r="BB166" s="20"/>
      <c r="BC166" s="20"/>
      <c r="BD166" s="20"/>
      <c r="BE166" s="20"/>
      <c r="BF166" s="20"/>
      <c r="BG166" s="20"/>
      <c r="BH166" s="20"/>
      <c r="BI166" s="20"/>
      <c r="BJ166" s="20"/>
      <c r="BK166" s="20"/>
      <c r="BL166" s="20"/>
      <c r="BM166" s="20"/>
      <c r="BN166" s="20"/>
      <c r="BO166" s="20"/>
      <c r="BP166" s="20"/>
      <c r="BQ166" s="20"/>
      <c r="BR166" s="20"/>
      <c r="BS166" s="20"/>
      <c r="BT166" s="20"/>
      <c r="BU166" s="20"/>
      <c r="BV166" s="20"/>
      <c r="BW166" s="20"/>
      <c r="BX166" s="20"/>
      <c r="BY166" s="20"/>
      <c r="BZ166" s="20"/>
      <c r="CA166" s="20"/>
      <c r="CB166" s="20"/>
      <c r="CC166" s="20"/>
      <c r="CD166" s="20"/>
      <c r="CE166" s="20"/>
      <c r="CF166" s="20"/>
      <c r="CG166" s="20"/>
      <c r="CH166" s="20"/>
      <c r="CI166" s="20"/>
      <c r="CJ166" s="20"/>
      <c r="CK166" s="20"/>
      <c r="CL166" s="20"/>
      <c r="CM166" s="20"/>
      <c r="CN166" s="20"/>
      <c r="CO166" s="20"/>
      <c r="CP166" s="20"/>
      <c r="CQ166" s="20"/>
      <c r="CR166" s="20"/>
      <c r="CS166" s="20"/>
      <c r="CT166" s="20"/>
      <c r="CU166" s="20"/>
      <c r="CV166" s="20"/>
      <c r="CW166" s="20"/>
      <c r="CX166" s="20"/>
      <c r="CY166" s="20"/>
      <c r="CZ166" s="20"/>
      <c r="DA166" s="20"/>
      <c r="DB166" s="20"/>
      <c r="DC166" s="20"/>
      <c r="DD166" s="20"/>
      <c r="DE166" s="20"/>
      <c r="DF166" s="20"/>
      <c r="DG166" s="20"/>
      <c r="DH166" s="20"/>
      <c r="DI166" s="20"/>
      <c r="DJ166" s="20"/>
      <c r="DK166" s="20"/>
      <c r="DL166" s="20"/>
      <c r="DM166" s="20"/>
      <c r="DN166" s="20"/>
      <c r="DO166" s="20"/>
      <c r="DP166" s="20"/>
      <c r="DQ166" s="20"/>
      <c r="DR166" s="20"/>
      <c r="DS166" s="20"/>
      <c r="DT166" s="20"/>
      <c r="DU166" s="20"/>
      <c r="DV166" s="20"/>
      <c r="DW166" s="20"/>
      <c r="DX166" s="20"/>
      <c r="DY166" s="20"/>
      <c r="DZ166" s="20"/>
      <c r="EA166" s="20"/>
      <c r="EB166" s="20"/>
      <c r="EC166" s="20"/>
      <c r="ED166" s="20"/>
      <c r="EE166" s="20"/>
      <c r="EF166" s="20"/>
      <c r="EG166" s="20"/>
      <c r="EH166" s="20"/>
      <c r="EI166" s="20"/>
    </row>
    <row r="167" spans="1:139" x14ac:dyDescent="0.25">
      <c r="A167" s="20"/>
      <c r="B167" s="80" t="s">
        <v>247</v>
      </c>
      <c r="C167" s="81" t="s">
        <v>248</v>
      </c>
      <c r="D167" s="485" t="s">
        <v>122</v>
      </c>
      <c r="E167" s="246">
        <v>0.11940000000000001</v>
      </c>
      <c r="F167" s="386">
        <v>0.12609999999999999</v>
      </c>
      <c r="G167" s="179">
        <v>0.14699999999999999</v>
      </c>
      <c r="H167" s="179">
        <v>0.153</v>
      </c>
      <c r="I167" s="179">
        <v>0.153</v>
      </c>
      <c r="J167" s="179">
        <v>0.1706</v>
      </c>
      <c r="K167" s="179">
        <v>0.1706</v>
      </c>
      <c r="L167" s="180">
        <v>0.1706</v>
      </c>
      <c r="M167" s="20"/>
      <c r="N167" s="20"/>
      <c r="O167" s="20"/>
      <c r="P167" s="20"/>
      <c r="Q167" s="42"/>
      <c r="R167" s="20"/>
      <c r="S167" s="20"/>
      <c r="T167" s="20"/>
      <c r="U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  <c r="AM167" s="20"/>
      <c r="AN167" s="20"/>
      <c r="AO167" s="20"/>
      <c r="AP167" s="20"/>
      <c r="AQ167" s="20"/>
      <c r="AR167" s="20"/>
      <c r="AS167" s="20"/>
      <c r="AT167" s="20"/>
      <c r="AU167" s="20"/>
      <c r="AV167" s="20"/>
      <c r="AW167" s="20"/>
      <c r="AX167" s="20"/>
      <c r="AY167" s="20"/>
      <c r="AZ167" s="20"/>
      <c r="BA167" s="20"/>
      <c r="BB167" s="20"/>
      <c r="BC167" s="20"/>
      <c r="BD167" s="20"/>
      <c r="BE167" s="20"/>
      <c r="BF167" s="20"/>
      <c r="BG167" s="20"/>
      <c r="BH167" s="20"/>
      <c r="BI167" s="20"/>
      <c r="BJ167" s="20"/>
      <c r="BK167" s="20"/>
      <c r="BL167" s="20"/>
      <c r="BM167" s="20"/>
      <c r="BN167" s="20"/>
      <c r="BO167" s="20"/>
      <c r="BP167" s="20"/>
      <c r="BQ167" s="20"/>
      <c r="BR167" s="20"/>
      <c r="BS167" s="20"/>
      <c r="BT167" s="20"/>
      <c r="BU167" s="20"/>
      <c r="BV167" s="20"/>
      <c r="BW167" s="20"/>
      <c r="BX167" s="20"/>
      <c r="BY167" s="20"/>
      <c r="BZ167" s="20"/>
      <c r="CA167" s="20"/>
      <c r="CB167" s="20"/>
      <c r="CC167" s="20"/>
      <c r="CD167" s="20"/>
      <c r="CE167" s="20"/>
      <c r="CF167" s="20"/>
      <c r="CG167" s="20"/>
      <c r="CH167" s="20"/>
      <c r="CI167" s="20"/>
      <c r="CJ167" s="20"/>
      <c r="CK167" s="20"/>
      <c r="CL167" s="20"/>
      <c r="CM167" s="20"/>
      <c r="CN167" s="20"/>
      <c r="CO167" s="20"/>
      <c r="CP167" s="20"/>
      <c r="CQ167" s="20"/>
      <c r="CR167" s="20"/>
      <c r="CS167" s="20"/>
      <c r="CT167" s="20"/>
      <c r="CU167" s="20"/>
      <c r="CV167" s="20"/>
      <c r="CW167" s="20"/>
      <c r="CX167" s="20"/>
      <c r="CY167" s="20"/>
      <c r="CZ167" s="20"/>
      <c r="DA167" s="20"/>
      <c r="DB167" s="20"/>
      <c r="DC167" s="20"/>
      <c r="DD167" s="20"/>
      <c r="DE167" s="20"/>
      <c r="DF167" s="20"/>
      <c r="DG167" s="20"/>
      <c r="DH167" s="20"/>
      <c r="DI167" s="20"/>
      <c r="DJ167" s="20"/>
      <c r="DK167" s="20"/>
      <c r="DL167" s="20"/>
      <c r="DM167" s="20"/>
      <c r="DN167" s="20"/>
      <c r="DO167" s="20"/>
      <c r="DP167" s="20"/>
      <c r="DQ167" s="20"/>
      <c r="DR167" s="20"/>
      <c r="DS167" s="20"/>
      <c r="DT167" s="20"/>
      <c r="DU167" s="20"/>
      <c r="DV167" s="20"/>
      <c r="DW167" s="20"/>
      <c r="DX167" s="20"/>
      <c r="DY167" s="20"/>
      <c r="DZ167" s="20"/>
      <c r="EA167" s="20"/>
      <c r="EB167" s="20"/>
      <c r="EC167" s="20"/>
      <c r="ED167" s="20"/>
      <c r="EE167" s="20"/>
      <c r="EF167" s="20"/>
      <c r="EG167" s="20"/>
      <c r="EH167" s="20"/>
      <c r="EI167" s="20"/>
    </row>
    <row r="168" spans="1:139" x14ac:dyDescent="0.25">
      <c r="A168" s="20"/>
      <c r="B168" s="80" t="s">
        <v>249</v>
      </c>
      <c r="C168" s="81" t="s">
        <v>250</v>
      </c>
      <c r="D168" s="485" t="s">
        <v>122</v>
      </c>
      <c r="E168" s="246">
        <v>0.35</v>
      </c>
      <c r="F168" s="386">
        <v>0.35</v>
      </c>
      <c r="G168" s="179">
        <v>0.35</v>
      </c>
      <c r="H168" s="179">
        <v>0.35</v>
      </c>
      <c r="I168" s="179">
        <v>0.35</v>
      </c>
      <c r="J168" s="179">
        <v>0.35</v>
      </c>
      <c r="K168" s="179">
        <v>0.35</v>
      </c>
      <c r="L168" s="180">
        <v>0.35</v>
      </c>
      <c r="M168" s="20"/>
      <c r="N168" s="20"/>
      <c r="O168" s="20"/>
      <c r="P168" s="20"/>
      <c r="Q168" s="42"/>
      <c r="R168" s="20"/>
      <c r="S168" s="20"/>
      <c r="T168" s="20"/>
      <c r="U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  <c r="AM168" s="20"/>
      <c r="AN168" s="20"/>
      <c r="AO168" s="20"/>
      <c r="AP168" s="20"/>
      <c r="AQ168" s="20"/>
      <c r="AR168" s="20"/>
      <c r="AS168" s="20"/>
      <c r="AT168" s="20"/>
      <c r="AU168" s="20"/>
      <c r="AV168" s="20"/>
      <c r="AW168" s="20"/>
      <c r="AX168" s="20"/>
      <c r="AY168" s="20"/>
      <c r="AZ168" s="20"/>
      <c r="BA168" s="20"/>
      <c r="BB168" s="20"/>
      <c r="BC168" s="20"/>
      <c r="BD168" s="20"/>
      <c r="BE168" s="20"/>
      <c r="BF168" s="20"/>
      <c r="BG168" s="20"/>
      <c r="BH168" s="20"/>
      <c r="BI168" s="20"/>
      <c r="BJ168" s="20"/>
      <c r="BK168" s="20"/>
      <c r="BL168" s="20"/>
      <c r="BM168" s="20"/>
      <c r="BN168" s="20"/>
      <c r="BO168" s="20"/>
      <c r="BP168" s="20"/>
      <c r="BQ168" s="20"/>
      <c r="BR168" s="20"/>
      <c r="BS168" s="20"/>
      <c r="BT168" s="20"/>
      <c r="BU168" s="20"/>
      <c r="BV168" s="20"/>
      <c r="BW168" s="20"/>
      <c r="BX168" s="20"/>
      <c r="BY168" s="20"/>
      <c r="BZ168" s="20"/>
      <c r="CA168" s="20"/>
      <c r="CB168" s="20"/>
      <c r="CC168" s="20"/>
      <c r="CD168" s="20"/>
      <c r="CE168" s="20"/>
      <c r="CF168" s="20"/>
      <c r="CG168" s="20"/>
      <c r="CH168" s="20"/>
      <c r="CI168" s="20"/>
      <c r="CJ168" s="20"/>
      <c r="CK168" s="20"/>
      <c r="CL168" s="20"/>
      <c r="CM168" s="20"/>
      <c r="CN168" s="20"/>
      <c r="CO168" s="20"/>
      <c r="CP168" s="20"/>
      <c r="CQ168" s="20"/>
      <c r="CR168" s="20"/>
      <c r="CS168" s="20"/>
      <c r="CT168" s="20"/>
      <c r="CU168" s="20"/>
      <c r="CV168" s="20"/>
      <c r="CW168" s="20"/>
      <c r="CX168" s="20"/>
      <c r="CY168" s="20"/>
      <c r="CZ168" s="20"/>
      <c r="DA168" s="20"/>
      <c r="DB168" s="20"/>
      <c r="DC168" s="20"/>
      <c r="DD168" s="20"/>
      <c r="DE168" s="20"/>
      <c r="DF168" s="20"/>
      <c r="DG168" s="20"/>
      <c r="DH168" s="20"/>
      <c r="DI168" s="20"/>
      <c r="DJ168" s="20"/>
      <c r="DK168" s="20"/>
      <c r="DL168" s="20"/>
      <c r="DM168" s="20"/>
      <c r="DN168" s="20"/>
      <c r="DO168" s="20"/>
      <c r="DP168" s="20"/>
      <c r="DQ168" s="20"/>
      <c r="DR168" s="20"/>
      <c r="DS168" s="20"/>
      <c r="DT168" s="20"/>
      <c r="DU168" s="20"/>
      <c r="DV168" s="20"/>
      <c r="DW168" s="20"/>
      <c r="DX168" s="20"/>
      <c r="DY168" s="20"/>
      <c r="DZ168" s="20"/>
      <c r="EA168" s="20"/>
      <c r="EB168" s="20"/>
      <c r="EC168" s="20"/>
      <c r="ED168" s="20"/>
      <c r="EE168" s="20"/>
      <c r="EF168" s="20"/>
      <c r="EG168" s="20"/>
      <c r="EH168" s="20"/>
      <c r="EI168" s="20"/>
    </row>
    <row r="169" spans="1:139" x14ac:dyDescent="0.25">
      <c r="A169" s="20"/>
      <c r="B169" s="80" t="s">
        <v>251</v>
      </c>
      <c r="C169" s="81" t="s">
        <v>252</v>
      </c>
      <c r="D169" s="485" t="s">
        <v>122</v>
      </c>
      <c r="E169" s="246">
        <v>0.96</v>
      </c>
      <c r="F169" s="386">
        <v>0.96</v>
      </c>
      <c r="G169" s="179">
        <v>0.96</v>
      </c>
      <c r="H169" s="179">
        <v>0.96</v>
      </c>
      <c r="I169" s="179">
        <v>0.96</v>
      </c>
      <c r="J169" s="179">
        <v>0.96</v>
      </c>
      <c r="K169" s="179">
        <v>0.96</v>
      </c>
      <c r="L169" s="180">
        <v>0.96</v>
      </c>
      <c r="M169" s="20"/>
      <c r="N169" s="20"/>
      <c r="O169" s="20"/>
      <c r="P169" s="20"/>
      <c r="Q169" s="42"/>
      <c r="R169" s="20"/>
      <c r="S169" s="20"/>
      <c r="T169" s="20"/>
      <c r="U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  <c r="AM169" s="20"/>
      <c r="AN169" s="20"/>
      <c r="AO169" s="20"/>
      <c r="AP169" s="20"/>
      <c r="AQ169" s="20"/>
      <c r="AR169" s="20"/>
      <c r="AS169" s="20"/>
      <c r="AT169" s="20"/>
      <c r="AU169" s="20"/>
      <c r="AV169" s="20"/>
      <c r="AW169" s="20"/>
      <c r="AX169" s="20"/>
      <c r="AY169" s="20"/>
      <c r="AZ169" s="20"/>
      <c r="BA169" s="20"/>
      <c r="BB169" s="20"/>
      <c r="BC169" s="20"/>
      <c r="BD169" s="20"/>
      <c r="BE169" s="20"/>
      <c r="BF169" s="20"/>
      <c r="BG169" s="20"/>
      <c r="BH169" s="20"/>
      <c r="BI169" s="20"/>
      <c r="BJ169" s="20"/>
      <c r="BK169" s="20"/>
      <c r="BL169" s="20"/>
      <c r="BM169" s="20"/>
      <c r="BN169" s="20"/>
      <c r="BO169" s="20"/>
      <c r="BP169" s="20"/>
      <c r="BQ169" s="20"/>
      <c r="BR169" s="20"/>
      <c r="BS169" s="20"/>
      <c r="BT169" s="20"/>
      <c r="BU169" s="20"/>
      <c r="BV169" s="20"/>
      <c r="BW169" s="20"/>
      <c r="BX169" s="20"/>
      <c r="BY169" s="20"/>
      <c r="BZ169" s="20"/>
      <c r="CA169" s="20"/>
      <c r="CB169" s="20"/>
      <c r="CC169" s="20"/>
      <c r="CD169" s="20"/>
      <c r="CE169" s="20"/>
      <c r="CF169" s="20"/>
      <c r="CG169" s="20"/>
      <c r="CH169" s="20"/>
      <c r="CI169" s="20"/>
      <c r="CJ169" s="20"/>
      <c r="CK169" s="20"/>
      <c r="CL169" s="20"/>
      <c r="CM169" s="20"/>
      <c r="CN169" s="20"/>
      <c r="CO169" s="20"/>
      <c r="CP169" s="20"/>
      <c r="CQ169" s="20"/>
      <c r="CR169" s="20"/>
      <c r="CS169" s="20"/>
      <c r="CT169" s="20"/>
      <c r="CU169" s="20"/>
      <c r="CV169" s="20"/>
      <c r="CW169" s="20"/>
      <c r="CX169" s="20"/>
      <c r="CY169" s="20"/>
      <c r="CZ169" s="20"/>
      <c r="DA169" s="20"/>
      <c r="DB169" s="20"/>
      <c r="DC169" s="20"/>
      <c r="DD169" s="20"/>
      <c r="DE169" s="20"/>
      <c r="DF169" s="20"/>
      <c r="DG169" s="20"/>
      <c r="DH169" s="20"/>
      <c r="DI169" s="20"/>
      <c r="DJ169" s="20"/>
      <c r="DK169" s="20"/>
      <c r="DL169" s="20"/>
      <c r="DM169" s="20"/>
      <c r="DN169" s="20"/>
      <c r="DO169" s="20"/>
      <c r="DP169" s="20"/>
      <c r="DQ169" s="20"/>
      <c r="DR169" s="20"/>
      <c r="DS169" s="20"/>
      <c r="DT169" s="20"/>
      <c r="DU169" s="20"/>
      <c r="DV169" s="20"/>
      <c r="DW169" s="20"/>
      <c r="DX169" s="20"/>
      <c r="DY169" s="20"/>
      <c r="DZ169" s="20"/>
      <c r="EA169" s="20"/>
      <c r="EB169" s="20"/>
      <c r="EC169" s="20"/>
      <c r="ED169" s="20"/>
      <c r="EE169" s="20"/>
      <c r="EF169" s="20"/>
      <c r="EG169" s="20"/>
      <c r="EH169" s="20"/>
      <c r="EI169" s="20"/>
    </row>
    <row r="170" spans="1:139" x14ac:dyDescent="0.25">
      <c r="A170" s="20"/>
      <c r="B170" s="80" t="s">
        <v>345</v>
      </c>
      <c r="C170" s="81" t="s">
        <v>117</v>
      </c>
      <c r="D170" s="485" t="s">
        <v>28</v>
      </c>
      <c r="E170" s="246">
        <f>+E64</f>
        <v>3.1510000000000002</v>
      </c>
      <c r="F170" s="179">
        <f t="shared" ref="F170:H170" si="105">+F64</f>
        <v>1.7870000000000001</v>
      </c>
      <c r="G170" s="179">
        <f t="shared" si="105"/>
        <v>0.95199999999999996</v>
      </c>
      <c r="H170" s="179">
        <f t="shared" si="105"/>
        <v>0.85899999999999999</v>
      </c>
      <c r="I170" s="179">
        <f t="shared" ref="I170" si="106">+I64</f>
        <v>1.788</v>
      </c>
      <c r="J170" s="179">
        <f t="shared" ref="J170:L171" si="107">+J64</f>
        <v>1.6019999999999999</v>
      </c>
      <c r="K170" s="179">
        <f t="shared" si="107"/>
        <v>1.359</v>
      </c>
      <c r="L170" s="180">
        <f t="shared" si="107"/>
        <v>0.70399999999999996</v>
      </c>
      <c r="M170" s="20"/>
      <c r="N170" s="20"/>
      <c r="O170" s="20"/>
      <c r="P170" s="20"/>
      <c r="Q170" s="42"/>
      <c r="R170" s="20"/>
      <c r="S170" s="20"/>
      <c r="T170" s="20"/>
      <c r="U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  <c r="AM170" s="20"/>
      <c r="AN170" s="20"/>
      <c r="AO170" s="20"/>
      <c r="AP170" s="20"/>
      <c r="AQ170" s="20"/>
      <c r="AR170" s="20"/>
      <c r="AS170" s="20"/>
      <c r="AT170" s="20"/>
      <c r="AU170" s="20"/>
      <c r="AV170" s="20"/>
      <c r="AW170" s="20"/>
      <c r="AX170" s="20"/>
      <c r="AY170" s="20"/>
      <c r="AZ170" s="20"/>
      <c r="BA170" s="20"/>
      <c r="BB170" s="20"/>
      <c r="BC170" s="20"/>
      <c r="BD170" s="20"/>
      <c r="BE170" s="20"/>
      <c r="BF170" s="20"/>
      <c r="BG170" s="20"/>
      <c r="BH170" s="20"/>
      <c r="BI170" s="20"/>
      <c r="BJ170" s="20"/>
      <c r="BK170" s="20"/>
      <c r="BL170" s="20"/>
      <c r="BM170" s="20"/>
      <c r="BN170" s="20"/>
      <c r="BO170" s="20"/>
      <c r="BP170" s="20"/>
      <c r="BQ170" s="20"/>
      <c r="BR170" s="20"/>
      <c r="BS170" s="20"/>
      <c r="BT170" s="20"/>
      <c r="BU170" s="20"/>
      <c r="BV170" s="20"/>
      <c r="BW170" s="20"/>
      <c r="BX170" s="20"/>
      <c r="BY170" s="20"/>
      <c r="BZ170" s="20"/>
      <c r="CA170" s="20"/>
      <c r="CB170" s="20"/>
      <c r="CC170" s="20"/>
      <c r="CD170" s="20"/>
      <c r="CE170" s="20"/>
      <c r="CF170" s="20"/>
      <c r="CG170" s="20"/>
      <c r="CH170" s="20"/>
      <c r="CI170" s="20"/>
      <c r="CJ170" s="20"/>
      <c r="CK170" s="20"/>
      <c r="CL170" s="20"/>
      <c r="CM170" s="20"/>
      <c r="CN170" s="20"/>
      <c r="CO170" s="20"/>
      <c r="CP170" s="20"/>
      <c r="CQ170" s="20"/>
      <c r="CR170" s="20"/>
      <c r="CS170" s="20"/>
      <c r="CT170" s="20"/>
      <c r="CU170" s="20"/>
      <c r="CV170" s="20"/>
      <c r="CW170" s="20"/>
      <c r="CX170" s="20"/>
      <c r="CY170" s="20"/>
      <c r="CZ170" s="20"/>
      <c r="DA170" s="20"/>
      <c r="DB170" s="20"/>
      <c r="DC170" s="20"/>
      <c r="DD170" s="20"/>
      <c r="DE170" s="20"/>
      <c r="DF170" s="20"/>
      <c r="DG170" s="20"/>
      <c r="DH170" s="20"/>
      <c r="DI170" s="20"/>
      <c r="DJ170" s="20"/>
      <c r="DK170" s="20"/>
      <c r="DL170" s="20"/>
      <c r="DM170" s="20"/>
      <c r="DN170" s="20"/>
      <c r="DO170" s="20"/>
      <c r="DP170" s="20"/>
      <c r="DQ170" s="20"/>
      <c r="DR170" s="20"/>
      <c r="DS170" s="20"/>
      <c r="DT170" s="20"/>
      <c r="DU170" s="20"/>
      <c r="DV170" s="20"/>
      <c r="DW170" s="20"/>
      <c r="DX170" s="20"/>
      <c r="DY170" s="20"/>
      <c r="DZ170" s="20"/>
      <c r="EA170" s="20"/>
      <c r="EB170" s="20"/>
      <c r="EC170" s="20"/>
      <c r="ED170" s="20"/>
      <c r="EE170" s="20"/>
      <c r="EF170" s="20"/>
      <c r="EG170" s="20"/>
      <c r="EH170" s="20"/>
      <c r="EI170" s="20"/>
    </row>
    <row r="171" spans="1:139" x14ac:dyDescent="0.25">
      <c r="A171" s="20"/>
      <c r="B171" s="80" t="s">
        <v>346</v>
      </c>
      <c r="C171" s="81" t="s">
        <v>118</v>
      </c>
      <c r="D171" s="485" t="s">
        <v>28</v>
      </c>
      <c r="E171" s="246">
        <f>+E65</f>
        <v>2.238</v>
      </c>
      <c r="F171" s="179">
        <f t="shared" ref="F171:H171" si="108">+F65</f>
        <v>1.3029999999999999</v>
      </c>
      <c r="G171" s="179">
        <f t="shared" si="108"/>
        <v>0.86099999999999999</v>
      </c>
      <c r="H171" s="179">
        <f t="shared" si="108"/>
        <v>0.93700000000000006</v>
      </c>
      <c r="I171" s="179">
        <f t="shared" ref="I171" si="109">+I65</f>
        <v>6.2590000000000003</v>
      </c>
      <c r="J171" s="179">
        <f t="shared" si="107"/>
        <v>7.7640000000000002</v>
      </c>
      <c r="K171" s="179">
        <f t="shared" si="107"/>
        <v>7.9459999999999997</v>
      </c>
      <c r="L171" s="180">
        <f t="shared" si="107"/>
        <v>4.2190000000000003</v>
      </c>
      <c r="M171" s="20"/>
      <c r="N171" s="20"/>
      <c r="O171" s="20"/>
      <c r="P171" s="20"/>
      <c r="Q171" s="42"/>
      <c r="R171" s="20"/>
      <c r="S171" s="20"/>
      <c r="T171" s="20"/>
      <c r="U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  <c r="AM171" s="20"/>
      <c r="AN171" s="20"/>
      <c r="AO171" s="20"/>
      <c r="AP171" s="20"/>
      <c r="AQ171" s="20"/>
      <c r="AR171" s="20"/>
      <c r="AS171" s="20"/>
      <c r="AT171" s="20"/>
      <c r="AU171" s="20"/>
      <c r="AV171" s="20"/>
      <c r="AW171" s="20"/>
      <c r="AX171" s="20"/>
      <c r="AY171" s="20"/>
      <c r="AZ171" s="20"/>
      <c r="BA171" s="20"/>
      <c r="BB171" s="20"/>
      <c r="BC171" s="20"/>
      <c r="BD171" s="20"/>
      <c r="BE171" s="20"/>
      <c r="BF171" s="20"/>
      <c r="BG171" s="20"/>
      <c r="BH171" s="20"/>
      <c r="BI171" s="20"/>
      <c r="BJ171" s="20"/>
      <c r="BK171" s="20"/>
      <c r="BL171" s="20"/>
      <c r="BM171" s="20"/>
      <c r="BN171" s="20"/>
      <c r="BO171" s="20"/>
      <c r="BP171" s="20"/>
      <c r="BQ171" s="20"/>
      <c r="BR171" s="20"/>
      <c r="BS171" s="20"/>
      <c r="BT171" s="20"/>
      <c r="BU171" s="20"/>
      <c r="BV171" s="20"/>
      <c r="BW171" s="20"/>
      <c r="BX171" s="20"/>
      <c r="BY171" s="20"/>
      <c r="BZ171" s="20"/>
      <c r="CA171" s="20"/>
      <c r="CB171" s="20"/>
      <c r="CC171" s="20"/>
      <c r="CD171" s="20"/>
      <c r="CE171" s="20"/>
      <c r="CF171" s="20"/>
      <c r="CG171" s="20"/>
      <c r="CH171" s="20"/>
      <c r="CI171" s="20"/>
      <c r="CJ171" s="20"/>
      <c r="CK171" s="20"/>
      <c r="CL171" s="20"/>
      <c r="CM171" s="20"/>
      <c r="CN171" s="20"/>
      <c r="CO171" s="20"/>
      <c r="CP171" s="20"/>
      <c r="CQ171" s="20"/>
      <c r="CR171" s="20"/>
      <c r="CS171" s="20"/>
      <c r="CT171" s="20"/>
      <c r="CU171" s="20"/>
      <c r="CV171" s="20"/>
      <c r="CW171" s="20"/>
      <c r="CX171" s="20"/>
      <c r="CY171" s="20"/>
      <c r="CZ171" s="20"/>
      <c r="DA171" s="20"/>
      <c r="DB171" s="20"/>
      <c r="DC171" s="20"/>
      <c r="DD171" s="20"/>
      <c r="DE171" s="20"/>
      <c r="DF171" s="20"/>
      <c r="DG171" s="20"/>
      <c r="DH171" s="20"/>
      <c r="DI171" s="20"/>
      <c r="DJ171" s="20"/>
      <c r="DK171" s="20"/>
      <c r="DL171" s="20"/>
      <c r="DM171" s="20"/>
      <c r="DN171" s="20"/>
      <c r="DO171" s="20"/>
      <c r="DP171" s="20"/>
      <c r="DQ171" s="20"/>
      <c r="DR171" s="20"/>
      <c r="DS171" s="20"/>
      <c r="DT171" s="20"/>
      <c r="DU171" s="20"/>
      <c r="DV171" s="20"/>
      <c r="DW171" s="20"/>
      <c r="DX171" s="20"/>
      <c r="DY171" s="20"/>
      <c r="DZ171" s="20"/>
      <c r="EA171" s="20"/>
      <c r="EB171" s="20"/>
      <c r="EC171" s="20"/>
      <c r="ED171" s="20"/>
      <c r="EE171" s="20"/>
      <c r="EF171" s="20"/>
      <c r="EG171" s="20"/>
      <c r="EH171" s="20"/>
      <c r="EI171" s="20"/>
    </row>
    <row r="172" spans="1:139" x14ac:dyDescent="0.25">
      <c r="A172" s="20"/>
      <c r="B172" s="80" t="s">
        <v>119</v>
      </c>
      <c r="C172" s="85" t="s">
        <v>120</v>
      </c>
      <c r="D172" s="485" t="s">
        <v>28</v>
      </c>
      <c r="E172" s="246">
        <f>+E68</f>
        <v>2.1160000000000001</v>
      </c>
      <c r="F172" s="179">
        <f t="shared" ref="F172:H172" si="110">+F68</f>
        <v>1.583</v>
      </c>
      <c r="G172" s="179">
        <f t="shared" si="110"/>
        <v>0.57699999999999996</v>
      </c>
      <c r="H172" s="179">
        <f t="shared" si="110"/>
        <v>0.57699999999999996</v>
      </c>
      <c r="I172" s="179">
        <v>5.4</v>
      </c>
      <c r="J172" s="179">
        <f>+J68</f>
        <v>7.6449999999999996</v>
      </c>
      <c r="K172" s="179">
        <f>+K68</f>
        <v>7.6449999999999996</v>
      </c>
      <c r="L172" s="180">
        <f>+L68</f>
        <v>3.89</v>
      </c>
      <c r="M172" s="20"/>
      <c r="N172" s="20"/>
      <c r="O172" s="20"/>
      <c r="P172" s="20"/>
      <c r="Q172" s="42"/>
      <c r="R172" s="20"/>
      <c r="S172" s="20"/>
      <c r="T172" s="20"/>
      <c r="U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  <c r="AM172" s="20"/>
      <c r="AN172" s="20"/>
      <c r="AO172" s="20"/>
      <c r="AP172" s="20"/>
      <c r="AQ172" s="20"/>
      <c r="AR172" s="20"/>
      <c r="AS172" s="20"/>
      <c r="AT172" s="20"/>
      <c r="AU172" s="20"/>
      <c r="AV172" s="20"/>
      <c r="AW172" s="20"/>
      <c r="AX172" s="20"/>
      <c r="AY172" s="20"/>
      <c r="AZ172" s="20"/>
      <c r="BA172" s="20"/>
      <c r="BB172" s="20"/>
      <c r="BC172" s="20"/>
      <c r="BD172" s="20"/>
      <c r="BE172" s="20"/>
      <c r="BF172" s="20"/>
      <c r="BG172" s="20"/>
      <c r="BH172" s="20"/>
      <c r="BI172" s="20"/>
      <c r="BJ172" s="20"/>
      <c r="BK172" s="20"/>
      <c r="BL172" s="20"/>
      <c r="BM172" s="20"/>
      <c r="BN172" s="20"/>
      <c r="BO172" s="20"/>
      <c r="BP172" s="20"/>
      <c r="BQ172" s="20"/>
      <c r="BR172" s="20"/>
      <c r="BS172" s="20"/>
      <c r="BT172" s="20"/>
      <c r="BU172" s="20"/>
      <c r="BV172" s="20"/>
      <c r="BW172" s="20"/>
      <c r="BX172" s="20"/>
      <c r="BY172" s="20"/>
      <c r="BZ172" s="20"/>
      <c r="CA172" s="20"/>
      <c r="CB172" s="20"/>
      <c r="CC172" s="20"/>
      <c r="CD172" s="20"/>
      <c r="CE172" s="20"/>
      <c r="CF172" s="20"/>
      <c r="CG172" s="20"/>
      <c r="CH172" s="20"/>
      <c r="CI172" s="20"/>
      <c r="CJ172" s="20"/>
      <c r="CK172" s="20"/>
      <c r="CL172" s="20"/>
      <c r="CM172" s="20"/>
      <c r="CN172" s="20"/>
      <c r="CO172" s="20"/>
      <c r="CP172" s="20"/>
      <c r="CQ172" s="20"/>
      <c r="CR172" s="20"/>
      <c r="CS172" s="20"/>
      <c r="CT172" s="20"/>
      <c r="CU172" s="20"/>
      <c r="CV172" s="20"/>
      <c r="CW172" s="20"/>
      <c r="CX172" s="20"/>
      <c r="CY172" s="20"/>
      <c r="CZ172" s="20"/>
      <c r="DA172" s="20"/>
      <c r="DB172" s="20"/>
      <c r="DC172" s="20"/>
      <c r="DD172" s="20"/>
      <c r="DE172" s="20"/>
      <c r="DF172" s="20"/>
      <c r="DG172" s="20"/>
      <c r="DH172" s="20"/>
      <c r="DI172" s="20"/>
      <c r="DJ172" s="20"/>
      <c r="DK172" s="20"/>
      <c r="DL172" s="20"/>
      <c r="DM172" s="20"/>
      <c r="DN172" s="20"/>
      <c r="DO172" s="20"/>
      <c r="DP172" s="20"/>
      <c r="DQ172" s="20"/>
      <c r="DR172" s="20"/>
      <c r="DS172" s="20"/>
      <c r="DT172" s="20"/>
      <c r="DU172" s="20"/>
      <c r="DV172" s="20"/>
      <c r="DW172" s="20"/>
      <c r="DX172" s="20"/>
      <c r="DY172" s="20"/>
      <c r="DZ172" s="20"/>
      <c r="EA172" s="20"/>
      <c r="EB172" s="20"/>
      <c r="EC172" s="20"/>
      <c r="ED172" s="20"/>
      <c r="EE172" s="20"/>
      <c r="EF172" s="20"/>
      <c r="EG172" s="20"/>
      <c r="EH172" s="20"/>
      <c r="EI172" s="20"/>
    </row>
    <row r="173" spans="1:139" x14ac:dyDescent="0.25">
      <c r="A173" s="20"/>
      <c r="B173" s="80" t="s">
        <v>253</v>
      </c>
      <c r="C173" s="81" t="s">
        <v>254</v>
      </c>
      <c r="D173" s="485" t="s">
        <v>44</v>
      </c>
      <c r="E173" s="246">
        <v>0.4</v>
      </c>
      <c r="F173" s="179">
        <v>0.4</v>
      </c>
      <c r="G173" s="179">
        <v>0.4</v>
      </c>
      <c r="H173" s="179">
        <v>0.4</v>
      </c>
      <c r="I173" s="179">
        <v>0.2</v>
      </c>
      <c r="J173" s="179">
        <v>0.2</v>
      </c>
      <c r="K173" s="179">
        <v>0.2</v>
      </c>
      <c r="L173" s="180">
        <v>0.2</v>
      </c>
      <c r="M173" s="20"/>
      <c r="N173" s="20"/>
      <c r="O173" s="20"/>
      <c r="P173" s="20"/>
      <c r="Q173" s="42"/>
      <c r="R173" s="20"/>
      <c r="S173" s="20"/>
      <c r="T173" s="20"/>
      <c r="U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  <c r="AM173" s="20"/>
      <c r="AN173" s="20"/>
      <c r="AO173" s="20"/>
      <c r="AP173" s="20"/>
      <c r="AQ173" s="20"/>
      <c r="AR173" s="20"/>
      <c r="AS173" s="20"/>
      <c r="AT173" s="20"/>
      <c r="AU173" s="20"/>
      <c r="AV173" s="20"/>
      <c r="AW173" s="20"/>
      <c r="AX173" s="20"/>
      <c r="AY173" s="20"/>
      <c r="AZ173" s="20"/>
      <c r="BA173" s="20"/>
      <c r="BB173" s="20"/>
      <c r="BC173" s="20"/>
      <c r="BD173" s="20"/>
      <c r="BE173" s="20"/>
      <c r="BF173" s="20"/>
      <c r="BG173" s="20"/>
      <c r="BH173" s="20"/>
      <c r="BI173" s="20"/>
      <c r="BJ173" s="20"/>
      <c r="BK173" s="20"/>
      <c r="BL173" s="20"/>
      <c r="BM173" s="20"/>
      <c r="BN173" s="20"/>
      <c r="BO173" s="20"/>
      <c r="BP173" s="20"/>
      <c r="BQ173" s="20"/>
      <c r="BR173" s="20"/>
      <c r="BS173" s="20"/>
      <c r="BT173" s="20"/>
      <c r="BU173" s="20"/>
      <c r="BV173" s="20"/>
      <c r="BW173" s="20"/>
      <c r="BX173" s="20"/>
      <c r="BY173" s="20"/>
      <c r="BZ173" s="20"/>
      <c r="CA173" s="20"/>
      <c r="CB173" s="20"/>
      <c r="CC173" s="20"/>
      <c r="CD173" s="20"/>
      <c r="CE173" s="20"/>
      <c r="CF173" s="20"/>
      <c r="CG173" s="20"/>
      <c r="CH173" s="20"/>
      <c r="CI173" s="20"/>
      <c r="CJ173" s="20"/>
      <c r="CK173" s="20"/>
      <c r="CL173" s="20"/>
      <c r="CM173" s="20"/>
      <c r="CN173" s="20"/>
      <c r="CO173" s="20"/>
      <c r="CP173" s="20"/>
      <c r="CQ173" s="20"/>
      <c r="CR173" s="20"/>
      <c r="CS173" s="20"/>
      <c r="CT173" s="20"/>
      <c r="CU173" s="20"/>
      <c r="CV173" s="20"/>
      <c r="CW173" s="20"/>
      <c r="CX173" s="20"/>
      <c r="CY173" s="20"/>
      <c r="CZ173" s="20"/>
      <c r="DA173" s="20"/>
      <c r="DB173" s="20"/>
      <c r="DC173" s="20"/>
      <c r="DD173" s="20"/>
      <c r="DE173" s="20"/>
      <c r="DF173" s="20"/>
      <c r="DG173" s="20"/>
      <c r="DH173" s="20"/>
      <c r="DI173" s="20"/>
      <c r="DJ173" s="20"/>
      <c r="DK173" s="20"/>
      <c r="DL173" s="20"/>
      <c r="DM173" s="20"/>
      <c r="DN173" s="20"/>
      <c r="DO173" s="20"/>
      <c r="DP173" s="20"/>
      <c r="DQ173" s="20"/>
      <c r="DR173" s="20"/>
      <c r="DS173" s="20"/>
      <c r="DT173" s="20"/>
      <c r="DU173" s="20"/>
      <c r="DV173" s="20"/>
      <c r="DW173" s="20"/>
      <c r="DX173" s="20"/>
      <c r="DY173" s="20"/>
      <c r="DZ173" s="20"/>
      <c r="EA173" s="20"/>
      <c r="EB173" s="20"/>
      <c r="EC173" s="20"/>
      <c r="ED173" s="20"/>
      <c r="EE173" s="20"/>
      <c r="EF173" s="20"/>
      <c r="EG173" s="20"/>
      <c r="EH173" s="20"/>
      <c r="EI173" s="20"/>
    </row>
    <row r="174" spans="1:139" x14ac:dyDescent="0.25">
      <c r="A174" s="20"/>
      <c r="B174" s="80" t="s">
        <v>255</v>
      </c>
      <c r="C174" s="81" t="s">
        <v>256</v>
      </c>
      <c r="D174" s="485" t="s">
        <v>44</v>
      </c>
      <c r="E174" s="246">
        <v>0.2</v>
      </c>
      <c r="F174" s="179">
        <v>0.2</v>
      </c>
      <c r="G174" s="179">
        <v>0.2</v>
      </c>
      <c r="H174" s="179">
        <v>0.2</v>
      </c>
      <c r="I174" s="179">
        <v>0.6</v>
      </c>
      <c r="J174" s="179">
        <v>0.6</v>
      </c>
      <c r="K174" s="179">
        <v>0.6</v>
      </c>
      <c r="L174" s="180">
        <v>0.6</v>
      </c>
      <c r="M174" s="20"/>
      <c r="N174" s="20"/>
      <c r="O174" s="20"/>
      <c r="P174" s="20"/>
      <c r="Q174" s="42"/>
      <c r="R174" s="20"/>
      <c r="S174" s="20"/>
      <c r="T174" s="20"/>
      <c r="U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  <c r="AM174" s="20"/>
      <c r="AN174" s="20"/>
      <c r="AO174" s="20"/>
      <c r="AP174" s="20"/>
      <c r="AQ174" s="20"/>
      <c r="AR174" s="20"/>
      <c r="AS174" s="20"/>
      <c r="AT174" s="20"/>
      <c r="AU174" s="20"/>
      <c r="AV174" s="20"/>
      <c r="AW174" s="20"/>
      <c r="AX174" s="20"/>
      <c r="AY174" s="20"/>
      <c r="AZ174" s="20"/>
      <c r="BA174" s="20"/>
      <c r="BB174" s="20"/>
      <c r="BC174" s="20"/>
      <c r="BD174" s="20"/>
      <c r="BE174" s="20"/>
      <c r="BF174" s="20"/>
      <c r="BG174" s="20"/>
      <c r="BH174" s="20"/>
      <c r="BI174" s="20"/>
      <c r="BJ174" s="20"/>
      <c r="BK174" s="20"/>
      <c r="BL174" s="20"/>
      <c r="BM174" s="20"/>
      <c r="BN174" s="20"/>
      <c r="BO174" s="20"/>
      <c r="BP174" s="20"/>
      <c r="BQ174" s="20"/>
      <c r="BR174" s="20"/>
      <c r="BS174" s="20"/>
      <c r="BT174" s="20"/>
      <c r="BU174" s="20"/>
      <c r="BV174" s="20"/>
      <c r="BW174" s="20"/>
      <c r="BX174" s="20"/>
      <c r="BY174" s="20"/>
      <c r="BZ174" s="20"/>
      <c r="CA174" s="20"/>
      <c r="CB174" s="20"/>
      <c r="CC174" s="20"/>
      <c r="CD174" s="20"/>
      <c r="CE174" s="20"/>
      <c r="CF174" s="20"/>
      <c r="CG174" s="20"/>
      <c r="CH174" s="20"/>
      <c r="CI174" s="20"/>
      <c r="CJ174" s="20"/>
      <c r="CK174" s="20"/>
      <c r="CL174" s="20"/>
      <c r="CM174" s="20"/>
      <c r="CN174" s="20"/>
      <c r="CO174" s="20"/>
      <c r="CP174" s="20"/>
      <c r="CQ174" s="20"/>
      <c r="CR174" s="20"/>
      <c r="CS174" s="20"/>
      <c r="CT174" s="20"/>
      <c r="CU174" s="20"/>
      <c r="CV174" s="20"/>
      <c r="CW174" s="20"/>
      <c r="CX174" s="20"/>
      <c r="CY174" s="20"/>
      <c r="CZ174" s="20"/>
      <c r="DA174" s="20"/>
      <c r="DB174" s="20"/>
      <c r="DC174" s="20"/>
      <c r="DD174" s="20"/>
      <c r="DE174" s="20"/>
      <c r="DF174" s="20"/>
      <c r="DG174" s="20"/>
      <c r="DH174" s="20"/>
      <c r="DI174" s="20"/>
      <c r="DJ174" s="20"/>
      <c r="DK174" s="20"/>
      <c r="DL174" s="20"/>
      <c r="DM174" s="20"/>
      <c r="DN174" s="20"/>
      <c r="DO174" s="20"/>
      <c r="DP174" s="20"/>
      <c r="DQ174" s="20"/>
      <c r="DR174" s="20"/>
      <c r="DS174" s="20"/>
      <c r="DT174" s="20"/>
      <c r="DU174" s="20"/>
      <c r="DV174" s="20"/>
      <c r="DW174" s="20"/>
      <c r="DX174" s="20"/>
      <c r="DY174" s="20"/>
      <c r="DZ174" s="20"/>
      <c r="EA174" s="20"/>
      <c r="EB174" s="20"/>
      <c r="EC174" s="20"/>
      <c r="ED174" s="20"/>
      <c r="EE174" s="20"/>
      <c r="EF174" s="20"/>
      <c r="EG174" s="20"/>
      <c r="EH174" s="20"/>
      <c r="EI174" s="20"/>
    </row>
    <row r="175" spans="1:139" x14ac:dyDescent="0.25">
      <c r="A175" s="20"/>
      <c r="B175" s="137" t="s">
        <v>257</v>
      </c>
      <c r="C175" s="98" t="s">
        <v>258</v>
      </c>
      <c r="D175" s="99" t="s">
        <v>19</v>
      </c>
      <c r="E175" s="642" t="e">
        <f>2*(E166*(E164^4-E163^4)/((1-E168)/(E172*E168)+1/(E172*E173)+(1-E169)/(E170/E169)))/1000</f>
        <v>#VALUE!</v>
      </c>
      <c r="F175" s="321" t="e">
        <f t="shared" ref="F175:L175" si="111">2*(F166*(F164^4-F163^4)/((1-F168)/(F172*F168)+1/(F172*F173)+(1-F169)/(F170/F169)))/1000</f>
        <v>#VALUE!</v>
      </c>
      <c r="G175" s="321" t="e">
        <f t="shared" si="111"/>
        <v>#VALUE!</v>
      </c>
      <c r="H175" s="321" t="e">
        <f t="shared" si="111"/>
        <v>#VALUE!</v>
      </c>
      <c r="I175" s="321">
        <f t="shared" si="111"/>
        <v>1.5115832690262703</v>
      </c>
      <c r="J175" s="321">
        <f t="shared" si="111"/>
        <v>2.2501623840585387</v>
      </c>
      <c r="K175" s="321">
        <f t="shared" si="111"/>
        <v>-1.6057150281782062</v>
      </c>
      <c r="L175" s="652" t="e">
        <f t="shared" si="111"/>
        <v>#VALUE!</v>
      </c>
      <c r="M175" s="20"/>
      <c r="N175" s="20"/>
      <c r="O175" s="20"/>
      <c r="P175" s="20"/>
      <c r="Q175" s="42"/>
      <c r="R175" s="20"/>
      <c r="S175" s="20"/>
      <c r="T175" s="20"/>
      <c r="U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  <c r="AM175" s="20"/>
      <c r="AN175" s="20"/>
      <c r="AO175" s="20"/>
      <c r="AP175" s="20"/>
      <c r="AQ175" s="20"/>
      <c r="AR175" s="20"/>
      <c r="AS175" s="20"/>
      <c r="AT175" s="20"/>
      <c r="AU175" s="20"/>
      <c r="AV175" s="20"/>
      <c r="AW175" s="20"/>
      <c r="AX175" s="20"/>
      <c r="AY175" s="20"/>
      <c r="AZ175" s="20"/>
      <c r="BA175" s="20"/>
      <c r="BB175" s="20"/>
      <c r="BC175" s="20"/>
      <c r="BD175" s="20"/>
      <c r="BE175" s="20"/>
      <c r="BF175" s="20"/>
      <c r="BG175" s="20"/>
      <c r="BH175" s="20"/>
      <c r="BI175" s="20"/>
      <c r="BJ175" s="20"/>
      <c r="BK175" s="20"/>
      <c r="BL175" s="20"/>
      <c r="BM175" s="20"/>
      <c r="BN175" s="20"/>
      <c r="BO175" s="20"/>
      <c r="BP175" s="20"/>
      <c r="BQ175" s="20"/>
      <c r="BR175" s="20"/>
      <c r="BS175" s="20"/>
      <c r="BT175" s="20"/>
      <c r="BU175" s="20"/>
      <c r="BV175" s="20"/>
      <c r="BW175" s="20"/>
      <c r="BX175" s="20"/>
      <c r="BY175" s="20"/>
      <c r="BZ175" s="20"/>
      <c r="CA175" s="20"/>
      <c r="CB175" s="20"/>
      <c r="CC175" s="20"/>
      <c r="CD175" s="20"/>
      <c r="CE175" s="20"/>
      <c r="CF175" s="20"/>
      <c r="CG175" s="20"/>
      <c r="CH175" s="20"/>
      <c r="CI175" s="20"/>
      <c r="CJ175" s="20"/>
      <c r="CK175" s="20"/>
      <c r="CL175" s="20"/>
      <c r="CM175" s="20"/>
      <c r="CN175" s="20"/>
      <c r="CO175" s="20"/>
      <c r="CP175" s="20"/>
      <c r="CQ175" s="20"/>
      <c r="CR175" s="20"/>
      <c r="CS175" s="20"/>
      <c r="CT175" s="20"/>
      <c r="CU175" s="20"/>
      <c r="CV175" s="20"/>
      <c r="CW175" s="20"/>
      <c r="CX175" s="20"/>
      <c r="CY175" s="20"/>
      <c r="CZ175" s="20"/>
      <c r="DA175" s="20"/>
      <c r="DB175" s="20"/>
      <c r="DC175" s="20"/>
      <c r="DD175" s="20"/>
      <c r="DE175" s="20"/>
      <c r="DF175" s="20"/>
      <c r="DG175" s="20"/>
      <c r="DH175" s="20"/>
      <c r="DI175" s="20"/>
      <c r="DJ175" s="20"/>
      <c r="DK175" s="20"/>
      <c r="DL175" s="20"/>
      <c r="DM175" s="20"/>
      <c r="DN175" s="20"/>
      <c r="DO175" s="20"/>
      <c r="DP175" s="20"/>
      <c r="DQ175" s="20"/>
      <c r="DR175" s="20"/>
      <c r="DS175" s="20"/>
      <c r="DT175" s="20"/>
      <c r="DU175" s="20"/>
      <c r="DV175" s="20"/>
      <c r="DW175" s="20"/>
      <c r="DX175" s="20"/>
      <c r="DY175" s="20"/>
      <c r="DZ175" s="20"/>
      <c r="EA175" s="20"/>
      <c r="EB175" s="20"/>
      <c r="EC175" s="20"/>
      <c r="ED175" s="20"/>
      <c r="EE175" s="20"/>
      <c r="EF175" s="20"/>
      <c r="EG175" s="20"/>
      <c r="EH175" s="20"/>
      <c r="EI175" s="20"/>
    </row>
    <row r="176" spans="1:139" x14ac:dyDescent="0.25">
      <c r="A176" s="20"/>
      <c r="B176" s="137" t="s">
        <v>259</v>
      </c>
      <c r="C176" s="98" t="s">
        <v>260</v>
      </c>
      <c r="D176" s="99" t="s">
        <v>19</v>
      </c>
      <c r="E176" s="642" t="e">
        <f>(E166*(E165^4-E163^4)/((1-E168)/(E172*E168)+1/(E172*E174)+(1-E169)/(E171/E169)))/1000</f>
        <v>#VALUE!</v>
      </c>
      <c r="F176" s="321" t="e">
        <f t="shared" ref="F176:L176" si="112">(F166*(F165^4-F163^4)/((1-F168)/(F172*F168)+1/(F172*F174)+(1-F169)/(F171/F169)))/1000</f>
        <v>#VALUE!</v>
      </c>
      <c r="G176" s="321" t="e">
        <f t="shared" si="112"/>
        <v>#VALUE!</v>
      </c>
      <c r="H176" s="321" t="e">
        <f t="shared" si="112"/>
        <v>#VALUE!</v>
      </c>
      <c r="I176" s="321">
        <f t="shared" si="112"/>
        <v>4.0163724806720902</v>
      </c>
      <c r="J176" s="321">
        <f t="shared" si="112"/>
        <v>6.3676681533075268</v>
      </c>
      <c r="K176" s="321">
        <f t="shared" si="112"/>
        <v>0.60810466977967459</v>
      </c>
      <c r="L176" s="652" t="e">
        <f t="shared" si="112"/>
        <v>#VALUE!</v>
      </c>
      <c r="M176" s="20"/>
      <c r="N176" s="20"/>
      <c r="O176" s="20"/>
      <c r="P176" s="20"/>
      <c r="Q176" s="42"/>
      <c r="R176" s="20"/>
      <c r="S176" s="20"/>
      <c r="T176" s="20"/>
      <c r="U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  <c r="AM176" s="20"/>
      <c r="AN176" s="20"/>
      <c r="AO176" s="20"/>
      <c r="AP176" s="20"/>
      <c r="AQ176" s="20"/>
      <c r="AR176" s="20"/>
      <c r="AS176" s="20"/>
      <c r="AT176" s="20"/>
      <c r="AU176" s="20"/>
      <c r="AV176" s="20"/>
      <c r="AW176" s="20"/>
      <c r="AX176" s="20"/>
      <c r="AY176" s="20"/>
      <c r="AZ176" s="20"/>
      <c r="BA176" s="20"/>
      <c r="BB176" s="20"/>
      <c r="BC176" s="20"/>
      <c r="BD176" s="20"/>
      <c r="BE176" s="20"/>
      <c r="BF176" s="20"/>
      <c r="BG176" s="20"/>
      <c r="BH176" s="20"/>
      <c r="BI176" s="20"/>
      <c r="BJ176" s="20"/>
      <c r="BK176" s="20"/>
      <c r="BL176" s="20"/>
      <c r="BM176" s="20"/>
      <c r="BN176" s="20"/>
      <c r="BO176" s="20"/>
      <c r="BP176" s="20"/>
      <c r="BQ176" s="20"/>
      <c r="BR176" s="20"/>
      <c r="BS176" s="20"/>
      <c r="BT176" s="20"/>
      <c r="BU176" s="20"/>
      <c r="BV176" s="20"/>
      <c r="BW176" s="20"/>
      <c r="BX176" s="20"/>
      <c r="BY176" s="20"/>
      <c r="BZ176" s="20"/>
      <c r="CA176" s="20"/>
      <c r="CB176" s="20"/>
      <c r="CC176" s="20"/>
      <c r="CD176" s="20"/>
      <c r="CE176" s="20"/>
      <c r="CF176" s="20"/>
      <c r="CG176" s="20"/>
      <c r="CH176" s="20"/>
      <c r="CI176" s="20"/>
      <c r="CJ176" s="20"/>
      <c r="CK176" s="20"/>
      <c r="CL176" s="20"/>
      <c r="CM176" s="20"/>
      <c r="CN176" s="20"/>
      <c r="CO176" s="20"/>
      <c r="CP176" s="20"/>
      <c r="CQ176" s="20"/>
      <c r="CR176" s="20"/>
      <c r="CS176" s="20"/>
      <c r="CT176" s="20"/>
      <c r="CU176" s="20"/>
      <c r="CV176" s="20"/>
      <c r="CW176" s="20"/>
      <c r="CX176" s="20"/>
      <c r="CY176" s="20"/>
      <c r="CZ176" s="20"/>
      <c r="DA176" s="20"/>
      <c r="DB176" s="20"/>
      <c r="DC176" s="20"/>
      <c r="DD176" s="20"/>
      <c r="DE176" s="20"/>
      <c r="DF176" s="20"/>
      <c r="DG176" s="20"/>
      <c r="DH176" s="20"/>
      <c r="DI176" s="20"/>
      <c r="DJ176" s="20"/>
      <c r="DK176" s="20"/>
      <c r="DL176" s="20"/>
      <c r="DM176" s="20"/>
      <c r="DN176" s="20"/>
      <c r="DO176" s="20"/>
      <c r="DP176" s="20"/>
      <c r="DQ176" s="20"/>
      <c r="DR176" s="20"/>
      <c r="DS176" s="20"/>
      <c r="DT176" s="20"/>
      <c r="DU176" s="20"/>
      <c r="DV176" s="20"/>
      <c r="DW176" s="20"/>
      <c r="DX176" s="20"/>
      <c r="DY176" s="20"/>
      <c r="DZ176" s="20"/>
      <c r="EA176" s="20"/>
      <c r="EB176" s="20"/>
      <c r="EC176" s="20"/>
      <c r="ED176" s="20"/>
      <c r="EE176" s="20"/>
      <c r="EF176" s="20"/>
      <c r="EG176" s="20"/>
      <c r="EH176" s="20"/>
      <c r="EI176" s="20"/>
    </row>
    <row r="177" spans="1:139" x14ac:dyDescent="0.25">
      <c r="A177" s="20"/>
      <c r="B177" s="137" t="s">
        <v>261</v>
      </c>
      <c r="C177" s="98" t="s">
        <v>262</v>
      </c>
      <c r="D177" s="99" t="s">
        <v>19</v>
      </c>
      <c r="E177" s="246" t="e">
        <f>((E166*E172*E168*E167*(E162^4-E163^4))/(1-(1-E168)*(1-E167)))/1000</f>
        <v>#VALUE!</v>
      </c>
      <c r="F177" s="386" t="e">
        <f t="shared" ref="F177:H177" si="113">((F166*F172*F168*F167*(F162^4-F163^4))/(1-(1-F168)*(1-F167)))/1000</f>
        <v>#VALUE!</v>
      </c>
      <c r="G177" s="179" t="e">
        <f>((G166*G172*G168*G167*(G162^4-G163^4))/(1-(1-G168)*(1-G167)))/1000</f>
        <v>#VALUE!</v>
      </c>
      <c r="H177" s="179" t="e">
        <f t="shared" si="113"/>
        <v>#VALUE!</v>
      </c>
      <c r="I177" s="179">
        <f t="shared" ref="I177" si="114">((I166*I172*I168*I167*(I162^4-I163^4))/(1-(1-I168)*(1-I167)))/1000</f>
        <v>18.773913275577438</v>
      </c>
      <c r="J177" s="179">
        <f>((J166*J172*J168*J167*(J162^4-J163^4))/(1-(1-J168)*(1-J167)))/1000</f>
        <v>11.976834017727757</v>
      </c>
      <c r="K177" s="179">
        <f t="shared" ref="K177:L177" si="115">((K166*K172*K168*K167*(K162^4-K163^4))/(1-(1-K168)*(1-K167)))/1000</f>
        <v>3.620555662182205</v>
      </c>
      <c r="L177" s="180" t="e">
        <f t="shared" si="115"/>
        <v>#VALUE!</v>
      </c>
      <c r="M177" s="20"/>
      <c r="N177" s="20"/>
      <c r="O177" s="20"/>
      <c r="P177" s="20"/>
      <c r="Q177" s="42"/>
      <c r="R177" s="20"/>
      <c r="S177" s="20"/>
      <c r="T177" s="20"/>
      <c r="U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  <c r="AM177" s="20"/>
      <c r="AN177" s="20"/>
      <c r="AO177" s="20"/>
      <c r="AP177" s="20"/>
      <c r="AQ177" s="20"/>
      <c r="AR177" s="20"/>
      <c r="AS177" s="20"/>
      <c r="AT177" s="20"/>
      <c r="AU177" s="20"/>
      <c r="AV177" s="20"/>
      <c r="AW177" s="20"/>
      <c r="AX177" s="20"/>
      <c r="AY177" s="20"/>
      <c r="AZ177" s="20"/>
      <c r="BA177" s="20"/>
      <c r="BB177" s="20"/>
      <c r="BC177" s="20"/>
      <c r="BD177" s="20"/>
      <c r="BE177" s="20"/>
      <c r="BF177" s="20"/>
      <c r="BG177" s="20"/>
      <c r="BH177" s="20"/>
      <c r="BI177" s="20"/>
      <c r="BJ177" s="20"/>
      <c r="BK177" s="20"/>
      <c r="BL177" s="20"/>
      <c r="BM177" s="20"/>
      <c r="BN177" s="20"/>
      <c r="BO177" s="20"/>
      <c r="BP177" s="20"/>
      <c r="BQ177" s="20"/>
      <c r="BR177" s="20"/>
      <c r="BS177" s="20"/>
      <c r="BT177" s="20"/>
      <c r="BU177" s="20"/>
      <c r="BV177" s="20"/>
      <c r="BW177" s="20"/>
      <c r="BX177" s="20"/>
      <c r="BY177" s="20"/>
      <c r="BZ177" s="20"/>
      <c r="CA177" s="20"/>
      <c r="CB177" s="20"/>
      <c r="CC177" s="20"/>
      <c r="CD177" s="20"/>
      <c r="CE177" s="20"/>
      <c r="CF177" s="20"/>
      <c r="CG177" s="20"/>
      <c r="CH177" s="20"/>
      <c r="CI177" s="20"/>
      <c r="CJ177" s="20"/>
      <c r="CK177" s="20"/>
      <c r="CL177" s="20"/>
      <c r="CM177" s="20"/>
      <c r="CN177" s="20"/>
      <c r="CO177" s="20"/>
      <c r="CP177" s="20"/>
      <c r="CQ177" s="20"/>
      <c r="CR177" s="20"/>
      <c r="CS177" s="20"/>
      <c r="CT177" s="20"/>
      <c r="CU177" s="20"/>
      <c r="CV177" s="20"/>
      <c r="CW177" s="20"/>
      <c r="CX177" s="20"/>
      <c r="CY177" s="20"/>
      <c r="CZ177" s="20"/>
      <c r="DA177" s="20"/>
      <c r="DB177" s="20"/>
      <c r="DC177" s="20"/>
      <c r="DD177" s="20"/>
      <c r="DE177" s="20"/>
      <c r="DF177" s="20"/>
      <c r="DG177" s="20"/>
      <c r="DH177" s="20"/>
      <c r="DI177" s="20"/>
      <c r="DJ177" s="20"/>
      <c r="DK177" s="20"/>
      <c r="DL177" s="20"/>
      <c r="DM177" s="20"/>
      <c r="DN177" s="20"/>
      <c r="DO177" s="20"/>
      <c r="DP177" s="20"/>
      <c r="DQ177" s="20"/>
      <c r="DR177" s="20"/>
      <c r="DS177" s="20"/>
      <c r="DT177" s="20"/>
      <c r="DU177" s="20"/>
      <c r="DV177" s="20"/>
      <c r="DW177" s="20"/>
      <c r="DX177" s="20"/>
      <c r="DY177" s="20"/>
      <c r="DZ177" s="20"/>
      <c r="EA177" s="20"/>
      <c r="EB177" s="20"/>
      <c r="EC177" s="20"/>
      <c r="ED177" s="20"/>
      <c r="EE177" s="20"/>
      <c r="EF177" s="20"/>
      <c r="EG177" s="20"/>
      <c r="EH177" s="20"/>
      <c r="EI177" s="20"/>
    </row>
    <row r="178" spans="1:139" ht="15.75" thickBot="1" x14ac:dyDescent="0.3">
      <c r="A178" s="20"/>
      <c r="B178" s="460" t="s">
        <v>263</v>
      </c>
      <c r="C178" s="461" t="s">
        <v>264</v>
      </c>
      <c r="D178" s="114" t="s">
        <v>19</v>
      </c>
      <c r="E178" s="115" t="e">
        <f>SUM(E175:E177)</f>
        <v>#VALUE!</v>
      </c>
      <c r="F178" s="157" t="e">
        <f t="shared" ref="F178:H178" si="116">SUM(F175:F177)</f>
        <v>#VALUE!</v>
      </c>
      <c r="G178" s="116" t="e">
        <f t="shared" si="116"/>
        <v>#VALUE!</v>
      </c>
      <c r="H178" s="116" t="e">
        <f t="shared" si="116"/>
        <v>#VALUE!</v>
      </c>
      <c r="I178" s="116">
        <f t="shared" ref="I178" si="117">SUM(I175:I177)</f>
        <v>24.301869025275799</v>
      </c>
      <c r="J178" s="116">
        <f>SUM(J175:J177)</f>
        <v>20.594664555093821</v>
      </c>
      <c r="K178" s="116">
        <f t="shared" ref="K178:L178" si="118">SUM(K175:K177)</f>
        <v>2.6229453037836734</v>
      </c>
      <c r="L178" s="117" t="e">
        <f t="shared" si="118"/>
        <v>#VALUE!</v>
      </c>
      <c r="M178" s="20"/>
      <c r="N178" s="20"/>
      <c r="O178" s="20"/>
      <c r="P178" s="20"/>
      <c r="Q178" s="42"/>
      <c r="R178" s="20"/>
      <c r="S178" s="20"/>
      <c r="T178" s="20"/>
      <c r="U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  <c r="AM178" s="20"/>
      <c r="AN178" s="20"/>
      <c r="AO178" s="20"/>
      <c r="AP178" s="20"/>
      <c r="AQ178" s="20"/>
      <c r="AR178" s="20"/>
      <c r="AS178" s="20"/>
      <c r="AT178" s="20"/>
      <c r="AU178" s="20"/>
      <c r="AV178" s="20"/>
      <c r="AW178" s="20"/>
      <c r="AX178" s="20"/>
      <c r="AY178" s="20"/>
      <c r="AZ178" s="20"/>
      <c r="BA178" s="20"/>
      <c r="BB178" s="20"/>
      <c r="BC178" s="20"/>
      <c r="BD178" s="20"/>
      <c r="BE178" s="20"/>
      <c r="BF178" s="20"/>
      <c r="BG178" s="20"/>
      <c r="BH178" s="20"/>
      <c r="BI178" s="20"/>
      <c r="BJ178" s="20"/>
      <c r="BK178" s="20"/>
      <c r="BL178" s="20"/>
      <c r="BM178" s="20"/>
      <c r="BN178" s="20"/>
      <c r="BO178" s="20"/>
      <c r="BP178" s="20"/>
      <c r="BQ178" s="20"/>
      <c r="BR178" s="20"/>
      <c r="BS178" s="20"/>
      <c r="BT178" s="20"/>
      <c r="BU178" s="20"/>
      <c r="BV178" s="20"/>
      <c r="BW178" s="20"/>
      <c r="BX178" s="20"/>
      <c r="BY178" s="20"/>
      <c r="BZ178" s="20"/>
      <c r="CA178" s="20"/>
      <c r="CB178" s="20"/>
      <c r="CC178" s="20"/>
      <c r="CD178" s="20"/>
      <c r="CE178" s="20"/>
      <c r="CF178" s="20"/>
      <c r="CG178" s="20"/>
      <c r="CH178" s="20"/>
      <c r="CI178" s="20"/>
      <c r="CJ178" s="20"/>
      <c r="CK178" s="20"/>
      <c r="CL178" s="20"/>
      <c r="CM178" s="20"/>
      <c r="CN178" s="20"/>
      <c r="CO178" s="20"/>
      <c r="CP178" s="20"/>
      <c r="CQ178" s="20"/>
      <c r="CR178" s="20"/>
      <c r="CS178" s="20"/>
      <c r="CT178" s="20"/>
      <c r="CU178" s="20"/>
      <c r="CV178" s="20"/>
      <c r="CW178" s="20"/>
      <c r="CX178" s="20"/>
      <c r="CY178" s="20"/>
      <c r="CZ178" s="20"/>
      <c r="DA178" s="20"/>
      <c r="DB178" s="20"/>
      <c r="DC178" s="20"/>
      <c r="DD178" s="20"/>
      <c r="DE178" s="20"/>
      <c r="DF178" s="20"/>
      <c r="DG178" s="20"/>
      <c r="DH178" s="20"/>
      <c r="DI178" s="20"/>
      <c r="DJ178" s="20"/>
      <c r="DK178" s="20"/>
      <c r="DL178" s="20"/>
      <c r="DM178" s="20"/>
      <c r="DN178" s="20"/>
      <c r="DO178" s="20"/>
      <c r="DP178" s="20"/>
      <c r="DQ178" s="20"/>
      <c r="DR178" s="20"/>
      <c r="DS178" s="20"/>
      <c r="DT178" s="20"/>
      <c r="DU178" s="20"/>
      <c r="DV178" s="20"/>
      <c r="DW178" s="20"/>
      <c r="DX178" s="20"/>
      <c r="DY178" s="20"/>
      <c r="DZ178" s="20"/>
      <c r="EA178" s="20"/>
      <c r="EB178" s="20"/>
      <c r="EC178" s="20"/>
      <c r="ED178" s="20"/>
      <c r="EE178" s="20"/>
      <c r="EF178" s="20"/>
      <c r="EG178" s="20"/>
      <c r="EH178" s="20"/>
      <c r="EI178" s="20"/>
    </row>
    <row r="179" spans="1:139" ht="15.75" thickBot="1" x14ac:dyDescent="0.3">
      <c r="A179" s="20"/>
      <c r="E179">
        <f>52010/1000</f>
        <v>52.01</v>
      </c>
      <c r="F179" s="245">
        <f>18687.7/1000</f>
        <v>18.6877</v>
      </c>
      <c r="G179" s="245">
        <f>51227.9/1000</f>
        <v>51.227899999999998</v>
      </c>
      <c r="H179">
        <f>38455.3/1000</f>
        <v>38.455300000000001</v>
      </c>
      <c r="I179">
        <f>38455.3/1000</f>
        <v>38.455300000000001</v>
      </c>
      <c r="J179" s="245">
        <f>23504.9/1000</f>
        <v>23.504900000000003</v>
      </c>
      <c r="K179" s="43">
        <f>+SUM(E179:H179)</f>
        <v>160.3809</v>
      </c>
      <c r="L179" s="20"/>
      <c r="M179" s="20"/>
      <c r="N179" s="20"/>
      <c r="P179" s="20"/>
      <c r="Q179" s="42"/>
      <c r="R179" s="20"/>
      <c r="S179" s="20"/>
      <c r="T179" s="20"/>
      <c r="U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  <c r="AM179" s="20"/>
      <c r="AN179" s="20"/>
      <c r="AO179" s="20"/>
      <c r="AP179" s="20"/>
      <c r="AQ179" s="20"/>
      <c r="AR179" s="20"/>
      <c r="AS179" s="20"/>
      <c r="AT179" s="20"/>
      <c r="AU179" s="20"/>
      <c r="AV179" s="20"/>
      <c r="AW179" s="20"/>
      <c r="AX179" s="20"/>
      <c r="AY179" s="20"/>
      <c r="AZ179" s="20"/>
      <c r="BA179" s="20"/>
      <c r="BB179" s="20"/>
      <c r="BC179" s="20"/>
      <c r="BD179" s="20"/>
      <c r="BE179" s="20"/>
      <c r="BF179" s="20"/>
      <c r="BG179" s="20"/>
      <c r="BH179" s="20"/>
      <c r="BI179" s="20"/>
      <c r="BJ179" s="20"/>
      <c r="BK179" s="20"/>
      <c r="BL179" s="20"/>
      <c r="BM179" s="20"/>
      <c r="BN179" s="20"/>
      <c r="BO179" s="20"/>
      <c r="BP179" s="20"/>
      <c r="BQ179" s="20"/>
      <c r="BR179" s="20"/>
      <c r="BS179" s="20"/>
      <c r="BT179" s="20"/>
      <c r="BU179" s="20"/>
      <c r="BV179" s="20"/>
      <c r="BW179" s="20"/>
      <c r="BX179" s="20"/>
      <c r="BY179" s="20"/>
      <c r="BZ179" s="20"/>
      <c r="CA179" s="20"/>
      <c r="CB179" s="20"/>
      <c r="CC179" s="20"/>
      <c r="CD179" s="20"/>
      <c r="CE179" s="20"/>
      <c r="CF179" s="20"/>
      <c r="CG179" s="20"/>
      <c r="CH179" s="20"/>
      <c r="CI179" s="20"/>
      <c r="CJ179" s="20"/>
      <c r="CK179" s="20"/>
      <c r="CL179" s="20"/>
      <c r="CM179" s="20"/>
      <c r="CN179" s="20"/>
      <c r="CO179" s="20"/>
      <c r="CP179" s="20"/>
      <c r="CQ179" s="20"/>
      <c r="CR179" s="20"/>
      <c r="CS179" s="20"/>
      <c r="CT179" s="20"/>
      <c r="CU179" s="20"/>
      <c r="CV179" s="20"/>
      <c r="CW179" s="20"/>
      <c r="CX179" s="20"/>
      <c r="CY179" s="20"/>
      <c r="CZ179" s="20"/>
      <c r="DA179" s="20"/>
      <c r="DB179" s="20"/>
      <c r="DC179" s="20"/>
      <c r="DD179" s="20"/>
      <c r="DE179" s="20"/>
      <c r="DF179" s="20"/>
      <c r="DG179" s="20"/>
      <c r="DH179" s="20"/>
      <c r="DI179" s="20"/>
      <c r="DJ179" s="20"/>
      <c r="DK179" s="20"/>
      <c r="DL179" s="20"/>
      <c r="DM179" s="20"/>
      <c r="DN179" s="20"/>
      <c r="DO179" s="20"/>
      <c r="DP179" s="20"/>
      <c r="DQ179" s="20"/>
      <c r="DR179" s="20"/>
      <c r="DS179" s="20"/>
      <c r="DT179" s="20"/>
      <c r="DU179" s="20"/>
      <c r="DV179" s="20"/>
      <c r="DW179" s="20"/>
      <c r="DX179" s="20"/>
      <c r="DY179" s="20"/>
      <c r="DZ179" s="20"/>
      <c r="EA179" s="20"/>
      <c r="EB179" s="20"/>
      <c r="EC179" s="20"/>
      <c r="ED179" s="20"/>
      <c r="EE179" s="20"/>
      <c r="EF179" s="20"/>
      <c r="EG179" s="20"/>
      <c r="EH179" s="20"/>
      <c r="EI179" s="20"/>
    </row>
    <row r="180" spans="1:139" x14ac:dyDescent="0.25">
      <c r="A180" s="20"/>
      <c r="B180" s="120" t="s">
        <v>270</v>
      </c>
      <c r="C180" s="121" t="s">
        <v>69</v>
      </c>
      <c r="D180" s="544" t="s">
        <v>190</v>
      </c>
      <c r="E180" s="277" t="e">
        <f>E178+E152</f>
        <v>#VALUE!</v>
      </c>
      <c r="F180" s="75" t="e">
        <f t="shared" ref="F180:L180" si="119">F178+F152</f>
        <v>#VALUE!</v>
      </c>
      <c r="G180" s="75" t="e">
        <f t="shared" si="119"/>
        <v>#VALUE!</v>
      </c>
      <c r="H180" s="75" t="e">
        <f t="shared" si="119"/>
        <v>#VALUE!</v>
      </c>
      <c r="I180" s="75">
        <f t="shared" si="119"/>
        <v>82.097460209683263</v>
      </c>
      <c r="J180" s="75">
        <f t="shared" si="119"/>
        <v>54.593535418393273</v>
      </c>
      <c r="K180" s="75">
        <f t="shared" si="119"/>
        <v>23.297521181863207</v>
      </c>
      <c r="L180" s="76" t="e">
        <f t="shared" si="119"/>
        <v>#VALUE!</v>
      </c>
      <c r="M180" s="409" t="e">
        <f>+SUM(E180:K180)</f>
        <v>#VALUE!</v>
      </c>
      <c r="N180" s="20"/>
      <c r="P180" s="20"/>
      <c r="Q180" s="42"/>
      <c r="R180" s="20"/>
      <c r="S180" s="20"/>
      <c r="T180" s="20"/>
      <c r="U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  <c r="AM180" s="20"/>
      <c r="AN180" s="20"/>
      <c r="AO180" s="20"/>
      <c r="AP180" s="20"/>
      <c r="AQ180" s="20"/>
      <c r="AR180" s="20"/>
      <c r="AS180" s="20"/>
      <c r="AT180" s="20"/>
      <c r="AU180" s="20"/>
      <c r="AV180" s="20"/>
      <c r="AW180" s="20"/>
      <c r="AX180" s="20"/>
      <c r="AY180" s="20"/>
      <c r="AZ180" s="20"/>
      <c r="BA180" s="20"/>
      <c r="BB180" s="20"/>
      <c r="BC180" s="20"/>
      <c r="BD180" s="20"/>
      <c r="BE180" s="20"/>
      <c r="BF180" s="20"/>
      <c r="BG180" s="20"/>
      <c r="BH180" s="20"/>
      <c r="BI180" s="20"/>
      <c r="BJ180" s="20"/>
      <c r="BK180" s="20"/>
      <c r="BL180" s="20"/>
      <c r="BM180" s="20"/>
      <c r="BN180" s="20"/>
      <c r="BO180" s="20"/>
      <c r="BP180" s="20"/>
      <c r="BQ180" s="20"/>
      <c r="BR180" s="20"/>
      <c r="BS180" s="20"/>
      <c r="BT180" s="20"/>
      <c r="BU180" s="20"/>
      <c r="BV180" s="20"/>
      <c r="BW180" s="20"/>
      <c r="BX180" s="20"/>
      <c r="BY180" s="20"/>
      <c r="BZ180" s="20"/>
      <c r="CA180" s="20"/>
      <c r="CB180" s="20"/>
      <c r="CC180" s="20"/>
      <c r="CD180" s="20"/>
      <c r="CE180" s="20"/>
      <c r="CF180" s="20"/>
      <c r="CG180" s="20"/>
      <c r="CH180" s="20"/>
      <c r="CI180" s="20"/>
      <c r="CJ180" s="20"/>
      <c r="CK180" s="20"/>
      <c r="CL180" s="20"/>
      <c r="CM180" s="20"/>
      <c r="CN180" s="20"/>
      <c r="CO180" s="20"/>
      <c r="CP180" s="20"/>
      <c r="CQ180" s="20"/>
      <c r="CR180" s="20"/>
      <c r="CS180" s="20"/>
      <c r="CT180" s="20"/>
      <c r="CU180" s="20"/>
      <c r="CV180" s="20"/>
      <c r="CW180" s="20"/>
      <c r="CX180" s="20"/>
      <c r="CY180" s="20"/>
      <c r="CZ180" s="20"/>
      <c r="DA180" s="20"/>
      <c r="DB180" s="20"/>
      <c r="DC180" s="20"/>
      <c r="DD180" s="20"/>
      <c r="DE180" s="20"/>
      <c r="DF180" s="20"/>
      <c r="DG180" s="20"/>
      <c r="DH180" s="20"/>
      <c r="DI180" s="20"/>
      <c r="DJ180" s="20"/>
      <c r="DK180" s="20"/>
      <c r="DL180" s="20"/>
      <c r="DM180" s="20"/>
      <c r="DN180" s="20"/>
      <c r="DO180" s="20"/>
      <c r="DP180" s="20"/>
      <c r="DQ180" s="20"/>
      <c r="DR180" s="20"/>
      <c r="DS180" s="20"/>
      <c r="DT180" s="20"/>
      <c r="DU180" s="20"/>
      <c r="DV180" s="20"/>
      <c r="DW180" s="20"/>
      <c r="DX180" s="20"/>
      <c r="DY180" s="20"/>
      <c r="DZ180" s="20"/>
      <c r="EA180" s="20"/>
      <c r="EB180" s="20"/>
      <c r="EC180" s="20"/>
      <c r="ED180" s="20"/>
      <c r="EE180" s="20"/>
      <c r="EF180" s="20"/>
      <c r="EG180" s="20"/>
      <c r="EH180" s="20"/>
      <c r="EI180" s="20"/>
    </row>
    <row r="181" spans="1:139" ht="15.75" thickBot="1" x14ac:dyDescent="0.3">
      <c r="A181" s="20"/>
      <c r="B181" s="65" t="s">
        <v>323</v>
      </c>
      <c r="C181" s="66" t="s">
        <v>324</v>
      </c>
      <c r="D181" s="275" t="s">
        <v>190</v>
      </c>
      <c r="E181" s="278">
        <f>+E74</f>
        <v>101.4431345179968</v>
      </c>
      <c r="F181" s="163">
        <f t="shared" ref="F181:H181" si="120">+F74</f>
        <v>68.432881239487344</v>
      </c>
      <c r="G181" s="57">
        <f t="shared" si="120"/>
        <v>24.057563096719278</v>
      </c>
      <c r="H181" s="57">
        <f t="shared" si="120"/>
        <v>23.351149115379513</v>
      </c>
      <c r="I181" s="57">
        <f t="shared" ref="I181" si="121">+I74</f>
        <v>366.1066482738413</v>
      </c>
      <c r="J181" s="57">
        <f>+J74</f>
        <v>200.78726233741048</v>
      </c>
      <c r="K181" s="662">
        <f>+K74</f>
        <v>170.62197805290538</v>
      </c>
      <c r="L181" s="663">
        <f>+L74</f>
        <v>30.205444719587298</v>
      </c>
      <c r="M181" s="409">
        <f>+SUM(E181:K181)</f>
        <v>954.80061663374022</v>
      </c>
      <c r="N181" s="20"/>
      <c r="P181" s="20"/>
      <c r="Q181" s="42"/>
      <c r="R181" s="20"/>
      <c r="S181" s="20"/>
      <c r="T181" s="20"/>
      <c r="U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  <c r="AM181" s="20"/>
      <c r="AN181" s="20"/>
      <c r="AO181" s="20"/>
      <c r="AP181" s="20"/>
      <c r="AQ181" s="20"/>
      <c r="AR181" s="20"/>
      <c r="AS181" s="20"/>
      <c r="AT181" s="20"/>
      <c r="AU181" s="20"/>
      <c r="AV181" s="20"/>
      <c r="AW181" s="20"/>
      <c r="AX181" s="20"/>
      <c r="AY181" s="20"/>
      <c r="AZ181" s="20"/>
      <c r="BA181" s="20"/>
      <c r="BB181" s="20"/>
      <c r="BC181" s="20"/>
      <c r="BD181" s="20"/>
      <c r="BE181" s="20"/>
      <c r="BF181" s="20"/>
      <c r="BG181" s="20"/>
      <c r="BH181" s="20"/>
      <c r="BI181" s="20"/>
      <c r="BJ181" s="20"/>
      <c r="BK181" s="20"/>
      <c r="BL181" s="20"/>
      <c r="BM181" s="20"/>
      <c r="BN181" s="20"/>
      <c r="BO181" s="20"/>
      <c r="BP181" s="20"/>
      <c r="BQ181" s="20"/>
      <c r="BR181" s="20"/>
      <c r="BS181" s="20"/>
      <c r="BT181" s="20"/>
      <c r="BU181" s="20"/>
      <c r="BV181" s="20"/>
      <c r="BW181" s="20"/>
      <c r="BX181" s="20"/>
      <c r="BY181" s="20"/>
      <c r="BZ181" s="20"/>
      <c r="CA181" s="20"/>
      <c r="CB181" s="20"/>
      <c r="CC181" s="20"/>
      <c r="CD181" s="20"/>
      <c r="CE181" s="20"/>
      <c r="CF181" s="20"/>
      <c r="CG181" s="20"/>
      <c r="CH181" s="20"/>
      <c r="CI181" s="20"/>
      <c r="CJ181" s="20"/>
      <c r="CK181" s="20"/>
      <c r="CL181" s="20"/>
      <c r="CM181" s="20"/>
      <c r="CN181" s="20"/>
      <c r="CO181" s="20"/>
      <c r="CP181" s="20"/>
      <c r="CQ181" s="20"/>
      <c r="CR181" s="20"/>
      <c r="CS181" s="20"/>
      <c r="CT181" s="20"/>
      <c r="CU181" s="20"/>
      <c r="CV181" s="20"/>
      <c r="CW181" s="20"/>
      <c r="CX181" s="20"/>
      <c r="CY181" s="20"/>
      <c r="CZ181" s="20"/>
      <c r="DA181" s="20"/>
      <c r="DB181" s="20"/>
      <c r="DC181" s="20"/>
      <c r="DD181" s="20"/>
      <c r="DE181" s="20"/>
      <c r="DF181" s="20"/>
      <c r="DG181" s="20"/>
      <c r="DH181" s="20"/>
      <c r="DI181" s="20"/>
      <c r="DJ181" s="20"/>
      <c r="DK181" s="20"/>
      <c r="DL181" s="20"/>
      <c r="DM181" s="20"/>
      <c r="DN181" s="20"/>
      <c r="DO181" s="20"/>
      <c r="DP181" s="20"/>
      <c r="DQ181" s="20"/>
      <c r="DR181" s="20"/>
      <c r="DS181" s="20"/>
      <c r="DT181" s="20"/>
      <c r="DU181" s="20"/>
      <c r="DV181" s="20"/>
      <c r="DW181" s="20"/>
      <c r="DX181" s="20"/>
      <c r="DY181" s="20"/>
      <c r="DZ181" s="20"/>
      <c r="EA181" s="20"/>
      <c r="EB181" s="20"/>
      <c r="EC181" s="20"/>
      <c r="ED181" s="20"/>
      <c r="EE181" s="20"/>
      <c r="EF181" s="20"/>
      <c r="EG181" s="20"/>
      <c r="EH181" s="20"/>
      <c r="EI181" s="20"/>
    </row>
    <row r="182" spans="1:139" ht="15.75" thickBot="1" x14ac:dyDescent="0.3">
      <c r="A182" s="20"/>
      <c r="B182" s="122" t="s">
        <v>325</v>
      </c>
      <c r="C182" s="123"/>
      <c r="D182" s="545"/>
      <c r="E182" s="279" t="e">
        <f>ABS(E180-E181)</f>
        <v>#VALUE!</v>
      </c>
      <c r="F182" s="53" t="e">
        <f t="shared" ref="F182:L182" si="122">ABS(F180-F181)</f>
        <v>#VALUE!</v>
      </c>
      <c r="G182" s="53" t="e">
        <f t="shared" si="122"/>
        <v>#VALUE!</v>
      </c>
      <c r="H182" s="53" t="e">
        <f t="shared" si="122"/>
        <v>#VALUE!</v>
      </c>
      <c r="I182" s="53">
        <f t="shared" si="122"/>
        <v>284.00918806415802</v>
      </c>
      <c r="J182" s="53">
        <f t="shared" si="122"/>
        <v>146.19372691901719</v>
      </c>
      <c r="K182" s="53">
        <f t="shared" si="122"/>
        <v>147.32445687104217</v>
      </c>
      <c r="L182" s="54" t="e">
        <f t="shared" si="122"/>
        <v>#VALUE!</v>
      </c>
      <c r="M182" s="618" t="e">
        <f>+SUM(E182:K182)</f>
        <v>#VALUE!</v>
      </c>
      <c r="N182" s="20"/>
      <c r="O182" s="20"/>
      <c r="P182" s="20"/>
      <c r="Q182" s="42"/>
      <c r="R182" s="20"/>
      <c r="S182" s="20"/>
      <c r="T182" s="20"/>
      <c r="U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  <c r="AM182" s="20"/>
      <c r="AN182" s="20"/>
      <c r="AO182" s="20"/>
      <c r="AP182" s="20"/>
      <c r="AQ182" s="20"/>
      <c r="AR182" s="20"/>
      <c r="AS182" s="20"/>
      <c r="AT182" s="20"/>
      <c r="AU182" s="20"/>
      <c r="AV182" s="20"/>
      <c r="AW182" s="20"/>
      <c r="AX182" s="20"/>
      <c r="AY182" s="20"/>
      <c r="AZ182" s="20"/>
      <c r="BA182" s="20"/>
      <c r="BB182" s="20"/>
      <c r="BC182" s="20"/>
      <c r="BD182" s="20"/>
      <c r="BE182" s="20"/>
      <c r="BF182" s="20"/>
      <c r="BG182" s="20"/>
      <c r="BH182" s="20"/>
      <c r="BI182" s="20"/>
      <c r="BJ182" s="20"/>
      <c r="BK182" s="20"/>
      <c r="BL182" s="20"/>
      <c r="BM182" s="20"/>
      <c r="BN182" s="20"/>
      <c r="BO182" s="20"/>
      <c r="BP182" s="20"/>
      <c r="BQ182" s="20"/>
      <c r="BR182" s="20"/>
      <c r="BS182" s="20"/>
      <c r="BT182" s="20"/>
      <c r="BU182" s="20"/>
      <c r="BV182" s="20"/>
      <c r="BW182" s="20"/>
      <c r="BX182" s="20"/>
      <c r="BY182" s="20"/>
      <c r="BZ182" s="20"/>
      <c r="CA182" s="20"/>
      <c r="CB182" s="20"/>
      <c r="CC182" s="20"/>
      <c r="CD182" s="20"/>
      <c r="CE182" s="20"/>
      <c r="CF182" s="20"/>
      <c r="CG182" s="20"/>
      <c r="CH182" s="20"/>
      <c r="CI182" s="20"/>
      <c r="CJ182" s="20"/>
      <c r="CK182" s="20"/>
      <c r="CL182" s="20"/>
      <c r="CM182" s="20"/>
      <c r="CN182" s="20"/>
      <c r="CO182" s="20"/>
      <c r="CP182" s="20"/>
      <c r="CQ182" s="20"/>
      <c r="CR182" s="20"/>
      <c r="CS182" s="20"/>
      <c r="CT182" s="20"/>
      <c r="CU182" s="20"/>
      <c r="CV182" s="20"/>
      <c r="CW182" s="20"/>
      <c r="CX182" s="20"/>
      <c r="CY182" s="20"/>
      <c r="CZ182" s="20"/>
      <c r="DA182" s="20"/>
      <c r="DB182" s="20"/>
      <c r="DC182" s="20"/>
      <c r="DD182" s="20"/>
      <c r="DE182" s="20"/>
      <c r="DF182" s="20"/>
      <c r="DG182" s="20"/>
      <c r="DH182" s="20"/>
      <c r="DI182" s="20"/>
      <c r="DJ182" s="20"/>
      <c r="DK182" s="20"/>
      <c r="DL182" s="20"/>
      <c r="DM182" s="20"/>
      <c r="DN182" s="20"/>
      <c r="DO182" s="20"/>
      <c r="DP182" s="20"/>
      <c r="DQ182" s="20"/>
      <c r="DR182" s="20"/>
      <c r="DS182" s="20"/>
      <c r="DT182" s="20"/>
      <c r="DU182" s="20"/>
      <c r="DV182" s="20"/>
      <c r="DW182" s="20"/>
      <c r="DX182" s="20"/>
      <c r="DY182" s="20"/>
      <c r="DZ182" s="20"/>
      <c r="EA182" s="20"/>
      <c r="EB182" s="20"/>
      <c r="EC182" s="20"/>
      <c r="ED182" s="20"/>
      <c r="EE182" s="20"/>
      <c r="EF182" s="20"/>
      <c r="EG182" s="20"/>
      <c r="EH182" s="20"/>
      <c r="EI182" s="20"/>
    </row>
    <row r="183" spans="1:139" ht="15.75" thickBot="1" x14ac:dyDescent="0.3">
      <c r="A183" s="20"/>
      <c r="B183" s="20"/>
      <c r="C183" s="20"/>
      <c r="D183" s="36"/>
      <c r="E183" s="20"/>
      <c r="F183" s="43"/>
      <c r="G183" s="20"/>
      <c r="H183" s="20"/>
      <c r="I183" s="20"/>
      <c r="J183" s="43"/>
      <c r="K183" s="20"/>
      <c r="L183" s="20">
        <v>6</v>
      </c>
      <c r="M183" s="20"/>
      <c r="N183" s="20"/>
      <c r="O183" s="20"/>
      <c r="P183" s="20"/>
      <c r="Q183" s="42"/>
      <c r="R183" s="20"/>
      <c r="S183" s="20"/>
      <c r="T183" s="20"/>
      <c r="U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  <c r="AM183" s="20"/>
      <c r="AN183" s="20"/>
      <c r="AO183" s="20"/>
      <c r="AP183" s="20"/>
      <c r="AQ183" s="20"/>
      <c r="AR183" s="20"/>
      <c r="AS183" s="20"/>
      <c r="AT183" s="20"/>
      <c r="AU183" s="20"/>
      <c r="AV183" s="20"/>
      <c r="AW183" s="20"/>
      <c r="AX183" s="20"/>
      <c r="AY183" s="20"/>
      <c r="AZ183" s="20"/>
      <c r="BA183" s="20"/>
      <c r="BB183" s="20"/>
      <c r="BC183" s="20"/>
      <c r="BD183" s="20"/>
      <c r="BE183" s="20"/>
      <c r="BF183" s="20"/>
      <c r="BG183" s="20"/>
      <c r="BH183" s="20"/>
      <c r="BI183" s="20"/>
      <c r="BJ183" s="20"/>
      <c r="BK183" s="20"/>
      <c r="BL183" s="20"/>
      <c r="BM183" s="20"/>
      <c r="BN183" s="20"/>
      <c r="BO183" s="20"/>
      <c r="BP183" s="20"/>
      <c r="BQ183" s="20"/>
      <c r="BR183" s="20"/>
      <c r="BS183" s="20"/>
      <c r="BT183" s="20"/>
      <c r="BU183" s="20"/>
      <c r="BV183" s="20"/>
      <c r="BW183" s="20"/>
      <c r="BX183" s="20"/>
      <c r="BY183" s="20"/>
      <c r="BZ183" s="20"/>
      <c r="CA183" s="20"/>
      <c r="CB183" s="20"/>
      <c r="CC183" s="20"/>
      <c r="CD183" s="20"/>
      <c r="CE183" s="20"/>
      <c r="CF183" s="20"/>
      <c r="CG183" s="20"/>
      <c r="CH183" s="20"/>
      <c r="CI183" s="20"/>
      <c r="CJ183" s="20"/>
      <c r="CK183" s="20"/>
      <c r="CL183" s="20"/>
      <c r="CM183" s="20"/>
      <c r="CN183" s="20"/>
      <c r="CO183" s="20"/>
      <c r="CP183" s="20"/>
      <c r="CQ183" s="20"/>
      <c r="CR183" s="20"/>
      <c r="CS183" s="20"/>
      <c r="CT183" s="20"/>
      <c r="CU183" s="20"/>
      <c r="CV183" s="20"/>
      <c r="CW183" s="20"/>
      <c r="CX183" s="20"/>
      <c r="CY183" s="20"/>
      <c r="CZ183" s="20"/>
      <c r="DA183" s="20"/>
      <c r="DB183" s="20"/>
      <c r="DC183" s="20"/>
      <c r="DD183" s="20"/>
      <c r="DE183" s="20"/>
      <c r="DF183" s="20"/>
      <c r="DG183" s="20"/>
      <c r="DH183" s="20"/>
      <c r="DI183" s="20"/>
      <c r="DJ183" s="20"/>
      <c r="DK183" s="20"/>
      <c r="DL183" s="20"/>
      <c r="DM183" s="20"/>
      <c r="DN183" s="20"/>
      <c r="DO183" s="20"/>
      <c r="DP183" s="20"/>
      <c r="DQ183" s="20"/>
      <c r="DR183" s="20"/>
      <c r="DS183" s="20"/>
      <c r="DT183" s="20"/>
      <c r="DU183" s="20"/>
      <c r="DV183" s="20"/>
      <c r="DW183" s="20"/>
      <c r="DX183" s="20"/>
      <c r="DY183" s="20"/>
      <c r="DZ183" s="20"/>
      <c r="EA183" s="20"/>
      <c r="EB183" s="20"/>
      <c r="EC183" s="20"/>
      <c r="ED183" s="20"/>
      <c r="EE183" s="20"/>
      <c r="EF183" s="20"/>
      <c r="EG183" s="20"/>
      <c r="EH183" s="20"/>
      <c r="EI183" s="20"/>
    </row>
    <row r="184" spans="1:139" s="243" customFormat="1" ht="15.75" thickBot="1" x14ac:dyDescent="0.3">
      <c r="A184" s="817" t="s">
        <v>326</v>
      </c>
      <c r="B184" s="818"/>
      <c r="C184" s="818"/>
      <c r="D184" s="818"/>
      <c r="E184" s="818"/>
      <c r="F184" s="818"/>
      <c r="G184" s="818"/>
      <c r="H184" s="818"/>
      <c r="I184" s="818"/>
      <c r="J184" s="818"/>
      <c r="K184" s="818"/>
      <c r="L184" s="818"/>
      <c r="M184" s="818"/>
      <c r="N184" s="818"/>
      <c r="O184" s="818"/>
      <c r="P184" s="818"/>
      <c r="Q184" s="818"/>
      <c r="R184" s="818"/>
      <c r="S184" s="818"/>
      <c r="T184" s="818"/>
      <c r="U184" s="819"/>
      <c r="V184" s="830"/>
    </row>
    <row r="185" spans="1:139" ht="15.75" thickBot="1" x14ac:dyDescent="0.3">
      <c r="A185" s="20"/>
      <c r="B185" s="20"/>
      <c r="C185" s="20"/>
      <c r="D185" s="36"/>
      <c r="E185" s="20"/>
      <c r="F185" s="43"/>
      <c r="G185" s="20"/>
      <c r="H185" s="20"/>
      <c r="I185" s="20"/>
      <c r="J185" s="43"/>
      <c r="K185" s="20"/>
      <c r="L185" s="20"/>
      <c r="M185" s="20"/>
      <c r="N185" s="20"/>
      <c r="O185" s="20"/>
      <c r="P185" s="20"/>
      <c r="R185" s="20"/>
      <c r="S185" s="20"/>
      <c r="T185" s="20"/>
      <c r="U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  <c r="AM185" s="20"/>
      <c r="AN185" s="20"/>
      <c r="AO185" s="20"/>
      <c r="AP185" s="20"/>
      <c r="AQ185" s="20"/>
      <c r="AR185" s="20"/>
      <c r="AS185" s="20"/>
      <c r="AT185" s="20"/>
      <c r="AU185" s="20"/>
      <c r="AV185" s="20"/>
      <c r="AW185" s="20"/>
      <c r="AX185" s="20"/>
      <c r="AY185" s="20"/>
      <c r="AZ185" s="20"/>
      <c r="BA185" s="20"/>
      <c r="BB185" s="20"/>
      <c r="BC185" s="20"/>
      <c r="BD185" s="20"/>
    </row>
    <row r="186" spans="1:139" ht="15.75" thickBot="1" x14ac:dyDescent="0.3">
      <c r="A186" s="820" t="s">
        <v>327</v>
      </c>
      <c r="B186" s="821"/>
      <c r="C186" s="821"/>
      <c r="D186" s="821"/>
      <c r="E186" s="821"/>
      <c r="F186" s="821"/>
      <c r="G186" s="821"/>
      <c r="H186" s="821"/>
      <c r="I186" s="821"/>
      <c r="J186" s="821"/>
      <c r="K186" s="821"/>
      <c r="L186" s="821"/>
      <c r="M186" s="821"/>
      <c r="N186" s="821"/>
      <c r="O186" s="821"/>
      <c r="P186" s="821"/>
      <c r="Q186" s="821"/>
      <c r="R186" s="821"/>
      <c r="S186" s="821"/>
      <c r="T186" s="821"/>
      <c r="U186" s="822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  <c r="AM186" s="20"/>
      <c r="AN186" s="20"/>
      <c r="AO186" s="20"/>
      <c r="AP186" s="20"/>
      <c r="AQ186" s="20"/>
      <c r="AR186" s="20"/>
      <c r="AS186" s="20"/>
      <c r="AT186" s="20"/>
      <c r="AU186" s="20"/>
      <c r="AV186" s="20"/>
      <c r="AW186" s="20"/>
      <c r="AX186" s="20"/>
      <c r="AY186" s="20"/>
      <c r="AZ186" s="20"/>
      <c r="BA186" s="20"/>
      <c r="BB186" s="20"/>
      <c r="BC186" s="20"/>
      <c r="BD186" s="20"/>
    </row>
    <row r="187" spans="1:139" ht="15.75" thickBot="1" x14ac:dyDescent="0.3">
      <c r="A187" s="20"/>
      <c r="B187" s="20"/>
      <c r="C187" s="20"/>
      <c r="D187" s="36"/>
      <c r="E187" s="20"/>
      <c r="F187" s="43"/>
      <c r="G187" s="20"/>
      <c r="H187" s="20"/>
      <c r="I187" s="20"/>
      <c r="J187" s="43"/>
      <c r="K187" s="20"/>
      <c r="L187" s="20"/>
      <c r="M187" s="20"/>
      <c r="N187" s="20"/>
      <c r="O187" s="20"/>
      <c r="P187" s="20"/>
      <c r="Q187" s="42"/>
      <c r="R187" s="20"/>
      <c r="S187" s="20"/>
      <c r="T187" s="20"/>
      <c r="U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  <c r="AM187" s="20"/>
      <c r="AN187" s="20"/>
      <c r="AO187" s="20"/>
      <c r="AP187" s="20"/>
      <c r="AQ187" s="20"/>
      <c r="AR187" s="20"/>
      <c r="AS187" s="20"/>
      <c r="AT187" s="20"/>
      <c r="AU187" s="20"/>
      <c r="AV187" s="20"/>
      <c r="AW187" s="20"/>
      <c r="AX187" s="20"/>
      <c r="AY187" s="20"/>
      <c r="AZ187" s="20"/>
      <c r="BA187" s="20"/>
      <c r="BB187" s="20"/>
      <c r="BC187" s="20"/>
      <c r="BD187" s="20"/>
    </row>
    <row r="188" spans="1:139" ht="15.75" thickBot="1" x14ac:dyDescent="0.3">
      <c r="A188" s="20"/>
      <c r="B188" s="46" t="s">
        <v>225</v>
      </c>
      <c r="C188" s="47" t="s">
        <v>226</v>
      </c>
      <c r="D188" s="272" t="s">
        <v>28</v>
      </c>
      <c r="E188" s="73">
        <f>+E149</f>
        <v>2.1160000000000001</v>
      </c>
      <c r="F188" s="165">
        <f t="shared" ref="F188:H188" si="123">+F149</f>
        <v>1.583</v>
      </c>
      <c r="G188" s="73">
        <f t="shared" si="123"/>
        <v>0.57699999999999996</v>
      </c>
      <c r="H188" s="73">
        <f t="shared" si="123"/>
        <v>0.57699999999999996</v>
      </c>
      <c r="I188" s="73">
        <f t="shared" ref="I188" si="124">+I149</f>
        <v>15.8147</v>
      </c>
      <c r="J188" s="73">
        <f>+J149</f>
        <v>7.6449999999999996</v>
      </c>
      <c r="K188" s="73">
        <f>+K149</f>
        <v>7.6449999999999996</v>
      </c>
      <c r="L188" s="74">
        <f>+L149</f>
        <v>3.89</v>
      </c>
      <c r="M188" s="20"/>
      <c r="N188" s="20"/>
      <c r="O188" s="20"/>
      <c r="P188" s="20"/>
      <c r="Q188" s="42"/>
      <c r="R188" s="20"/>
      <c r="S188" s="20"/>
      <c r="T188" s="20"/>
      <c r="U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  <c r="AM188" s="20"/>
      <c r="AN188" s="20"/>
      <c r="AO188" s="20"/>
      <c r="AP188" s="20"/>
      <c r="AQ188" s="20"/>
      <c r="AR188" s="20"/>
      <c r="AS188" s="20"/>
      <c r="AT188" s="20"/>
      <c r="AU188" s="20"/>
      <c r="AV188" s="20"/>
      <c r="AW188" s="20"/>
      <c r="AX188" s="20"/>
      <c r="AY188" s="20"/>
      <c r="AZ188" s="20"/>
      <c r="BA188" s="20"/>
      <c r="BB188" s="20"/>
      <c r="BC188" s="20"/>
      <c r="BD188" s="20"/>
    </row>
    <row r="189" spans="1:139" x14ac:dyDescent="0.25">
      <c r="A189" s="20"/>
      <c r="B189" s="48" t="s">
        <v>319</v>
      </c>
      <c r="C189" s="49" t="s">
        <v>320</v>
      </c>
      <c r="D189" s="273" t="s">
        <v>133</v>
      </c>
      <c r="E189" s="75" t="e">
        <f>+E79</f>
        <v>#VALUE!</v>
      </c>
      <c r="F189" s="162" t="e">
        <f t="shared" ref="F189:H189" si="125">+F79</f>
        <v>#VALUE!</v>
      </c>
      <c r="G189" s="75" t="e">
        <f t="shared" si="125"/>
        <v>#VALUE!</v>
      </c>
      <c r="H189" s="75" t="e">
        <f t="shared" si="125"/>
        <v>#VALUE!</v>
      </c>
      <c r="I189" s="75">
        <f t="shared" ref="I189" si="126">+I79</f>
        <v>168.72528494902639</v>
      </c>
      <c r="J189" s="75">
        <f>+J79</f>
        <v>97.668366888243597</v>
      </c>
      <c r="K189" s="75">
        <f>+K79</f>
        <v>97.029201756322735</v>
      </c>
      <c r="L189" s="76">
        <f>+L79</f>
        <v>726.56299079550786</v>
      </c>
      <c r="M189" s="20"/>
      <c r="N189" s="20"/>
      <c r="O189" s="20"/>
      <c r="P189" s="20"/>
      <c r="Q189" s="42"/>
      <c r="R189" s="20"/>
      <c r="S189" s="20"/>
      <c r="T189" s="20"/>
      <c r="U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  <c r="AM189" s="20"/>
      <c r="AN189" s="20"/>
      <c r="AO189" s="20"/>
      <c r="AP189" s="20"/>
      <c r="AQ189" s="20"/>
      <c r="AR189" s="20"/>
      <c r="AS189" s="20"/>
      <c r="AT189" s="20"/>
      <c r="AU189" s="20"/>
      <c r="AV189" s="20"/>
      <c r="AW189" s="20"/>
      <c r="AX189" s="20"/>
      <c r="AY189" s="20"/>
      <c r="AZ189" s="20"/>
      <c r="BA189" s="20"/>
      <c r="BB189" s="20"/>
      <c r="BC189" s="20"/>
      <c r="BD189" s="20"/>
    </row>
    <row r="190" spans="1:139" ht="15.75" thickBot="1" x14ac:dyDescent="0.3">
      <c r="A190" s="20"/>
      <c r="B190" s="51" t="s">
        <v>314</v>
      </c>
      <c r="C190" s="52" t="s">
        <v>315</v>
      </c>
      <c r="D190" s="276" t="s">
        <v>190</v>
      </c>
      <c r="E190" s="53" t="e">
        <f>+E180</f>
        <v>#VALUE!</v>
      </c>
      <c r="F190" s="164" t="e">
        <f t="shared" ref="F190:H190" si="127">+F180</f>
        <v>#VALUE!</v>
      </c>
      <c r="G190" s="53" t="e">
        <f t="shared" si="127"/>
        <v>#VALUE!</v>
      </c>
      <c r="H190" s="53" t="e">
        <f t="shared" si="127"/>
        <v>#VALUE!</v>
      </c>
      <c r="I190" s="53">
        <f t="shared" ref="I190" si="128">+I180</f>
        <v>82.097460209683263</v>
      </c>
      <c r="J190" s="53">
        <f>+J180</f>
        <v>54.593535418393273</v>
      </c>
      <c r="K190" s="53">
        <f>+K180</f>
        <v>23.297521181863207</v>
      </c>
      <c r="L190" s="54" t="e">
        <f>+L180</f>
        <v>#VALUE!</v>
      </c>
      <c r="M190" s="20"/>
      <c r="N190" s="20"/>
      <c r="O190" s="20"/>
      <c r="P190" s="20"/>
      <c r="Q190" s="42"/>
      <c r="R190" s="20"/>
      <c r="S190" s="20"/>
      <c r="T190" s="20"/>
      <c r="U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  <c r="AM190" s="20"/>
      <c r="AN190" s="20"/>
      <c r="AO190" s="20"/>
      <c r="AP190" s="20"/>
      <c r="AQ190" s="20"/>
      <c r="AR190" s="20"/>
      <c r="AS190" s="20"/>
      <c r="AT190" s="20"/>
      <c r="AU190" s="20"/>
      <c r="AV190" s="20"/>
      <c r="AW190" s="20"/>
      <c r="AX190" s="20"/>
      <c r="AY190" s="20"/>
      <c r="AZ190" s="20"/>
      <c r="BA190" s="20"/>
      <c r="BB190" s="20"/>
      <c r="BC190" s="20"/>
      <c r="BD190" s="20"/>
    </row>
    <row r="191" spans="1:139" x14ac:dyDescent="0.25">
      <c r="A191" s="20"/>
      <c r="B191" s="77" t="s">
        <v>301</v>
      </c>
      <c r="C191" s="50" t="s">
        <v>310</v>
      </c>
      <c r="D191" s="273" t="s">
        <v>133</v>
      </c>
      <c r="E191" s="75">
        <f t="shared" ref="E191:L191" si="129">+E119</f>
        <v>872.45582991620449</v>
      </c>
      <c r="F191" s="162">
        <f t="shared" si="129"/>
        <v>819.12550699059909</v>
      </c>
      <c r="G191" s="75">
        <f t="shared" si="129"/>
        <v>797.74000228353043</v>
      </c>
      <c r="H191" s="75">
        <f t="shared" si="129"/>
        <v>776.07027153089666</v>
      </c>
      <c r="I191" s="75">
        <f t="shared" si="129"/>
        <v>505.18000223363674</v>
      </c>
      <c r="J191" s="75">
        <f t="shared" si="129"/>
        <v>339.07460872652962</v>
      </c>
      <c r="K191" s="75">
        <f t="shared" si="129"/>
        <v>190.90281392354049</v>
      </c>
      <c r="L191" s="76">
        <f t="shared" si="129"/>
        <v>155.99311213913754</v>
      </c>
      <c r="M191" s="20"/>
      <c r="N191" s="20"/>
      <c r="O191" s="20"/>
      <c r="P191" s="20"/>
      <c r="Q191" s="42"/>
      <c r="R191" s="20"/>
      <c r="S191" s="20"/>
      <c r="T191" s="20"/>
      <c r="U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  <c r="AM191" s="20"/>
      <c r="AN191" s="20"/>
      <c r="AO191" s="20"/>
      <c r="AP191" s="20"/>
      <c r="AQ191" s="20"/>
      <c r="AR191" s="20"/>
      <c r="AS191" s="20"/>
      <c r="AT191" s="20"/>
      <c r="AU191" s="20"/>
      <c r="AV191" s="20"/>
      <c r="AW191" s="20"/>
      <c r="AX191" s="20"/>
      <c r="AY191" s="20"/>
      <c r="AZ191" s="20"/>
      <c r="BA191" s="20"/>
      <c r="BB191" s="20"/>
      <c r="BC191" s="20"/>
      <c r="BD191" s="20"/>
    </row>
    <row r="192" spans="1:139" x14ac:dyDescent="0.25">
      <c r="A192" s="20"/>
      <c r="B192" s="55" t="s">
        <v>229</v>
      </c>
      <c r="C192" s="56" t="s">
        <v>230</v>
      </c>
      <c r="D192" s="274" t="s">
        <v>19</v>
      </c>
      <c r="E192" s="57" t="e">
        <f t="shared" ref="E192:L192" si="130">+E152</f>
        <v>#VALUE!</v>
      </c>
      <c r="F192" s="163" t="e">
        <f t="shared" si="130"/>
        <v>#VALUE!</v>
      </c>
      <c r="G192" s="57" t="e">
        <f t="shared" si="130"/>
        <v>#VALUE!</v>
      </c>
      <c r="H192" s="57" t="e">
        <f t="shared" si="130"/>
        <v>#VALUE!</v>
      </c>
      <c r="I192" s="57">
        <f t="shared" si="130"/>
        <v>57.795591184407463</v>
      </c>
      <c r="J192" s="57">
        <f t="shared" si="130"/>
        <v>33.998870863299452</v>
      </c>
      <c r="K192" s="57">
        <f t="shared" si="130"/>
        <v>20.674575878079533</v>
      </c>
      <c r="L192" s="58" t="e">
        <f t="shared" si="130"/>
        <v>#VALUE!</v>
      </c>
      <c r="M192" s="20"/>
      <c r="N192" s="20"/>
      <c r="O192" s="20"/>
      <c r="P192" s="20"/>
      <c r="Q192" s="42"/>
      <c r="R192" s="20"/>
      <c r="S192" s="20"/>
      <c r="T192" s="20"/>
      <c r="U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  <c r="AM192" s="20"/>
      <c r="AN192" s="20"/>
      <c r="AO192" s="20"/>
      <c r="AP192" s="20"/>
      <c r="AQ192" s="20"/>
      <c r="AR192" s="20"/>
      <c r="AS192" s="20"/>
      <c r="AT192" s="20"/>
      <c r="AU192" s="20"/>
      <c r="AV192" s="20"/>
      <c r="AW192" s="20"/>
      <c r="AX192" s="20"/>
      <c r="AY192" s="20"/>
      <c r="AZ192" s="20"/>
      <c r="BA192" s="20"/>
      <c r="BB192" s="20"/>
      <c r="BC192" s="20"/>
      <c r="BD192" s="20"/>
    </row>
    <row r="193" spans="1:56" x14ac:dyDescent="0.25">
      <c r="A193" s="20"/>
      <c r="B193" s="55" t="s">
        <v>328</v>
      </c>
      <c r="C193" s="56" t="s">
        <v>264</v>
      </c>
      <c r="D193" s="274" t="s">
        <v>19</v>
      </c>
      <c r="E193" s="57" t="e">
        <f>+E178</f>
        <v>#VALUE!</v>
      </c>
      <c r="F193" s="163" t="e">
        <f t="shared" ref="F193:H193" si="131">+F178</f>
        <v>#VALUE!</v>
      </c>
      <c r="G193" s="57" t="e">
        <f t="shared" si="131"/>
        <v>#VALUE!</v>
      </c>
      <c r="H193" s="57" t="e">
        <f t="shared" si="131"/>
        <v>#VALUE!</v>
      </c>
      <c r="I193" s="57">
        <f t="shared" ref="I193" si="132">+I178</f>
        <v>24.301869025275799</v>
      </c>
      <c r="J193" s="57">
        <f>+J178</f>
        <v>20.594664555093821</v>
      </c>
      <c r="K193" s="57">
        <f>+K178</f>
        <v>2.6229453037836734</v>
      </c>
      <c r="L193" s="58" t="e">
        <f>+L178</f>
        <v>#VALUE!</v>
      </c>
      <c r="M193" s="20"/>
      <c r="N193" s="20"/>
      <c r="O193" s="20"/>
      <c r="P193" s="20"/>
      <c r="Q193" s="42"/>
      <c r="R193" s="20"/>
      <c r="S193" s="20"/>
      <c r="T193" s="20"/>
      <c r="U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  <c r="AM193" s="20"/>
      <c r="AN193" s="20"/>
      <c r="AO193" s="20"/>
      <c r="AP193" s="20"/>
      <c r="AQ193" s="20"/>
      <c r="AR193" s="20"/>
      <c r="AS193" s="20"/>
      <c r="AT193" s="20"/>
      <c r="AU193" s="20"/>
      <c r="AV193" s="20"/>
      <c r="AW193" s="20"/>
      <c r="AX193" s="20"/>
      <c r="AY193" s="20"/>
      <c r="AZ193" s="20"/>
      <c r="BA193" s="20"/>
      <c r="BB193" s="20"/>
      <c r="BC193" s="20"/>
      <c r="BD193" s="20"/>
    </row>
    <row r="194" spans="1:56" x14ac:dyDescent="0.25">
      <c r="A194" s="20"/>
      <c r="B194" s="78" t="s">
        <v>304</v>
      </c>
      <c r="C194" s="59" t="s">
        <v>308</v>
      </c>
      <c r="D194" s="275" t="s">
        <v>190</v>
      </c>
      <c r="E194" s="57">
        <f t="shared" ref="E194:L194" si="133">+E117</f>
        <v>1143.5235294950041</v>
      </c>
      <c r="F194" s="163">
        <f t="shared" si="133"/>
        <v>1064.8049011952273</v>
      </c>
      <c r="G194" s="57">
        <f t="shared" si="133"/>
        <v>1033.4526579978565</v>
      </c>
      <c r="H194" s="57">
        <f t="shared" si="133"/>
        <v>1001.8118741150361</v>
      </c>
      <c r="I194" s="57">
        <f t="shared" si="133"/>
        <v>618.33942107097039</v>
      </c>
      <c r="J194" s="57">
        <f t="shared" si="133"/>
        <v>395.77977169845218</v>
      </c>
      <c r="K194" s="57">
        <f t="shared" si="133"/>
        <v>205.3777971277259</v>
      </c>
      <c r="L194" s="58">
        <f t="shared" si="133"/>
        <v>161.53700734244811</v>
      </c>
      <c r="M194" s="20"/>
      <c r="N194" s="20"/>
      <c r="O194" s="20"/>
      <c r="P194" s="20"/>
      <c r="Q194" s="42"/>
      <c r="R194" s="20"/>
      <c r="S194" s="20"/>
      <c r="T194" s="20"/>
      <c r="U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  <c r="AM194" s="20"/>
      <c r="AN194" s="20"/>
      <c r="AO194" s="20"/>
      <c r="AP194" s="20"/>
      <c r="AQ194" s="20"/>
      <c r="AR194" s="20"/>
      <c r="AS194" s="20"/>
      <c r="AT194" s="20"/>
      <c r="AU194" s="20"/>
      <c r="AV194" s="20"/>
      <c r="AW194" s="20"/>
      <c r="AX194" s="20"/>
      <c r="AY194" s="20"/>
      <c r="AZ194" s="20"/>
      <c r="BA194" s="20"/>
      <c r="BB194" s="20"/>
      <c r="BC194" s="20"/>
      <c r="BD194" s="20"/>
    </row>
    <row r="195" spans="1:56" x14ac:dyDescent="0.25">
      <c r="A195" s="20"/>
      <c r="B195" s="78" t="s">
        <v>339</v>
      </c>
      <c r="C195" s="59" t="s">
        <v>340</v>
      </c>
      <c r="D195" s="275" t="s">
        <v>38</v>
      </c>
      <c r="E195" s="57" t="e">
        <f>+E78-F78</f>
        <v>#VALUE!</v>
      </c>
      <c r="F195" s="163" t="e">
        <f>+F78-D3</f>
        <v>#VALUE!</v>
      </c>
      <c r="G195" s="57" t="e">
        <f>+G78-F78</f>
        <v>#VALUE!</v>
      </c>
      <c r="H195" s="57" t="e">
        <f>+H78-G78</f>
        <v>#VALUE!</v>
      </c>
      <c r="I195" s="57" t="e">
        <f>+I78-H78</f>
        <v>#VALUE!</v>
      </c>
      <c r="J195" s="57">
        <f>+AG65</f>
        <v>0</v>
      </c>
      <c r="K195" s="57">
        <f>+K68</f>
        <v>7.6449999999999996</v>
      </c>
      <c r="L195" s="58">
        <f>+L68</f>
        <v>3.89</v>
      </c>
      <c r="M195" s="20"/>
      <c r="N195" s="20"/>
      <c r="O195" s="20"/>
      <c r="P195" s="20"/>
      <c r="Q195" s="42"/>
      <c r="R195" s="20"/>
      <c r="S195" s="20"/>
      <c r="T195" s="20"/>
      <c r="U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  <c r="AM195" s="20"/>
      <c r="AN195" s="20"/>
      <c r="AO195" s="20"/>
      <c r="AP195" s="20"/>
      <c r="AQ195" s="20"/>
      <c r="AR195" s="20"/>
      <c r="AS195" s="20"/>
      <c r="AT195" s="20"/>
      <c r="AU195" s="20"/>
      <c r="AV195" s="20"/>
      <c r="AW195" s="20"/>
      <c r="AX195" s="20"/>
      <c r="AY195" s="20"/>
      <c r="AZ195" s="20"/>
      <c r="BA195" s="20"/>
      <c r="BB195" s="20"/>
      <c r="BC195" s="20"/>
      <c r="BD195" s="20"/>
    </row>
    <row r="196" spans="1:56" ht="15.75" thickBot="1" x14ac:dyDescent="0.3">
      <c r="A196" s="20"/>
      <c r="B196" s="51" t="s">
        <v>281</v>
      </c>
      <c r="C196" s="52" t="s">
        <v>282</v>
      </c>
      <c r="D196" s="276" t="s">
        <v>133</v>
      </c>
      <c r="E196" s="53" t="e">
        <f>+E88</f>
        <v>#VALUE!</v>
      </c>
      <c r="F196" s="53" t="e">
        <f t="shared" ref="F196:H196" si="134">+F88</f>
        <v>#VALUE!</v>
      </c>
      <c r="G196" s="53" t="e">
        <f t="shared" si="134"/>
        <v>#VALUE!</v>
      </c>
      <c r="H196" s="53" t="e">
        <f t="shared" si="134"/>
        <v>#VALUE!</v>
      </c>
      <c r="I196" s="53">
        <f t="shared" ref="I196" si="135">+I88</f>
        <v>380.51306097013406</v>
      </c>
      <c r="J196" s="53">
        <f>+J88</f>
        <v>104.84517691713769</v>
      </c>
      <c r="K196" s="53">
        <f>+K88</f>
        <v>100.02480936147813</v>
      </c>
      <c r="L196" s="54" t="e">
        <f>+L88</f>
        <v>#VALUE!</v>
      </c>
      <c r="M196" s="20"/>
      <c r="N196" s="20"/>
      <c r="O196" s="20"/>
      <c r="P196" s="20"/>
      <c r="Q196" s="42"/>
      <c r="R196" s="20"/>
      <c r="S196" s="20"/>
      <c r="T196" s="20"/>
      <c r="U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  <c r="AM196" s="20"/>
      <c r="AN196" s="20"/>
      <c r="AO196" s="20"/>
      <c r="AP196" s="20"/>
      <c r="AQ196" s="20"/>
      <c r="AR196" s="20"/>
      <c r="AS196" s="20"/>
      <c r="AT196" s="20"/>
      <c r="AU196" s="20"/>
      <c r="AV196" s="20"/>
      <c r="AW196" s="20"/>
      <c r="AX196" s="20"/>
      <c r="AY196" s="20"/>
      <c r="AZ196" s="20"/>
      <c r="BA196" s="20"/>
      <c r="BB196" s="20"/>
      <c r="BC196" s="20"/>
      <c r="BD196" s="20"/>
    </row>
    <row r="197" spans="1:56" ht="15.75" thickBot="1" x14ac:dyDescent="0.3">
      <c r="A197" s="20"/>
      <c r="B197" s="20"/>
      <c r="C197" s="20"/>
      <c r="D197" s="36"/>
      <c r="E197" s="20"/>
      <c r="F197" s="43"/>
      <c r="G197" s="20"/>
      <c r="H197" s="20"/>
      <c r="I197" s="20"/>
      <c r="J197" s="43"/>
      <c r="K197" s="20"/>
      <c r="L197" s="20"/>
      <c r="M197" s="20"/>
      <c r="N197" s="20"/>
      <c r="O197" s="20"/>
      <c r="P197" s="20"/>
      <c r="Q197" s="42"/>
      <c r="R197" s="20"/>
      <c r="S197" s="20"/>
      <c r="T197" s="20"/>
      <c r="U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  <c r="AM197" s="20"/>
      <c r="AN197" s="20"/>
      <c r="AO197" s="20"/>
      <c r="AP197" s="20"/>
      <c r="AQ197" s="20"/>
      <c r="AR197" s="20"/>
      <c r="AS197" s="20"/>
      <c r="AT197" s="20"/>
      <c r="AU197" s="20"/>
      <c r="AV197" s="20"/>
      <c r="AW197" s="20"/>
      <c r="AX197" s="20"/>
      <c r="AY197" s="20"/>
      <c r="AZ197" s="20"/>
      <c r="BA197" s="20"/>
      <c r="BB197" s="20"/>
      <c r="BC197" s="20"/>
      <c r="BD197" s="20"/>
    </row>
    <row r="198" spans="1:56" x14ac:dyDescent="0.25">
      <c r="A198" s="20"/>
      <c r="B198" s="60" t="s">
        <v>2</v>
      </c>
      <c r="C198" s="61" t="s">
        <v>3</v>
      </c>
      <c r="D198" s="61">
        <f>+D3</f>
        <v>149.83297644539613</v>
      </c>
      <c r="E198" s="62" t="s">
        <v>4</v>
      </c>
      <c r="F198" s="43"/>
      <c r="G198" s="20"/>
      <c r="H198" s="20"/>
      <c r="I198" s="20"/>
      <c r="J198" s="43"/>
      <c r="K198" s="20"/>
      <c r="L198" s="20"/>
      <c r="M198" s="20"/>
      <c r="N198" s="20"/>
      <c r="O198" s="20"/>
      <c r="P198" s="20"/>
      <c r="Q198" s="42"/>
      <c r="R198" s="20"/>
      <c r="S198" s="20"/>
      <c r="T198" s="20"/>
      <c r="U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  <c r="AM198" s="20"/>
      <c r="AN198" s="20"/>
      <c r="AO198" s="20"/>
      <c r="AP198" s="20"/>
      <c r="AQ198" s="20"/>
      <c r="AR198" s="20"/>
      <c r="AS198" s="20"/>
      <c r="AT198" s="20"/>
      <c r="AU198" s="20"/>
      <c r="AV198" s="20"/>
      <c r="AW198" s="20"/>
      <c r="AX198" s="20"/>
      <c r="AY198" s="20"/>
      <c r="AZ198" s="20"/>
      <c r="BA198" s="20"/>
      <c r="BB198" s="20"/>
      <c r="BC198" s="20"/>
      <c r="BD198" s="20"/>
    </row>
    <row r="199" spans="1:56" x14ac:dyDescent="0.25">
      <c r="A199" s="20"/>
      <c r="B199" s="63" t="s">
        <v>75</v>
      </c>
      <c r="C199" s="56" t="s">
        <v>76</v>
      </c>
      <c r="D199" s="56">
        <f>3.33635271598995*D198</f>
        <v>499.89565790845563</v>
      </c>
      <c r="E199" s="64" t="s">
        <v>4</v>
      </c>
      <c r="F199" s="43"/>
      <c r="G199" s="20"/>
      <c r="H199" s="20"/>
      <c r="I199" s="20"/>
      <c r="J199" s="43"/>
      <c r="K199" s="20"/>
      <c r="L199" s="20"/>
      <c r="M199" s="20"/>
      <c r="N199" s="20"/>
      <c r="O199" s="20"/>
      <c r="P199" s="20"/>
      <c r="Q199" s="42"/>
      <c r="R199" s="20"/>
      <c r="S199" s="20"/>
      <c r="T199" s="20"/>
      <c r="U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  <c r="AM199" s="20"/>
      <c r="AN199" s="20"/>
      <c r="AO199" s="20"/>
      <c r="AP199" s="20"/>
      <c r="AQ199" s="20"/>
      <c r="AR199" s="20"/>
      <c r="AS199" s="20"/>
      <c r="AT199" s="20"/>
      <c r="AU199" s="20"/>
      <c r="AV199" s="20"/>
      <c r="AW199" s="20"/>
      <c r="AX199" s="20"/>
      <c r="AY199" s="20"/>
      <c r="AZ199" s="20"/>
      <c r="BA199" s="20"/>
      <c r="BB199" s="20"/>
      <c r="BC199" s="20"/>
      <c r="BD199" s="20"/>
    </row>
    <row r="200" spans="1:56" x14ac:dyDescent="0.25">
      <c r="A200" s="20"/>
      <c r="B200" s="65" t="s">
        <v>146</v>
      </c>
      <c r="C200" s="66"/>
      <c r="D200" s="67">
        <f>+D14</f>
        <v>0.52</v>
      </c>
      <c r="E200" s="68" t="s">
        <v>6</v>
      </c>
      <c r="F200" s="43"/>
      <c r="G200" s="20"/>
      <c r="H200" s="20"/>
      <c r="I200" s="20"/>
      <c r="J200" s="43"/>
      <c r="K200" s="20"/>
      <c r="L200" s="20"/>
      <c r="M200" s="20"/>
      <c r="N200" s="20"/>
      <c r="O200" s="20"/>
      <c r="P200" s="20"/>
      <c r="Q200" s="42"/>
      <c r="R200" s="20"/>
      <c r="S200" s="20"/>
      <c r="T200" s="20"/>
      <c r="U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  <c r="AM200" s="20"/>
      <c r="AN200" s="20"/>
      <c r="AO200" s="20"/>
      <c r="AP200" s="20"/>
      <c r="AQ200" s="20"/>
      <c r="AR200" s="20"/>
      <c r="AS200" s="20"/>
      <c r="AT200" s="20"/>
      <c r="AU200" s="20"/>
      <c r="AV200" s="20"/>
      <c r="AW200" s="20"/>
      <c r="AX200" s="20"/>
      <c r="AY200" s="20"/>
      <c r="AZ200" s="20"/>
      <c r="BA200" s="20"/>
      <c r="BB200" s="20"/>
      <c r="BC200" s="20"/>
      <c r="BD200" s="20"/>
    </row>
    <row r="201" spans="1:56" ht="15.75" thickBot="1" x14ac:dyDescent="0.3">
      <c r="A201" s="20"/>
      <c r="B201" s="69" t="s">
        <v>329</v>
      </c>
      <c r="C201" s="70" t="s">
        <v>5</v>
      </c>
      <c r="D201" s="71">
        <f>+K74/K110</f>
        <v>0.13207637800083694</v>
      </c>
      <c r="E201" s="72" t="s">
        <v>6</v>
      </c>
      <c r="F201" s="43"/>
      <c r="G201" s="20"/>
      <c r="H201" s="20"/>
      <c r="I201" s="20"/>
      <c r="J201" s="43"/>
      <c r="K201" s="20"/>
      <c r="L201" s="20"/>
      <c r="M201" s="20"/>
      <c r="N201" s="20"/>
      <c r="O201" s="20"/>
      <c r="P201" s="20"/>
      <c r="Q201" s="42"/>
      <c r="R201" s="20"/>
      <c r="S201" s="20"/>
      <c r="T201" s="20"/>
      <c r="U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  <c r="AM201" s="20"/>
      <c r="AN201" s="20"/>
      <c r="AO201" s="20"/>
      <c r="AP201" s="20"/>
      <c r="AQ201" s="20"/>
      <c r="AR201" s="20"/>
      <c r="AS201" s="20"/>
      <c r="AT201" s="20"/>
      <c r="AU201" s="20"/>
      <c r="AV201" s="20"/>
      <c r="AW201" s="20"/>
      <c r="AX201" s="20"/>
      <c r="AY201" s="20"/>
      <c r="AZ201" s="20"/>
      <c r="BA201" s="20"/>
      <c r="BB201" s="20"/>
      <c r="BC201" s="20"/>
      <c r="BD201" s="20"/>
    </row>
    <row r="202" spans="1:56" x14ac:dyDescent="0.25">
      <c r="A202" s="20"/>
      <c r="B202" s="20"/>
      <c r="C202" s="20"/>
      <c r="D202" s="36"/>
      <c r="E202" s="20"/>
      <c r="F202" s="43"/>
      <c r="G202" s="20"/>
      <c r="H202" s="20"/>
      <c r="I202" s="20"/>
      <c r="J202" s="43"/>
      <c r="K202" s="20"/>
      <c r="L202" s="20"/>
      <c r="M202" s="20"/>
      <c r="N202" s="20"/>
      <c r="O202" s="20"/>
      <c r="P202" s="20"/>
      <c r="Q202" s="42"/>
      <c r="R202" s="20"/>
      <c r="S202" s="20"/>
      <c r="T202" s="20"/>
      <c r="U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  <c r="AM202" s="20"/>
      <c r="AN202" s="20"/>
      <c r="AO202" s="20"/>
      <c r="AP202" s="20"/>
      <c r="AQ202" s="20"/>
      <c r="AR202" s="20"/>
      <c r="AS202" s="20"/>
      <c r="AT202" s="20"/>
      <c r="AU202" s="20"/>
      <c r="AV202" s="20"/>
      <c r="AW202" s="20"/>
      <c r="AX202" s="20"/>
      <c r="AY202" s="20"/>
      <c r="AZ202" s="20"/>
      <c r="BA202" s="20"/>
      <c r="BB202" s="20"/>
      <c r="BC202" s="20"/>
      <c r="BD202" s="20"/>
    </row>
    <row r="203" spans="1:56" ht="15.75" thickBot="1" x14ac:dyDescent="0.3">
      <c r="A203" s="823"/>
      <c r="B203" s="824"/>
      <c r="C203" s="824"/>
      <c r="D203" s="824"/>
      <c r="E203" s="824"/>
      <c r="F203" s="824"/>
      <c r="G203" s="824"/>
      <c r="H203" s="824"/>
      <c r="I203" s="824"/>
      <c r="J203" s="824"/>
      <c r="K203" s="824"/>
      <c r="L203" s="824"/>
      <c r="M203" s="824"/>
      <c r="N203" s="824"/>
      <c r="O203" s="824"/>
      <c r="P203" s="824"/>
      <c r="Q203" s="824"/>
      <c r="R203" s="824"/>
      <c r="S203" s="824"/>
      <c r="T203" s="824"/>
      <c r="U203" s="825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  <c r="AM203" s="20"/>
      <c r="AN203" s="20"/>
      <c r="AO203" s="20"/>
      <c r="AP203" s="20"/>
      <c r="AQ203" s="20"/>
      <c r="AR203" s="20"/>
      <c r="AS203" s="20"/>
      <c r="AT203" s="20"/>
      <c r="AU203" s="20"/>
      <c r="AV203" s="20"/>
      <c r="AW203" s="20"/>
      <c r="AX203" s="20"/>
      <c r="AY203" s="20"/>
      <c r="AZ203" s="20"/>
      <c r="BA203" s="20"/>
      <c r="BB203" s="20"/>
      <c r="BC203" s="20"/>
      <c r="BD203" s="20"/>
    </row>
    <row r="204" spans="1:56" ht="15.75" thickBot="1" x14ac:dyDescent="0.3">
      <c r="A204" s="506"/>
      <c r="B204" s="327"/>
      <c r="C204" s="327"/>
      <c r="D204" s="327"/>
      <c r="E204" s="327"/>
      <c r="F204" s="503"/>
      <c r="G204" s="327"/>
      <c r="H204" s="327"/>
      <c r="I204" s="327"/>
      <c r="J204" s="503"/>
      <c r="K204" s="327"/>
      <c r="L204" s="504"/>
      <c r="M204" s="504"/>
      <c r="N204" s="507"/>
      <c r="O204" s="507"/>
      <c r="P204" s="507"/>
      <c r="Q204" s="124"/>
      <c r="R204" s="507"/>
      <c r="S204" s="507"/>
      <c r="T204" s="507"/>
      <c r="U204" s="507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  <c r="AM204" s="20"/>
      <c r="AN204" s="20"/>
      <c r="AO204" s="20"/>
      <c r="AP204" s="20"/>
      <c r="AQ204" s="20"/>
      <c r="AR204" s="20"/>
      <c r="AS204" s="20"/>
      <c r="AT204" s="20"/>
      <c r="AU204" s="20"/>
      <c r="AV204" s="20"/>
      <c r="AW204" s="20"/>
      <c r="AX204" s="20"/>
      <c r="AY204" s="20"/>
      <c r="AZ204" s="20"/>
      <c r="BA204" s="20"/>
      <c r="BB204" s="20"/>
      <c r="BC204" s="20"/>
      <c r="BD204" s="20"/>
    </row>
    <row r="205" spans="1:56" ht="15.75" thickBot="1" x14ac:dyDescent="0.3">
      <c r="A205" s="505"/>
      <c r="B205" s="805" t="s">
        <v>342</v>
      </c>
      <c r="C205" s="806"/>
      <c r="D205" s="806"/>
      <c r="E205" s="806"/>
      <c r="F205" s="806"/>
      <c r="G205" s="806"/>
      <c r="H205" s="806"/>
      <c r="I205" s="806"/>
      <c r="J205" s="806"/>
      <c r="K205" s="806"/>
      <c r="L205" s="806"/>
      <c r="M205" s="807"/>
      <c r="N205" s="24"/>
      <c r="O205" s="24"/>
      <c r="P205" s="24"/>
      <c r="Q205" s="42"/>
      <c r="R205" s="24"/>
      <c r="S205" s="24"/>
      <c r="T205" s="24"/>
      <c r="U205" s="24"/>
      <c r="AH205" s="20"/>
      <c r="AI205" s="20"/>
      <c r="AJ205" s="20"/>
      <c r="AK205" s="20"/>
      <c r="AL205" s="20"/>
      <c r="AM205" s="20"/>
      <c r="AN205" s="20"/>
      <c r="AO205" s="20"/>
      <c r="AP205" s="20"/>
      <c r="AQ205" s="20"/>
      <c r="AR205" s="20"/>
      <c r="AS205" s="20"/>
      <c r="AT205" s="20"/>
      <c r="AU205" s="20"/>
      <c r="AV205" s="20"/>
      <c r="AW205" s="20"/>
      <c r="AX205" s="20"/>
      <c r="AY205" s="20"/>
      <c r="AZ205" s="20"/>
      <c r="BA205" s="20"/>
      <c r="BB205" s="20"/>
      <c r="BC205" s="20"/>
      <c r="BD205" s="20"/>
    </row>
    <row r="206" spans="1:56" ht="39.6" customHeight="1" x14ac:dyDescent="0.25">
      <c r="A206" s="42"/>
      <c r="B206" s="513" t="s">
        <v>330</v>
      </c>
      <c r="C206" s="514" t="s">
        <v>331</v>
      </c>
      <c r="D206" s="808" t="s">
        <v>332</v>
      </c>
      <c r="E206" s="808"/>
      <c r="F206" s="808"/>
      <c r="G206" s="809" t="s">
        <v>333</v>
      </c>
      <c r="H206" s="809"/>
      <c r="I206" s="809"/>
      <c r="J206" s="809"/>
      <c r="K206" s="809"/>
      <c r="L206" s="809"/>
      <c r="M206" s="810"/>
      <c r="N206" s="20"/>
      <c r="O206" s="20"/>
      <c r="P206" s="20"/>
      <c r="Q206" s="42"/>
      <c r="R206" s="20"/>
      <c r="S206" s="20"/>
      <c r="T206" s="20"/>
      <c r="U206" s="20"/>
      <c r="AH206" s="20"/>
      <c r="AI206" s="20"/>
      <c r="AJ206" s="20"/>
      <c r="AK206" s="20"/>
      <c r="AL206" s="20"/>
      <c r="AM206" s="20"/>
      <c r="AN206" s="20"/>
      <c r="AO206" s="20"/>
      <c r="AP206" s="20"/>
      <c r="AQ206" s="20"/>
      <c r="AR206" s="20"/>
      <c r="AS206" s="20"/>
      <c r="AT206" s="20"/>
      <c r="AU206" s="20"/>
      <c r="AV206" s="20"/>
      <c r="AW206" s="20"/>
      <c r="AX206" s="20"/>
      <c r="AY206" s="20"/>
      <c r="AZ206" s="20"/>
      <c r="BA206" s="20"/>
      <c r="BB206" s="20"/>
      <c r="BC206" s="20"/>
      <c r="BD206" s="20"/>
    </row>
    <row r="207" spans="1:56" ht="60" x14ac:dyDescent="0.25">
      <c r="A207" s="42"/>
      <c r="B207" s="509"/>
      <c r="C207" s="126"/>
      <c r="D207" s="242" t="s">
        <v>343</v>
      </c>
      <c r="E207" s="253" t="s">
        <v>355</v>
      </c>
      <c r="F207" s="126" t="s">
        <v>341</v>
      </c>
      <c r="G207" s="126" t="s">
        <v>334</v>
      </c>
      <c r="H207" s="126" t="s">
        <v>335</v>
      </c>
      <c r="I207" s="242" t="s">
        <v>336</v>
      </c>
      <c r="J207" s="126" t="s">
        <v>337</v>
      </c>
      <c r="K207" s="242" t="s">
        <v>338</v>
      </c>
      <c r="L207" s="242" t="s">
        <v>352</v>
      </c>
      <c r="M207" s="252" t="s">
        <v>353</v>
      </c>
      <c r="N207" s="20"/>
      <c r="O207" s="20"/>
      <c r="P207" s="20"/>
      <c r="Q207" s="42"/>
      <c r="R207" s="20"/>
      <c r="S207" s="20"/>
      <c r="T207" s="20"/>
      <c r="U207" s="20"/>
      <c r="AH207" s="20"/>
      <c r="AI207" s="20"/>
      <c r="AJ207" s="20"/>
      <c r="AK207" s="20"/>
      <c r="AL207" s="20"/>
      <c r="AM207" s="20"/>
      <c r="AN207" s="20"/>
      <c r="AO207" s="20"/>
      <c r="AP207" s="20"/>
      <c r="AQ207" s="20"/>
      <c r="AR207" s="20"/>
      <c r="AS207" s="20"/>
      <c r="AT207" s="20"/>
      <c r="AU207" s="20"/>
      <c r="AV207" s="20"/>
      <c r="AW207" s="20"/>
      <c r="AX207" s="20"/>
      <c r="AY207" s="20"/>
      <c r="AZ207" s="20"/>
      <c r="BA207" s="20"/>
      <c r="BB207" s="20"/>
      <c r="BC207" s="20"/>
      <c r="BD207" s="20"/>
    </row>
    <row r="208" spans="1:56" x14ac:dyDescent="0.25">
      <c r="A208" s="42"/>
      <c r="B208" s="510">
        <v>1</v>
      </c>
      <c r="C208" s="127">
        <f>+E188</f>
        <v>2.1160000000000001</v>
      </c>
      <c r="D208" s="508" t="e">
        <f>+E79</f>
        <v>#VALUE!</v>
      </c>
      <c r="E208" s="166" t="e">
        <f>+E196</f>
        <v>#VALUE!</v>
      </c>
      <c r="F208" s="127" t="e">
        <f>+E195</f>
        <v>#VALUE!</v>
      </c>
      <c r="G208" s="127" t="e">
        <f>+E190</f>
        <v>#VALUE!</v>
      </c>
      <c r="H208" s="127">
        <f>+E191</f>
        <v>872.45582991620449</v>
      </c>
      <c r="I208" s="166" t="e">
        <f>+E192</f>
        <v>#VALUE!</v>
      </c>
      <c r="J208" s="127" t="e">
        <f>+E193</f>
        <v>#VALUE!</v>
      </c>
      <c r="K208" s="166">
        <f>+E194</f>
        <v>1143.5235294950041</v>
      </c>
      <c r="L208" s="254" t="e">
        <f>+I208/C208</f>
        <v>#VALUE!</v>
      </c>
      <c r="M208" s="255" t="e">
        <f>+J208/C208</f>
        <v>#VALUE!</v>
      </c>
      <c r="N208" s="20"/>
      <c r="O208" s="20"/>
      <c r="P208" s="20"/>
      <c r="Q208" s="42"/>
      <c r="R208" s="20"/>
      <c r="S208" s="20"/>
      <c r="T208" s="20"/>
      <c r="U208" s="20"/>
      <c r="AH208" s="20"/>
      <c r="AI208" s="20"/>
      <c r="AJ208" s="20"/>
      <c r="AK208" s="20"/>
      <c r="AL208" s="20"/>
      <c r="AM208" s="20"/>
      <c r="AN208" s="20"/>
      <c r="AO208" s="20"/>
      <c r="AP208" s="20"/>
      <c r="AQ208" s="20"/>
      <c r="AR208" s="20"/>
      <c r="AS208" s="20"/>
      <c r="AT208" s="20"/>
      <c r="AU208" s="20"/>
      <c r="AV208" s="20"/>
      <c r="AW208" s="20"/>
      <c r="AX208" s="20"/>
      <c r="AY208" s="20"/>
      <c r="AZ208" s="20"/>
      <c r="BA208" s="20"/>
      <c r="BB208" s="20"/>
      <c r="BC208" s="20"/>
      <c r="BD208" s="20"/>
    </row>
    <row r="209" spans="1:56" x14ac:dyDescent="0.25">
      <c r="A209" s="42"/>
      <c r="B209" s="510">
        <v>2</v>
      </c>
      <c r="C209" s="127">
        <f>+F188</f>
        <v>1.583</v>
      </c>
      <c r="D209" s="508" t="e">
        <f>+F79</f>
        <v>#VALUE!</v>
      </c>
      <c r="E209" s="166" t="e">
        <f>+F196</f>
        <v>#VALUE!</v>
      </c>
      <c r="F209" s="127" t="e">
        <f>+F195</f>
        <v>#VALUE!</v>
      </c>
      <c r="G209" s="127" t="e">
        <f>+F190</f>
        <v>#VALUE!</v>
      </c>
      <c r="H209" s="127">
        <f>+F191</f>
        <v>819.12550699059909</v>
      </c>
      <c r="I209" s="166" t="e">
        <f>+F192</f>
        <v>#VALUE!</v>
      </c>
      <c r="J209" s="127" t="e">
        <f>+F193</f>
        <v>#VALUE!</v>
      </c>
      <c r="K209" s="166">
        <f>+F194</f>
        <v>1064.8049011952273</v>
      </c>
      <c r="L209" s="254" t="e">
        <f>+I209/C209</f>
        <v>#VALUE!</v>
      </c>
      <c r="M209" s="255" t="e">
        <f>+J209/C209</f>
        <v>#VALUE!</v>
      </c>
      <c r="N209" s="20"/>
      <c r="O209" s="20"/>
      <c r="P209" s="20"/>
      <c r="Q209" s="42"/>
      <c r="R209" s="20"/>
      <c r="S209" s="20"/>
      <c r="T209" s="20"/>
      <c r="U209" s="20"/>
      <c r="AH209" s="20"/>
      <c r="AI209" s="20"/>
      <c r="AJ209" s="20"/>
      <c r="AK209" s="20"/>
      <c r="AL209" s="20"/>
      <c r="AM209" s="20"/>
      <c r="AN209" s="20"/>
      <c r="AO209" s="20"/>
      <c r="AP209" s="20"/>
      <c r="AQ209" s="20"/>
      <c r="AR209" s="20"/>
      <c r="AS209" s="20"/>
      <c r="AT209" s="20"/>
      <c r="AU209" s="20"/>
      <c r="AV209" s="20"/>
      <c r="AW209" s="20"/>
      <c r="AX209" s="20"/>
      <c r="AY209" s="20"/>
      <c r="AZ209" s="20"/>
      <c r="BA209" s="20"/>
      <c r="BB209" s="20"/>
      <c r="BC209" s="20"/>
      <c r="BD209" s="20"/>
    </row>
    <row r="210" spans="1:56" ht="15" customHeight="1" x14ac:dyDescent="0.25">
      <c r="A210" s="42"/>
      <c r="B210" s="510">
        <v>3</v>
      </c>
      <c r="C210" s="127">
        <f>+AF113</f>
        <v>0</v>
      </c>
      <c r="D210" s="508" t="e">
        <f>+G79</f>
        <v>#VALUE!</v>
      </c>
      <c r="E210" s="166" t="e">
        <f>+G196</f>
        <v>#VALUE!</v>
      </c>
      <c r="F210" s="127" t="e">
        <f>+G195</f>
        <v>#VALUE!</v>
      </c>
      <c r="G210" s="127" t="e">
        <f>+G190</f>
        <v>#VALUE!</v>
      </c>
      <c r="H210" s="127">
        <f>+G191</f>
        <v>797.74000228353043</v>
      </c>
      <c r="I210" s="166" t="e">
        <f>+G192</f>
        <v>#VALUE!</v>
      </c>
      <c r="J210" s="127" t="e">
        <f>+G193</f>
        <v>#VALUE!</v>
      </c>
      <c r="K210" s="166">
        <f>+G194</f>
        <v>1033.4526579978565</v>
      </c>
      <c r="L210" s="254" t="e">
        <f>+I210/C210</f>
        <v>#VALUE!</v>
      </c>
      <c r="M210" s="255" t="e">
        <f>+J210/C210</f>
        <v>#VALUE!</v>
      </c>
      <c r="N210" s="20"/>
      <c r="O210" s="20"/>
      <c r="P210" s="20"/>
      <c r="Q210" s="42"/>
      <c r="R210" s="20"/>
      <c r="S210" s="20"/>
      <c r="T210" s="20"/>
      <c r="U210" s="20"/>
      <c r="AH210" s="20"/>
      <c r="AI210" s="20"/>
      <c r="AJ210" s="20"/>
      <c r="AK210" s="20"/>
      <c r="AL210" s="20"/>
      <c r="AM210" s="20"/>
      <c r="AN210" s="20"/>
      <c r="AO210" s="20"/>
      <c r="AP210" s="20"/>
      <c r="AQ210" s="20"/>
      <c r="AR210" s="20"/>
      <c r="AS210" s="20"/>
      <c r="AT210" s="20"/>
      <c r="AU210" s="20"/>
      <c r="AV210" s="20"/>
      <c r="AW210" s="20"/>
      <c r="AX210" s="20"/>
      <c r="AY210" s="20"/>
      <c r="AZ210" s="20"/>
      <c r="BA210" s="20"/>
      <c r="BB210" s="20"/>
      <c r="BC210" s="20"/>
      <c r="BD210" s="20"/>
    </row>
    <row r="211" spans="1:56" x14ac:dyDescent="0.25">
      <c r="A211" s="42"/>
      <c r="B211" s="510">
        <v>4</v>
      </c>
      <c r="C211" s="127">
        <f>+AG113</f>
        <v>0</v>
      </c>
      <c r="D211" s="508" t="e">
        <f>+H79</f>
        <v>#VALUE!</v>
      </c>
      <c r="E211" s="166" t="e">
        <f>+H196</f>
        <v>#VALUE!</v>
      </c>
      <c r="F211" s="127" t="e">
        <f>+H195</f>
        <v>#VALUE!</v>
      </c>
      <c r="G211" s="127" t="e">
        <f>+H190</f>
        <v>#VALUE!</v>
      </c>
      <c r="H211" s="127">
        <f>+H191</f>
        <v>776.07027153089666</v>
      </c>
      <c r="I211" s="166" t="e">
        <f>+H192</f>
        <v>#VALUE!</v>
      </c>
      <c r="J211" s="127" t="e">
        <f>+H193</f>
        <v>#VALUE!</v>
      </c>
      <c r="K211" s="166">
        <f>+H194</f>
        <v>1001.8118741150361</v>
      </c>
      <c r="L211" s="254" t="e">
        <f>+I211/C211</f>
        <v>#VALUE!</v>
      </c>
      <c r="M211" s="255" t="e">
        <f>+J211/C211</f>
        <v>#VALUE!</v>
      </c>
      <c r="N211" s="20"/>
      <c r="O211" s="20"/>
      <c r="P211" s="20"/>
      <c r="Q211" s="42"/>
      <c r="R211" s="20"/>
      <c r="S211" s="20"/>
      <c r="T211" s="20"/>
      <c r="U211" s="20"/>
      <c r="AH211" s="20"/>
      <c r="AI211" s="20"/>
      <c r="AJ211" s="20"/>
      <c r="AK211" s="20"/>
      <c r="AL211" s="20"/>
      <c r="AM211" s="20"/>
      <c r="AN211" s="20"/>
      <c r="AO211" s="20"/>
      <c r="AP211" s="20"/>
      <c r="AQ211" s="20"/>
      <c r="AR211" s="20"/>
      <c r="AS211" s="20"/>
      <c r="AT211" s="20"/>
      <c r="AU211" s="20"/>
      <c r="AV211" s="20"/>
      <c r="AW211" s="20"/>
      <c r="AX211" s="20"/>
      <c r="AY211" s="20"/>
      <c r="AZ211" s="20"/>
      <c r="BA211" s="20"/>
      <c r="BB211" s="20"/>
      <c r="BC211" s="20"/>
      <c r="BD211" s="20"/>
    </row>
    <row r="212" spans="1:56" x14ac:dyDescent="0.25">
      <c r="A212" s="42"/>
      <c r="B212" s="510">
        <v>5</v>
      </c>
      <c r="C212" s="127">
        <f>+AH113</f>
        <v>0</v>
      </c>
      <c r="D212" s="508">
        <f>+J79</f>
        <v>97.668366888243597</v>
      </c>
      <c r="E212" s="166">
        <f>+J196</f>
        <v>104.84517691713769</v>
      </c>
      <c r="F212" s="127">
        <f>+J195</f>
        <v>0</v>
      </c>
      <c r="G212" s="127">
        <f>+J190</f>
        <v>54.593535418393273</v>
      </c>
      <c r="H212" s="127">
        <f>+J191</f>
        <v>339.07460872652962</v>
      </c>
      <c r="I212" s="166">
        <f>+J192</f>
        <v>33.998870863299452</v>
      </c>
      <c r="J212" s="127">
        <f>+J193</f>
        <v>20.594664555093821</v>
      </c>
      <c r="K212" s="166">
        <f>+J194</f>
        <v>395.77977169845218</v>
      </c>
      <c r="L212" s="254" t="e">
        <f>+I212/C212</f>
        <v>#DIV/0!</v>
      </c>
      <c r="M212" s="255" t="e">
        <f>+J212/C212</f>
        <v>#DIV/0!</v>
      </c>
      <c r="N212" s="20"/>
      <c r="O212" s="20"/>
      <c r="P212" s="20"/>
      <c r="Q212" s="42"/>
      <c r="R212" s="20"/>
      <c r="S212" s="20"/>
      <c r="T212" s="20"/>
      <c r="U212" s="20"/>
      <c r="AH212" s="20"/>
      <c r="AI212" s="20"/>
      <c r="AJ212" s="20"/>
      <c r="AK212" s="20"/>
      <c r="AL212" s="20"/>
      <c r="AM212" s="20"/>
      <c r="AN212" s="20"/>
      <c r="AO212" s="20"/>
      <c r="AP212" s="20"/>
      <c r="AQ212" s="20"/>
      <c r="AR212" s="20"/>
      <c r="AS212" s="20"/>
      <c r="AT212" s="20"/>
      <c r="AU212" s="20"/>
      <c r="AV212" s="20"/>
      <c r="AW212" s="20"/>
      <c r="AX212" s="20"/>
      <c r="AY212" s="20"/>
      <c r="AZ212" s="20"/>
      <c r="BA212" s="20"/>
      <c r="BB212" s="20"/>
      <c r="BC212" s="20"/>
      <c r="BD212" s="20"/>
    </row>
    <row r="213" spans="1:56" x14ac:dyDescent="0.25">
      <c r="A213" s="42"/>
      <c r="B213" s="510">
        <v>6</v>
      </c>
      <c r="C213" s="127">
        <f t="shared" ref="C213:C214" si="136">+AH114</f>
        <v>0</v>
      </c>
      <c r="D213" s="508">
        <f>+J80</f>
        <v>1.0358759948825744E-3</v>
      </c>
      <c r="E213" s="166">
        <f t="shared" ref="E213:E214" si="137">+I197</f>
        <v>0</v>
      </c>
      <c r="F213" s="127">
        <f>+J196</f>
        <v>104.84517691713769</v>
      </c>
      <c r="G213" s="127">
        <f>+J191</f>
        <v>339.07460872652962</v>
      </c>
      <c r="H213" s="127">
        <f>+J192</f>
        <v>33.998870863299452</v>
      </c>
      <c r="I213" s="166">
        <f>+J193</f>
        <v>20.594664555093821</v>
      </c>
      <c r="J213" s="127">
        <f>+J194</f>
        <v>395.77977169845218</v>
      </c>
      <c r="K213" s="166">
        <f>+J195</f>
        <v>0</v>
      </c>
      <c r="L213" s="254" t="e">
        <f t="shared" ref="L213:L214" si="138">+I213/C213</f>
        <v>#DIV/0!</v>
      </c>
      <c r="M213" s="255" t="e">
        <f t="shared" ref="M213:M214" si="139">+J213/C213</f>
        <v>#DIV/0!</v>
      </c>
      <c r="N213" s="24"/>
      <c r="O213" s="24"/>
      <c r="P213" s="24"/>
      <c r="Q213" s="42"/>
      <c r="R213" s="24"/>
      <c r="S213" s="24"/>
      <c r="T213" s="20"/>
      <c r="U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  <c r="AM213" s="20"/>
      <c r="AN213" s="20"/>
      <c r="AO213" s="20"/>
      <c r="AP213" s="20"/>
      <c r="AQ213" s="20"/>
      <c r="AR213" s="20"/>
      <c r="AS213" s="20"/>
      <c r="AT213" s="20"/>
      <c r="AU213" s="20"/>
      <c r="AV213" s="20"/>
      <c r="AW213" s="20"/>
      <c r="AX213" s="20"/>
      <c r="AY213" s="20"/>
      <c r="AZ213" s="20"/>
      <c r="BA213" s="20"/>
      <c r="BB213" s="20"/>
      <c r="BC213" s="20"/>
      <c r="BD213" s="20"/>
    </row>
    <row r="214" spans="1:56" ht="15.75" thickBot="1" x14ac:dyDescent="0.3">
      <c r="A214" s="505"/>
      <c r="B214" s="511">
        <v>7</v>
      </c>
      <c r="C214" s="128">
        <f t="shared" si="136"/>
        <v>0</v>
      </c>
      <c r="D214" s="512">
        <f>+J81</f>
        <v>5.5460000000000002E-2</v>
      </c>
      <c r="E214" s="167">
        <f t="shared" si="137"/>
        <v>0</v>
      </c>
      <c r="F214" s="128">
        <f t="shared" ref="F214" si="140">+I197</f>
        <v>0</v>
      </c>
      <c r="G214" s="128">
        <f>+J192</f>
        <v>33.998870863299452</v>
      </c>
      <c r="H214" s="128">
        <f>+J193</f>
        <v>20.594664555093821</v>
      </c>
      <c r="I214" s="167">
        <f>+J194</f>
        <v>395.77977169845218</v>
      </c>
      <c r="J214" s="128">
        <f>+J195</f>
        <v>0</v>
      </c>
      <c r="K214" s="167">
        <f>+J196</f>
        <v>104.84517691713769</v>
      </c>
      <c r="L214" s="256" t="e">
        <f t="shared" si="138"/>
        <v>#DIV/0!</v>
      </c>
      <c r="M214" s="257" t="e">
        <f t="shared" si="139"/>
        <v>#DIV/0!</v>
      </c>
      <c r="N214" s="37"/>
      <c r="O214" s="37"/>
      <c r="P214" s="37"/>
      <c r="Q214" s="42"/>
      <c r="R214" s="24"/>
      <c r="S214" s="24"/>
      <c r="T214" s="20"/>
      <c r="U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  <c r="AM214" s="20"/>
      <c r="AN214" s="20"/>
      <c r="AO214" s="20"/>
      <c r="AP214" s="20"/>
      <c r="AQ214" s="20"/>
      <c r="AR214" s="20"/>
      <c r="AS214" s="20"/>
      <c r="AT214" s="20"/>
      <c r="AU214" s="20"/>
      <c r="AV214" s="20"/>
      <c r="AW214" s="20"/>
      <c r="AX214" s="20"/>
      <c r="AY214" s="20"/>
      <c r="AZ214" s="20"/>
      <c r="BA214" s="20"/>
      <c r="BB214" s="20"/>
      <c r="BC214" s="20"/>
      <c r="BD214" s="20"/>
    </row>
    <row r="215" spans="1:56" x14ac:dyDescent="0.25">
      <c r="A215" s="42"/>
      <c r="B215" s="42"/>
      <c r="C215" s="42"/>
      <c r="D215" s="36"/>
      <c r="E215" s="20"/>
      <c r="F215" s="43"/>
      <c r="G215" s="20"/>
      <c r="H215" s="20"/>
      <c r="I215" s="20"/>
      <c r="J215" s="43"/>
      <c r="K215" s="20"/>
      <c r="L215" s="20"/>
      <c r="M215" s="20"/>
      <c r="N215" s="24"/>
      <c r="O215" s="24"/>
      <c r="P215" s="24"/>
      <c r="Q215" s="42"/>
      <c r="R215" s="24"/>
      <c r="S215" s="24"/>
      <c r="T215" s="20"/>
      <c r="U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  <c r="AM215" s="20"/>
      <c r="AN215" s="20"/>
      <c r="AO215" s="20"/>
      <c r="AP215" s="20"/>
      <c r="AQ215" s="20"/>
      <c r="AR215" s="20"/>
      <c r="AS215" s="20"/>
      <c r="AT215" s="20"/>
      <c r="AU215" s="20"/>
      <c r="AV215" s="20"/>
      <c r="AW215" s="20"/>
      <c r="AX215" s="20"/>
      <c r="AY215" s="20"/>
      <c r="AZ215" s="20"/>
      <c r="BA215" s="20"/>
      <c r="BB215" s="20"/>
      <c r="BC215" s="20"/>
      <c r="BD215" s="20"/>
    </row>
    <row r="216" spans="1:56" x14ac:dyDescent="0.25">
      <c r="A216" s="42"/>
      <c r="B216" s="42"/>
      <c r="C216" s="42"/>
      <c r="D216" s="36"/>
      <c r="E216" s="20"/>
      <c r="F216" s="43"/>
      <c r="G216" s="20"/>
      <c r="H216" s="20"/>
      <c r="I216" s="20"/>
      <c r="J216" s="43"/>
      <c r="K216" s="20"/>
      <c r="L216" s="20"/>
      <c r="M216" s="20"/>
      <c r="N216" s="24"/>
      <c r="O216" s="24"/>
      <c r="P216" s="24"/>
      <c r="Q216" s="42"/>
      <c r="R216" s="24"/>
      <c r="S216" s="24"/>
      <c r="T216" s="20"/>
      <c r="U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  <c r="AM216" s="20"/>
      <c r="AN216" s="20"/>
      <c r="AO216" s="20"/>
      <c r="AP216" s="20"/>
      <c r="AQ216" s="20"/>
      <c r="AR216" s="20"/>
      <c r="AS216" s="20"/>
      <c r="AT216" s="20"/>
      <c r="AU216" s="20"/>
      <c r="AV216" s="20"/>
      <c r="AW216" s="20"/>
      <c r="AX216" s="20"/>
      <c r="AY216" s="20"/>
      <c r="AZ216" s="20"/>
      <c r="BA216" s="20"/>
      <c r="BB216" s="20"/>
      <c r="BC216" s="20"/>
      <c r="BD216" s="20"/>
    </row>
    <row r="217" spans="1:56" x14ac:dyDescent="0.25">
      <c r="A217" s="42"/>
      <c r="B217" s="42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  <c r="AM217" s="20"/>
      <c r="AN217" s="20"/>
      <c r="AO217" s="20"/>
      <c r="AP217" s="20"/>
      <c r="AQ217" s="20"/>
      <c r="AR217" s="20"/>
      <c r="AS217" s="20"/>
      <c r="AT217" s="20"/>
      <c r="AU217" s="20"/>
      <c r="AV217" s="20"/>
      <c r="AW217" s="20"/>
      <c r="AX217" s="20"/>
      <c r="AY217" s="20"/>
      <c r="AZ217" s="20"/>
      <c r="BA217" s="20"/>
      <c r="BB217" s="20"/>
      <c r="BC217" s="20"/>
      <c r="BD217" s="20"/>
    </row>
    <row r="218" spans="1:56" x14ac:dyDescent="0.25">
      <c r="A218" s="42"/>
      <c r="B218" s="42"/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24"/>
      <c r="P218" s="24"/>
      <c r="Q218" s="42"/>
      <c r="R218" s="24"/>
      <c r="S218" s="24"/>
      <c r="T218" s="20"/>
      <c r="U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  <c r="AM218" s="20"/>
      <c r="AN218" s="20"/>
      <c r="AO218" s="20"/>
      <c r="AP218" s="20"/>
      <c r="AQ218" s="20"/>
      <c r="AR218" s="20"/>
      <c r="AS218" s="20"/>
      <c r="AT218" s="20"/>
      <c r="AU218" s="20"/>
      <c r="AV218" s="20"/>
      <c r="AW218" s="20"/>
      <c r="AX218" s="20"/>
      <c r="AY218" s="20"/>
      <c r="AZ218" s="20"/>
      <c r="BA218" s="20"/>
      <c r="BB218" s="20"/>
      <c r="BC218" s="20"/>
      <c r="BD218" s="20"/>
    </row>
    <row r="219" spans="1:56" x14ac:dyDescent="0.25">
      <c r="A219" s="42"/>
      <c r="B219" s="42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24"/>
      <c r="P219" s="24"/>
      <c r="Q219" s="42"/>
      <c r="R219" s="24"/>
      <c r="S219" s="24"/>
      <c r="T219" s="20"/>
      <c r="U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  <c r="AM219" s="20"/>
      <c r="AN219" s="20"/>
      <c r="AO219" s="20"/>
      <c r="AP219" s="20"/>
      <c r="AQ219" s="20"/>
      <c r="AR219" s="20"/>
      <c r="AS219" s="20"/>
      <c r="AT219" s="20"/>
      <c r="AU219" s="20"/>
      <c r="AV219" s="20"/>
      <c r="AW219" s="20"/>
      <c r="AX219" s="20"/>
      <c r="AY219" s="20"/>
      <c r="AZ219" s="20"/>
      <c r="BA219" s="20"/>
      <c r="BB219" s="20"/>
      <c r="BC219" s="20"/>
      <c r="BD219" s="20"/>
    </row>
    <row r="220" spans="1:56" x14ac:dyDescent="0.25">
      <c r="A220" s="42"/>
      <c r="B220" s="42"/>
      <c r="C220" s="42"/>
      <c r="D220" s="42"/>
      <c r="E220" s="42"/>
      <c r="F220" s="145"/>
      <c r="G220" s="42"/>
      <c r="H220" s="42"/>
      <c r="I220" s="42"/>
      <c r="J220" s="145"/>
      <c r="K220" s="42"/>
      <c r="L220" s="20"/>
      <c r="M220" s="20"/>
      <c r="N220" s="24"/>
      <c r="O220" s="24"/>
      <c r="P220" s="24"/>
      <c r="Q220" s="42"/>
      <c r="R220" s="24"/>
      <c r="S220" s="24"/>
      <c r="T220" s="20"/>
      <c r="U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  <c r="AM220" s="20"/>
      <c r="AN220" s="20"/>
      <c r="AO220" s="20"/>
      <c r="AP220" s="20"/>
      <c r="AQ220" s="20"/>
      <c r="AR220" s="20"/>
      <c r="AS220" s="20"/>
      <c r="AT220" s="20"/>
      <c r="AU220" s="20"/>
      <c r="AV220" s="20"/>
      <c r="AW220" s="20"/>
      <c r="AX220" s="20"/>
      <c r="AY220" s="20"/>
      <c r="AZ220" s="20"/>
      <c r="BA220" s="20"/>
      <c r="BB220" s="20"/>
      <c r="BC220" s="20"/>
      <c r="BD220" s="20"/>
    </row>
    <row r="221" spans="1:56" x14ac:dyDescent="0.25">
      <c r="A221" s="42"/>
      <c r="B221" s="42"/>
      <c r="C221" s="42"/>
      <c r="D221" s="36"/>
      <c r="E221" s="42"/>
      <c r="F221" s="145"/>
      <c r="G221" s="42"/>
      <c r="H221" s="42"/>
      <c r="I221" s="42"/>
      <c r="J221" s="145"/>
      <c r="K221" s="42"/>
      <c r="L221" s="20"/>
      <c r="M221" s="20"/>
      <c r="N221" s="20"/>
      <c r="O221" s="20"/>
      <c r="P221" s="20"/>
      <c r="Q221" s="42"/>
      <c r="R221" s="20"/>
      <c r="S221" s="20"/>
      <c r="T221" s="20"/>
      <c r="U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  <c r="AM221" s="20"/>
      <c r="AN221" s="20"/>
      <c r="AO221" s="20"/>
      <c r="AP221" s="20"/>
      <c r="AQ221" s="20"/>
      <c r="AR221" s="20"/>
      <c r="AS221" s="20"/>
      <c r="AT221" s="20"/>
      <c r="AU221" s="20"/>
      <c r="AV221" s="20"/>
      <c r="AW221" s="20"/>
      <c r="AX221" s="20"/>
      <c r="AY221" s="20"/>
      <c r="AZ221" s="20"/>
      <c r="BA221" s="20"/>
      <c r="BB221" s="20"/>
      <c r="BC221" s="20"/>
      <c r="BD221" s="20"/>
    </row>
    <row r="222" spans="1:56" x14ac:dyDescent="0.25">
      <c r="A222" s="42"/>
      <c r="B222" s="42"/>
      <c r="C222" s="42"/>
      <c r="D222" s="36"/>
      <c r="E222" s="42"/>
      <c r="F222" s="145"/>
      <c r="G222" s="42"/>
      <c r="H222" s="42"/>
      <c r="I222" s="42"/>
      <c r="J222" s="145"/>
      <c r="K222" s="42"/>
      <c r="L222" s="20"/>
      <c r="M222" s="20"/>
      <c r="N222" s="20"/>
      <c r="O222" s="20"/>
      <c r="P222" s="20"/>
      <c r="Q222" s="42"/>
      <c r="R222" s="20"/>
      <c r="S222" s="20"/>
      <c r="T222" s="20"/>
      <c r="U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  <c r="AM222" s="20"/>
      <c r="AN222" s="20"/>
      <c r="AO222" s="20"/>
      <c r="AP222" s="20"/>
      <c r="AQ222" s="20"/>
      <c r="AR222" s="20"/>
      <c r="AS222" s="20"/>
      <c r="AT222" s="20"/>
      <c r="AU222" s="20"/>
      <c r="AV222" s="20"/>
      <c r="AW222" s="20"/>
      <c r="AX222" s="20"/>
      <c r="AY222" s="20"/>
      <c r="AZ222" s="20"/>
      <c r="BA222" s="20"/>
      <c r="BB222" s="20"/>
      <c r="BC222" s="20"/>
      <c r="BD222" s="20"/>
    </row>
    <row r="223" spans="1:56" x14ac:dyDescent="0.25">
      <c r="A223" s="42"/>
      <c r="B223" s="42"/>
      <c r="C223" s="42"/>
      <c r="D223" s="36"/>
      <c r="E223" s="42"/>
      <c r="F223" s="145"/>
      <c r="G223" s="42"/>
      <c r="H223" s="42"/>
      <c r="I223" s="42"/>
      <c r="J223" s="145"/>
      <c r="K223" s="42"/>
      <c r="L223" s="20"/>
      <c r="M223" s="20"/>
      <c r="N223" s="20"/>
      <c r="O223" s="20"/>
      <c r="P223" s="20"/>
      <c r="Q223" s="42"/>
      <c r="R223" s="20"/>
      <c r="S223" s="20"/>
      <c r="T223" s="20"/>
      <c r="U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  <c r="AM223" s="20"/>
      <c r="AN223" s="20"/>
      <c r="AO223" s="20"/>
      <c r="AP223" s="20"/>
      <c r="AQ223" s="20"/>
      <c r="AR223" s="20"/>
      <c r="AS223" s="20"/>
      <c r="AT223" s="20"/>
      <c r="AU223" s="20"/>
      <c r="AV223" s="20"/>
      <c r="AW223" s="20"/>
      <c r="AX223" s="20"/>
      <c r="AY223" s="20"/>
      <c r="AZ223" s="20"/>
      <c r="BA223" s="20"/>
      <c r="BB223" s="20"/>
      <c r="BC223" s="20"/>
      <c r="BD223" s="20"/>
    </row>
    <row r="224" spans="1:56" x14ac:dyDescent="0.25">
      <c r="A224" s="20"/>
      <c r="B224" s="20"/>
      <c r="C224" s="20"/>
      <c r="D224" s="36"/>
      <c r="E224" s="20"/>
      <c r="F224" s="43"/>
      <c r="G224" s="20"/>
      <c r="H224" s="20"/>
      <c r="I224" s="20"/>
      <c r="J224" s="43"/>
      <c r="K224" s="20"/>
      <c r="L224" s="20"/>
      <c r="M224" s="20"/>
      <c r="N224" s="20"/>
      <c r="O224" s="20"/>
      <c r="P224" s="20"/>
      <c r="Q224" s="42"/>
      <c r="R224" s="20"/>
      <c r="S224" s="20"/>
      <c r="T224" s="20"/>
      <c r="U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  <c r="AM224" s="20"/>
      <c r="AN224" s="20"/>
      <c r="AO224" s="20"/>
      <c r="AP224" s="20"/>
      <c r="AQ224" s="20"/>
      <c r="AR224" s="20"/>
      <c r="AS224" s="20"/>
      <c r="AT224" s="20"/>
      <c r="AU224" s="20"/>
      <c r="AV224" s="20"/>
      <c r="AW224" s="20"/>
      <c r="AX224" s="20"/>
      <c r="AY224" s="20"/>
      <c r="AZ224" s="20"/>
      <c r="BA224" s="20"/>
      <c r="BB224" s="20"/>
      <c r="BC224" s="20"/>
      <c r="BD224" s="20"/>
    </row>
    <row r="225" spans="1:21" x14ac:dyDescent="0.25">
      <c r="A225" s="20"/>
      <c r="B225" s="20"/>
      <c r="C225" s="20"/>
      <c r="D225" s="36"/>
      <c r="E225" s="20"/>
      <c r="F225" s="43"/>
      <c r="G225" s="20"/>
      <c r="H225" s="20"/>
      <c r="I225" s="20"/>
      <c r="J225" s="43"/>
      <c r="K225" s="20"/>
      <c r="L225" s="20"/>
      <c r="M225" s="20"/>
      <c r="N225" s="20"/>
      <c r="O225" s="20"/>
      <c r="P225" s="20"/>
      <c r="Q225" s="42"/>
      <c r="R225" s="20"/>
      <c r="S225" s="20"/>
      <c r="T225" s="20"/>
      <c r="U225" s="20"/>
    </row>
    <row r="226" spans="1:21" x14ac:dyDescent="0.25">
      <c r="A226" s="20"/>
      <c r="B226" s="20"/>
      <c r="C226" s="20"/>
      <c r="D226" s="36"/>
      <c r="E226" s="20"/>
      <c r="F226" s="43"/>
      <c r="G226" s="20"/>
      <c r="H226" s="20"/>
      <c r="I226" s="20"/>
      <c r="J226" s="43"/>
      <c r="K226" s="20"/>
      <c r="L226" s="20"/>
      <c r="M226" s="20"/>
      <c r="N226" s="20"/>
      <c r="O226" s="20"/>
      <c r="P226" s="20"/>
      <c r="Q226" s="42"/>
      <c r="R226" s="20"/>
      <c r="S226" s="20"/>
      <c r="T226" s="20"/>
      <c r="U226" s="20"/>
    </row>
    <row r="227" spans="1:21" x14ac:dyDescent="0.25">
      <c r="A227" s="20"/>
      <c r="B227" s="20"/>
      <c r="C227" s="20"/>
      <c r="D227" s="36"/>
      <c r="E227" s="20"/>
      <c r="F227" s="43"/>
      <c r="G227" s="20"/>
      <c r="H227" s="20"/>
      <c r="I227" s="20"/>
      <c r="J227" s="43"/>
      <c r="K227" s="20"/>
      <c r="L227" s="20"/>
      <c r="M227" s="20"/>
      <c r="N227" s="20"/>
      <c r="O227" s="20"/>
      <c r="P227" s="20"/>
      <c r="Q227" s="42"/>
      <c r="R227" s="20"/>
      <c r="S227" s="20"/>
      <c r="T227" s="20"/>
      <c r="U227" s="20"/>
    </row>
    <row r="228" spans="1:21" x14ac:dyDescent="0.25">
      <c r="A228" s="20"/>
      <c r="B228" s="20"/>
      <c r="C228" s="20"/>
      <c r="D228" s="36"/>
      <c r="E228" s="20"/>
      <c r="F228" s="43"/>
      <c r="G228" s="20"/>
      <c r="H228" s="20"/>
      <c r="I228" s="20"/>
      <c r="J228" s="43"/>
      <c r="K228" s="20"/>
      <c r="L228" s="20"/>
      <c r="M228" s="20"/>
      <c r="N228" s="20"/>
      <c r="O228" s="20"/>
      <c r="P228" s="20"/>
      <c r="Q228" s="42"/>
      <c r="R228" s="20"/>
      <c r="S228" s="20"/>
      <c r="T228" s="20"/>
      <c r="U228" s="20"/>
    </row>
    <row r="229" spans="1:21" x14ac:dyDescent="0.25">
      <c r="A229" s="20"/>
      <c r="B229" s="20"/>
      <c r="C229" s="20"/>
      <c r="D229" s="36"/>
      <c r="E229" s="20"/>
      <c r="F229" s="43"/>
      <c r="G229" s="20"/>
      <c r="H229" s="20"/>
      <c r="I229" s="20"/>
      <c r="J229" s="43"/>
      <c r="K229" s="20"/>
      <c r="L229" s="20"/>
      <c r="M229" s="20"/>
      <c r="N229" s="20"/>
      <c r="O229" s="20"/>
      <c r="P229" s="20"/>
      <c r="Q229" s="42"/>
      <c r="R229" s="20"/>
      <c r="S229" s="20"/>
      <c r="T229" s="20"/>
      <c r="U229" s="20"/>
    </row>
    <row r="230" spans="1:21" x14ac:dyDescent="0.25">
      <c r="A230" s="20"/>
      <c r="B230" s="20"/>
      <c r="C230" s="20"/>
      <c r="D230" s="36"/>
      <c r="E230" s="20"/>
      <c r="F230" s="43"/>
      <c r="G230" s="20"/>
      <c r="H230" s="20"/>
      <c r="I230" s="20"/>
      <c r="J230" s="43"/>
      <c r="K230" s="20"/>
      <c r="L230" s="20"/>
      <c r="M230" s="20"/>
      <c r="N230" s="20"/>
      <c r="O230" s="20"/>
      <c r="P230" s="20"/>
      <c r="Q230" s="42"/>
      <c r="R230" s="20"/>
      <c r="S230" s="20"/>
      <c r="T230" s="20"/>
      <c r="U230" s="20"/>
    </row>
    <row r="231" spans="1:21" x14ac:dyDescent="0.25">
      <c r="A231" s="20"/>
      <c r="B231" s="20"/>
      <c r="C231" s="20"/>
      <c r="D231" s="36"/>
      <c r="E231" s="20"/>
      <c r="F231" s="43"/>
      <c r="G231" s="20"/>
      <c r="H231" s="20"/>
      <c r="I231" s="20"/>
      <c r="J231" s="43"/>
      <c r="K231" s="20"/>
      <c r="L231" s="20"/>
      <c r="M231" s="20"/>
      <c r="N231" s="20"/>
      <c r="O231" s="20"/>
      <c r="P231" s="20"/>
      <c r="Q231" s="42"/>
      <c r="R231" s="20"/>
      <c r="S231" s="20"/>
      <c r="T231" s="20"/>
      <c r="U231" s="20"/>
    </row>
    <row r="232" spans="1:21" x14ac:dyDescent="0.25">
      <c r="A232" s="20"/>
      <c r="B232" s="20"/>
      <c r="C232" s="20"/>
      <c r="D232" s="36"/>
      <c r="E232" s="20"/>
      <c r="F232" s="43"/>
      <c r="G232" s="20"/>
      <c r="H232" s="20"/>
      <c r="I232" s="20"/>
      <c r="J232" s="43"/>
      <c r="K232" s="20"/>
      <c r="L232" s="20"/>
      <c r="M232" s="20"/>
      <c r="N232" s="20"/>
      <c r="O232" s="20"/>
      <c r="P232" s="20"/>
      <c r="Q232" s="42"/>
      <c r="R232" s="20"/>
      <c r="S232" s="20"/>
      <c r="T232" s="20"/>
      <c r="U232" s="20"/>
    </row>
    <row r="233" spans="1:21" x14ac:dyDescent="0.25">
      <c r="A233" s="20"/>
      <c r="B233" s="20"/>
      <c r="C233" s="20"/>
      <c r="D233" s="36"/>
      <c r="E233" s="20"/>
      <c r="F233" s="43"/>
      <c r="G233" s="20"/>
      <c r="H233" s="20"/>
      <c r="I233" s="20"/>
      <c r="J233" s="43"/>
      <c r="K233" s="20"/>
      <c r="L233" s="20"/>
      <c r="M233" s="20"/>
      <c r="N233" s="20"/>
      <c r="O233" s="20"/>
      <c r="P233" s="20"/>
      <c r="Q233" s="42"/>
      <c r="R233" s="20"/>
      <c r="S233" s="20"/>
      <c r="T233" s="20"/>
      <c r="U233" s="20"/>
    </row>
    <row r="234" spans="1:21" x14ac:dyDescent="0.25">
      <c r="A234" s="20"/>
      <c r="B234" s="20"/>
      <c r="C234" s="20"/>
      <c r="D234" s="36"/>
      <c r="E234" s="20"/>
      <c r="F234" s="43"/>
      <c r="G234" s="20"/>
      <c r="H234" s="20"/>
      <c r="I234" s="20"/>
      <c r="J234" s="43"/>
      <c r="K234" s="20"/>
      <c r="L234" s="20"/>
      <c r="M234" s="20"/>
      <c r="N234" s="20"/>
      <c r="O234" s="20"/>
      <c r="P234" s="20"/>
      <c r="Q234" s="42"/>
      <c r="R234" s="20"/>
      <c r="S234" s="20"/>
      <c r="T234" s="20"/>
      <c r="U234" s="20"/>
    </row>
    <row r="235" spans="1:21" x14ac:dyDescent="0.25">
      <c r="A235" s="20"/>
      <c r="B235" s="20"/>
      <c r="C235" s="20"/>
      <c r="D235" s="36"/>
      <c r="E235" s="20"/>
      <c r="F235" s="43"/>
      <c r="G235" s="20"/>
      <c r="H235" s="20"/>
      <c r="I235" s="20"/>
      <c r="J235" s="43"/>
      <c r="K235" s="20"/>
      <c r="L235" s="20"/>
      <c r="M235" s="20"/>
      <c r="N235" s="20"/>
      <c r="O235" s="20"/>
      <c r="P235" s="20"/>
      <c r="Q235" s="42"/>
      <c r="R235" s="20"/>
      <c r="S235" s="20"/>
      <c r="T235" s="20"/>
      <c r="U235" s="20"/>
    </row>
    <row r="236" spans="1:21" x14ac:dyDescent="0.25">
      <c r="A236" s="20"/>
      <c r="B236" s="20"/>
      <c r="C236" s="20"/>
      <c r="D236" s="36"/>
      <c r="E236" s="20"/>
      <c r="F236" s="43"/>
      <c r="G236" s="20"/>
      <c r="H236" s="20"/>
      <c r="I236" s="20"/>
      <c r="J236" s="43"/>
      <c r="K236" s="20"/>
      <c r="L236" s="20"/>
      <c r="M236" s="20"/>
      <c r="N236" s="20"/>
      <c r="O236" s="20"/>
      <c r="P236" s="20"/>
      <c r="Q236" s="42"/>
      <c r="R236" s="20"/>
      <c r="S236" s="20"/>
      <c r="T236" s="20"/>
      <c r="U236" s="20"/>
    </row>
    <row r="237" spans="1:21" x14ac:dyDescent="0.25">
      <c r="A237" s="20"/>
      <c r="B237" s="20"/>
      <c r="C237" s="20"/>
      <c r="D237" s="36"/>
      <c r="E237" s="20"/>
      <c r="F237" s="43"/>
      <c r="G237" s="20"/>
      <c r="H237" s="20"/>
      <c r="I237" s="20"/>
      <c r="J237" s="43"/>
      <c r="K237" s="20"/>
      <c r="L237" s="20"/>
      <c r="M237" s="20"/>
      <c r="N237" s="20"/>
      <c r="O237" s="20"/>
      <c r="P237" s="20"/>
      <c r="Q237" s="42"/>
      <c r="R237" s="20"/>
      <c r="S237" s="20"/>
      <c r="T237" s="20"/>
      <c r="U237" s="20"/>
    </row>
    <row r="238" spans="1:21" x14ac:dyDescent="0.25">
      <c r="A238" s="20"/>
      <c r="B238" s="20"/>
      <c r="C238" s="20"/>
      <c r="D238" s="36"/>
      <c r="E238" s="20"/>
      <c r="F238" s="43"/>
      <c r="G238" s="20"/>
      <c r="H238" s="20"/>
      <c r="I238" s="20"/>
      <c r="J238" s="43"/>
      <c r="K238" s="20"/>
      <c r="L238" s="20"/>
      <c r="M238" s="20"/>
      <c r="N238" s="20"/>
      <c r="O238" s="20"/>
      <c r="P238" s="20"/>
      <c r="Q238" s="42"/>
      <c r="R238" s="20"/>
      <c r="S238" s="20"/>
      <c r="T238" s="20"/>
      <c r="U238" s="20"/>
    </row>
    <row r="239" spans="1:21" x14ac:dyDescent="0.25">
      <c r="A239" s="20"/>
      <c r="B239" s="20"/>
      <c r="C239" s="20"/>
      <c r="D239" s="36"/>
      <c r="E239" s="20"/>
      <c r="F239" s="43"/>
      <c r="G239" s="20"/>
      <c r="H239" s="20"/>
      <c r="I239" s="20"/>
      <c r="J239" s="43"/>
      <c r="K239" s="20"/>
      <c r="L239" s="20"/>
      <c r="M239" s="20"/>
      <c r="N239" s="20"/>
      <c r="O239" s="20"/>
      <c r="P239" s="20"/>
      <c r="Q239" s="42"/>
      <c r="R239" s="20"/>
      <c r="S239" s="20"/>
      <c r="T239" s="20"/>
      <c r="U239" s="20"/>
    </row>
    <row r="240" spans="1:21" x14ac:dyDescent="0.25">
      <c r="A240" s="20"/>
      <c r="B240" s="20"/>
      <c r="C240" s="20"/>
      <c r="D240" s="36"/>
      <c r="E240" s="20"/>
      <c r="F240" s="43"/>
      <c r="G240" s="20"/>
      <c r="H240" s="20"/>
      <c r="I240" s="20"/>
      <c r="J240" s="43"/>
      <c r="K240" s="20"/>
      <c r="L240" s="20"/>
      <c r="M240" s="20"/>
      <c r="N240" s="20"/>
      <c r="O240" s="20"/>
      <c r="P240" s="20"/>
      <c r="Q240" s="42"/>
      <c r="R240" s="20"/>
      <c r="S240" s="20"/>
      <c r="T240" s="20"/>
      <c r="U240" s="20"/>
    </row>
    <row r="241" spans="1:21" x14ac:dyDescent="0.25">
      <c r="A241" s="20"/>
      <c r="B241" s="20"/>
      <c r="C241" s="20"/>
      <c r="D241" s="36"/>
      <c r="E241" s="20"/>
      <c r="F241" s="43"/>
      <c r="G241" s="20"/>
      <c r="H241" s="20"/>
      <c r="I241" s="20"/>
      <c r="J241" s="43"/>
      <c r="K241" s="20"/>
      <c r="L241" s="20"/>
      <c r="M241" s="20"/>
      <c r="N241" s="20"/>
      <c r="O241" s="20"/>
      <c r="P241" s="20"/>
      <c r="Q241" s="42"/>
      <c r="R241" s="20"/>
      <c r="S241" s="20"/>
      <c r="T241" s="20"/>
      <c r="U241" s="20"/>
    </row>
    <row r="242" spans="1:21" x14ac:dyDescent="0.25">
      <c r="A242" s="20"/>
      <c r="B242" s="20"/>
      <c r="C242" s="20"/>
      <c r="D242" s="36"/>
      <c r="E242" s="20"/>
      <c r="F242" s="43"/>
      <c r="G242" s="20"/>
      <c r="H242" s="20"/>
      <c r="I242" s="20"/>
      <c r="J242" s="43"/>
      <c r="K242" s="20"/>
      <c r="L242" s="20"/>
      <c r="M242" s="20"/>
      <c r="N242" s="20"/>
      <c r="O242" s="20"/>
      <c r="P242" s="20"/>
      <c r="Q242" s="42"/>
      <c r="R242" s="20"/>
      <c r="S242" s="20"/>
      <c r="T242" s="20"/>
      <c r="U242" s="20"/>
    </row>
    <row r="243" spans="1:21" x14ac:dyDescent="0.25">
      <c r="A243" s="20"/>
      <c r="B243" s="20"/>
      <c r="C243" s="20"/>
      <c r="D243" s="36"/>
      <c r="E243" s="20"/>
      <c r="F243" s="43"/>
      <c r="G243" s="20"/>
      <c r="H243" s="20"/>
      <c r="I243" s="20"/>
      <c r="J243" s="43"/>
      <c r="K243" s="20"/>
      <c r="L243" s="20"/>
      <c r="M243" s="20"/>
      <c r="N243" s="20"/>
      <c r="O243" s="20"/>
      <c r="P243" s="20"/>
      <c r="Q243" s="42"/>
      <c r="R243" s="20"/>
      <c r="S243" s="20"/>
      <c r="T243" s="20"/>
      <c r="U243" s="20"/>
    </row>
    <row r="244" spans="1:21" x14ac:dyDescent="0.25">
      <c r="A244" s="20"/>
      <c r="B244" s="20"/>
      <c r="C244" s="20"/>
      <c r="D244" s="36"/>
      <c r="E244" s="20"/>
      <c r="F244" s="43"/>
      <c r="G244" s="20"/>
      <c r="H244" s="20"/>
      <c r="I244" s="20"/>
      <c r="J244" s="43"/>
      <c r="K244" s="20"/>
      <c r="L244" s="20"/>
      <c r="M244" s="20"/>
      <c r="N244" s="20"/>
      <c r="O244" s="20"/>
      <c r="P244" s="20"/>
      <c r="Q244" s="42"/>
      <c r="R244" s="20"/>
      <c r="S244" s="20"/>
      <c r="T244" s="20"/>
      <c r="U244" s="20"/>
    </row>
    <row r="245" spans="1:21" x14ac:dyDescent="0.25">
      <c r="A245" s="20"/>
      <c r="B245" s="20"/>
      <c r="C245" s="20"/>
      <c r="D245" s="36"/>
      <c r="E245" s="20"/>
      <c r="F245" s="43"/>
      <c r="G245" s="20"/>
      <c r="H245" s="20"/>
      <c r="I245" s="20"/>
      <c r="J245" s="43"/>
      <c r="K245" s="20"/>
      <c r="L245" s="20"/>
      <c r="M245" s="20"/>
      <c r="N245" s="20"/>
      <c r="O245" s="20"/>
      <c r="P245" s="20"/>
      <c r="Q245" s="42"/>
      <c r="R245" s="20"/>
      <c r="S245" s="20"/>
      <c r="T245" s="20"/>
      <c r="U245" s="20"/>
    </row>
    <row r="246" spans="1:21" x14ac:dyDescent="0.25">
      <c r="A246" s="20"/>
      <c r="B246" s="20"/>
      <c r="C246" s="20"/>
      <c r="D246" s="36"/>
      <c r="E246" s="20"/>
      <c r="F246" s="43"/>
      <c r="G246" s="20"/>
      <c r="H246" s="20"/>
      <c r="I246" s="20"/>
      <c r="J246" s="43"/>
      <c r="K246" s="20"/>
      <c r="L246" s="20"/>
      <c r="M246" s="20"/>
      <c r="N246" s="20"/>
      <c r="O246" s="20"/>
      <c r="P246" s="20"/>
      <c r="Q246" s="42"/>
      <c r="R246" s="20"/>
      <c r="S246" s="20"/>
      <c r="T246" s="20"/>
      <c r="U246" s="20"/>
    </row>
    <row r="247" spans="1:21" x14ac:dyDescent="0.25">
      <c r="A247" s="20"/>
      <c r="B247" s="20"/>
      <c r="C247" s="20"/>
      <c r="D247" s="36"/>
      <c r="E247" s="20"/>
      <c r="F247" s="43"/>
      <c r="G247" s="20"/>
      <c r="H247" s="20"/>
      <c r="I247" s="20"/>
      <c r="J247" s="43"/>
      <c r="K247" s="20"/>
      <c r="L247" s="20"/>
      <c r="M247" s="20"/>
      <c r="N247" s="20"/>
      <c r="O247" s="20"/>
      <c r="P247" s="20"/>
      <c r="Q247" s="42"/>
      <c r="R247" s="20"/>
      <c r="S247" s="20"/>
      <c r="T247" s="20"/>
      <c r="U247" s="20"/>
    </row>
    <row r="248" spans="1:21" x14ac:dyDescent="0.25">
      <c r="A248" s="20"/>
      <c r="B248" s="20"/>
      <c r="C248" s="20"/>
      <c r="D248" s="36"/>
      <c r="E248" s="20"/>
      <c r="F248" s="43"/>
      <c r="G248" s="20"/>
      <c r="H248" s="20"/>
      <c r="I248" s="20"/>
      <c r="J248" s="43"/>
      <c r="K248" s="20"/>
      <c r="L248" s="20"/>
      <c r="M248" s="20"/>
      <c r="N248" s="20"/>
      <c r="O248" s="20"/>
      <c r="P248" s="20"/>
      <c r="Q248" s="42"/>
      <c r="R248" s="20"/>
      <c r="S248" s="20"/>
      <c r="T248" s="20"/>
      <c r="U248" s="20"/>
    </row>
    <row r="249" spans="1:21" x14ac:dyDescent="0.25">
      <c r="A249" s="20"/>
      <c r="B249" s="20"/>
      <c r="C249" s="20"/>
      <c r="D249" s="36"/>
      <c r="E249" s="20"/>
      <c r="F249" s="43"/>
      <c r="G249" s="20"/>
      <c r="H249" s="20"/>
      <c r="I249" s="20"/>
      <c r="J249" s="43"/>
      <c r="K249" s="20"/>
      <c r="L249" s="20"/>
      <c r="M249" s="20"/>
      <c r="N249" s="20"/>
      <c r="O249" s="20"/>
      <c r="P249" s="20"/>
      <c r="Q249" s="42"/>
      <c r="R249" s="20"/>
      <c r="S249" s="20"/>
      <c r="T249" s="20"/>
      <c r="U249" s="20"/>
    </row>
    <row r="250" spans="1:21" x14ac:dyDescent="0.25">
      <c r="A250" s="20"/>
      <c r="B250" s="20"/>
      <c r="C250" s="20"/>
      <c r="D250" s="36"/>
      <c r="E250" s="20"/>
      <c r="F250" s="43"/>
      <c r="G250" s="20"/>
      <c r="H250" s="20"/>
      <c r="I250" s="20"/>
      <c r="J250" s="43"/>
      <c r="K250" s="20"/>
      <c r="L250" s="20"/>
      <c r="M250" s="20"/>
      <c r="N250" s="20"/>
      <c r="O250" s="20"/>
      <c r="P250" s="20"/>
      <c r="Q250" s="42"/>
      <c r="R250" s="20"/>
      <c r="S250" s="20"/>
      <c r="T250" s="20"/>
      <c r="U250" s="20"/>
    </row>
    <row r="251" spans="1:21" x14ac:dyDescent="0.25">
      <c r="A251" s="20"/>
      <c r="B251" s="20"/>
      <c r="C251" s="20"/>
      <c r="D251" s="36"/>
      <c r="E251" s="20"/>
      <c r="F251" s="43"/>
      <c r="G251" s="20"/>
      <c r="H251" s="20"/>
      <c r="I251" s="20"/>
      <c r="J251" s="43"/>
      <c r="K251" s="20"/>
      <c r="L251" s="20"/>
      <c r="M251" s="20"/>
      <c r="N251" s="20"/>
      <c r="O251" s="20"/>
      <c r="P251" s="20"/>
      <c r="Q251" s="42"/>
      <c r="R251" s="20"/>
      <c r="S251" s="20"/>
      <c r="T251" s="20"/>
      <c r="U251" s="20"/>
    </row>
    <row r="252" spans="1:21" x14ac:dyDescent="0.25">
      <c r="A252" s="20"/>
      <c r="B252" s="20"/>
      <c r="C252" s="20"/>
      <c r="D252" s="36"/>
      <c r="E252" s="20"/>
      <c r="F252" s="43"/>
      <c r="G252" s="20"/>
      <c r="H252" s="20"/>
      <c r="I252" s="20"/>
      <c r="J252" s="43"/>
      <c r="K252" s="20"/>
      <c r="L252" s="20"/>
      <c r="M252" s="20"/>
      <c r="N252" s="20"/>
      <c r="O252" s="20"/>
      <c r="P252" s="20"/>
      <c r="Q252" s="42"/>
      <c r="R252" s="20"/>
      <c r="S252" s="20"/>
      <c r="T252" s="20"/>
      <c r="U252" s="20"/>
    </row>
    <row r="253" spans="1:21" x14ac:dyDescent="0.25">
      <c r="A253" s="20"/>
      <c r="B253" s="20"/>
      <c r="C253" s="20"/>
      <c r="D253" s="36"/>
      <c r="E253" s="20"/>
      <c r="F253" s="43"/>
      <c r="G253" s="20"/>
      <c r="H253" s="20"/>
      <c r="I253" s="20"/>
      <c r="J253" s="43"/>
      <c r="K253" s="20"/>
      <c r="L253" s="20"/>
      <c r="M253" s="20"/>
      <c r="N253" s="20"/>
      <c r="O253" s="20"/>
      <c r="P253" s="20"/>
      <c r="Q253" s="42"/>
      <c r="R253" s="20"/>
      <c r="S253" s="20"/>
      <c r="T253" s="20"/>
      <c r="U253" s="20"/>
    </row>
    <row r="254" spans="1:21" x14ac:dyDescent="0.25">
      <c r="A254" s="20"/>
      <c r="B254" s="20"/>
      <c r="C254" s="20"/>
      <c r="D254" s="36"/>
      <c r="E254" s="20"/>
      <c r="F254" s="43"/>
      <c r="G254" s="20"/>
      <c r="H254" s="20"/>
      <c r="I254" s="20"/>
      <c r="J254" s="43"/>
      <c r="K254" s="20"/>
      <c r="L254" s="20"/>
      <c r="M254" s="20"/>
      <c r="N254" s="20"/>
      <c r="O254" s="20"/>
      <c r="P254" s="20"/>
      <c r="Q254" s="42"/>
      <c r="R254" s="20"/>
      <c r="S254" s="20"/>
      <c r="T254" s="20"/>
      <c r="U254" s="20"/>
    </row>
    <row r="255" spans="1:21" x14ac:dyDescent="0.25">
      <c r="A255" s="20"/>
      <c r="B255" s="20"/>
      <c r="C255" s="20"/>
      <c r="D255" s="36"/>
      <c r="E255" s="20"/>
      <c r="F255" s="43"/>
      <c r="G255" s="20"/>
      <c r="H255" s="20"/>
      <c r="I255" s="20"/>
      <c r="J255" s="43"/>
      <c r="K255" s="20"/>
      <c r="L255" s="20"/>
      <c r="M255" s="20"/>
      <c r="N255" s="20"/>
      <c r="O255" s="20"/>
      <c r="P255" s="20"/>
      <c r="Q255" s="42"/>
      <c r="R255" s="20"/>
      <c r="S255" s="20"/>
      <c r="T255" s="20"/>
      <c r="U255" s="20"/>
    </row>
    <row r="256" spans="1:21" x14ac:dyDescent="0.25">
      <c r="A256" s="20"/>
      <c r="B256" s="20"/>
      <c r="C256" s="20"/>
      <c r="D256" s="36"/>
      <c r="E256" s="20"/>
      <c r="F256" s="43"/>
      <c r="G256" s="20"/>
      <c r="H256" s="20"/>
      <c r="I256" s="20"/>
      <c r="J256" s="43"/>
      <c r="K256" s="20"/>
      <c r="L256" s="20"/>
      <c r="M256" s="20"/>
      <c r="N256" s="20"/>
      <c r="O256" s="20"/>
      <c r="P256" s="20"/>
      <c r="Q256" s="42"/>
      <c r="R256" s="20"/>
      <c r="S256" s="20"/>
      <c r="T256" s="20"/>
      <c r="U256" s="20"/>
    </row>
    <row r="257" spans="1:21" x14ac:dyDescent="0.25">
      <c r="A257" s="20"/>
      <c r="B257" s="20"/>
      <c r="C257" s="20"/>
      <c r="D257" s="36"/>
      <c r="E257" s="20"/>
      <c r="F257" s="43"/>
      <c r="G257" s="20"/>
      <c r="H257" s="20"/>
      <c r="I257" s="20"/>
      <c r="J257" s="43"/>
      <c r="K257" s="20"/>
      <c r="L257" s="20"/>
      <c r="M257" s="20"/>
      <c r="N257" s="20"/>
      <c r="O257" s="20"/>
      <c r="P257" s="20"/>
      <c r="Q257" s="42"/>
      <c r="R257" s="20"/>
      <c r="S257" s="20"/>
      <c r="T257" s="20"/>
      <c r="U257" s="20"/>
    </row>
    <row r="258" spans="1:21" x14ac:dyDescent="0.25">
      <c r="A258" s="20"/>
      <c r="B258" s="20"/>
      <c r="C258" s="20"/>
      <c r="D258" s="36"/>
      <c r="E258" s="20"/>
      <c r="F258" s="43"/>
      <c r="G258" s="20"/>
      <c r="H258" s="20"/>
      <c r="I258" s="20"/>
      <c r="J258" s="43"/>
      <c r="K258" s="20"/>
      <c r="L258" s="20"/>
      <c r="M258" s="20"/>
      <c r="N258" s="20"/>
      <c r="O258" s="20"/>
      <c r="P258" s="20"/>
      <c r="Q258" s="42"/>
      <c r="R258" s="20"/>
      <c r="S258" s="20"/>
      <c r="T258" s="20"/>
      <c r="U258" s="20"/>
    </row>
    <row r="259" spans="1:21" x14ac:dyDescent="0.25">
      <c r="A259" s="20"/>
      <c r="B259" s="20"/>
      <c r="C259" s="20"/>
      <c r="D259" s="36"/>
      <c r="E259" s="20"/>
      <c r="F259" s="43"/>
      <c r="G259" s="20"/>
      <c r="H259" s="20"/>
      <c r="I259" s="20"/>
      <c r="J259" s="43"/>
      <c r="K259" s="20"/>
      <c r="L259" s="20"/>
      <c r="M259" s="20"/>
      <c r="N259" s="20"/>
      <c r="O259" s="20"/>
      <c r="P259" s="20"/>
      <c r="Q259" s="42"/>
      <c r="R259" s="20"/>
      <c r="S259" s="20"/>
      <c r="T259" s="20"/>
      <c r="U259" s="20"/>
    </row>
    <row r="260" spans="1:21" x14ac:dyDescent="0.25">
      <c r="A260" s="20"/>
      <c r="B260" s="20"/>
      <c r="C260" s="20"/>
      <c r="D260" s="36"/>
      <c r="E260" s="20"/>
      <c r="F260" s="43"/>
      <c r="G260" s="20"/>
      <c r="H260" s="20"/>
      <c r="I260" s="20"/>
      <c r="J260" s="43"/>
      <c r="K260" s="20"/>
      <c r="L260" s="20"/>
      <c r="M260" s="20"/>
      <c r="N260" s="20"/>
      <c r="O260" s="20"/>
      <c r="P260" s="20"/>
      <c r="Q260" s="42"/>
      <c r="R260" s="20"/>
      <c r="S260" s="20"/>
      <c r="T260" s="20"/>
      <c r="U260" s="20"/>
    </row>
    <row r="261" spans="1:21" x14ac:dyDescent="0.25">
      <c r="A261" s="20"/>
      <c r="B261" s="20"/>
      <c r="C261" s="20"/>
      <c r="D261" s="36"/>
      <c r="E261" s="20"/>
      <c r="F261" s="43"/>
      <c r="G261" s="20"/>
      <c r="H261" s="20"/>
      <c r="I261" s="20"/>
      <c r="J261" s="43"/>
      <c r="K261" s="20"/>
      <c r="L261" s="20"/>
      <c r="M261" s="20"/>
      <c r="N261" s="20"/>
      <c r="O261" s="20"/>
      <c r="P261" s="20"/>
      <c r="Q261" s="42"/>
      <c r="R261" s="20"/>
      <c r="S261" s="20"/>
      <c r="T261" s="20"/>
      <c r="U261" s="20"/>
    </row>
    <row r="262" spans="1:21" x14ac:dyDescent="0.25">
      <c r="A262" s="20"/>
      <c r="B262" s="20"/>
      <c r="C262" s="20"/>
      <c r="D262" s="36"/>
      <c r="E262" s="20"/>
      <c r="F262" s="43"/>
      <c r="G262" s="20"/>
      <c r="H262" s="20"/>
      <c r="I262" s="20"/>
      <c r="J262" s="43"/>
      <c r="K262" s="20"/>
      <c r="L262" s="20"/>
      <c r="M262" s="20"/>
      <c r="N262" s="20"/>
      <c r="O262" s="20"/>
      <c r="P262" s="20"/>
      <c r="Q262" s="42"/>
      <c r="R262" s="20"/>
      <c r="S262" s="20"/>
      <c r="T262" s="20"/>
      <c r="U262" s="20"/>
    </row>
    <row r="263" spans="1:21" x14ac:dyDescent="0.25">
      <c r="A263" s="20"/>
      <c r="B263" s="20"/>
      <c r="C263" s="20"/>
      <c r="D263" s="36"/>
      <c r="E263" s="20"/>
      <c r="F263" s="43"/>
      <c r="G263" s="20"/>
      <c r="H263" s="20"/>
      <c r="I263" s="20"/>
      <c r="J263" s="43"/>
      <c r="K263" s="20"/>
      <c r="L263" s="20"/>
      <c r="M263" s="20"/>
      <c r="N263" s="20"/>
      <c r="O263" s="20"/>
      <c r="P263" s="20"/>
      <c r="Q263" s="42"/>
      <c r="R263" s="20"/>
      <c r="S263" s="20"/>
      <c r="T263" s="20"/>
      <c r="U263" s="20"/>
    </row>
    <row r="264" spans="1:21" x14ac:dyDescent="0.25">
      <c r="A264" s="20"/>
      <c r="B264" s="20"/>
      <c r="C264" s="20"/>
      <c r="D264" s="36"/>
      <c r="E264" s="20"/>
      <c r="F264" s="43"/>
      <c r="G264" s="20"/>
      <c r="H264" s="20"/>
      <c r="I264" s="20"/>
      <c r="J264" s="43"/>
      <c r="K264" s="20"/>
      <c r="L264" s="20"/>
      <c r="M264" s="20"/>
      <c r="N264" s="20"/>
      <c r="O264" s="20"/>
      <c r="P264" s="20"/>
      <c r="Q264" s="42"/>
      <c r="R264" s="20"/>
      <c r="S264" s="20"/>
      <c r="T264" s="20"/>
      <c r="U264" s="20"/>
    </row>
    <row r="265" spans="1:21" x14ac:dyDescent="0.25">
      <c r="A265" s="20"/>
      <c r="B265" s="20"/>
      <c r="C265" s="20"/>
      <c r="D265" s="36"/>
      <c r="E265" s="20"/>
      <c r="F265" s="43"/>
      <c r="G265" s="20"/>
      <c r="H265" s="20"/>
      <c r="I265" s="20"/>
      <c r="J265" s="43"/>
      <c r="K265" s="20"/>
      <c r="L265" s="20"/>
      <c r="M265" s="20"/>
      <c r="N265" s="20"/>
      <c r="O265" s="20"/>
      <c r="P265" s="20"/>
      <c r="Q265" s="42"/>
      <c r="R265" s="20"/>
      <c r="S265" s="20"/>
      <c r="T265" s="20"/>
      <c r="U265" s="20"/>
    </row>
    <row r="266" spans="1:21" x14ac:dyDescent="0.25">
      <c r="A266" s="20"/>
      <c r="B266" s="20"/>
      <c r="C266" s="20"/>
      <c r="D266" s="36"/>
      <c r="E266" s="20"/>
      <c r="F266" s="43"/>
      <c r="G266" s="20"/>
      <c r="H266" s="20"/>
      <c r="I266" s="20"/>
      <c r="J266" s="43"/>
      <c r="K266" s="20"/>
      <c r="L266" s="20"/>
      <c r="M266" s="20"/>
      <c r="N266" s="20"/>
      <c r="O266" s="20"/>
      <c r="P266" s="20"/>
      <c r="Q266" s="42"/>
      <c r="R266" s="20"/>
      <c r="S266" s="20"/>
      <c r="T266" s="20"/>
      <c r="U266" s="20"/>
    </row>
    <row r="267" spans="1:21" x14ac:dyDescent="0.25">
      <c r="A267" s="20"/>
      <c r="B267" s="20"/>
      <c r="C267" s="20"/>
      <c r="D267" s="36"/>
      <c r="E267" s="20"/>
      <c r="F267" s="43"/>
      <c r="G267" s="20"/>
      <c r="H267" s="20"/>
      <c r="I267" s="20"/>
      <c r="J267" s="43"/>
      <c r="K267" s="20"/>
      <c r="L267" s="20"/>
      <c r="M267" s="20"/>
      <c r="N267" s="20"/>
      <c r="O267" s="20"/>
      <c r="P267" s="20"/>
      <c r="Q267" s="42"/>
      <c r="R267" s="20"/>
      <c r="S267" s="20"/>
      <c r="T267" s="20"/>
      <c r="U267" s="20"/>
    </row>
    <row r="268" spans="1:21" x14ac:dyDescent="0.25">
      <c r="A268" s="20"/>
      <c r="B268" s="20"/>
      <c r="C268" s="20"/>
      <c r="D268" s="36"/>
      <c r="E268" s="20"/>
      <c r="F268" s="43"/>
      <c r="G268" s="20"/>
      <c r="H268" s="20"/>
      <c r="I268" s="20"/>
      <c r="J268" s="43"/>
      <c r="K268" s="20"/>
      <c r="L268" s="20"/>
      <c r="M268" s="20"/>
      <c r="N268" s="20"/>
      <c r="O268" s="20"/>
      <c r="P268" s="20"/>
      <c r="Q268" s="42"/>
      <c r="R268" s="20"/>
      <c r="S268" s="20"/>
      <c r="T268" s="20"/>
      <c r="U268" s="20"/>
    </row>
    <row r="269" spans="1:21" x14ac:dyDescent="0.25">
      <c r="A269" s="20"/>
      <c r="B269" s="20"/>
      <c r="C269" s="20"/>
      <c r="D269" s="36"/>
      <c r="E269" s="20"/>
      <c r="F269" s="43"/>
      <c r="G269" s="20"/>
      <c r="H269" s="20"/>
      <c r="I269" s="20"/>
      <c r="J269" s="43"/>
      <c r="K269" s="20"/>
      <c r="L269" s="20"/>
      <c r="M269" s="20"/>
      <c r="N269" s="20"/>
      <c r="O269" s="20"/>
      <c r="P269" s="20"/>
      <c r="Q269" s="42"/>
      <c r="R269" s="20"/>
      <c r="S269" s="20"/>
      <c r="T269" s="20"/>
      <c r="U269" s="20"/>
    </row>
    <row r="270" spans="1:21" x14ac:dyDescent="0.25">
      <c r="A270" s="20"/>
      <c r="B270" s="20"/>
      <c r="C270" s="20"/>
      <c r="D270" s="36"/>
      <c r="E270" s="20"/>
      <c r="F270" s="43"/>
      <c r="G270" s="20"/>
      <c r="H270" s="20"/>
      <c r="I270" s="20"/>
      <c r="J270" s="43"/>
      <c r="K270" s="20"/>
      <c r="L270" s="20"/>
      <c r="M270" s="20"/>
      <c r="N270" s="20"/>
      <c r="O270" s="20"/>
      <c r="P270" s="20"/>
      <c r="Q270" s="42"/>
      <c r="R270" s="20"/>
      <c r="S270" s="20"/>
      <c r="T270" s="20"/>
      <c r="U270" s="20"/>
    </row>
    <row r="271" spans="1:21" x14ac:dyDescent="0.25">
      <c r="A271" s="20"/>
      <c r="B271" s="20"/>
      <c r="C271" s="20"/>
      <c r="D271" s="36"/>
      <c r="E271" s="20"/>
      <c r="F271" s="43"/>
      <c r="G271" s="20"/>
      <c r="H271" s="20"/>
      <c r="I271" s="20"/>
      <c r="J271" s="43"/>
      <c r="K271" s="20"/>
      <c r="L271" s="20"/>
      <c r="M271" s="20"/>
      <c r="N271" s="20"/>
      <c r="O271" s="20"/>
      <c r="P271" s="20"/>
      <c r="Q271" s="42"/>
      <c r="R271" s="20"/>
      <c r="S271" s="20"/>
      <c r="T271" s="20"/>
      <c r="U271" s="20"/>
    </row>
    <row r="272" spans="1:21" x14ac:dyDescent="0.25">
      <c r="A272" s="20"/>
      <c r="B272" s="20"/>
      <c r="C272" s="20"/>
      <c r="D272" s="36"/>
      <c r="E272" s="20"/>
      <c r="F272" s="43"/>
      <c r="G272" s="20"/>
      <c r="H272" s="20"/>
      <c r="I272" s="20"/>
      <c r="J272" s="43"/>
      <c r="K272" s="20"/>
      <c r="L272" s="20"/>
      <c r="M272" s="20"/>
      <c r="N272" s="20"/>
      <c r="O272" s="20"/>
      <c r="P272" s="20"/>
      <c r="Q272" s="42"/>
      <c r="R272" s="20"/>
      <c r="S272" s="20"/>
      <c r="T272" s="20"/>
      <c r="U272" s="20"/>
    </row>
    <row r="273" spans="1:21" x14ac:dyDescent="0.25">
      <c r="A273" s="20"/>
      <c r="B273" s="20"/>
      <c r="C273" s="20"/>
      <c r="D273" s="36"/>
      <c r="E273" s="20"/>
      <c r="F273" s="43"/>
      <c r="G273" s="20"/>
      <c r="H273" s="20"/>
      <c r="I273" s="20"/>
      <c r="J273" s="43"/>
      <c r="K273" s="20"/>
      <c r="L273" s="20"/>
      <c r="M273" s="20"/>
      <c r="N273" s="20"/>
      <c r="O273" s="20"/>
      <c r="P273" s="20"/>
      <c r="Q273" s="42"/>
      <c r="R273" s="20"/>
      <c r="S273" s="20"/>
      <c r="T273" s="20"/>
      <c r="U273" s="20"/>
    </row>
    <row r="274" spans="1:21" x14ac:dyDescent="0.25">
      <c r="A274" s="20"/>
      <c r="B274" s="20"/>
      <c r="C274" s="20"/>
      <c r="D274" s="36"/>
      <c r="E274" s="20"/>
      <c r="F274" s="43"/>
      <c r="G274" s="20"/>
      <c r="H274" s="20"/>
      <c r="I274" s="20"/>
      <c r="J274" s="43"/>
      <c r="K274" s="20"/>
      <c r="L274" s="20"/>
      <c r="M274" s="20"/>
      <c r="N274" s="20"/>
      <c r="O274" s="20"/>
      <c r="P274" s="20"/>
      <c r="Q274" s="42"/>
      <c r="R274" s="20"/>
      <c r="S274" s="20"/>
      <c r="T274" s="20"/>
      <c r="U274" s="20"/>
    </row>
    <row r="275" spans="1:21" x14ac:dyDescent="0.25">
      <c r="A275" s="20"/>
      <c r="B275" s="20"/>
      <c r="C275" s="20"/>
      <c r="D275" s="36"/>
      <c r="E275" s="20"/>
      <c r="F275" s="43"/>
      <c r="G275" s="20"/>
      <c r="H275" s="20"/>
      <c r="I275" s="20"/>
      <c r="J275" s="43"/>
      <c r="K275" s="20"/>
      <c r="L275" s="20"/>
      <c r="M275" s="20"/>
      <c r="N275" s="20"/>
      <c r="O275" s="20"/>
      <c r="P275" s="20"/>
      <c r="Q275" s="42"/>
      <c r="R275" s="20"/>
      <c r="S275" s="20"/>
      <c r="T275" s="20"/>
      <c r="U275" s="20"/>
    </row>
    <row r="276" spans="1:21" x14ac:dyDescent="0.25">
      <c r="A276" s="20"/>
      <c r="B276" s="20"/>
      <c r="C276" s="20"/>
      <c r="D276" s="36"/>
      <c r="E276" s="20"/>
      <c r="F276" s="43"/>
      <c r="G276" s="20"/>
      <c r="H276" s="20"/>
      <c r="I276" s="20"/>
      <c r="J276" s="43"/>
      <c r="K276" s="20"/>
      <c r="L276" s="20"/>
      <c r="M276" s="20"/>
      <c r="N276" s="20"/>
      <c r="O276" s="20"/>
      <c r="P276" s="20"/>
      <c r="Q276" s="42"/>
      <c r="R276" s="20"/>
      <c r="S276" s="20"/>
      <c r="T276" s="20"/>
      <c r="U276" s="20"/>
    </row>
    <row r="277" spans="1:21" x14ac:dyDescent="0.25">
      <c r="A277" s="20"/>
      <c r="B277" s="20"/>
      <c r="C277" s="20"/>
      <c r="D277" s="36"/>
      <c r="E277" s="20"/>
      <c r="F277" s="43"/>
      <c r="G277" s="20"/>
      <c r="H277" s="20"/>
      <c r="I277" s="20"/>
      <c r="J277" s="43"/>
      <c r="K277" s="20"/>
      <c r="L277" s="20"/>
      <c r="M277" s="20"/>
      <c r="N277" s="20"/>
      <c r="O277" s="20"/>
      <c r="P277" s="20"/>
      <c r="Q277" s="42"/>
      <c r="R277" s="20"/>
      <c r="S277" s="20"/>
      <c r="T277" s="20"/>
      <c r="U277" s="20"/>
    </row>
    <row r="278" spans="1:21" x14ac:dyDescent="0.25">
      <c r="A278" s="20"/>
      <c r="B278" s="20"/>
      <c r="C278" s="20"/>
      <c r="D278" s="36"/>
      <c r="E278" s="20"/>
      <c r="F278" s="43"/>
      <c r="G278" s="20"/>
      <c r="H278" s="20"/>
      <c r="I278" s="20"/>
      <c r="J278" s="43"/>
      <c r="K278" s="20"/>
      <c r="L278" s="20"/>
      <c r="M278" s="20"/>
      <c r="N278" s="20"/>
      <c r="O278" s="20"/>
      <c r="P278" s="20"/>
      <c r="Q278" s="42"/>
      <c r="R278" s="20"/>
      <c r="S278" s="20"/>
      <c r="T278" s="20"/>
      <c r="U278" s="20"/>
    </row>
    <row r="279" spans="1:21" x14ac:dyDescent="0.25">
      <c r="A279" s="20"/>
      <c r="B279" s="20"/>
      <c r="C279" s="20"/>
      <c r="D279" s="36"/>
      <c r="E279" s="20"/>
      <c r="F279" s="43"/>
      <c r="G279" s="20"/>
      <c r="H279" s="20"/>
      <c r="I279" s="20"/>
      <c r="J279" s="43"/>
      <c r="K279" s="20"/>
      <c r="L279" s="20"/>
      <c r="M279" s="20"/>
      <c r="N279" s="20"/>
      <c r="O279" s="20"/>
      <c r="P279" s="20"/>
      <c r="Q279" s="42"/>
      <c r="R279" s="20"/>
      <c r="S279" s="20"/>
      <c r="T279" s="20"/>
      <c r="U279" s="20"/>
    </row>
    <row r="280" spans="1:21" x14ac:dyDescent="0.25">
      <c r="A280" s="20"/>
      <c r="B280" s="20"/>
      <c r="C280" s="20"/>
      <c r="D280" s="36"/>
      <c r="E280" s="20"/>
      <c r="F280" s="43"/>
      <c r="G280" s="20"/>
      <c r="H280" s="20"/>
      <c r="I280" s="20"/>
      <c r="J280" s="43"/>
      <c r="K280" s="20"/>
      <c r="L280" s="20"/>
      <c r="M280" s="20"/>
      <c r="N280" s="20"/>
      <c r="O280" s="20"/>
      <c r="P280" s="20"/>
      <c r="Q280" s="42"/>
      <c r="R280" s="20"/>
      <c r="S280" s="20"/>
      <c r="T280" s="20"/>
      <c r="U280" s="20"/>
    </row>
    <row r="281" spans="1:21" x14ac:dyDescent="0.25">
      <c r="A281" s="20"/>
      <c r="B281" s="20"/>
      <c r="C281" s="20"/>
      <c r="D281" s="36"/>
      <c r="E281" s="20"/>
      <c r="F281" s="43"/>
      <c r="G281" s="20"/>
      <c r="H281" s="20"/>
      <c r="I281" s="20"/>
      <c r="J281" s="43"/>
      <c r="K281" s="20"/>
      <c r="L281" s="20"/>
      <c r="M281" s="20"/>
      <c r="N281" s="20"/>
      <c r="O281" s="20"/>
      <c r="P281" s="20"/>
      <c r="Q281" s="42"/>
      <c r="R281" s="20"/>
      <c r="S281" s="20"/>
      <c r="T281" s="20"/>
      <c r="U281" s="20"/>
    </row>
    <row r="282" spans="1:21" x14ac:dyDescent="0.25">
      <c r="A282" s="20"/>
      <c r="B282" s="20"/>
      <c r="C282" s="20"/>
      <c r="D282" s="36"/>
      <c r="E282" s="20"/>
      <c r="F282" s="43"/>
      <c r="G282" s="20"/>
      <c r="H282" s="20"/>
      <c r="I282" s="20"/>
      <c r="J282" s="43"/>
      <c r="K282" s="20"/>
      <c r="L282" s="20"/>
      <c r="M282" s="20"/>
      <c r="N282" s="20"/>
      <c r="O282" s="20"/>
      <c r="P282" s="20"/>
      <c r="Q282" s="42"/>
      <c r="R282" s="20"/>
      <c r="S282" s="20"/>
      <c r="T282" s="20"/>
      <c r="U282" s="20"/>
    </row>
    <row r="283" spans="1:21" x14ac:dyDescent="0.25">
      <c r="A283" s="20"/>
      <c r="B283" s="20"/>
      <c r="C283" s="20"/>
      <c r="D283" s="36"/>
      <c r="E283" s="20"/>
      <c r="F283" s="43"/>
      <c r="G283" s="20"/>
      <c r="H283" s="20"/>
      <c r="I283" s="20"/>
      <c r="J283" s="43"/>
      <c r="K283" s="20"/>
      <c r="L283" s="20"/>
      <c r="M283" s="20"/>
      <c r="N283" s="20"/>
      <c r="O283" s="20"/>
      <c r="P283" s="20"/>
      <c r="Q283" s="42"/>
      <c r="R283" s="20"/>
      <c r="S283" s="20"/>
      <c r="T283" s="20"/>
      <c r="U283" s="20"/>
    </row>
    <row r="284" spans="1:21" x14ac:dyDescent="0.25">
      <c r="A284" s="20"/>
      <c r="B284" s="20"/>
      <c r="C284" s="20"/>
      <c r="D284" s="36"/>
      <c r="E284" s="20"/>
      <c r="F284" s="43"/>
      <c r="G284" s="20"/>
      <c r="H284" s="20"/>
      <c r="I284" s="20"/>
      <c r="J284" s="43"/>
      <c r="K284" s="20"/>
      <c r="L284" s="20"/>
      <c r="M284" s="20"/>
      <c r="N284" s="20"/>
      <c r="O284" s="20"/>
      <c r="P284" s="20"/>
      <c r="Q284" s="42"/>
      <c r="R284" s="20"/>
      <c r="S284" s="20"/>
      <c r="T284" s="20"/>
      <c r="U284" s="20"/>
    </row>
    <row r="285" spans="1:21" x14ac:dyDescent="0.25">
      <c r="A285" s="20"/>
      <c r="B285" s="20"/>
      <c r="C285" s="20"/>
      <c r="D285" s="36"/>
      <c r="E285" s="20"/>
      <c r="F285" s="43"/>
      <c r="G285" s="20"/>
      <c r="H285" s="20"/>
      <c r="I285" s="20"/>
      <c r="J285" s="43"/>
      <c r="K285" s="20"/>
      <c r="L285" s="20"/>
      <c r="M285" s="20"/>
      <c r="N285" s="20"/>
      <c r="O285" s="20"/>
      <c r="P285" s="20"/>
      <c r="Q285" s="42"/>
      <c r="R285" s="20"/>
      <c r="S285" s="20"/>
      <c r="T285" s="20"/>
      <c r="U285" s="20"/>
    </row>
    <row r="286" spans="1:21" x14ac:dyDescent="0.25">
      <c r="A286" s="20"/>
      <c r="B286" s="20"/>
      <c r="C286" s="20"/>
      <c r="D286" s="36"/>
      <c r="E286" s="20"/>
      <c r="F286" s="43"/>
      <c r="G286" s="20"/>
      <c r="H286" s="20"/>
      <c r="I286" s="20"/>
      <c r="J286" s="43"/>
      <c r="K286" s="20"/>
      <c r="L286" s="20"/>
      <c r="M286" s="20"/>
      <c r="N286" s="20"/>
      <c r="O286" s="20"/>
      <c r="P286" s="20"/>
      <c r="Q286" s="42"/>
      <c r="R286" s="20"/>
      <c r="S286" s="20"/>
      <c r="T286" s="20"/>
      <c r="U286" s="20"/>
    </row>
    <row r="287" spans="1:21" x14ac:dyDescent="0.25">
      <c r="A287" s="20"/>
      <c r="B287" s="20"/>
      <c r="C287" s="20"/>
      <c r="D287" s="36"/>
      <c r="E287" s="20"/>
      <c r="F287" s="43"/>
      <c r="G287" s="20"/>
      <c r="H287" s="20"/>
      <c r="I287" s="20"/>
      <c r="J287" s="43"/>
      <c r="K287" s="20"/>
      <c r="L287" s="20"/>
      <c r="M287" s="20"/>
      <c r="N287" s="20"/>
      <c r="O287" s="20"/>
      <c r="P287" s="20"/>
      <c r="Q287" s="42"/>
      <c r="R287" s="20"/>
      <c r="S287" s="20"/>
      <c r="T287" s="20"/>
      <c r="U287" s="20"/>
    </row>
    <row r="288" spans="1:21" x14ac:dyDescent="0.25">
      <c r="A288" s="20"/>
      <c r="B288" s="20"/>
      <c r="C288" s="20"/>
      <c r="D288" s="36"/>
      <c r="E288" s="20"/>
      <c r="F288" s="43"/>
      <c r="G288" s="20"/>
      <c r="H288" s="20"/>
      <c r="I288" s="20"/>
      <c r="J288" s="43"/>
      <c r="K288" s="20"/>
      <c r="L288" s="20"/>
      <c r="M288" s="20"/>
      <c r="N288" s="20"/>
      <c r="O288" s="20"/>
      <c r="P288" s="20"/>
      <c r="Q288" s="42"/>
      <c r="R288" s="20"/>
      <c r="S288" s="20"/>
      <c r="T288" s="20"/>
      <c r="U288" s="20"/>
    </row>
    <row r="289" spans="1:21" x14ac:dyDescent="0.25">
      <c r="A289" s="20"/>
      <c r="B289" s="20"/>
      <c r="C289" s="20"/>
      <c r="D289" s="36"/>
      <c r="E289" s="20"/>
      <c r="F289" s="43"/>
      <c r="G289" s="20"/>
      <c r="H289" s="20"/>
      <c r="I289" s="20"/>
      <c r="J289" s="43"/>
      <c r="K289" s="20"/>
      <c r="L289" s="20"/>
      <c r="M289" s="20"/>
      <c r="N289" s="20"/>
      <c r="O289" s="20"/>
      <c r="P289" s="20"/>
      <c r="Q289" s="42"/>
      <c r="R289" s="20"/>
      <c r="S289" s="20"/>
      <c r="T289" s="20"/>
      <c r="U289" s="20"/>
    </row>
    <row r="290" spans="1:21" x14ac:dyDescent="0.25">
      <c r="A290" s="20"/>
      <c r="B290" s="20"/>
      <c r="C290" s="20"/>
      <c r="D290" s="36"/>
      <c r="E290" s="20"/>
      <c r="F290" s="43"/>
      <c r="G290" s="20"/>
      <c r="H290" s="20"/>
      <c r="I290" s="20"/>
      <c r="J290" s="43"/>
      <c r="K290" s="20"/>
      <c r="L290" s="20"/>
      <c r="M290" s="20"/>
      <c r="N290" s="20"/>
      <c r="O290" s="20"/>
      <c r="P290" s="20"/>
      <c r="Q290" s="42"/>
      <c r="R290" s="20"/>
      <c r="S290" s="20"/>
      <c r="T290" s="20"/>
      <c r="U290" s="20"/>
    </row>
    <row r="291" spans="1:21" x14ac:dyDescent="0.25">
      <c r="A291" s="20"/>
      <c r="B291" s="20"/>
      <c r="C291" s="20"/>
      <c r="D291" s="36"/>
      <c r="E291" s="20"/>
      <c r="F291" s="43"/>
      <c r="G291" s="20"/>
      <c r="H291" s="20"/>
      <c r="I291" s="20"/>
      <c r="J291" s="43"/>
      <c r="K291" s="20"/>
      <c r="L291" s="20"/>
      <c r="M291" s="20"/>
      <c r="N291" s="20"/>
      <c r="O291" s="20"/>
      <c r="P291" s="20"/>
      <c r="Q291" s="42"/>
      <c r="R291" s="20"/>
      <c r="S291" s="20"/>
      <c r="T291" s="20"/>
      <c r="U291" s="20"/>
    </row>
    <row r="292" spans="1:21" x14ac:dyDescent="0.25">
      <c r="A292" s="20"/>
      <c r="B292" s="20"/>
      <c r="C292" s="20"/>
      <c r="D292" s="36"/>
      <c r="E292" s="20"/>
      <c r="F292" s="43"/>
      <c r="G292" s="20"/>
      <c r="H292" s="20"/>
      <c r="I292" s="20"/>
      <c r="J292" s="43"/>
      <c r="K292" s="20"/>
      <c r="L292" s="20"/>
      <c r="M292" s="20"/>
      <c r="N292" s="20"/>
      <c r="O292" s="20"/>
      <c r="P292" s="20"/>
      <c r="Q292" s="42"/>
      <c r="R292" s="20"/>
      <c r="S292" s="20"/>
      <c r="T292" s="20"/>
      <c r="U292" s="20"/>
    </row>
    <row r="293" spans="1:21" x14ac:dyDescent="0.25">
      <c r="A293" s="20"/>
      <c r="B293" s="20"/>
      <c r="C293" s="20"/>
      <c r="D293" s="36"/>
      <c r="E293" s="20"/>
      <c r="F293" s="43"/>
      <c r="G293" s="20"/>
      <c r="H293" s="20"/>
      <c r="I293" s="20"/>
      <c r="J293" s="43"/>
      <c r="K293" s="20"/>
      <c r="L293" s="20"/>
      <c r="M293" s="20"/>
      <c r="N293" s="20"/>
      <c r="O293" s="20"/>
      <c r="P293" s="20"/>
      <c r="Q293" s="42"/>
      <c r="R293" s="20"/>
      <c r="S293" s="20"/>
      <c r="T293" s="20"/>
      <c r="U293" s="20"/>
    </row>
    <row r="294" spans="1:21" x14ac:dyDescent="0.25">
      <c r="A294" s="20"/>
      <c r="B294" s="20"/>
      <c r="C294" s="20"/>
      <c r="D294" s="36"/>
      <c r="E294" s="20"/>
      <c r="F294" s="43"/>
      <c r="G294" s="20"/>
      <c r="H294" s="20"/>
      <c r="I294" s="20"/>
      <c r="J294" s="43"/>
      <c r="K294" s="20"/>
      <c r="L294" s="20"/>
      <c r="M294" s="20"/>
      <c r="N294" s="20"/>
      <c r="O294" s="20"/>
      <c r="P294" s="20"/>
      <c r="Q294" s="42"/>
      <c r="R294" s="20"/>
      <c r="S294" s="20"/>
      <c r="T294" s="20"/>
      <c r="U294" s="20"/>
    </row>
    <row r="295" spans="1:21" x14ac:dyDescent="0.25">
      <c r="A295" s="20"/>
      <c r="B295" s="20"/>
      <c r="C295" s="20"/>
      <c r="D295" s="36"/>
      <c r="E295" s="20"/>
      <c r="F295" s="43"/>
      <c r="G295" s="20"/>
      <c r="H295" s="20"/>
      <c r="I295" s="20"/>
      <c r="J295" s="43"/>
      <c r="K295" s="20"/>
      <c r="L295" s="20"/>
      <c r="M295" s="20"/>
      <c r="N295" s="20"/>
      <c r="O295" s="20"/>
      <c r="P295" s="20"/>
      <c r="Q295" s="42"/>
      <c r="R295" s="20"/>
      <c r="S295" s="20"/>
      <c r="T295" s="20"/>
      <c r="U295" s="20"/>
    </row>
  </sheetData>
  <mergeCells count="88">
    <mergeCell ref="AK4:AL4"/>
    <mergeCell ref="B126:D126"/>
    <mergeCell ref="E113:F113"/>
    <mergeCell ref="H113:I113"/>
    <mergeCell ref="B205:M205"/>
    <mergeCell ref="B161:D161"/>
    <mergeCell ref="N36:O36"/>
    <mergeCell ref="N30:R32"/>
    <mergeCell ref="N28:R29"/>
    <mergeCell ref="A203:U203"/>
    <mergeCell ref="N97:O97"/>
    <mergeCell ref="N98:O98"/>
    <mergeCell ref="N99:O99"/>
    <mergeCell ref="N100:O100"/>
    <mergeCell ref="N96:O96"/>
    <mergeCell ref="N107:O107"/>
    <mergeCell ref="F102:H102"/>
    <mergeCell ref="D206:F206"/>
    <mergeCell ref="G206:M206"/>
    <mergeCell ref="V1:V1048576"/>
    <mergeCell ref="A24:U24"/>
    <mergeCell ref="A71:U71"/>
    <mergeCell ref="A91:U91"/>
    <mergeCell ref="A124:U124"/>
    <mergeCell ref="A154:U154"/>
    <mergeCell ref="A184:U184"/>
    <mergeCell ref="A186:U186"/>
    <mergeCell ref="A43:U43"/>
    <mergeCell ref="N102:O102"/>
    <mergeCell ref="N103:O103"/>
    <mergeCell ref="N104:O104"/>
    <mergeCell ref="N105:O105"/>
    <mergeCell ref="F93:H93"/>
    <mergeCell ref="B99:D99"/>
    <mergeCell ref="O114:P114"/>
    <mergeCell ref="H7:I7"/>
    <mergeCell ref="H8:I8"/>
    <mergeCell ref="H9:I9"/>
    <mergeCell ref="H10:I10"/>
    <mergeCell ref="N10:O10"/>
    <mergeCell ref="H21:I21"/>
    <mergeCell ref="N101:P101"/>
    <mergeCell ref="N93:P93"/>
    <mergeCell ref="B67:L67"/>
    <mergeCell ref="N108:O108"/>
    <mergeCell ref="N109:O109"/>
    <mergeCell ref="N110:O110"/>
    <mergeCell ref="N111:O111"/>
    <mergeCell ref="N12:O12"/>
    <mergeCell ref="N13:O13"/>
    <mergeCell ref="N16:O16"/>
    <mergeCell ref="N17:O17"/>
    <mergeCell ref="H18:I18"/>
    <mergeCell ref="H17:L17"/>
    <mergeCell ref="N18:O18"/>
    <mergeCell ref="H22:I22"/>
    <mergeCell ref="H11:I11"/>
    <mergeCell ref="H12:I12"/>
    <mergeCell ref="H13:I13"/>
    <mergeCell ref="H14:I14"/>
    <mergeCell ref="H15:I15"/>
    <mergeCell ref="H19:I19"/>
    <mergeCell ref="H20:I20"/>
    <mergeCell ref="S93:T93"/>
    <mergeCell ref="S101:T101"/>
    <mergeCell ref="Q101:R101"/>
    <mergeCell ref="N94:O94"/>
    <mergeCell ref="N20:O20"/>
    <mergeCell ref="N21:O21"/>
    <mergeCell ref="N22:O22"/>
    <mergeCell ref="Q93:R93"/>
    <mergeCell ref="N95:O95"/>
    <mergeCell ref="H2:L2"/>
    <mergeCell ref="N2:R2"/>
    <mergeCell ref="N7:R7"/>
    <mergeCell ref="N11:R11"/>
    <mergeCell ref="N15:R15"/>
    <mergeCell ref="N3:R3"/>
    <mergeCell ref="N14:O14"/>
    <mergeCell ref="N4:O4"/>
    <mergeCell ref="N5:O5"/>
    <mergeCell ref="N6:O6"/>
    <mergeCell ref="N8:O8"/>
    <mergeCell ref="N9:O9"/>
    <mergeCell ref="H3:I3"/>
    <mergeCell ref="H4:I4"/>
    <mergeCell ref="H5:I5"/>
    <mergeCell ref="H6:I6"/>
  </mergeCells>
  <dataValidations disablePrompts="1" count="2">
    <dataValidation type="list" allowBlank="1" showInputMessage="1" showErrorMessage="1" sqref="S96" xr:uid="{1085C8B2-9488-406F-9642-7DC2D5C8F4EA}">
      <formula1>$AG$5:$AK$5</formula1>
    </dataValidation>
    <dataValidation type="list" allowBlank="1" showInputMessage="1" showErrorMessage="1" sqref="P108" xr:uid="{00000000-0002-0000-0000-000014000000}">
      <formula1>$R$107:$R$109</formula1>
    </dataValidation>
  </dataValidations>
  <pageMargins left="0.7" right="0.7" top="0.75" bottom="0.75" header="0.3" footer="0.3"/>
  <pageSetup orientation="portrait" r:id="rId1"/>
  <ignoredErrors>
    <ignoredError sqref="I7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YE_2">
                <anchor moveWithCells="1" sizeWithCells="1">
                  <from>
                    <xdr:col>16</xdr:col>
                    <xdr:colOff>57150</xdr:colOff>
                    <xdr:row>177</xdr:row>
                    <xdr:rowOff>95250</xdr:rowOff>
                  </from>
                  <to>
                    <xdr:col>18</xdr:col>
                    <xdr:colOff>19050</xdr:colOff>
                    <xdr:row>180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D_Inicial</vt:lpstr>
      <vt:lpstr>D_Energetico_A</vt:lpstr>
      <vt:lpstr>D_Energetico_B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2019-05-28T16:41:33Z</dcterms:modified>
</cp:coreProperties>
</file>