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8.xml" ContentType="application/vnd.openxmlformats-officedocument.spreadsheetml.table+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tables/table9.xml" ContentType="application/vnd.openxmlformats-officedocument.spreadsheetml.table+xml"/>
  <Override PartName="/xl/pivotTables/pivotTable11.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ables/table10.xml" ContentType="application/vnd.openxmlformats-officedocument.spreadsheetml.table+xml"/>
  <Override PartName="/xl/pivotTables/pivotTable20.xml" ContentType="application/vnd.openxmlformats-officedocument.spreadsheetml.pivotTab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ables/table11.xml" ContentType="application/vnd.openxmlformats-officedocument.spreadsheetml.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tables/table12.xml" ContentType="application/vnd.openxmlformats-officedocument.spreadsheetml.table+xml"/>
  <Override PartName="/xl/pivotTables/pivotTable23.xml" ContentType="application/vnd.openxmlformats-officedocument.spreadsheetml.pivot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Lumuli\Desktop\"/>
    </mc:Choice>
  </mc:AlternateContent>
  <bookViews>
    <workbookView showSheetTabs="0" xWindow="0" yWindow="0" windowWidth="20490" windowHeight="9045" firstSheet="7" activeTab="7"/>
  </bookViews>
  <sheets>
    <sheet name="Summary" sheetId="6" state="hidden" r:id="rId1"/>
    <sheet name="Dashboard" sheetId="15" r:id="rId2"/>
    <sheet name="Targets" sheetId="31" state="hidden" r:id="rId3"/>
    <sheet name="REPORT" sheetId="21" state="hidden" r:id="rId4"/>
    <sheet name="REPORT DB" sheetId="32" r:id="rId5"/>
    <sheet name="Final Report" sheetId="34" r:id="rId6"/>
    <sheet name="February 2022" sheetId="40" r:id="rId7"/>
    <sheet name="Gap Analysis" sheetId="39" r:id="rId8"/>
    <sheet name="Sheet1" sheetId="37" r:id="rId9"/>
    <sheet name="TEAM" sheetId="35" r:id="rId10"/>
    <sheet name="FEB ORDERvsPRO" sheetId="28" r:id="rId11"/>
    <sheet name="Products Pivot" sheetId="18" r:id="rId12"/>
    <sheet name="Productive Outlets" sheetId="19" r:id="rId13"/>
    <sheet name="Delivery " sheetId="22" state="hidden" r:id="rId14"/>
    <sheet name="Return pv" sheetId="30" state="hidden" r:id="rId15"/>
    <sheet name="Returns Data" sheetId="26" r:id="rId16"/>
    <sheet name="NON Dispatch Pivot" sheetId="33" state="hidden" r:id="rId17"/>
    <sheet name="Data" sheetId="14" r:id="rId18"/>
    <sheet name="FSAs" sheetId="36" r:id="rId19"/>
    <sheet name="Reach Data" sheetId="17" r:id="rId20"/>
    <sheet name="RC" sheetId="27" r:id="rId21"/>
    <sheet name="Sheet2" sheetId="10" state="hidden" r:id="rId22"/>
  </sheets>
  <definedNames>
    <definedName name="_xlcn.WorksheetConnection_HillSideData.xlsxTable111" hidden="1">Table11[]</definedName>
    <definedName name="_xlcn.WorksheetConnection_HillSideData.xlsxTable121" hidden="1">Table12[]</definedName>
    <definedName name="_xlcn.WorksheetConnection_HillSideData.xlsxTable61" hidden="1">DATA[]</definedName>
    <definedName name="Slicer_Date">#N/A</definedName>
    <definedName name="Slicer_Month">#N/A</definedName>
    <definedName name="Slicer_Week">#N/A</definedName>
    <definedName name="Slicer_Week1">#N/A</definedName>
    <definedName name="Slicer_Week2">#N/A</definedName>
    <definedName name="Slicer_Week3">#N/A</definedName>
    <definedName name="Slicer_Year">#N/A</definedName>
  </definedNames>
  <calcPr calcId="152511"/>
  <pivotCaches>
    <pivotCache cacheId="49" r:id="rId23"/>
    <pivotCache cacheId="50" r:id="rId24"/>
    <pivotCache cacheId="51" r:id="rId25"/>
    <pivotCache cacheId="52" r:id="rId26"/>
    <pivotCache cacheId="53" r:id="rId27"/>
    <pivotCache cacheId="54" r:id="rId28"/>
    <pivotCache cacheId="55" r:id="rId29"/>
    <pivotCache cacheId="56" r:id="rId30"/>
    <pivotCache cacheId="57" r:id="rId31"/>
    <pivotCache cacheId="58" r:id="rId32"/>
    <pivotCache cacheId="59" r:id="rId33"/>
    <pivotCache cacheId="60" r:id="rId34"/>
    <pivotCache cacheId="61" r:id="rId35"/>
    <pivotCache cacheId="62" r:id="rId36"/>
    <pivotCache cacheId="63" r:id="rId37"/>
    <pivotCache cacheId="64" r:id="rId38"/>
    <pivotCache cacheId="65" r:id="rId39"/>
    <pivotCache cacheId="66" r:id="rId40"/>
    <pivotCache cacheId="67" r:id="rId41"/>
    <pivotCache cacheId="68" r:id="rId42"/>
    <pivotCache cacheId="69" r:id="rId43"/>
    <pivotCache cacheId="70" r:id="rId44"/>
    <pivotCache cacheId="71" r:id="rId45"/>
  </pivotCaches>
  <extLst>
    <ext xmlns:x14="http://schemas.microsoft.com/office/spreadsheetml/2009/9/main" uri="{876F7934-8845-4945-9796-88D515C7AA90}">
      <x14:pivotCaches>
        <pivotCache cacheId="72" r:id="rId46"/>
        <pivotCache cacheId="73" r:id="rId47"/>
        <pivotCache cacheId="74" r:id="rId48"/>
        <pivotCache cacheId="75" r:id="rId49"/>
        <pivotCache cacheId="76" r:id="rId50"/>
        <pivotCache cacheId="77" r:id="rId51"/>
      </x14:pivotCaches>
    </ext>
    <ext xmlns:x14="http://schemas.microsoft.com/office/spreadsheetml/2009/9/main" uri="{BBE1A952-AA13-448e-AADC-164F8A28A991}">
      <x14:slicerCaches>
        <x14:slicerCache r:id="rId52"/>
        <x14:slicerCache r:id="rId53"/>
        <x14:slicerCache r:id="rId54"/>
        <x14:slicerCache r:id="rId55"/>
        <x14:slicerCache r:id="rId56"/>
        <x14:slicerCache r:id="rId57"/>
        <x14:slicerCache r:id="rId5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Table6" connection="WorksheetConnection_HillSide Data.xlsx!Table6"/>
          <x15:modelTable id="Table12" name="Table12" connection="WorksheetConnection_HillSide Data.xlsx!Table12"/>
          <x15:modelTable id="Table11" name="Table11" connection="WorksheetConnection_HillSide Data.xlsx!Table11"/>
        </x15:modelTables>
        <x15:extLst>
          <ext xmlns:x16="http://schemas.microsoft.com/office/spreadsheetml/2014/11/main" uri="{9835A34E-60A6-4A7C-AAB8-D5F71C897F49}">
            <x16:modelTimeGroupings>
              <x16:modelTimeGrouping tableName="Table6"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55" i="39" l="1"/>
  <c r="H56" i="39"/>
  <c r="H57" i="39"/>
  <c r="H58" i="39"/>
  <c r="H59" i="39"/>
  <c r="H60" i="39"/>
  <c r="H61" i="39"/>
  <c r="H62" i="39"/>
  <c r="H63" i="39"/>
  <c r="H64" i="39"/>
  <c r="H65" i="39"/>
  <c r="H66" i="39"/>
  <c r="H67" i="39"/>
  <c r="H68" i="39"/>
  <c r="H69" i="39"/>
  <c r="H70" i="39"/>
  <c r="H71" i="39"/>
  <c r="H72" i="39"/>
  <c r="H73" i="39"/>
  <c r="H74" i="39"/>
  <c r="H75" i="39"/>
  <c r="H76" i="39"/>
  <c r="H77" i="39"/>
  <c r="H78" i="39"/>
  <c r="H79" i="39"/>
  <c r="H80" i="39"/>
  <c r="H81" i="39"/>
  <c r="H82" i="39"/>
  <c r="H83" i="39"/>
  <c r="H84" i="39"/>
  <c r="H85" i="39"/>
  <c r="H86" i="39"/>
  <c r="H87" i="39"/>
  <c r="H88" i="39"/>
  <c r="H89" i="39"/>
  <c r="H90" i="39"/>
  <c r="H91" i="39"/>
  <c r="H92" i="39"/>
  <c r="H93" i="39"/>
  <c r="H94" i="39"/>
  <c r="H95" i="39"/>
  <c r="H96" i="39"/>
  <c r="H97" i="39"/>
  <c r="H98" i="39"/>
  <c r="H99" i="39"/>
  <c r="H100" i="39"/>
  <c r="H101" i="39"/>
  <c r="H102" i="39"/>
  <c r="H103" i="39"/>
  <c r="H104" i="39"/>
  <c r="H105" i="39"/>
  <c r="H106" i="39"/>
  <c r="H107" i="39"/>
  <c r="H108" i="39"/>
  <c r="H109" i="39"/>
  <c r="H110" i="39"/>
  <c r="H111" i="39"/>
  <c r="H112" i="39"/>
  <c r="H113" i="39"/>
  <c r="H114" i="39"/>
  <c r="H115" i="39"/>
  <c r="H116" i="39"/>
  <c r="H117" i="39"/>
  <c r="H118" i="39"/>
  <c r="H119" i="39"/>
  <c r="H120" i="39"/>
  <c r="H121" i="39"/>
  <c r="H122" i="39"/>
  <c r="H123" i="39"/>
  <c r="H124" i="39"/>
  <c r="H125" i="39"/>
  <c r="H126" i="39"/>
  <c r="H127" i="39"/>
  <c r="H128" i="39"/>
  <c r="H129" i="39"/>
  <c r="H130" i="39"/>
  <c r="H131" i="39"/>
  <c r="H132" i="39"/>
  <c r="H133" i="39"/>
  <c r="H134" i="39"/>
  <c r="H135" i="39"/>
  <c r="H136" i="39"/>
  <c r="H137" i="39"/>
  <c r="H138" i="39"/>
  <c r="H139" i="39"/>
  <c r="H140" i="39"/>
  <c r="H141" i="39"/>
  <c r="H142" i="39"/>
  <c r="H143" i="39"/>
  <c r="H144" i="39"/>
  <c r="H145" i="39"/>
  <c r="H146" i="39"/>
  <c r="H147" i="39"/>
  <c r="H148" i="39"/>
  <c r="H149" i="39"/>
  <c r="H150" i="39"/>
  <c r="H151" i="39"/>
  <c r="H152" i="39"/>
  <c r="H153" i="39"/>
  <c r="H154" i="39"/>
  <c r="H155" i="39"/>
  <c r="H156" i="39"/>
  <c r="H157" i="39"/>
  <c r="H158" i="39"/>
  <c r="H159" i="39"/>
  <c r="H160" i="39"/>
  <c r="H161" i="39"/>
  <c r="H162" i="39"/>
  <c r="H163" i="39"/>
  <c r="H164" i="39"/>
  <c r="H165" i="39"/>
  <c r="H166" i="39"/>
  <c r="H167" i="39"/>
  <c r="H168" i="39"/>
  <c r="H169" i="39"/>
  <c r="H170" i="39"/>
  <c r="H171" i="39"/>
  <c r="H172" i="39"/>
  <c r="H173" i="39"/>
  <c r="H174" i="39"/>
  <c r="H175" i="39"/>
  <c r="H176" i="39"/>
  <c r="H177" i="39"/>
  <c r="H178" i="39"/>
  <c r="H179" i="39"/>
  <c r="H180" i="39"/>
  <c r="H181" i="39"/>
  <c r="H182" i="39"/>
  <c r="H183" i="39"/>
  <c r="H184" i="39"/>
  <c r="H185" i="39"/>
  <c r="H54" i="39"/>
  <c r="E23" i="39"/>
  <c r="E24" i="39"/>
  <c r="E25" i="39"/>
  <c r="E26" i="39"/>
  <c r="E27" i="39"/>
  <c r="E28" i="39"/>
  <c r="E29" i="39"/>
  <c r="E30" i="39"/>
  <c r="E31" i="39"/>
  <c r="E32" i="39"/>
  <c r="E33" i="39"/>
  <c r="E34" i="39"/>
  <c r="E35" i="39"/>
  <c r="E36" i="39"/>
  <c r="E37" i="39"/>
  <c r="E38" i="39"/>
  <c r="E39" i="39"/>
  <c r="E40" i="39"/>
  <c r="E41" i="39"/>
  <c r="E42" i="39"/>
  <c r="E43" i="39"/>
  <c r="E44" i="39"/>
  <c r="E22" i="39"/>
  <c r="F18" i="34"/>
  <c r="F19" i="34"/>
  <c r="D41" i="34"/>
  <c r="D24" i="39" s="1"/>
  <c r="F39" i="34"/>
  <c r="U165" i="39"/>
  <c r="U166" i="39"/>
  <c r="U167" i="39"/>
  <c r="U168" i="39"/>
  <c r="U169" i="39"/>
  <c r="U170" i="39"/>
  <c r="U171" i="39"/>
  <c r="U172" i="39"/>
  <c r="U173" i="39"/>
  <c r="U174" i="39"/>
  <c r="U175" i="39"/>
  <c r="U176" i="39"/>
  <c r="U177" i="39"/>
  <c r="U178" i="39"/>
  <c r="U179" i="39"/>
  <c r="U180" i="39"/>
  <c r="U181" i="39"/>
  <c r="U182" i="39"/>
  <c r="U183" i="39"/>
  <c r="U184" i="39"/>
  <c r="U185" i="39"/>
  <c r="G55" i="39"/>
  <c r="G56" i="39"/>
  <c r="G57" i="39"/>
  <c r="G58" i="39"/>
  <c r="G59" i="39"/>
  <c r="G60" i="39"/>
  <c r="G61" i="39"/>
  <c r="G62" i="39"/>
  <c r="G63" i="39"/>
  <c r="G64" i="39"/>
  <c r="G65" i="39"/>
  <c r="G66" i="39"/>
  <c r="G67" i="39"/>
  <c r="G68" i="39"/>
  <c r="G69" i="39"/>
  <c r="G70" i="39"/>
  <c r="G71" i="39"/>
  <c r="G72" i="39"/>
  <c r="G73" i="39"/>
  <c r="G74" i="39"/>
  <c r="G75" i="39"/>
  <c r="G76" i="39"/>
  <c r="G77" i="39"/>
  <c r="G78" i="39"/>
  <c r="G79" i="39"/>
  <c r="G80" i="39"/>
  <c r="G81" i="39"/>
  <c r="G82" i="39"/>
  <c r="G83" i="39"/>
  <c r="G84" i="39"/>
  <c r="G85" i="39"/>
  <c r="G86" i="39"/>
  <c r="G87" i="39"/>
  <c r="G88" i="39"/>
  <c r="G89" i="39"/>
  <c r="G90" i="39"/>
  <c r="G91" i="39"/>
  <c r="G92" i="39"/>
  <c r="G93" i="39"/>
  <c r="G94" i="39"/>
  <c r="G95" i="39"/>
  <c r="G96" i="39"/>
  <c r="G97" i="39"/>
  <c r="G98" i="39"/>
  <c r="G99" i="39"/>
  <c r="G100" i="39"/>
  <c r="G101" i="39"/>
  <c r="G102" i="39"/>
  <c r="G103" i="39"/>
  <c r="G104" i="39"/>
  <c r="G105" i="39"/>
  <c r="G106" i="39"/>
  <c r="G107" i="39"/>
  <c r="G108" i="39"/>
  <c r="G109" i="39"/>
  <c r="G110" i="39"/>
  <c r="G111" i="39"/>
  <c r="G112" i="39"/>
  <c r="G113" i="39"/>
  <c r="G114" i="39"/>
  <c r="G115" i="39"/>
  <c r="G116" i="39"/>
  <c r="G117" i="39"/>
  <c r="G118" i="39"/>
  <c r="G119" i="39"/>
  <c r="G120" i="39"/>
  <c r="G121" i="39"/>
  <c r="G122" i="39"/>
  <c r="G123" i="39"/>
  <c r="G124" i="39"/>
  <c r="G125" i="39"/>
  <c r="G126" i="39"/>
  <c r="G127" i="39"/>
  <c r="G128" i="39"/>
  <c r="G129" i="39"/>
  <c r="G130" i="39"/>
  <c r="G131" i="39"/>
  <c r="G132" i="39"/>
  <c r="G133" i="39"/>
  <c r="G134" i="39"/>
  <c r="G135" i="39"/>
  <c r="G136" i="39"/>
  <c r="G137" i="39"/>
  <c r="G138" i="39"/>
  <c r="G139" i="39"/>
  <c r="G140" i="39"/>
  <c r="G141" i="39"/>
  <c r="G142" i="39"/>
  <c r="G143" i="39"/>
  <c r="G144" i="39"/>
  <c r="G145" i="39"/>
  <c r="G146" i="39"/>
  <c r="G147" i="39"/>
  <c r="G148" i="39"/>
  <c r="G149" i="39"/>
  <c r="G150" i="39"/>
  <c r="G151" i="39"/>
  <c r="G152" i="39"/>
  <c r="G153" i="39"/>
  <c r="G154" i="39"/>
  <c r="G155" i="39"/>
  <c r="G156" i="39"/>
  <c r="G157" i="39"/>
  <c r="G158" i="39"/>
  <c r="G159" i="39"/>
  <c r="G160" i="39"/>
  <c r="G161" i="39"/>
  <c r="G162" i="39"/>
  <c r="G163" i="39"/>
  <c r="G164" i="39"/>
  <c r="G165" i="39"/>
  <c r="G166" i="39"/>
  <c r="G167" i="39"/>
  <c r="G168" i="39"/>
  <c r="G169" i="39"/>
  <c r="G170" i="39"/>
  <c r="G171" i="39"/>
  <c r="G172" i="39"/>
  <c r="G173" i="39"/>
  <c r="G174" i="39"/>
  <c r="G175" i="39"/>
  <c r="G176" i="39"/>
  <c r="G177" i="39"/>
  <c r="G178" i="39"/>
  <c r="G179" i="39"/>
  <c r="G180" i="39"/>
  <c r="G181" i="39"/>
  <c r="G182" i="39"/>
  <c r="G183" i="39"/>
  <c r="G184" i="39"/>
  <c r="G185" i="39"/>
  <c r="G54" i="39"/>
  <c r="C23" i="39"/>
  <c r="C24" i="39"/>
  <c r="C25" i="39"/>
  <c r="C26" i="39"/>
  <c r="C27" i="39"/>
  <c r="C28" i="39"/>
  <c r="C29" i="39"/>
  <c r="C30" i="39"/>
  <c r="C31" i="39"/>
  <c r="C32" i="39"/>
  <c r="C33" i="39"/>
  <c r="C34" i="39"/>
  <c r="C35" i="39"/>
  <c r="C36" i="39"/>
  <c r="C37" i="39"/>
  <c r="C38" i="39"/>
  <c r="C39" i="39"/>
  <c r="C40" i="39"/>
  <c r="C41" i="39"/>
  <c r="C42" i="39"/>
  <c r="C43" i="39"/>
  <c r="C44" i="39"/>
  <c r="C22" i="39"/>
  <c r="C142" i="34"/>
  <c r="C143" i="34"/>
  <c r="C144" i="34"/>
  <c r="C145" i="34"/>
  <c r="C146" i="34"/>
  <c r="C147" i="34"/>
  <c r="C148" i="34"/>
  <c r="C149" i="34"/>
  <c r="C150" i="34"/>
  <c r="C151" i="34"/>
  <c r="C152" i="34"/>
  <c r="C153" i="34"/>
  <c r="C154" i="34"/>
  <c r="C155" i="34"/>
  <c r="C156" i="34"/>
  <c r="C157" i="34"/>
  <c r="C158" i="34"/>
  <c r="C159" i="34"/>
  <c r="C160" i="34"/>
  <c r="C161" i="34"/>
  <c r="C162" i="34"/>
  <c r="C163" i="34"/>
  <c r="C141" i="34"/>
  <c r="G116" i="34"/>
  <c r="G115" i="34"/>
  <c r="F20" i="34"/>
  <c r="F21" i="34"/>
  <c r="F22" i="34"/>
  <c r="F23" i="34"/>
  <c r="F24" i="34"/>
  <c r="F25" i="34"/>
  <c r="F26" i="34"/>
  <c r="F27" i="34"/>
  <c r="F28" i="34"/>
  <c r="F29" i="34"/>
  <c r="F30" i="34"/>
  <c r="F31" i="34"/>
  <c r="F32" i="34"/>
  <c r="F33" i="34"/>
  <c r="F34" i="34"/>
  <c r="F40" i="34"/>
  <c r="D22" i="39" l="1"/>
  <c r="D148" i="34"/>
  <c r="E148" i="34" s="1"/>
  <c r="D162" i="34"/>
  <c r="E162" i="34" s="1"/>
  <c r="D159" i="34"/>
  <c r="E159" i="34" s="1"/>
  <c r="D157" i="34"/>
  <c r="D154" i="34"/>
  <c r="E154" i="34" s="1"/>
  <c r="D151" i="34"/>
  <c r="E151" i="34" s="1"/>
  <c r="D149" i="34"/>
  <c r="E149" i="34" s="1"/>
  <c r="D146" i="34"/>
  <c r="E146" i="34" s="1"/>
  <c r="D143" i="34"/>
  <c r="E143" i="34" s="1"/>
  <c r="D43" i="39"/>
  <c r="D41" i="39"/>
  <c r="D39" i="39"/>
  <c r="D37" i="39"/>
  <c r="D35" i="39"/>
  <c r="D33" i="39"/>
  <c r="D31" i="39"/>
  <c r="D29" i="39"/>
  <c r="D27" i="39"/>
  <c r="D25" i="39"/>
  <c r="D23" i="39"/>
  <c r="D141" i="34"/>
  <c r="E141" i="34" s="1"/>
  <c r="D156" i="34"/>
  <c r="E156" i="34" s="1"/>
  <c r="D160" i="34"/>
  <c r="E160" i="34" s="1"/>
  <c r="E157" i="34"/>
  <c r="D152" i="34"/>
  <c r="E152" i="34" s="1"/>
  <c r="D144" i="34"/>
  <c r="E144" i="34" s="1"/>
  <c r="E41" i="34"/>
  <c r="D163" i="34"/>
  <c r="E163" i="34" s="1"/>
  <c r="D161" i="34"/>
  <c r="E161" i="34" s="1"/>
  <c r="D158" i="34"/>
  <c r="E158" i="34" s="1"/>
  <c r="D155" i="34"/>
  <c r="E155" i="34" s="1"/>
  <c r="D153" i="34"/>
  <c r="E153" i="34" s="1"/>
  <c r="D150" i="34"/>
  <c r="E150" i="34" s="1"/>
  <c r="D147" i="34"/>
  <c r="E147" i="34" s="1"/>
  <c r="D145" i="34"/>
  <c r="E145" i="34" s="1"/>
  <c r="D142" i="34"/>
  <c r="E142" i="34" s="1"/>
  <c r="D44" i="39"/>
  <c r="D42" i="39"/>
  <c r="D40" i="39"/>
  <c r="D38" i="39"/>
  <c r="D36" i="39"/>
  <c r="D34" i="39"/>
  <c r="D32" i="39"/>
  <c r="D30" i="39"/>
  <c r="D28" i="39"/>
  <c r="D26" i="39"/>
  <c r="F41" i="34"/>
  <c r="B16" i="15"/>
  <c r="B47" i="15" l="1"/>
  <c r="B33" i="15"/>
  <c r="G134" i="34"/>
  <c r="G133" i="34"/>
  <c r="G132" i="34"/>
  <c r="G131" i="34"/>
  <c r="G130" i="34"/>
  <c r="G129" i="34"/>
  <c r="G128" i="34"/>
  <c r="G127" i="34"/>
  <c r="G126" i="34"/>
  <c r="G125" i="34"/>
  <c r="G124" i="34"/>
  <c r="G123" i="34"/>
  <c r="G122" i="34"/>
  <c r="G121" i="34"/>
  <c r="G120" i="34"/>
  <c r="G119" i="34"/>
  <c r="G118" i="34"/>
  <c r="G117" i="34"/>
  <c r="G114" i="34"/>
  <c r="G113" i="34"/>
  <c r="G112" i="34"/>
  <c r="F5" i="18"/>
  <c r="F6"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7" i="18"/>
  <c r="F8" i="18"/>
  <c r="F9" i="18"/>
  <c r="F10" i="18"/>
  <c r="F11" i="18"/>
  <c r="F12" i="18"/>
  <c r="F13" i="18"/>
  <c r="F14" i="18"/>
  <c r="F15" i="18"/>
  <c r="F16" i="18"/>
  <c r="F17" i="18"/>
  <c r="F18" i="18"/>
  <c r="F19" i="18"/>
  <c r="F20" i="18"/>
  <c r="F21" i="18"/>
  <c r="F22" i="18"/>
  <c r="F23" i="18"/>
  <c r="F24" i="18"/>
  <c r="F25" i="18"/>
  <c r="F26" i="18"/>
  <c r="F27" i="18"/>
  <c r="F28" i="18"/>
  <c r="H25" i="19" l="1"/>
  <c r="I21" i="19" s="1"/>
  <c r="G85" i="34"/>
  <c r="G84" i="34"/>
  <c r="G55" i="34"/>
  <c r="G54" i="34"/>
  <c r="E11" i="37"/>
  <c r="E6" i="37"/>
  <c r="E7" i="37"/>
  <c r="E8" i="37"/>
  <c r="E9" i="37"/>
  <c r="E10" i="37"/>
  <c r="E12" i="37"/>
  <c r="E13" i="37"/>
  <c r="E14" i="37"/>
  <c r="E15" i="37"/>
  <c r="E16" i="37"/>
  <c r="E17" i="37"/>
  <c r="E18" i="37"/>
  <c r="E19" i="37"/>
  <c r="E20" i="37"/>
  <c r="E5" i="37"/>
  <c r="F10" i="35"/>
  <c r="F11" i="35"/>
  <c r="F12" i="35"/>
  <c r="F13" i="35"/>
  <c r="F9" i="35"/>
  <c r="D78" i="34"/>
  <c r="E13" i="34"/>
  <c r="F13" i="34"/>
  <c r="E56" i="34"/>
  <c r="F56" i="34"/>
  <c r="F86" i="34"/>
  <c r="I23" i="19" l="1"/>
  <c r="I24" i="19"/>
  <c r="I22" i="19"/>
  <c r="I20" i="19"/>
  <c r="E86" i="34"/>
  <c r="D86" i="34"/>
  <c r="C86" i="34"/>
  <c r="D79" i="34"/>
  <c r="D48" i="34"/>
  <c r="D49" i="34" s="1"/>
  <c r="D56" i="34"/>
  <c r="C56" i="34"/>
  <c r="C9" i="15"/>
  <c r="F40" i="35"/>
  <c r="C78" i="34" l="1"/>
  <c r="C79" i="34" s="1"/>
  <c r="E79" i="34" s="1"/>
  <c r="G86" i="34"/>
  <c r="C48" i="34"/>
  <c r="C49" i="34" s="1"/>
  <c r="E49" i="34" s="1"/>
  <c r="G56" i="34"/>
  <c r="G18" i="35"/>
  <c r="G19" i="35"/>
  <c r="G20" i="35"/>
  <c r="G21" i="35"/>
  <c r="G22" i="35"/>
  <c r="G23" i="35"/>
  <c r="G24" i="35"/>
  <c r="G25" i="35"/>
  <c r="G26" i="35"/>
  <c r="G27" i="35"/>
  <c r="G28" i="35"/>
  <c r="G29" i="35"/>
  <c r="G30" i="35"/>
  <c r="G31" i="35"/>
  <c r="G32" i="35"/>
  <c r="G33" i="35"/>
  <c r="G34" i="35"/>
  <c r="D5" i="34"/>
  <c r="D13" i="34"/>
  <c r="C13" i="34"/>
  <c r="F34" i="28" l="1"/>
  <c r="F33" i="28"/>
  <c r="E10" i="36" l="1"/>
  <c r="E5" i="36"/>
  <c r="E6" i="36"/>
  <c r="E7" i="36"/>
  <c r="E8" i="36"/>
  <c r="E9" i="36"/>
  <c r="E4" i="36"/>
  <c r="F25" i="35" l="1"/>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F18" i="35"/>
  <c r="F72" i="35"/>
  <c r="F19" i="35"/>
  <c r="F20" i="35"/>
  <c r="F21" i="35"/>
  <c r="F22" i="35"/>
  <c r="F23" i="35"/>
  <c r="F24" i="35"/>
  <c r="F26" i="35"/>
  <c r="F27" i="35"/>
  <c r="F28" i="35"/>
  <c r="F29" i="35"/>
  <c r="F30" i="35"/>
  <c r="F31" i="35"/>
  <c r="F32" i="35"/>
  <c r="F33" i="35"/>
  <c r="F34" i="35"/>
  <c r="F36" i="35"/>
  <c r="F37" i="35"/>
  <c r="F38" i="35"/>
  <c r="F39" i="35"/>
  <c r="F41" i="35"/>
  <c r="F42" i="35"/>
  <c r="F43" i="35"/>
  <c r="F44" i="35"/>
  <c r="F45" i="35"/>
  <c r="F46" i="35"/>
  <c r="F47" i="35"/>
  <c r="F48" i="35"/>
  <c r="F49" i="35"/>
  <c r="F50" i="35"/>
  <c r="F51" i="35"/>
  <c r="F52" i="35"/>
  <c r="F53" i="35"/>
  <c r="F54" i="35"/>
  <c r="F55" i="35"/>
  <c r="F56" i="35"/>
  <c r="F57" i="35"/>
  <c r="F58" i="35"/>
  <c r="F59" i="35"/>
  <c r="F60" i="35"/>
  <c r="F61" i="35"/>
  <c r="F62" i="35"/>
  <c r="F63" i="35"/>
  <c r="F64" i="35"/>
  <c r="F65" i="35"/>
  <c r="F66" i="35"/>
  <c r="F67" i="35"/>
  <c r="F68" i="35"/>
  <c r="F69" i="35"/>
  <c r="F70" i="35"/>
  <c r="F71" i="35"/>
  <c r="F73" i="35"/>
  <c r="F74" i="35"/>
  <c r="F75" i="35"/>
  <c r="F76" i="35"/>
  <c r="F77" i="35"/>
  <c r="F78" i="35"/>
  <c r="F79" i="35"/>
  <c r="F80" i="35"/>
  <c r="F81" i="35"/>
  <c r="F82" i="35"/>
  <c r="F83" i="35"/>
  <c r="F84" i="35"/>
  <c r="F85" i="35"/>
  <c r="F86" i="35"/>
  <c r="F87" i="35"/>
  <c r="F88" i="35"/>
  <c r="F89" i="35"/>
  <c r="F90" i="35"/>
  <c r="F91" i="35"/>
  <c r="F92" i="35"/>
  <c r="F93" i="35"/>
  <c r="F94" i="35"/>
  <c r="F95" i="35"/>
  <c r="F96" i="35"/>
  <c r="F97" i="35"/>
  <c r="F98" i="35"/>
  <c r="F99" i="35"/>
  <c r="F100" i="35"/>
  <c r="F5" i="35"/>
  <c r="F6" i="35"/>
  <c r="F7" i="35"/>
  <c r="F8" i="35"/>
  <c r="F4" i="35"/>
  <c r="G12" i="34"/>
  <c r="G11" i="34"/>
  <c r="C4" i="34" l="1"/>
  <c r="G13" i="34"/>
  <c r="E499" i="28"/>
  <c r="F499" i="28"/>
  <c r="G499" i="28"/>
  <c r="H499" i="28"/>
  <c r="H9" i="15"/>
  <c r="P7" i="32"/>
  <c r="S6" i="32"/>
  <c r="P6" i="32"/>
  <c r="S5" i="32"/>
  <c r="R5" i="32"/>
  <c r="P5" i="32"/>
  <c r="D8" i="32"/>
  <c r="D7" i="32"/>
  <c r="D6" i="32"/>
  <c r="C5" i="34" l="1"/>
  <c r="E5" i="34" s="1"/>
  <c r="T5" i="32"/>
  <c r="I499" i="28"/>
  <c r="P50" i="15"/>
  <c r="P51" i="15"/>
  <c r="P52" i="15"/>
  <c r="P53" i="15"/>
  <c r="P54" i="15"/>
  <c r="P49" i="15"/>
  <c r="S49" i="15"/>
  <c r="S52" i="15"/>
  <c r="S53" i="15"/>
  <c r="S54" i="15"/>
  <c r="Q49" i="15"/>
  <c r="S1171" i="14"/>
  <c r="F35" i="28" l="1"/>
  <c r="G35" i="28"/>
  <c r="H35" i="28"/>
  <c r="F36" i="28"/>
  <c r="G36" i="28"/>
  <c r="H36" i="28"/>
  <c r="F37" i="28"/>
  <c r="G37" i="28"/>
  <c r="H37" i="28"/>
  <c r="F38" i="28"/>
  <c r="G38" i="28"/>
  <c r="H38" i="28"/>
  <c r="F39" i="28"/>
  <c r="G39" i="28"/>
  <c r="H39" i="28"/>
  <c r="F40" i="28"/>
  <c r="G40" i="28"/>
  <c r="H40" i="28"/>
  <c r="F41" i="28"/>
  <c r="G41" i="28"/>
  <c r="H41" i="28"/>
  <c r="F42" i="28"/>
  <c r="G42" i="28"/>
  <c r="H42" i="28"/>
  <c r="F43" i="28"/>
  <c r="G43" i="28"/>
  <c r="H43" i="28"/>
  <c r="F44" i="28"/>
  <c r="G44" i="28"/>
  <c r="H44" i="28"/>
  <c r="F45" i="28"/>
  <c r="G45" i="28"/>
  <c r="H45" i="28"/>
  <c r="F46" i="28"/>
  <c r="G46" i="28"/>
  <c r="H46" i="28"/>
  <c r="F47" i="28"/>
  <c r="G47" i="28"/>
  <c r="H47" i="28"/>
  <c r="F48" i="28"/>
  <c r="G48" i="28"/>
  <c r="H48" i="28"/>
  <c r="F49" i="28"/>
  <c r="G49" i="28"/>
  <c r="H49" i="28"/>
  <c r="F50" i="28"/>
  <c r="G50" i="28"/>
  <c r="H50" i="28"/>
  <c r="F51" i="28"/>
  <c r="G51" i="28"/>
  <c r="H51" i="28"/>
  <c r="F52" i="28"/>
  <c r="G52" i="28"/>
  <c r="H52" i="28"/>
  <c r="F53" i="28"/>
  <c r="G53" i="28"/>
  <c r="H53" i="28"/>
  <c r="F54" i="28"/>
  <c r="G54" i="28"/>
  <c r="H54" i="28"/>
  <c r="F55" i="28"/>
  <c r="G55" i="28"/>
  <c r="H55" i="28"/>
  <c r="F56" i="28"/>
  <c r="G56" i="28"/>
  <c r="H56" i="28"/>
  <c r="F57" i="28"/>
  <c r="G57" i="28"/>
  <c r="H57" i="28"/>
  <c r="F58" i="28"/>
  <c r="G58" i="28"/>
  <c r="H58" i="28"/>
  <c r="F59" i="28"/>
  <c r="G59" i="28"/>
  <c r="H59" i="28"/>
  <c r="F60" i="28"/>
  <c r="G60" i="28"/>
  <c r="H60" i="28"/>
  <c r="F61" i="28"/>
  <c r="G61" i="28"/>
  <c r="H61" i="28"/>
  <c r="F62" i="28"/>
  <c r="G62" i="28"/>
  <c r="H62" i="28"/>
  <c r="F63" i="28"/>
  <c r="G63" i="28"/>
  <c r="H63" i="28"/>
  <c r="F64" i="28"/>
  <c r="G64" i="28"/>
  <c r="H64" i="28"/>
  <c r="F65" i="28"/>
  <c r="G65" i="28"/>
  <c r="H65" i="28"/>
  <c r="F66" i="28"/>
  <c r="G66" i="28"/>
  <c r="H66" i="28"/>
  <c r="F67" i="28"/>
  <c r="G67" i="28"/>
  <c r="H67" i="28"/>
  <c r="F68" i="28"/>
  <c r="G68" i="28"/>
  <c r="H68" i="28"/>
  <c r="F69" i="28"/>
  <c r="G69" i="28"/>
  <c r="H69" i="28"/>
  <c r="F70" i="28"/>
  <c r="G70" i="28"/>
  <c r="H70" i="28"/>
  <c r="F71" i="28"/>
  <c r="G71" i="28"/>
  <c r="H71" i="28"/>
  <c r="F72" i="28"/>
  <c r="G72" i="28"/>
  <c r="H72" i="28"/>
  <c r="F73" i="28"/>
  <c r="G73" i="28"/>
  <c r="H73" i="28"/>
  <c r="F74" i="28"/>
  <c r="G74" i="28"/>
  <c r="H74" i="28"/>
  <c r="F75" i="28"/>
  <c r="G75" i="28"/>
  <c r="H75" i="28"/>
  <c r="F76" i="28"/>
  <c r="G76" i="28"/>
  <c r="H76" i="28"/>
  <c r="F77" i="28"/>
  <c r="G77" i="28"/>
  <c r="H77" i="28"/>
  <c r="F78" i="28"/>
  <c r="G78" i="28"/>
  <c r="H78" i="28"/>
  <c r="F79" i="28"/>
  <c r="G79" i="28"/>
  <c r="H79" i="28"/>
  <c r="F80" i="28"/>
  <c r="G80" i="28"/>
  <c r="H80" i="28"/>
  <c r="F81" i="28"/>
  <c r="G81" i="28"/>
  <c r="H81" i="28"/>
  <c r="F82" i="28"/>
  <c r="G82" i="28"/>
  <c r="H82" i="28"/>
  <c r="F83" i="28"/>
  <c r="G83" i="28"/>
  <c r="H83" i="28"/>
  <c r="F84" i="28"/>
  <c r="G84" i="28"/>
  <c r="H84" i="28"/>
  <c r="F85" i="28"/>
  <c r="G85" i="28"/>
  <c r="H85" i="28"/>
  <c r="F86" i="28"/>
  <c r="G86" i="28"/>
  <c r="H86" i="28"/>
  <c r="F87" i="28"/>
  <c r="G87" i="28"/>
  <c r="H87" i="28"/>
  <c r="F88" i="28"/>
  <c r="G88" i="28"/>
  <c r="H88" i="28"/>
  <c r="F89" i="28"/>
  <c r="G89" i="28"/>
  <c r="H89" i="28"/>
  <c r="F90" i="28"/>
  <c r="G90" i="28"/>
  <c r="H90" i="28"/>
  <c r="F91" i="28"/>
  <c r="G91" i="28"/>
  <c r="H91" i="28"/>
  <c r="F92" i="28"/>
  <c r="G92" i="28"/>
  <c r="H92" i="28"/>
  <c r="F93" i="28"/>
  <c r="G93" i="28"/>
  <c r="H93" i="28"/>
  <c r="F94" i="28"/>
  <c r="G94" i="28"/>
  <c r="H94" i="28"/>
  <c r="F95" i="28"/>
  <c r="G95" i="28"/>
  <c r="H95" i="28"/>
  <c r="F96" i="28"/>
  <c r="G96" i="28"/>
  <c r="H96" i="28"/>
  <c r="F97" i="28"/>
  <c r="G97" i="28"/>
  <c r="H97" i="28"/>
  <c r="F98" i="28"/>
  <c r="G98" i="28"/>
  <c r="H98" i="28"/>
  <c r="F99" i="28"/>
  <c r="G99" i="28"/>
  <c r="H99" i="28"/>
  <c r="F100" i="28"/>
  <c r="G100" i="28"/>
  <c r="H100" i="28"/>
  <c r="F101" i="28"/>
  <c r="G101" i="28"/>
  <c r="H101" i="28"/>
  <c r="F102" i="28"/>
  <c r="G102" i="28"/>
  <c r="H102" i="28"/>
  <c r="F103" i="28"/>
  <c r="G103" i="28"/>
  <c r="H103" i="28"/>
  <c r="F104" i="28"/>
  <c r="G104" i="28"/>
  <c r="H104" i="28"/>
  <c r="F105" i="28"/>
  <c r="G105" i="28"/>
  <c r="H105" i="28"/>
  <c r="F106" i="28"/>
  <c r="G106" i="28"/>
  <c r="H106" i="28"/>
  <c r="F107" i="28"/>
  <c r="G107" i="28"/>
  <c r="H107" i="28"/>
  <c r="F108" i="28"/>
  <c r="G108" i="28"/>
  <c r="H108" i="28"/>
  <c r="F109" i="28"/>
  <c r="G109" i="28"/>
  <c r="H109" i="28"/>
  <c r="F110" i="28"/>
  <c r="G110" i="28"/>
  <c r="H110" i="28"/>
  <c r="F111" i="28"/>
  <c r="G111" i="28"/>
  <c r="H111" i="28"/>
  <c r="F112" i="28"/>
  <c r="G112" i="28"/>
  <c r="H112" i="28"/>
  <c r="F113" i="28"/>
  <c r="G113" i="28"/>
  <c r="H113" i="28"/>
  <c r="F114" i="28"/>
  <c r="G114" i="28"/>
  <c r="H114" i="28"/>
  <c r="F115" i="28"/>
  <c r="G115" i="28"/>
  <c r="H115" i="28"/>
  <c r="F116" i="28"/>
  <c r="G116" i="28"/>
  <c r="H116" i="28"/>
  <c r="F117" i="28"/>
  <c r="G117" i="28"/>
  <c r="H117" i="28"/>
  <c r="F118" i="28"/>
  <c r="G118" i="28"/>
  <c r="H118" i="28"/>
  <c r="F119" i="28"/>
  <c r="G119" i="28"/>
  <c r="H119" i="28"/>
  <c r="F120" i="28"/>
  <c r="G120" i="28"/>
  <c r="H120" i="28"/>
  <c r="F121" i="28"/>
  <c r="G121" i="28"/>
  <c r="H121" i="28"/>
  <c r="F122" i="28"/>
  <c r="G122" i="28"/>
  <c r="H122" i="28"/>
  <c r="F123" i="28"/>
  <c r="G123" i="28"/>
  <c r="H123" i="28"/>
  <c r="F124" i="28"/>
  <c r="G124" i="28"/>
  <c r="H124" i="28"/>
  <c r="F125" i="28"/>
  <c r="G125" i="28"/>
  <c r="H125" i="28"/>
  <c r="F126" i="28"/>
  <c r="G126" i="28"/>
  <c r="H126" i="28"/>
  <c r="F127" i="28"/>
  <c r="G127" i="28"/>
  <c r="H127" i="28"/>
  <c r="F128" i="28"/>
  <c r="G128" i="28"/>
  <c r="H128" i="28"/>
  <c r="F129" i="28"/>
  <c r="G129" i="28"/>
  <c r="H129" i="28"/>
  <c r="F130" i="28"/>
  <c r="G130" i="28"/>
  <c r="H130" i="28"/>
  <c r="F131" i="28"/>
  <c r="G131" i="28"/>
  <c r="H131" i="28"/>
  <c r="F132" i="28"/>
  <c r="G132" i="28"/>
  <c r="H132" i="28"/>
  <c r="F133" i="28"/>
  <c r="G133" i="28"/>
  <c r="H133" i="28"/>
  <c r="F134" i="28"/>
  <c r="G134" i="28"/>
  <c r="H134" i="28"/>
  <c r="F135" i="28"/>
  <c r="G135" i="28"/>
  <c r="H135" i="28"/>
  <c r="F136" i="28"/>
  <c r="G136" i="28"/>
  <c r="H136" i="28"/>
  <c r="F137" i="28"/>
  <c r="G137" i="28"/>
  <c r="H137" i="28"/>
  <c r="F138" i="28"/>
  <c r="G138" i="28"/>
  <c r="H138" i="28"/>
  <c r="F139" i="28"/>
  <c r="G139" i="28"/>
  <c r="H139" i="28"/>
  <c r="F140" i="28"/>
  <c r="G140" i="28"/>
  <c r="H140" i="28"/>
  <c r="F141" i="28"/>
  <c r="G141" i="28"/>
  <c r="H141" i="28"/>
  <c r="F142" i="28"/>
  <c r="G142" i="28"/>
  <c r="H142" i="28"/>
  <c r="F143" i="28"/>
  <c r="G143" i="28"/>
  <c r="H143" i="28"/>
  <c r="F144" i="28"/>
  <c r="G144" i="28"/>
  <c r="H144" i="28"/>
  <c r="F145" i="28"/>
  <c r="G145" i="28"/>
  <c r="H145" i="28"/>
  <c r="F146" i="28"/>
  <c r="G146" i="28"/>
  <c r="H146" i="28"/>
  <c r="F147" i="28"/>
  <c r="G147" i="28"/>
  <c r="H147" i="28"/>
  <c r="F148" i="28"/>
  <c r="G148" i="28"/>
  <c r="H148" i="28"/>
  <c r="F149" i="28"/>
  <c r="G149" i="28"/>
  <c r="H149" i="28"/>
  <c r="F150" i="28"/>
  <c r="G150" i="28"/>
  <c r="H150" i="28"/>
  <c r="F151" i="28"/>
  <c r="G151" i="28"/>
  <c r="H151" i="28"/>
  <c r="F152" i="28"/>
  <c r="G152" i="28"/>
  <c r="H152" i="28"/>
  <c r="F153" i="28"/>
  <c r="G153" i="28"/>
  <c r="H153" i="28"/>
  <c r="F154" i="28"/>
  <c r="G154" i="28"/>
  <c r="H154" i="28"/>
  <c r="F155" i="28"/>
  <c r="G155" i="28"/>
  <c r="H155" i="28"/>
  <c r="F156" i="28"/>
  <c r="G156" i="28"/>
  <c r="H156" i="28"/>
  <c r="F157" i="28"/>
  <c r="G157" i="28"/>
  <c r="H157" i="28"/>
  <c r="F158" i="28"/>
  <c r="G158" i="28"/>
  <c r="H158" i="28"/>
  <c r="F159" i="28"/>
  <c r="G159" i="28"/>
  <c r="H159" i="28"/>
  <c r="F160" i="28"/>
  <c r="G160" i="28"/>
  <c r="H160" i="28"/>
  <c r="F161" i="28"/>
  <c r="G161" i="28"/>
  <c r="H161" i="28"/>
  <c r="F162" i="28"/>
  <c r="G162" i="28"/>
  <c r="H162" i="28"/>
  <c r="F163" i="28"/>
  <c r="G163" i="28"/>
  <c r="H163" i="28"/>
  <c r="F164" i="28"/>
  <c r="G164" i="28"/>
  <c r="H164" i="28"/>
  <c r="F165" i="28"/>
  <c r="G165" i="28"/>
  <c r="H165" i="28"/>
  <c r="F166" i="28"/>
  <c r="G166" i="28"/>
  <c r="H166" i="28"/>
  <c r="F167" i="28"/>
  <c r="G167" i="28"/>
  <c r="H167" i="28"/>
  <c r="F168" i="28"/>
  <c r="G168" i="28"/>
  <c r="H168" i="28"/>
  <c r="F169" i="28"/>
  <c r="G169" i="28"/>
  <c r="H169" i="28"/>
  <c r="F170" i="28"/>
  <c r="G170" i="28"/>
  <c r="H170" i="28"/>
  <c r="F171" i="28"/>
  <c r="G171" i="28"/>
  <c r="H171" i="28"/>
  <c r="F172" i="28"/>
  <c r="G172" i="28"/>
  <c r="H172" i="28"/>
  <c r="F173" i="28"/>
  <c r="G173" i="28"/>
  <c r="H173" i="28"/>
  <c r="F174" i="28"/>
  <c r="G174" i="28"/>
  <c r="H174" i="28"/>
  <c r="F175" i="28"/>
  <c r="G175" i="28"/>
  <c r="H175" i="28"/>
  <c r="F176" i="28"/>
  <c r="G176" i="28"/>
  <c r="H176" i="28"/>
  <c r="F177" i="28"/>
  <c r="G177" i="28"/>
  <c r="H177" i="28"/>
  <c r="F178" i="28"/>
  <c r="G178" i="28"/>
  <c r="H178" i="28"/>
  <c r="F179" i="28"/>
  <c r="G179" i="28"/>
  <c r="H179" i="28"/>
  <c r="F180" i="28"/>
  <c r="G180" i="28"/>
  <c r="H180" i="28"/>
  <c r="F181" i="28"/>
  <c r="G181" i="28"/>
  <c r="H181" i="28"/>
  <c r="F182" i="28"/>
  <c r="G182" i="28"/>
  <c r="H182" i="28"/>
  <c r="F183" i="28"/>
  <c r="G183" i="28"/>
  <c r="H183" i="28"/>
  <c r="F184" i="28"/>
  <c r="G184" i="28"/>
  <c r="H184" i="28"/>
  <c r="F185" i="28"/>
  <c r="G185" i="28"/>
  <c r="H185" i="28"/>
  <c r="F186" i="28"/>
  <c r="G186" i="28"/>
  <c r="H186" i="28"/>
  <c r="F187" i="28"/>
  <c r="G187" i="28"/>
  <c r="H187" i="28"/>
  <c r="F188" i="28"/>
  <c r="G188" i="28"/>
  <c r="H188" i="28"/>
  <c r="F189" i="28"/>
  <c r="G189" i="28"/>
  <c r="H189" i="28"/>
  <c r="F190" i="28"/>
  <c r="G190" i="28"/>
  <c r="H190" i="28"/>
  <c r="F191" i="28"/>
  <c r="G191" i="28"/>
  <c r="H191" i="28"/>
  <c r="F192" i="28"/>
  <c r="G192" i="28"/>
  <c r="H192" i="28"/>
  <c r="F193" i="28"/>
  <c r="G193" i="28"/>
  <c r="H193" i="28"/>
  <c r="F194" i="28"/>
  <c r="G194" i="28"/>
  <c r="H194" i="28"/>
  <c r="F195" i="28"/>
  <c r="G195" i="28"/>
  <c r="H195" i="28"/>
  <c r="F196" i="28"/>
  <c r="G196" i="28"/>
  <c r="H196" i="28"/>
  <c r="F197" i="28"/>
  <c r="G197" i="28"/>
  <c r="H197" i="28"/>
  <c r="F198" i="28"/>
  <c r="G198" i="28"/>
  <c r="H198" i="28"/>
  <c r="F199" i="28"/>
  <c r="G199" i="28"/>
  <c r="H199" i="28"/>
  <c r="F200" i="28"/>
  <c r="G200" i="28"/>
  <c r="H200" i="28"/>
  <c r="F201" i="28"/>
  <c r="G201" i="28"/>
  <c r="H201" i="28"/>
  <c r="F202" i="28"/>
  <c r="G202" i="28"/>
  <c r="H202" i="28"/>
  <c r="F203" i="28"/>
  <c r="G203" i="28"/>
  <c r="H203" i="28"/>
  <c r="F204" i="28"/>
  <c r="G204" i="28"/>
  <c r="H204" i="28"/>
  <c r="F205" i="28"/>
  <c r="G205" i="28"/>
  <c r="H205" i="28"/>
  <c r="F206" i="28"/>
  <c r="G206" i="28"/>
  <c r="H206" i="28"/>
  <c r="F207" i="28"/>
  <c r="G207" i="28"/>
  <c r="H207" i="28"/>
  <c r="F208" i="28"/>
  <c r="G208" i="28"/>
  <c r="H208" i="28"/>
  <c r="F209" i="28"/>
  <c r="G209" i="28"/>
  <c r="H209" i="28"/>
  <c r="F210" i="28"/>
  <c r="G210" i="28"/>
  <c r="H210" i="28"/>
  <c r="F211" i="28"/>
  <c r="G211" i="28"/>
  <c r="H211" i="28"/>
  <c r="F212" i="28"/>
  <c r="G212" i="28"/>
  <c r="H212" i="28"/>
  <c r="F213" i="28"/>
  <c r="G213" i="28"/>
  <c r="H213" i="28"/>
  <c r="F214" i="28"/>
  <c r="G214" i="28"/>
  <c r="H214" i="28"/>
  <c r="F215" i="28"/>
  <c r="G215" i="28"/>
  <c r="H215" i="28"/>
  <c r="F216" i="28"/>
  <c r="G216" i="28"/>
  <c r="H216" i="28"/>
  <c r="F217" i="28"/>
  <c r="G217" i="28"/>
  <c r="H217" i="28"/>
  <c r="F218" i="28"/>
  <c r="G218" i="28"/>
  <c r="H218" i="28"/>
  <c r="F219" i="28"/>
  <c r="G219" i="28"/>
  <c r="H219" i="28"/>
  <c r="F220" i="28"/>
  <c r="G220" i="28"/>
  <c r="H220" i="28"/>
  <c r="F221" i="28"/>
  <c r="G221" i="28"/>
  <c r="H221" i="28"/>
  <c r="F222" i="28"/>
  <c r="G222" i="28"/>
  <c r="H222" i="28"/>
  <c r="F223" i="28"/>
  <c r="G223" i="28"/>
  <c r="H223" i="28"/>
  <c r="F224" i="28"/>
  <c r="G224" i="28"/>
  <c r="H224" i="28"/>
  <c r="F225" i="28"/>
  <c r="G225" i="28"/>
  <c r="H225" i="28"/>
  <c r="F226" i="28"/>
  <c r="G226" i="28"/>
  <c r="H226" i="28"/>
  <c r="F227" i="28"/>
  <c r="G227" i="28"/>
  <c r="H227" i="28"/>
  <c r="F228" i="28"/>
  <c r="G228" i="28"/>
  <c r="H228" i="28"/>
  <c r="F229" i="28"/>
  <c r="G229" i="28"/>
  <c r="H229" i="28"/>
  <c r="F230" i="28"/>
  <c r="G230" i="28"/>
  <c r="H230" i="28"/>
  <c r="F231" i="28"/>
  <c r="G231" i="28"/>
  <c r="H231" i="28"/>
  <c r="F232" i="28"/>
  <c r="G232" i="28"/>
  <c r="H232" i="28"/>
  <c r="F233" i="28"/>
  <c r="G233" i="28"/>
  <c r="H233" i="28"/>
  <c r="F234" i="28"/>
  <c r="G234" i="28"/>
  <c r="H234" i="28"/>
  <c r="F235" i="28"/>
  <c r="G235" i="28"/>
  <c r="H235" i="28"/>
  <c r="F236" i="28"/>
  <c r="G236" i="28"/>
  <c r="H236" i="28"/>
  <c r="F237" i="28"/>
  <c r="G237" i="28"/>
  <c r="H237" i="28"/>
  <c r="F238" i="28"/>
  <c r="G238" i="28"/>
  <c r="H238" i="28"/>
  <c r="F239" i="28"/>
  <c r="G239" i="28"/>
  <c r="H239" i="28"/>
  <c r="F240" i="28"/>
  <c r="G240" i="28"/>
  <c r="H240" i="28"/>
  <c r="F241" i="28"/>
  <c r="G241" i="28"/>
  <c r="H241" i="28"/>
  <c r="F242" i="28"/>
  <c r="G242" i="28"/>
  <c r="H242" i="28"/>
  <c r="F243" i="28"/>
  <c r="G243" i="28"/>
  <c r="H243" i="28"/>
  <c r="F244" i="28"/>
  <c r="G244" i="28"/>
  <c r="H244" i="28"/>
  <c r="F245" i="28"/>
  <c r="G245" i="28"/>
  <c r="H245" i="28"/>
  <c r="F246" i="28"/>
  <c r="G246" i="28"/>
  <c r="H246" i="28"/>
  <c r="F247" i="28"/>
  <c r="G247" i="28"/>
  <c r="H247" i="28"/>
  <c r="F248" i="28"/>
  <c r="G248" i="28"/>
  <c r="H248" i="28"/>
  <c r="F249" i="28"/>
  <c r="G249" i="28"/>
  <c r="H249" i="28"/>
  <c r="F250" i="28"/>
  <c r="G250" i="28"/>
  <c r="H250" i="28"/>
  <c r="F251" i="28"/>
  <c r="G251" i="28"/>
  <c r="H251" i="28"/>
  <c r="F252" i="28"/>
  <c r="G252" i="28"/>
  <c r="H252" i="28"/>
  <c r="F253" i="28"/>
  <c r="G253" i="28"/>
  <c r="H253" i="28"/>
  <c r="F254" i="28"/>
  <c r="G254" i="28"/>
  <c r="H254" i="28"/>
  <c r="F255" i="28"/>
  <c r="G255" i="28"/>
  <c r="H255" i="28"/>
  <c r="F256" i="28"/>
  <c r="G256" i="28"/>
  <c r="H256" i="28"/>
  <c r="F257" i="28"/>
  <c r="G257" i="28"/>
  <c r="H257" i="28"/>
  <c r="F258" i="28"/>
  <c r="G258" i="28"/>
  <c r="H258" i="28"/>
  <c r="F259" i="28"/>
  <c r="G259" i="28"/>
  <c r="H259" i="28"/>
  <c r="F260" i="28"/>
  <c r="G260" i="28"/>
  <c r="H260" i="28"/>
  <c r="F261" i="28"/>
  <c r="G261" i="28"/>
  <c r="H261" i="28"/>
  <c r="F262" i="28"/>
  <c r="G262" i="28"/>
  <c r="H262" i="28"/>
  <c r="F263" i="28"/>
  <c r="G263" i="28"/>
  <c r="H263" i="28"/>
  <c r="F264" i="28"/>
  <c r="G264" i="28"/>
  <c r="H264" i="28"/>
  <c r="F265" i="28"/>
  <c r="G265" i="28"/>
  <c r="H265" i="28"/>
  <c r="F266" i="28"/>
  <c r="G266" i="28"/>
  <c r="H266" i="28"/>
  <c r="F267" i="28"/>
  <c r="G267" i="28"/>
  <c r="H267" i="28"/>
  <c r="F268" i="28"/>
  <c r="G268" i="28"/>
  <c r="H268" i="28"/>
  <c r="F269" i="28"/>
  <c r="G269" i="28"/>
  <c r="H269" i="28"/>
  <c r="F270" i="28"/>
  <c r="G270" i="28"/>
  <c r="H270" i="28"/>
  <c r="F271" i="28"/>
  <c r="G271" i="28"/>
  <c r="H271" i="28"/>
  <c r="F272" i="28"/>
  <c r="G272" i="28"/>
  <c r="H272" i="28"/>
  <c r="F273" i="28"/>
  <c r="G273" i="28"/>
  <c r="H273" i="28"/>
  <c r="F274" i="28"/>
  <c r="G274" i="28"/>
  <c r="H274" i="28"/>
  <c r="F275" i="28"/>
  <c r="G275" i="28"/>
  <c r="H275" i="28"/>
  <c r="F276" i="28"/>
  <c r="G276" i="28"/>
  <c r="H276" i="28"/>
  <c r="F277" i="28"/>
  <c r="G277" i="28"/>
  <c r="H277" i="28"/>
  <c r="F278" i="28"/>
  <c r="G278" i="28"/>
  <c r="H278" i="28"/>
  <c r="F279" i="28"/>
  <c r="G279" i="28"/>
  <c r="H279" i="28"/>
  <c r="F280" i="28"/>
  <c r="G280" i="28"/>
  <c r="H280" i="28"/>
  <c r="F281" i="28"/>
  <c r="G281" i="28"/>
  <c r="H281" i="28"/>
  <c r="F282" i="28"/>
  <c r="G282" i="28"/>
  <c r="H282" i="28"/>
  <c r="F283" i="28"/>
  <c r="G283" i="28"/>
  <c r="H283" i="28"/>
  <c r="F284" i="28"/>
  <c r="G284" i="28"/>
  <c r="H284" i="28"/>
  <c r="F285" i="28"/>
  <c r="G285" i="28"/>
  <c r="H285" i="28"/>
  <c r="F286" i="28"/>
  <c r="G286" i="28"/>
  <c r="H286" i="28"/>
  <c r="F287" i="28"/>
  <c r="G287" i="28"/>
  <c r="H287" i="28"/>
  <c r="F288" i="28"/>
  <c r="G288" i="28"/>
  <c r="H288" i="28"/>
  <c r="F289" i="28"/>
  <c r="G289" i="28"/>
  <c r="H289" i="28"/>
  <c r="F290" i="28"/>
  <c r="G290" i="28"/>
  <c r="H290" i="28"/>
  <c r="F291" i="28"/>
  <c r="G291" i="28"/>
  <c r="H291" i="28"/>
  <c r="F292" i="28"/>
  <c r="G292" i="28"/>
  <c r="H292" i="28"/>
  <c r="F293" i="28"/>
  <c r="G293" i="28"/>
  <c r="H293" i="28"/>
  <c r="F294" i="28"/>
  <c r="G294" i="28"/>
  <c r="H294" i="28"/>
  <c r="F295" i="28"/>
  <c r="G295" i="28"/>
  <c r="H295" i="28"/>
  <c r="F296" i="28"/>
  <c r="G296" i="28"/>
  <c r="H296" i="28"/>
  <c r="F297" i="28"/>
  <c r="G297" i="28"/>
  <c r="H297" i="28"/>
  <c r="F298" i="28"/>
  <c r="G298" i="28"/>
  <c r="H298" i="28"/>
  <c r="F299" i="28"/>
  <c r="G299" i="28"/>
  <c r="H299" i="28"/>
  <c r="F300" i="28"/>
  <c r="G300" i="28"/>
  <c r="H300" i="28"/>
  <c r="F301" i="28"/>
  <c r="G301" i="28"/>
  <c r="H301" i="28"/>
  <c r="F302" i="28"/>
  <c r="G302" i="28"/>
  <c r="H302" i="28"/>
  <c r="F303" i="28"/>
  <c r="G303" i="28"/>
  <c r="H303" i="28"/>
  <c r="F304" i="28"/>
  <c r="G304" i="28"/>
  <c r="H304" i="28"/>
  <c r="F305" i="28"/>
  <c r="G305" i="28"/>
  <c r="H305" i="28"/>
  <c r="F306" i="28"/>
  <c r="G306" i="28"/>
  <c r="H306" i="28"/>
  <c r="F307" i="28"/>
  <c r="G307" i="28"/>
  <c r="H307" i="28"/>
  <c r="F308" i="28"/>
  <c r="G308" i="28"/>
  <c r="H308" i="28"/>
  <c r="F309" i="28"/>
  <c r="G309" i="28"/>
  <c r="H309" i="28"/>
  <c r="F310" i="28"/>
  <c r="G310" i="28"/>
  <c r="H310" i="28"/>
  <c r="F311" i="28"/>
  <c r="G311" i="28"/>
  <c r="H311" i="28"/>
  <c r="F312" i="28"/>
  <c r="G312" i="28"/>
  <c r="H312" i="28"/>
  <c r="F313" i="28"/>
  <c r="G313" i="28"/>
  <c r="H313" i="28"/>
  <c r="F314" i="28"/>
  <c r="G314" i="28"/>
  <c r="H314" i="28"/>
  <c r="F315" i="28"/>
  <c r="G315" i="28"/>
  <c r="H315" i="28"/>
  <c r="F316" i="28"/>
  <c r="G316" i="28"/>
  <c r="H316" i="28"/>
  <c r="F317" i="28"/>
  <c r="G317" i="28"/>
  <c r="H317" i="28"/>
  <c r="F318" i="28"/>
  <c r="G318" i="28"/>
  <c r="H318" i="28"/>
  <c r="F319" i="28"/>
  <c r="G319" i="28"/>
  <c r="H319" i="28"/>
  <c r="F320" i="28"/>
  <c r="G320" i="28"/>
  <c r="H320" i="28"/>
  <c r="F321" i="28"/>
  <c r="G321" i="28"/>
  <c r="H321" i="28"/>
  <c r="F322" i="28"/>
  <c r="G322" i="28"/>
  <c r="H322" i="28"/>
  <c r="F323" i="28"/>
  <c r="G323" i="28"/>
  <c r="H323" i="28"/>
  <c r="F324" i="28"/>
  <c r="G324" i="28"/>
  <c r="H324" i="28"/>
  <c r="F325" i="28"/>
  <c r="G325" i="28"/>
  <c r="H325" i="28"/>
  <c r="F326" i="28"/>
  <c r="G326" i="28"/>
  <c r="H326" i="28"/>
  <c r="F327" i="28"/>
  <c r="G327" i="28"/>
  <c r="H327" i="28"/>
  <c r="F328" i="28"/>
  <c r="G328" i="28"/>
  <c r="H328" i="28"/>
  <c r="F329" i="28"/>
  <c r="G329" i="28"/>
  <c r="H329" i="28"/>
  <c r="F330" i="28"/>
  <c r="G330" i="28"/>
  <c r="H330" i="28"/>
  <c r="F331" i="28"/>
  <c r="G331" i="28"/>
  <c r="H331" i="28"/>
  <c r="F332" i="28"/>
  <c r="G332" i="28"/>
  <c r="H332" i="28"/>
  <c r="F333" i="28"/>
  <c r="G333" i="28"/>
  <c r="H333" i="28"/>
  <c r="F334" i="28"/>
  <c r="G334" i="28"/>
  <c r="H334" i="28"/>
  <c r="F335" i="28"/>
  <c r="G335" i="28"/>
  <c r="H335" i="28"/>
  <c r="F336" i="28"/>
  <c r="G336" i="28"/>
  <c r="H336" i="28"/>
  <c r="F337" i="28"/>
  <c r="G337" i="28"/>
  <c r="H337" i="28"/>
  <c r="F338" i="28"/>
  <c r="G338" i="28"/>
  <c r="H338" i="28"/>
  <c r="F339" i="28"/>
  <c r="G339" i="28"/>
  <c r="H339" i="28"/>
  <c r="F340" i="28"/>
  <c r="G340" i="28"/>
  <c r="H340" i="28"/>
  <c r="F341" i="28"/>
  <c r="G341" i="28"/>
  <c r="H341" i="28"/>
  <c r="F342" i="28"/>
  <c r="G342" i="28"/>
  <c r="H342" i="28"/>
  <c r="F343" i="28"/>
  <c r="G343" i="28"/>
  <c r="H343" i="28"/>
  <c r="F344" i="28"/>
  <c r="G344" i="28"/>
  <c r="H344" i="28"/>
  <c r="F345" i="28"/>
  <c r="G345" i="28"/>
  <c r="H345" i="28"/>
  <c r="F346" i="28"/>
  <c r="G346" i="28"/>
  <c r="H346" i="28"/>
  <c r="F347" i="28"/>
  <c r="G347" i="28"/>
  <c r="H347" i="28"/>
  <c r="F348" i="28"/>
  <c r="G348" i="28"/>
  <c r="H348" i="28"/>
  <c r="F349" i="28"/>
  <c r="G349" i="28"/>
  <c r="H349" i="28"/>
  <c r="F350" i="28"/>
  <c r="G350" i="28"/>
  <c r="H350" i="28"/>
  <c r="F351" i="28"/>
  <c r="G351" i="28"/>
  <c r="H351" i="28"/>
  <c r="F352" i="28"/>
  <c r="G352" i="28"/>
  <c r="H352" i="28"/>
  <c r="F353" i="28"/>
  <c r="G353" i="28"/>
  <c r="H353" i="28"/>
  <c r="F354" i="28"/>
  <c r="G354" i="28"/>
  <c r="H354" i="28"/>
  <c r="F355" i="28"/>
  <c r="G355" i="28"/>
  <c r="H355" i="28"/>
  <c r="F356" i="28"/>
  <c r="G356" i="28"/>
  <c r="H356" i="28"/>
  <c r="F357" i="28"/>
  <c r="G357" i="28"/>
  <c r="H357" i="28"/>
  <c r="F358" i="28"/>
  <c r="G358" i="28"/>
  <c r="H358" i="28"/>
  <c r="F359" i="28"/>
  <c r="G359" i="28"/>
  <c r="H359" i="28"/>
  <c r="F360" i="28"/>
  <c r="G360" i="28"/>
  <c r="H360" i="28"/>
  <c r="F361" i="28"/>
  <c r="G361" i="28"/>
  <c r="H361" i="28"/>
  <c r="F362" i="28"/>
  <c r="G362" i="28"/>
  <c r="H362" i="28"/>
  <c r="F363" i="28"/>
  <c r="G363" i="28"/>
  <c r="H363" i="28"/>
  <c r="F364" i="28"/>
  <c r="G364" i="28"/>
  <c r="H364" i="28"/>
  <c r="F365" i="28"/>
  <c r="G365" i="28"/>
  <c r="H365" i="28"/>
  <c r="F366" i="28"/>
  <c r="G366" i="28"/>
  <c r="H366" i="28"/>
  <c r="F367" i="28"/>
  <c r="G367" i="28"/>
  <c r="H367" i="28"/>
  <c r="F368" i="28"/>
  <c r="G368" i="28"/>
  <c r="H368" i="28"/>
  <c r="F369" i="28"/>
  <c r="G369" i="28"/>
  <c r="H369" i="28"/>
  <c r="F370" i="28"/>
  <c r="G370" i="28"/>
  <c r="H370" i="28"/>
  <c r="F371" i="28"/>
  <c r="G371" i="28"/>
  <c r="H371" i="28"/>
  <c r="F372" i="28"/>
  <c r="G372" i="28"/>
  <c r="H372" i="28"/>
  <c r="F373" i="28"/>
  <c r="G373" i="28"/>
  <c r="H373" i="28"/>
  <c r="F374" i="28"/>
  <c r="G374" i="28"/>
  <c r="H374" i="28"/>
  <c r="F375" i="28"/>
  <c r="G375" i="28"/>
  <c r="H375" i="28"/>
  <c r="F376" i="28"/>
  <c r="G376" i="28"/>
  <c r="H376" i="28"/>
  <c r="F377" i="28"/>
  <c r="G377" i="28"/>
  <c r="H377" i="28"/>
  <c r="F378" i="28"/>
  <c r="G378" i="28"/>
  <c r="H378" i="28"/>
  <c r="F379" i="28"/>
  <c r="G379" i="28"/>
  <c r="H379" i="28"/>
  <c r="F380" i="28"/>
  <c r="G380" i="28"/>
  <c r="H380" i="28"/>
  <c r="F381" i="28"/>
  <c r="G381" i="28"/>
  <c r="H381" i="28"/>
  <c r="F382" i="28"/>
  <c r="G382" i="28"/>
  <c r="H382" i="28"/>
  <c r="F383" i="28"/>
  <c r="G383" i="28"/>
  <c r="H383" i="28"/>
  <c r="F384" i="28"/>
  <c r="G384" i="28"/>
  <c r="H384" i="28"/>
  <c r="F385" i="28"/>
  <c r="G385" i="28"/>
  <c r="H385" i="28"/>
  <c r="F386" i="28"/>
  <c r="G386" i="28"/>
  <c r="H386" i="28"/>
  <c r="F387" i="28"/>
  <c r="G387" i="28"/>
  <c r="H387" i="28"/>
  <c r="F388" i="28"/>
  <c r="G388" i="28"/>
  <c r="H388" i="28"/>
  <c r="F389" i="28"/>
  <c r="G389" i="28"/>
  <c r="H389" i="28"/>
  <c r="F390" i="28"/>
  <c r="G390" i="28"/>
  <c r="H390" i="28"/>
  <c r="F391" i="28"/>
  <c r="G391" i="28"/>
  <c r="H391" i="28"/>
  <c r="F392" i="28"/>
  <c r="G392" i="28"/>
  <c r="H392" i="28"/>
  <c r="F393" i="28"/>
  <c r="G393" i="28"/>
  <c r="H393" i="28"/>
  <c r="F394" i="28"/>
  <c r="G394" i="28"/>
  <c r="H394" i="28"/>
  <c r="F395" i="28"/>
  <c r="G395" i="28"/>
  <c r="H395" i="28"/>
  <c r="F396" i="28"/>
  <c r="G396" i="28"/>
  <c r="H396" i="28"/>
  <c r="F397" i="28"/>
  <c r="G397" i="28"/>
  <c r="H397" i="28"/>
  <c r="F398" i="28"/>
  <c r="G398" i="28"/>
  <c r="H398" i="28"/>
  <c r="F399" i="28"/>
  <c r="G399" i="28"/>
  <c r="H399" i="28"/>
  <c r="F400" i="28"/>
  <c r="G400" i="28"/>
  <c r="H400" i="28"/>
  <c r="F401" i="28"/>
  <c r="G401" i="28"/>
  <c r="H401" i="28"/>
  <c r="F402" i="28"/>
  <c r="G402" i="28"/>
  <c r="H402" i="28"/>
  <c r="F403" i="28"/>
  <c r="G403" i="28"/>
  <c r="H403" i="28"/>
  <c r="F404" i="28"/>
  <c r="G404" i="28"/>
  <c r="H404" i="28"/>
  <c r="F405" i="28"/>
  <c r="G405" i="28"/>
  <c r="H405" i="28"/>
  <c r="F406" i="28"/>
  <c r="G406" i="28"/>
  <c r="H406" i="28"/>
  <c r="F407" i="28"/>
  <c r="G407" i="28"/>
  <c r="H407" i="28"/>
  <c r="F408" i="28"/>
  <c r="G408" i="28"/>
  <c r="H408" i="28"/>
  <c r="F409" i="28"/>
  <c r="G409" i="28"/>
  <c r="H409" i="28"/>
  <c r="F410" i="28"/>
  <c r="G410" i="28"/>
  <c r="H410" i="28"/>
  <c r="F411" i="28"/>
  <c r="G411" i="28"/>
  <c r="H411" i="28"/>
  <c r="F412" i="28"/>
  <c r="G412" i="28"/>
  <c r="H412" i="28"/>
  <c r="F413" i="28"/>
  <c r="G413" i="28"/>
  <c r="H413" i="28"/>
  <c r="F414" i="28"/>
  <c r="G414" i="28"/>
  <c r="H414" i="28"/>
  <c r="F415" i="28"/>
  <c r="G415" i="28"/>
  <c r="H415" i="28"/>
  <c r="F416" i="28"/>
  <c r="G416" i="28"/>
  <c r="H416" i="28"/>
  <c r="F417" i="28"/>
  <c r="G417" i="28"/>
  <c r="H417" i="28"/>
  <c r="F418" i="28"/>
  <c r="G418" i="28"/>
  <c r="H418" i="28"/>
  <c r="F419" i="28"/>
  <c r="G419" i="28"/>
  <c r="H419" i="28"/>
  <c r="F420" i="28"/>
  <c r="G420" i="28"/>
  <c r="H420" i="28"/>
  <c r="F421" i="28"/>
  <c r="G421" i="28"/>
  <c r="H421" i="28"/>
  <c r="F422" i="28"/>
  <c r="G422" i="28"/>
  <c r="H422" i="28"/>
  <c r="F423" i="28"/>
  <c r="G423" i="28"/>
  <c r="H423" i="28"/>
  <c r="F424" i="28"/>
  <c r="G424" i="28"/>
  <c r="H424" i="28"/>
  <c r="F425" i="28"/>
  <c r="G425" i="28"/>
  <c r="H425" i="28"/>
  <c r="F426" i="28"/>
  <c r="G426" i="28"/>
  <c r="H426" i="28"/>
  <c r="F427" i="28"/>
  <c r="G427" i="28"/>
  <c r="H427" i="28"/>
  <c r="F428" i="28"/>
  <c r="G428" i="28"/>
  <c r="H428" i="28"/>
  <c r="F429" i="28"/>
  <c r="G429" i="28"/>
  <c r="H429" i="28"/>
  <c r="F430" i="28"/>
  <c r="G430" i="28"/>
  <c r="H430" i="28"/>
  <c r="F431" i="28"/>
  <c r="G431" i="28"/>
  <c r="H431" i="28"/>
  <c r="F432" i="28"/>
  <c r="G432" i="28"/>
  <c r="H432" i="28"/>
  <c r="F433" i="28"/>
  <c r="G433" i="28"/>
  <c r="H433" i="28"/>
  <c r="F434" i="28"/>
  <c r="G434" i="28"/>
  <c r="H434" i="28"/>
  <c r="F435" i="28"/>
  <c r="G435" i="28"/>
  <c r="H435" i="28"/>
  <c r="F436" i="28"/>
  <c r="G436" i="28"/>
  <c r="H436" i="28"/>
  <c r="F437" i="28"/>
  <c r="G437" i="28"/>
  <c r="H437" i="28"/>
  <c r="F438" i="28"/>
  <c r="G438" i="28"/>
  <c r="H438" i="28"/>
  <c r="F439" i="28"/>
  <c r="G439" i="28"/>
  <c r="H439" i="28"/>
  <c r="F440" i="28"/>
  <c r="G440" i="28"/>
  <c r="H440" i="28"/>
  <c r="F441" i="28"/>
  <c r="G441" i="28"/>
  <c r="H441" i="28"/>
  <c r="F442" i="28"/>
  <c r="G442" i="28"/>
  <c r="H442" i="28"/>
  <c r="F443" i="28"/>
  <c r="G443" i="28"/>
  <c r="H443" i="28"/>
  <c r="F444" i="28"/>
  <c r="G444" i="28"/>
  <c r="H444" i="28"/>
  <c r="F445" i="28"/>
  <c r="G445" i="28"/>
  <c r="H445" i="28"/>
  <c r="F446" i="28"/>
  <c r="G446" i="28"/>
  <c r="H446" i="28"/>
  <c r="F447" i="28"/>
  <c r="G447" i="28"/>
  <c r="H447" i="28"/>
  <c r="F448" i="28"/>
  <c r="G448" i="28"/>
  <c r="H448" i="28"/>
  <c r="F449" i="28"/>
  <c r="G449" i="28"/>
  <c r="H449" i="28"/>
  <c r="F450" i="28"/>
  <c r="G450" i="28"/>
  <c r="H450" i="28"/>
  <c r="F451" i="28"/>
  <c r="G451" i="28"/>
  <c r="H451" i="28"/>
  <c r="F452" i="28"/>
  <c r="G452" i="28"/>
  <c r="H452" i="28"/>
  <c r="F453" i="28"/>
  <c r="G453" i="28"/>
  <c r="H453" i="28"/>
  <c r="F454" i="28"/>
  <c r="G454" i="28"/>
  <c r="H454" i="28"/>
  <c r="F455" i="28"/>
  <c r="G455" i="28"/>
  <c r="H455" i="28"/>
  <c r="F456" i="28"/>
  <c r="G456" i="28"/>
  <c r="H456" i="28"/>
  <c r="F457" i="28"/>
  <c r="G457" i="28"/>
  <c r="H457" i="28"/>
  <c r="F458" i="28"/>
  <c r="G458" i="28"/>
  <c r="H458" i="28"/>
  <c r="F459" i="28"/>
  <c r="G459" i="28"/>
  <c r="H459" i="28"/>
  <c r="F460" i="28"/>
  <c r="G460" i="28"/>
  <c r="H460" i="28"/>
  <c r="F461" i="28"/>
  <c r="G461" i="28"/>
  <c r="H461" i="28"/>
  <c r="F462" i="28"/>
  <c r="G462" i="28"/>
  <c r="H462" i="28"/>
  <c r="F463" i="28"/>
  <c r="G463" i="28"/>
  <c r="H463" i="28"/>
  <c r="F464" i="28"/>
  <c r="G464" i="28"/>
  <c r="H464" i="28"/>
  <c r="F465" i="28"/>
  <c r="G465" i="28"/>
  <c r="H465" i="28"/>
  <c r="F466" i="28"/>
  <c r="G466" i="28"/>
  <c r="H466" i="28"/>
  <c r="F467" i="28"/>
  <c r="G467" i="28"/>
  <c r="H467" i="28"/>
  <c r="F468" i="28"/>
  <c r="G468" i="28"/>
  <c r="H468" i="28"/>
  <c r="F469" i="28"/>
  <c r="G469" i="28"/>
  <c r="H469" i="28"/>
  <c r="F470" i="28"/>
  <c r="G470" i="28"/>
  <c r="H470" i="28"/>
  <c r="F471" i="28"/>
  <c r="G471" i="28"/>
  <c r="H471" i="28"/>
  <c r="F472" i="28"/>
  <c r="G472" i="28"/>
  <c r="H472" i="28"/>
  <c r="F473" i="28"/>
  <c r="G473" i="28"/>
  <c r="H473" i="28"/>
  <c r="F474" i="28"/>
  <c r="G474" i="28"/>
  <c r="H474" i="28"/>
  <c r="F475" i="28"/>
  <c r="G475" i="28"/>
  <c r="H475" i="28"/>
  <c r="F476" i="28"/>
  <c r="G476" i="28"/>
  <c r="H476" i="28"/>
  <c r="F477" i="28"/>
  <c r="G477" i="28"/>
  <c r="H477" i="28"/>
  <c r="F478" i="28"/>
  <c r="G478" i="28"/>
  <c r="H478" i="28"/>
  <c r="F479" i="28"/>
  <c r="G479" i="28"/>
  <c r="H479" i="28"/>
  <c r="F480" i="28"/>
  <c r="G480" i="28"/>
  <c r="H480" i="28"/>
  <c r="F481" i="28"/>
  <c r="G481" i="28"/>
  <c r="H481" i="28"/>
  <c r="F482" i="28"/>
  <c r="G482" i="28"/>
  <c r="H482" i="28"/>
  <c r="F483" i="28"/>
  <c r="G483" i="28"/>
  <c r="H483" i="28"/>
  <c r="F484" i="28"/>
  <c r="G484" i="28"/>
  <c r="H484" i="28"/>
  <c r="F485" i="28"/>
  <c r="G485" i="28"/>
  <c r="H485" i="28"/>
  <c r="F486" i="28"/>
  <c r="G486" i="28"/>
  <c r="H486" i="28"/>
  <c r="F487" i="28"/>
  <c r="G487" i="28"/>
  <c r="H487" i="28"/>
  <c r="F488" i="28"/>
  <c r="G488" i="28"/>
  <c r="H488" i="28"/>
  <c r="F489" i="28"/>
  <c r="G489" i="28"/>
  <c r="H489" i="28"/>
  <c r="F490" i="28"/>
  <c r="G490" i="28"/>
  <c r="H490" i="28"/>
  <c r="F491" i="28"/>
  <c r="G491" i="28"/>
  <c r="H491" i="28"/>
  <c r="F492" i="28"/>
  <c r="G492" i="28"/>
  <c r="H492" i="28"/>
  <c r="F493" i="28"/>
  <c r="G493" i="28"/>
  <c r="H493" i="28"/>
  <c r="F494" i="28"/>
  <c r="G494" i="28"/>
  <c r="H494" i="28"/>
  <c r="F495" i="28"/>
  <c r="G495" i="28"/>
  <c r="H495" i="28"/>
  <c r="F496" i="28"/>
  <c r="G496" i="28"/>
  <c r="H496" i="28"/>
  <c r="F497" i="28"/>
  <c r="G497" i="28"/>
  <c r="H497" i="28"/>
  <c r="F498" i="28"/>
  <c r="G498" i="28"/>
  <c r="H498" i="28"/>
  <c r="F31" i="28"/>
  <c r="G31" i="28"/>
  <c r="H31" i="28"/>
  <c r="F32" i="28"/>
  <c r="G32" i="28"/>
  <c r="H32" i="28"/>
  <c r="G33" i="28"/>
  <c r="H33" i="28"/>
  <c r="G34" i="28"/>
  <c r="H34" i="28"/>
  <c r="H3" i="28"/>
  <c r="H4" i="28"/>
  <c r="H5" i="28"/>
  <c r="H6" i="28"/>
  <c r="H7" i="28"/>
  <c r="H8" i="28"/>
  <c r="H9" i="28"/>
  <c r="H10" i="28"/>
  <c r="H11" i="28"/>
  <c r="H12" i="28"/>
  <c r="H13" i="28"/>
  <c r="H14" i="28"/>
  <c r="H15" i="28"/>
  <c r="H16" i="28"/>
  <c r="H17" i="28"/>
  <c r="H18" i="28"/>
  <c r="H19" i="28"/>
  <c r="H20" i="28"/>
  <c r="H21" i="28"/>
  <c r="H22" i="28"/>
  <c r="H23" i="28"/>
  <c r="H24" i="28"/>
  <c r="H25" i="28"/>
  <c r="H26" i="28"/>
  <c r="H27" i="28"/>
  <c r="H28" i="28"/>
  <c r="H29" i="28"/>
  <c r="H30" i="28"/>
  <c r="G30" i="28"/>
  <c r="F13" i="28"/>
  <c r="F14" i="28"/>
  <c r="F15" i="28"/>
  <c r="F16" i="28"/>
  <c r="F17" i="28"/>
  <c r="F18" i="28"/>
  <c r="F19" i="28"/>
  <c r="F20" i="28"/>
  <c r="F21" i="28"/>
  <c r="F22" i="28"/>
  <c r="F23" i="28"/>
  <c r="F24" i="28"/>
  <c r="F26" i="28"/>
  <c r="F29"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158" i="28"/>
  <c r="E159" i="28"/>
  <c r="E160" i="28"/>
  <c r="E161" i="28"/>
  <c r="E162" i="28"/>
  <c r="E163" i="28"/>
  <c r="E164" i="28"/>
  <c r="E165" i="28"/>
  <c r="E166" i="28"/>
  <c r="E167" i="28"/>
  <c r="E168" i="28"/>
  <c r="E169" i="28"/>
  <c r="E170" i="28"/>
  <c r="E171" i="28"/>
  <c r="E172" i="28"/>
  <c r="E173" i="28"/>
  <c r="E174" i="28"/>
  <c r="E175" i="28"/>
  <c r="E176" i="28"/>
  <c r="E177" i="28"/>
  <c r="E178" i="28"/>
  <c r="E179" i="28"/>
  <c r="E180" i="28"/>
  <c r="E181" i="28"/>
  <c r="E182" i="28"/>
  <c r="E183" i="28"/>
  <c r="E184" i="28"/>
  <c r="E185" i="28"/>
  <c r="E186" i="28"/>
  <c r="E187" i="28"/>
  <c r="E188" i="28"/>
  <c r="E189" i="28"/>
  <c r="E190" i="28"/>
  <c r="E191" i="28"/>
  <c r="E192" i="28"/>
  <c r="E193" i="28"/>
  <c r="E194" i="28"/>
  <c r="E195" i="28"/>
  <c r="E196" i="28"/>
  <c r="E197" i="28"/>
  <c r="E198" i="28"/>
  <c r="E199" i="28"/>
  <c r="E200" i="28"/>
  <c r="E201" i="28"/>
  <c r="E202" i="28"/>
  <c r="E203" i="28"/>
  <c r="E204" i="28"/>
  <c r="E205" i="28"/>
  <c r="E206" i="28"/>
  <c r="E207" i="28"/>
  <c r="E208" i="28"/>
  <c r="E209" i="28"/>
  <c r="E210" i="28"/>
  <c r="E211" i="28"/>
  <c r="E212" i="28"/>
  <c r="E213" i="28"/>
  <c r="E214" i="28"/>
  <c r="E215" i="28"/>
  <c r="E216" i="28"/>
  <c r="E217" i="28"/>
  <c r="E218" i="28"/>
  <c r="E219" i="28"/>
  <c r="E220" i="28"/>
  <c r="E221" i="28"/>
  <c r="E222" i="28"/>
  <c r="E223" i="28"/>
  <c r="E224" i="28"/>
  <c r="E225" i="28"/>
  <c r="E226" i="28"/>
  <c r="E227" i="28"/>
  <c r="E228" i="28"/>
  <c r="E229" i="28"/>
  <c r="E230" i="28"/>
  <c r="E231" i="28"/>
  <c r="E232" i="28"/>
  <c r="E233" i="28"/>
  <c r="E234" i="28"/>
  <c r="E235" i="28"/>
  <c r="E236" i="28"/>
  <c r="E237" i="28"/>
  <c r="E238" i="28"/>
  <c r="E239" i="28"/>
  <c r="E240" i="28"/>
  <c r="E241" i="28"/>
  <c r="E242" i="28"/>
  <c r="E243" i="28"/>
  <c r="E244" i="28"/>
  <c r="E245" i="28"/>
  <c r="E246" i="28"/>
  <c r="E247" i="28"/>
  <c r="E248" i="28"/>
  <c r="E249" i="28"/>
  <c r="E250" i="28"/>
  <c r="E251" i="28"/>
  <c r="E252" i="28"/>
  <c r="E253" i="28"/>
  <c r="E254" i="28"/>
  <c r="E255" i="28"/>
  <c r="E256" i="28"/>
  <c r="E257" i="28"/>
  <c r="E258" i="28"/>
  <c r="E259" i="28"/>
  <c r="E260" i="28"/>
  <c r="E261" i="28"/>
  <c r="E262" i="28"/>
  <c r="E263" i="28"/>
  <c r="E264" i="28"/>
  <c r="E265" i="28"/>
  <c r="E266" i="28"/>
  <c r="E267" i="28"/>
  <c r="E268" i="28"/>
  <c r="E269" i="28"/>
  <c r="E270" i="28"/>
  <c r="E271" i="28"/>
  <c r="E272" i="28"/>
  <c r="E273" i="28"/>
  <c r="E274" i="28"/>
  <c r="E275" i="28"/>
  <c r="E276" i="28"/>
  <c r="E277" i="28"/>
  <c r="E278" i="28"/>
  <c r="E279" i="28"/>
  <c r="E280" i="28"/>
  <c r="E281" i="28"/>
  <c r="E282" i="28"/>
  <c r="E283" i="28"/>
  <c r="E284" i="28"/>
  <c r="E285" i="28"/>
  <c r="E286" i="28"/>
  <c r="E287" i="28"/>
  <c r="E288" i="28"/>
  <c r="E289" i="28"/>
  <c r="E290" i="28"/>
  <c r="E291" i="28"/>
  <c r="E292" i="28"/>
  <c r="E293" i="28"/>
  <c r="E294" i="28"/>
  <c r="E295" i="28"/>
  <c r="E296" i="28"/>
  <c r="E297" i="28"/>
  <c r="E298" i="28"/>
  <c r="E299" i="28"/>
  <c r="E300" i="28"/>
  <c r="E301" i="28"/>
  <c r="E302" i="28"/>
  <c r="E303" i="28"/>
  <c r="E304" i="28"/>
  <c r="E305" i="28"/>
  <c r="E306" i="28"/>
  <c r="E307" i="28"/>
  <c r="E308" i="28"/>
  <c r="E309" i="28"/>
  <c r="E310" i="28"/>
  <c r="E311" i="28"/>
  <c r="E312" i="28"/>
  <c r="E313" i="28"/>
  <c r="E314" i="28"/>
  <c r="E315" i="28"/>
  <c r="E316" i="28"/>
  <c r="E317" i="28"/>
  <c r="E318" i="28"/>
  <c r="E319" i="28"/>
  <c r="E320" i="28"/>
  <c r="E321" i="28"/>
  <c r="E322" i="28"/>
  <c r="E323" i="28"/>
  <c r="E324" i="28"/>
  <c r="E325" i="28"/>
  <c r="E326" i="28"/>
  <c r="E327" i="28"/>
  <c r="E328" i="28"/>
  <c r="E329" i="28"/>
  <c r="E330" i="28"/>
  <c r="E331" i="28"/>
  <c r="E332" i="28"/>
  <c r="E333" i="28"/>
  <c r="E334" i="28"/>
  <c r="E335" i="28"/>
  <c r="E336" i="28"/>
  <c r="E337" i="28"/>
  <c r="E338" i="28"/>
  <c r="E339" i="28"/>
  <c r="E340" i="28"/>
  <c r="E341" i="28"/>
  <c r="E342" i="28"/>
  <c r="E343" i="28"/>
  <c r="E344" i="28"/>
  <c r="E345" i="28"/>
  <c r="E346" i="28"/>
  <c r="E347" i="28"/>
  <c r="E348" i="28"/>
  <c r="E349" i="28"/>
  <c r="E350" i="28"/>
  <c r="E351" i="28"/>
  <c r="E352" i="28"/>
  <c r="E353" i="28"/>
  <c r="E354" i="28"/>
  <c r="E355" i="28"/>
  <c r="E356" i="28"/>
  <c r="E357" i="28"/>
  <c r="E358" i="28"/>
  <c r="E359" i="28"/>
  <c r="E360" i="28"/>
  <c r="E361" i="28"/>
  <c r="E362" i="28"/>
  <c r="E363" i="28"/>
  <c r="E364" i="28"/>
  <c r="E365" i="28"/>
  <c r="E366" i="28"/>
  <c r="E367" i="28"/>
  <c r="E368" i="28"/>
  <c r="E369" i="28"/>
  <c r="E370" i="28"/>
  <c r="E371" i="28"/>
  <c r="E372" i="28"/>
  <c r="E373" i="28"/>
  <c r="E374" i="28"/>
  <c r="E375" i="28"/>
  <c r="E376" i="28"/>
  <c r="E377" i="28"/>
  <c r="E378" i="28"/>
  <c r="E379" i="28"/>
  <c r="E380" i="28"/>
  <c r="E381" i="28"/>
  <c r="E382" i="28"/>
  <c r="E383" i="28"/>
  <c r="E384" i="28"/>
  <c r="E385" i="28"/>
  <c r="E386" i="28"/>
  <c r="E387" i="28"/>
  <c r="E388" i="28"/>
  <c r="E389" i="28"/>
  <c r="E390" i="28"/>
  <c r="E391" i="28"/>
  <c r="E392" i="28"/>
  <c r="E393" i="28"/>
  <c r="E394" i="28"/>
  <c r="E395" i="28"/>
  <c r="E396" i="28"/>
  <c r="E397" i="28"/>
  <c r="E398" i="28"/>
  <c r="E399" i="28"/>
  <c r="E400" i="28"/>
  <c r="E401" i="28"/>
  <c r="E402" i="28"/>
  <c r="E403" i="28"/>
  <c r="E404" i="28"/>
  <c r="E405" i="28"/>
  <c r="E406" i="28"/>
  <c r="E407" i="28"/>
  <c r="E408" i="28"/>
  <c r="E409" i="28"/>
  <c r="E410" i="28"/>
  <c r="E411" i="28"/>
  <c r="E412" i="28"/>
  <c r="E413" i="28"/>
  <c r="E414" i="28"/>
  <c r="E415" i="28"/>
  <c r="E416" i="28"/>
  <c r="E417" i="28"/>
  <c r="E418" i="28"/>
  <c r="E419" i="28"/>
  <c r="E420" i="28"/>
  <c r="E421" i="28"/>
  <c r="E422" i="28"/>
  <c r="E423" i="28"/>
  <c r="E424" i="28"/>
  <c r="E425" i="28"/>
  <c r="E426" i="28"/>
  <c r="E427" i="28"/>
  <c r="E428" i="28"/>
  <c r="E429" i="28"/>
  <c r="E430" i="28"/>
  <c r="E431" i="28"/>
  <c r="E432" i="28"/>
  <c r="E433" i="28"/>
  <c r="E434" i="28"/>
  <c r="E435" i="28"/>
  <c r="E436" i="28"/>
  <c r="E437" i="28"/>
  <c r="E438" i="28"/>
  <c r="E439" i="28"/>
  <c r="E440" i="28"/>
  <c r="E441" i="28"/>
  <c r="E442" i="28"/>
  <c r="E443" i="28"/>
  <c r="E444" i="28"/>
  <c r="E445" i="28"/>
  <c r="E446" i="28"/>
  <c r="E447" i="28"/>
  <c r="E448" i="28"/>
  <c r="E449" i="28"/>
  <c r="E450" i="28"/>
  <c r="E451" i="28"/>
  <c r="E452" i="28"/>
  <c r="E453" i="28"/>
  <c r="E454" i="28"/>
  <c r="E455" i="28"/>
  <c r="E456" i="28"/>
  <c r="E457" i="28"/>
  <c r="E458" i="28"/>
  <c r="E459" i="28"/>
  <c r="E460" i="28"/>
  <c r="E461" i="28"/>
  <c r="E462" i="28"/>
  <c r="E463" i="28"/>
  <c r="E464" i="28"/>
  <c r="E465" i="28"/>
  <c r="E466" i="28"/>
  <c r="E467" i="28"/>
  <c r="E468" i="28"/>
  <c r="E469" i="28"/>
  <c r="E470" i="28"/>
  <c r="E471" i="28"/>
  <c r="E472" i="28"/>
  <c r="E473" i="28"/>
  <c r="E474" i="28"/>
  <c r="E475" i="28"/>
  <c r="E476" i="28"/>
  <c r="E477" i="28"/>
  <c r="E478" i="28"/>
  <c r="E479" i="28"/>
  <c r="E480" i="28"/>
  <c r="E481" i="28"/>
  <c r="E482" i="28"/>
  <c r="E483" i="28"/>
  <c r="E484" i="28"/>
  <c r="E485" i="28"/>
  <c r="E486" i="28"/>
  <c r="E487" i="28"/>
  <c r="E488" i="28"/>
  <c r="E489" i="28"/>
  <c r="E490" i="28"/>
  <c r="E491" i="28"/>
  <c r="E492" i="28"/>
  <c r="E493" i="28"/>
  <c r="E494" i="28"/>
  <c r="E495" i="28"/>
  <c r="E496" i="28"/>
  <c r="E497" i="28"/>
  <c r="E498" i="28"/>
  <c r="T50" i="15"/>
  <c r="T51" i="15"/>
  <c r="T52" i="15"/>
  <c r="T53" i="15"/>
  <c r="T54" i="15"/>
  <c r="T49" i="15"/>
  <c r="Q50" i="15"/>
  <c r="Q52" i="15"/>
  <c r="Q53" i="15"/>
  <c r="Q54" i="15"/>
  <c r="T35" i="15"/>
  <c r="T36" i="15"/>
  <c r="T37" i="15"/>
  <c r="T38" i="15"/>
  <c r="T39" i="15"/>
  <c r="T40" i="15"/>
  <c r="Q35" i="15"/>
  <c r="Q36" i="15"/>
  <c r="Q37" i="15"/>
  <c r="Q38" i="15"/>
  <c r="Q39" i="15"/>
  <c r="Q40" i="15"/>
  <c r="C10" i="15"/>
  <c r="K10" i="15"/>
  <c r="K9" i="15"/>
  <c r="H11" i="15"/>
  <c r="H10" i="15"/>
  <c r="C11" i="15"/>
  <c r="D16" i="21"/>
  <c r="D17" i="21"/>
  <c r="D18" i="21"/>
  <c r="D19" i="21"/>
  <c r="D20" i="21"/>
  <c r="D21" i="21"/>
  <c r="D22" i="21"/>
  <c r="D15" i="21"/>
  <c r="C15" i="21"/>
  <c r="B16" i="21"/>
  <c r="B17" i="21"/>
  <c r="B18" i="21"/>
  <c r="B19" i="21"/>
  <c r="B20" i="21"/>
  <c r="B21" i="21"/>
  <c r="B22" i="21"/>
  <c r="B15" i="21"/>
  <c r="J18" i="15"/>
  <c r="J19" i="15"/>
  <c r="J20" i="15"/>
  <c r="J21" i="15"/>
  <c r="J22" i="15"/>
  <c r="J23" i="15"/>
  <c r="M18" i="15"/>
  <c r="M20" i="15"/>
  <c r="M19" i="15"/>
  <c r="M44" i="28" l="1"/>
  <c r="I49" i="28"/>
  <c r="K44" i="28"/>
  <c r="J44" i="28"/>
  <c r="I50" i="28"/>
  <c r="I46" i="28"/>
  <c r="I47" i="28"/>
  <c r="I48" i="28"/>
  <c r="L44" i="28"/>
  <c r="M37" i="28"/>
  <c r="J37" i="28"/>
  <c r="L37" i="28"/>
  <c r="K37" i="28"/>
  <c r="M30" i="28"/>
  <c r="I358" i="28"/>
  <c r="I350" i="28"/>
  <c r="I342" i="28"/>
  <c r="I334" i="28"/>
  <c r="I326" i="28"/>
  <c r="I318" i="28"/>
  <c r="I310" i="28"/>
  <c r="I302" i="28"/>
  <c r="I294" i="28"/>
  <c r="I286" i="28"/>
  <c r="I278" i="28"/>
  <c r="I270" i="28"/>
  <c r="I262" i="28"/>
  <c r="I254" i="28"/>
  <c r="I246" i="28"/>
  <c r="I238" i="28"/>
  <c r="I230" i="28"/>
  <c r="I222" i="28"/>
  <c r="I214" i="28"/>
  <c r="I206" i="28"/>
  <c r="I198" i="28"/>
  <c r="I190" i="28"/>
  <c r="I182" i="28"/>
  <c r="I174" i="28"/>
  <c r="I142" i="28"/>
  <c r="I110" i="28"/>
  <c r="I78" i="28"/>
  <c r="I70" i="28"/>
  <c r="I38" i="28"/>
  <c r="L30" i="28"/>
  <c r="K9" i="28"/>
  <c r="I496" i="28"/>
  <c r="I492" i="28"/>
  <c r="I488" i="28"/>
  <c r="I484" i="28"/>
  <c r="I480" i="28"/>
  <c r="I476" i="28"/>
  <c r="I472" i="28"/>
  <c r="I468" i="28"/>
  <c r="I464" i="28"/>
  <c r="I460" i="28"/>
  <c r="I456" i="28"/>
  <c r="I452" i="28"/>
  <c r="I448" i="28"/>
  <c r="I444" i="28"/>
  <c r="I440" i="28"/>
  <c r="I436" i="28"/>
  <c r="I432" i="28"/>
  <c r="I428" i="28"/>
  <c r="I424" i="28"/>
  <c r="I420" i="28"/>
  <c r="I416" i="28"/>
  <c r="I412" i="28"/>
  <c r="I408" i="28"/>
  <c r="I404" i="28"/>
  <c r="I400" i="28"/>
  <c r="I396" i="28"/>
  <c r="I392" i="28"/>
  <c r="I388" i="28"/>
  <c r="I384" i="28"/>
  <c r="I380" i="28"/>
  <c r="I376" i="28"/>
  <c r="I372" i="28"/>
  <c r="I368" i="28"/>
  <c r="I364" i="28"/>
  <c r="I360" i="28"/>
  <c r="I356" i="28"/>
  <c r="I352" i="28"/>
  <c r="I348" i="28"/>
  <c r="I344" i="28"/>
  <c r="I340" i="28"/>
  <c r="I336" i="28"/>
  <c r="I332" i="28"/>
  <c r="I328" i="28"/>
  <c r="I324" i="28"/>
  <c r="M9" i="28"/>
  <c r="M16" i="28"/>
  <c r="M23" i="28"/>
  <c r="M3" i="28"/>
  <c r="I320" i="28"/>
  <c r="I316" i="28"/>
  <c r="I312" i="28"/>
  <c r="I308" i="28"/>
  <c r="I304" i="28"/>
  <c r="I300" i="28"/>
  <c r="I296" i="28"/>
  <c r="I166" i="28"/>
  <c r="I158" i="28"/>
  <c r="I150" i="28"/>
  <c r="I134" i="28"/>
  <c r="I126" i="28"/>
  <c r="I118" i="28"/>
  <c r="I102" i="28"/>
  <c r="I94" i="28"/>
  <c r="I86" i="28"/>
  <c r="I62" i="28"/>
  <c r="I54" i="28"/>
  <c r="I292" i="28"/>
  <c r="I288" i="28"/>
  <c r="I284" i="28"/>
  <c r="I280" i="28"/>
  <c r="I276" i="28"/>
  <c r="I272" i="28"/>
  <c r="I268" i="28"/>
  <c r="I264" i="28"/>
  <c r="I260" i="28"/>
  <c r="I256" i="28"/>
  <c r="I252" i="28"/>
  <c r="I248" i="28"/>
  <c r="I244" i="28"/>
  <c r="I240" i="28"/>
  <c r="I430" i="28"/>
  <c r="I426" i="28"/>
  <c r="I422" i="28"/>
  <c r="I418" i="28"/>
  <c r="I414" i="28"/>
  <c r="I410" i="28"/>
  <c r="I406" i="28"/>
  <c r="I402" i="28"/>
  <c r="I398" i="28"/>
  <c r="I394" i="28"/>
  <c r="I390" i="28"/>
  <c r="I386" i="28"/>
  <c r="I382" i="28"/>
  <c r="I378" i="28"/>
  <c r="I374" i="28"/>
  <c r="I370" i="28"/>
  <c r="I366" i="28"/>
  <c r="I362" i="28"/>
  <c r="I354" i="28"/>
  <c r="I346" i="28"/>
  <c r="I338" i="28"/>
  <c r="I330" i="28"/>
  <c r="I322" i="28"/>
  <c r="I314" i="28"/>
  <c r="I306" i="28"/>
  <c r="I298" i="28"/>
  <c r="I290" i="28"/>
  <c r="I282" i="28"/>
  <c r="I274" i="28"/>
  <c r="I266" i="28"/>
  <c r="I258" i="28"/>
  <c r="I250" i="28"/>
  <c r="I242" i="28"/>
  <c r="I234" i="28"/>
  <c r="I226" i="28"/>
  <c r="I218" i="28"/>
  <c r="I210" i="28"/>
  <c r="I202" i="28"/>
  <c r="I194" i="28"/>
  <c r="I186" i="28"/>
  <c r="I178" i="28"/>
  <c r="I170" i="28"/>
  <c r="I162" i="28"/>
  <c r="I154" i="28"/>
  <c r="I146" i="28"/>
  <c r="I138" i="28"/>
  <c r="I130" i="28"/>
  <c r="I122" i="28"/>
  <c r="I114" i="28"/>
  <c r="I106" i="28"/>
  <c r="I98" i="28"/>
  <c r="I90" i="28"/>
  <c r="I82" i="28"/>
  <c r="I74" i="28"/>
  <c r="I66" i="28"/>
  <c r="I58" i="28"/>
  <c r="I42" i="28"/>
  <c r="I236" i="28"/>
  <c r="I232" i="28"/>
  <c r="I228" i="28"/>
  <c r="I224" i="28"/>
  <c r="I220" i="28"/>
  <c r="I216" i="28"/>
  <c r="I212" i="28"/>
  <c r="I208" i="28"/>
  <c r="I204" i="28"/>
  <c r="I200" i="28"/>
  <c r="I196" i="28"/>
  <c r="I192" i="28"/>
  <c r="I188" i="28"/>
  <c r="I184" i="28"/>
  <c r="I180" i="28"/>
  <c r="I176" i="28"/>
  <c r="I172" i="28"/>
  <c r="I168" i="28"/>
  <c r="I164" i="28"/>
  <c r="I160" i="28"/>
  <c r="I156" i="28"/>
  <c r="I152" i="28"/>
  <c r="I148" i="28"/>
  <c r="I144" i="28"/>
  <c r="I140" i="28"/>
  <c r="I136" i="28"/>
  <c r="I497" i="28"/>
  <c r="I493" i="28"/>
  <c r="I489" i="28"/>
  <c r="I485" i="28"/>
  <c r="I481" i="28"/>
  <c r="I477" i="28"/>
  <c r="I473" i="28"/>
  <c r="I469" i="28"/>
  <c r="I465" i="28"/>
  <c r="I461" i="28"/>
  <c r="I457" i="28"/>
  <c r="I453" i="28"/>
  <c r="I449" i="28"/>
  <c r="I445" i="28"/>
  <c r="I441" i="28"/>
  <c r="I437" i="28"/>
  <c r="I433" i="28"/>
  <c r="I429" i="28"/>
  <c r="I425" i="28"/>
  <c r="I421" i="28"/>
  <c r="I417" i="28"/>
  <c r="I413" i="28"/>
  <c r="I409" i="28"/>
  <c r="I405" i="28"/>
  <c r="I401" i="28"/>
  <c r="I397" i="28"/>
  <c r="I393" i="28"/>
  <c r="I389" i="28"/>
  <c r="I385" i="28"/>
  <c r="I381" i="28"/>
  <c r="I377" i="28"/>
  <c r="I498" i="28"/>
  <c r="I494" i="28"/>
  <c r="I490" i="28"/>
  <c r="I486" i="28"/>
  <c r="I482" i="28"/>
  <c r="I478" i="28"/>
  <c r="I474" i="28"/>
  <c r="I470" i="28"/>
  <c r="I466" i="28"/>
  <c r="I462" i="28"/>
  <c r="I458" i="28"/>
  <c r="I454" i="28"/>
  <c r="I450" i="28"/>
  <c r="I446" i="28"/>
  <c r="I442" i="28"/>
  <c r="I438" i="28"/>
  <c r="I434" i="28"/>
  <c r="I373" i="28"/>
  <c r="I369" i="28"/>
  <c r="I365" i="28"/>
  <c r="I361" i="28"/>
  <c r="I357" i="28"/>
  <c r="I353" i="28"/>
  <c r="I349" i="28"/>
  <c r="I345" i="28"/>
  <c r="I341" i="28"/>
  <c r="I337" i="28"/>
  <c r="I333" i="28"/>
  <c r="I329" i="28"/>
  <c r="I325" i="28"/>
  <c r="I321" i="28"/>
  <c r="I317" i="28"/>
  <c r="I313" i="28"/>
  <c r="I309" i="28"/>
  <c r="I305" i="28"/>
  <c r="I301" i="28"/>
  <c r="I297" i="28"/>
  <c r="I293" i="28"/>
  <c r="I289" i="28"/>
  <c r="I285" i="28"/>
  <c r="I281" i="28"/>
  <c r="I277" i="28"/>
  <c r="I273" i="28"/>
  <c r="I269" i="28"/>
  <c r="I265" i="28"/>
  <c r="I261" i="28"/>
  <c r="I257" i="28"/>
  <c r="I253" i="28"/>
  <c r="I249" i="28"/>
  <c r="I245" i="28"/>
  <c r="I241" i="28"/>
  <c r="I237" i="28"/>
  <c r="I233" i="28"/>
  <c r="I229" i="28"/>
  <c r="I225" i="28"/>
  <c r="I221" i="28"/>
  <c r="I217" i="28"/>
  <c r="I213" i="28"/>
  <c r="I209" i="28"/>
  <c r="I205" i="28"/>
  <c r="I201" i="28"/>
  <c r="I197" i="28"/>
  <c r="I193" i="28"/>
  <c r="I189" i="28"/>
  <c r="I185" i="28"/>
  <c r="I181" i="28"/>
  <c r="I177" i="28"/>
  <c r="I173" i="28"/>
  <c r="I169" i="28"/>
  <c r="I165" i="28"/>
  <c r="I161" i="28"/>
  <c r="I157" i="28"/>
  <c r="I153" i="28"/>
  <c r="I149" i="28"/>
  <c r="I145" i="28"/>
  <c r="I141" i="28"/>
  <c r="I137" i="28"/>
  <c r="I133" i="28"/>
  <c r="I129" i="28"/>
  <c r="I125" i="28"/>
  <c r="I121" i="28"/>
  <c r="I117" i="28"/>
  <c r="I113" i="28"/>
  <c r="I109" i="28"/>
  <c r="I105" i="28"/>
  <c r="I101" i="28"/>
  <c r="I97" i="28"/>
  <c r="I93" i="28"/>
  <c r="I89" i="28"/>
  <c r="I85" i="28"/>
  <c r="I81" i="28"/>
  <c r="I77" i="28"/>
  <c r="I73" i="28"/>
  <c r="I69" i="28"/>
  <c r="I65" i="28"/>
  <c r="I61" i="28"/>
  <c r="I57" i="28"/>
  <c r="I53" i="28"/>
  <c r="I45" i="28"/>
  <c r="I41" i="28"/>
  <c r="I37" i="28"/>
  <c r="I495" i="28"/>
  <c r="I491" i="28"/>
  <c r="I487" i="28"/>
  <c r="I483" i="28"/>
  <c r="I479" i="28"/>
  <c r="I475" i="28"/>
  <c r="I471" i="28"/>
  <c r="I467" i="28"/>
  <c r="I463" i="28"/>
  <c r="I459" i="28"/>
  <c r="I455" i="28"/>
  <c r="I451" i="28"/>
  <c r="I447" i="28"/>
  <c r="I443" i="28"/>
  <c r="I439" i="28"/>
  <c r="I435" i="28"/>
  <c r="I431" i="28"/>
  <c r="I427" i="28"/>
  <c r="I423" i="28"/>
  <c r="I419" i="28"/>
  <c r="I415" i="28"/>
  <c r="I411" i="28"/>
  <c r="I407" i="28"/>
  <c r="I403" i="28"/>
  <c r="I399" i="28"/>
  <c r="I395" i="28"/>
  <c r="I391" i="28"/>
  <c r="I387" i="28"/>
  <c r="I383" i="28"/>
  <c r="I379" i="28"/>
  <c r="I375" i="28"/>
  <c r="I371" i="28"/>
  <c r="I367" i="28"/>
  <c r="I363" i="28"/>
  <c r="I132" i="28"/>
  <c r="I128" i="28"/>
  <c r="I124" i="28"/>
  <c r="I120" i="28"/>
  <c r="I116" i="28"/>
  <c r="I112" i="28"/>
  <c r="I108" i="28"/>
  <c r="I104" i="28"/>
  <c r="I100" i="28"/>
  <c r="I96" i="28"/>
  <c r="I92" i="28"/>
  <c r="I88" i="28"/>
  <c r="I84" i="28"/>
  <c r="I80" i="28"/>
  <c r="I76" i="28"/>
  <c r="I72" i="28"/>
  <c r="I68" i="28"/>
  <c r="I64" i="28"/>
  <c r="I60" i="28"/>
  <c r="I56" i="28"/>
  <c r="I52" i="28"/>
  <c r="I44" i="28"/>
  <c r="I40" i="28"/>
  <c r="I36" i="28"/>
  <c r="K16" i="28"/>
  <c r="I32" i="28"/>
  <c r="I33" i="28"/>
  <c r="I359" i="28"/>
  <c r="I355" i="28"/>
  <c r="I351" i="28"/>
  <c r="I347" i="28"/>
  <c r="I343" i="28"/>
  <c r="I339" i="28"/>
  <c r="I335" i="28"/>
  <c r="I331" i="28"/>
  <c r="I327" i="28"/>
  <c r="I323" i="28"/>
  <c r="I319" i="28"/>
  <c r="I315" i="28"/>
  <c r="I311" i="28"/>
  <c r="I307" i="28"/>
  <c r="I303" i="28"/>
  <c r="I299" i="28"/>
  <c r="I295" i="28"/>
  <c r="I291" i="28"/>
  <c r="I287" i="28"/>
  <c r="I283" i="28"/>
  <c r="I279" i="28"/>
  <c r="I275" i="28"/>
  <c r="I271" i="28"/>
  <c r="I267" i="28"/>
  <c r="I263" i="28"/>
  <c r="I259" i="28"/>
  <c r="I255" i="28"/>
  <c r="I251" i="28"/>
  <c r="I247" i="28"/>
  <c r="I243" i="28"/>
  <c r="I239" i="28"/>
  <c r="I235" i="28"/>
  <c r="I231" i="28"/>
  <c r="I227" i="28"/>
  <c r="I223" i="28"/>
  <c r="I219" i="28"/>
  <c r="I215" i="28"/>
  <c r="I211" i="28"/>
  <c r="I207" i="28"/>
  <c r="I203" i="28"/>
  <c r="I199" i="28"/>
  <c r="I195" i="28"/>
  <c r="I191" i="28"/>
  <c r="I187" i="28"/>
  <c r="I183" i="28"/>
  <c r="I179" i="28"/>
  <c r="I175" i="28"/>
  <c r="I171" i="28"/>
  <c r="I167" i="28"/>
  <c r="I163" i="28"/>
  <c r="I159" i="28"/>
  <c r="I155" i="28"/>
  <c r="I151" i="28"/>
  <c r="I147" i="28"/>
  <c r="I143" i="28"/>
  <c r="I139" i="28"/>
  <c r="I135" i="28"/>
  <c r="I131" i="28"/>
  <c r="I127" i="28"/>
  <c r="I123" i="28"/>
  <c r="I119" i="28"/>
  <c r="I115" i="28"/>
  <c r="I111" i="28"/>
  <c r="I107" i="28"/>
  <c r="I103" i="28"/>
  <c r="I99" i="28"/>
  <c r="I95" i="28"/>
  <c r="I91" i="28"/>
  <c r="I87" i="28"/>
  <c r="I83" i="28"/>
  <c r="I79" i="28"/>
  <c r="I75" i="28"/>
  <c r="I71" i="28"/>
  <c r="I67" i="28"/>
  <c r="I63" i="28"/>
  <c r="I59" i="28"/>
  <c r="I55" i="28"/>
  <c r="I51" i="28"/>
  <c r="I43" i="28"/>
  <c r="I39" i="28"/>
  <c r="I35" i="28"/>
  <c r="I31" i="28"/>
  <c r="I34" i="28"/>
  <c r="C6" i="31"/>
  <c r="C7" i="31"/>
  <c r="C8" i="31"/>
  <c r="C9" i="31"/>
  <c r="C10" i="31"/>
  <c r="C11" i="31"/>
  <c r="C12" i="31"/>
  <c r="C13" i="31"/>
  <c r="C14" i="31"/>
  <c r="C15" i="31"/>
  <c r="C16" i="31"/>
  <c r="C5" i="31"/>
  <c r="J9" i="15" l="1"/>
  <c r="G9" i="15"/>
  <c r="O5" i="32"/>
  <c r="Q5" i="32" s="1"/>
  <c r="B5" i="15"/>
  <c r="N9" i="28"/>
  <c r="N37" i="28"/>
  <c r="N16" i="28"/>
  <c r="E17" i="31"/>
  <c r="I21" i="15" l="1"/>
  <c r="I18" i="15"/>
  <c r="I22" i="15"/>
  <c r="I19" i="15"/>
  <c r="I23" i="15"/>
  <c r="I20" i="15"/>
  <c r="C6" i="32"/>
  <c r="E6" i="32" s="1"/>
  <c r="B9" i="15"/>
  <c r="L1098" i="14" l="1"/>
  <c r="M1097" i="14"/>
  <c r="M1096" i="14"/>
  <c r="L1095" i="14"/>
  <c r="L1094" i="14"/>
  <c r="L1093" i="14"/>
  <c r="L1092" i="14"/>
  <c r="L1091" i="14"/>
  <c r="M1090" i="14"/>
  <c r="L1057" i="14"/>
  <c r="F27" i="28" l="1"/>
  <c r="S50" i="15"/>
  <c r="L1214" i="14"/>
  <c r="F30" i="28" l="1"/>
  <c r="K30" i="28" s="1"/>
  <c r="N30" i="28" s="1"/>
  <c r="B18" i="15"/>
  <c r="B19" i="15"/>
  <c r="B23" i="15"/>
  <c r="B22" i="15"/>
  <c r="B20" i="15"/>
  <c r="B21" i="15"/>
  <c r="M1149" i="14"/>
  <c r="L1148" i="14"/>
  <c r="L1147" i="14"/>
  <c r="M1146" i="14"/>
  <c r="L1145" i="14"/>
  <c r="M1144" i="14"/>
  <c r="M1143" i="14"/>
  <c r="F28" i="28" l="1"/>
  <c r="H18" i="30"/>
  <c r="I13" i="30" s="1"/>
  <c r="I12" i="30" l="1"/>
  <c r="I15" i="30"/>
  <c r="I18" i="30"/>
  <c r="I14" i="30"/>
  <c r="I16" i="30"/>
  <c r="I11" i="30"/>
  <c r="I17" i="30"/>
  <c r="AB4" i="15"/>
  <c r="AC4" i="15"/>
  <c r="AD4" i="15"/>
  <c r="K7" i="21"/>
  <c r="L133" i="17"/>
  <c r="L134" i="17"/>
  <c r="L135" i="17"/>
  <c r="L136" i="17"/>
  <c r="L137" i="17"/>
  <c r="L138" i="17"/>
  <c r="L139" i="17"/>
  <c r="L140" i="17"/>
  <c r="L141" i="17"/>
  <c r="L142" i="17"/>
  <c r="L143" i="17"/>
  <c r="L144" i="17"/>
  <c r="L145" i="17"/>
  <c r="L146" i="17"/>
  <c r="K133" i="17"/>
  <c r="K134" i="17"/>
  <c r="K135" i="17"/>
  <c r="K136" i="17"/>
  <c r="K137" i="17"/>
  <c r="K138" i="17"/>
  <c r="K139" i="17"/>
  <c r="K140" i="17"/>
  <c r="K141" i="17"/>
  <c r="K142" i="17"/>
  <c r="K143" i="17"/>
  <c r="K144" i="17"/>
  <c r="H7" i="21" l="1"/>
  <c r="F8" i="28"/>
  <c r="E3" i="28"/>
  <c r="E4" i="28"/>
  <c r="G4" i="28" s="1"/>
  <c r="I4" i="28" s="1"/>
  <c r="E5" i="28"/>
  <c r="G5" i="28" s="1"/>
  <c r="I5" i="28" s="1"/>
  <c r="E6" i="28"/>
  <c r="G6" i="28" s="1"/>
  <c r="I6" i="28" s="1"/>
  <c r="E7" i="28"/>
  <c r="G7" i="28" s="1"/>
  <c r="I7" i="28" s="1"/>
  <c r="E8" i="28"/>
  <c r="E9" i="28"/>
  <c r="E10" i="28"/>
  <c r="G10" i="28" s="1"/>
  <c r="I10" i="28" s="1"/>
  <c r="E11" i="28"/>
  <c r="E12" i="28"/>
  <c r="G12" i="28" s="1"/>
  <c r="I12" i="28" s="1"/>
  <c r="E13" i="28"/>
  <c r="E14" i="28"/>
  <c r="E15" i="28"/>
  <c r="E16" i="28"/>
  <c r="E17" i="28"/>
  <c r="E18" i="28"/>
  <c r="E19" i="28"/>
  <c r="E20" i="28"/>
  <c r="E21" i="28"/>
  <c r="E22" i="28"/>
  <c r="E23" i="28"/>
  <c r="E24" i="28"/>
  <c r="E25" i="28"/>
  <c r="E26" i="28"/>
  <c r="E27" i="28"/>
  <c r="E28" i="28"/>
  <c r="E29" i="28"/>
  <c r="E30" i="28"/>
  <c r="J30" i="28" s="1"/>
  <c r="L38" i="21"/>
  <c r="E500" i="28" l="1"/>
  <c r="K3" i="28"/>
  <c r="N3" i="28" s="1"/>
  <c r="J16" i="28"/>
  <c r="J3" i="28"/>
  <c r="J9" i="28"/>
  <c r="J23" i="28"/>
  <c r="G3" i="28"/>
  <c r="G9" i="28"/>
  <c r="G29" i="28"/>
  <c r="I29" i="28" s="1"/>
  <c r="G26" i="28"/>
  <c r="I26" i="28" s="1"/>
  <c r="G28" i="28"/>
  <c r="I28" i="28" s="1"/>
  <c r="G15" i="28"/>
  <c r="I15" i="28" s="1"/>
  <c r="G22" i="28"/>
  <c r="I22" i="28" s="1"/>
  <c r="G18" i="28"/>
  <c r="I18" i="28" s="1"/>
  <c r="G14" i="28"/>
  <c r="I14" i="28" s="1"/>
  <c r="G23" i="28"/>
  <c r="G19" i="28"/>
  <c r="I19" i="28" s="1"/>
  <c r="G24" i="28"/>
  <c r="I24" i="28" s="1"/>
  <c r="G16" i="28"/>
  <c r="G8" i="28"/>
  <c r="I8" i="28" s="1"/>
  <c r="G20" i="28"/>
  <c r="I20" i="28" s="1"/>
  <c r="G27" i="28"/>
  <c r="I27" i="28" s="1"/>
  <c r="G21" i="28"/>
  <c r="I21" i="28" s="1"/>
  <c r="G17" i="28"/>
  <c r="I17" i="28" s="1"/>
  <c r="G13" i="28"/>
  <c r="I13" i="28" s="1"/>
  <c r="G11" i="28"/>
  <c r="I11" i="28" s="1"/>
  <c r="I30" i="28"/>
  <c r="I23" i="28" l="1"/>
  <c r="I9" i="28"/>
  <c r="L9" i="28"/>
  <c r="I16" i="28"/>
  <c r="L16" i="28"/>
  <c r="I3" i="28"/>
  <c r="L3" i="28"/>
  <c r="G29" i="21"/>
  <c r="G28" i="21"/>
  <c r="G30" i="21"/>
  <c r="G31" i="21"/>
  <c r="L985" i="14" l="1"/>
  <c r="L984" i="14"/>
  <c r="M983" i="14"/>
  <c r="Q51" i="15" s="1"/>
  <c r="L982" i="14"/>
  <c r="L981" i="14"/>
  <c r="L980" i="14"/>
  <c r="F25" i="28" l="1"/>
  <c r="F500" i="28" s="1"/>
  <c r="S51" i="15"/>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I31" i="22" s="1"/>
  <c r="K31" i="22" s="1"/>
  <c r="J32" i="22"/>
  <c r="I32" i="22" s="1"/>
  <c r="K32" i="22" s="1"/>
  <c r="J33" i="22"/>
  <c r="I33" i="22" s="1"/>
  <c r="K33" i="22" s="1"/>
  <c r="J3" i="22"/>
  <c r="G25" i="28" l="1"/>
  <c r="G500" i="28" s="1"/>
  <c r="K23" i="28"/>
  <c r="N23" i="28" s="1"/>
  <c r="F32" i="21"/>
  <c r="K113" i="17"/>
  <c r="L113" i="17"/>
  <c r="L112" i="17"/>
  <c r="L114" i="17"/>
  <c r="L115" i="17"/>
  <c r="L116" i="17"/>
  <c r="L117" i="17"/>
  <c r="L118" i="17"/>
  <c r="L119" i="17"/>
  <c r="L120" i="17"/>
  <c r="L121" i="17"/>
  <c r="L122" i="17"/>
  <c r="L123" i="17"/>
  <c r="L124" i="17"/>
  <c r="L125" i="17"/>
  <c r="L126" i="17"/>
  <c r="I25" i="28" l="1"/>
  <c r="I500" i="28" s="1"/>
  <c r="L23" i="28"/>
  <c r="J2" i="17"/>
  <c r="K11" i="15" l="1"/>
  <c r="K8" i="21" s="1"/>
  <c r="S7" i="32"/>
  <c r="H31" i="22"/>
  <c r="H32" i="22"/>
  <c r="H33" i="22"/>
  <c r="H8" i="21" l="1"/>
  <c r="F4" i="22"/>
  <c r="I4" i="22" s="1"/>
  <c r="F5" i="22"/>
  <c r="I5" i="22" s="1"/>
  <c r="F6" i="22"/>
  <c r="I6" i="22" s="1"/>
  <c r="F7" i="22"/>
  <c r="I7" i="22" s="1"/>
  <c r="F8" i="22"/>
  <c r="I8" i="22" s="1"/>
  <c r="F9" i="22"/>
  <c r="I9" i="22" s="1"/>
  <c r="F10" i="22"/>
  <c r="I10" i="22" s="1"/>
  <c r="F11" i="22"/>
  <c r="I11" i="22" s="1"/>
  <c r="F12" i="22"/>
  <c r="I12" i="22" s="1"/>
  <c r="F13" i="22"/>
  <c r="I13" i="22" s="1"/>
  <c r="F14" i="22"/>
  <c r="I14" i="22" s="1"/>
  <c r="F15" i="22"/>
  <c r="I15" i="22" s="1"/>
  <c r="F16" i="22"/>
  <c r="I16" i="22" s="1"/>
  <c r="F17" i="22"/>
  <c r="I17" i="22" s="1"/>
  <c r="F18" i="22"/>
  <c r="I18" i="22" s="1"/>
  <c r="F19" i="22"/>
  <c r="I19" i="22" s="1"/>
  <c r="F20" i="22"/>
  <c r="I20" i="22" s="1"/>
  <c r="F21" i="22"/>
  <c r="I21" i="22" s="1"/>
  <c r="F22" i="22"/>
  <c r="I22" i="22" s="1"/>
  <c r="F23" i="22"/>
  <c r="I23" i="22" s="1"/>
  <c r="F24" i="22"/>
  <c r="I24" i="22" s="1"/>
  <c r="F25" i="22"/>
  <c r="I25" i="22" s="1"/>
  <c r="F26" i="22"/>
  <c r="I26" i="22" s="1"/>
  <c r="F27" i="22"/>
  <c r="I27" i="22" s="1"/>
  <c r="F28" i="22"/>
  <c r="I28" i="22" s="1"/>
  <c r="F29" i="22"/>
  <c r="I29" i="22" s="1"/>
  <c r="F30" i="22"/>
  <c r="I30" i="22" s="1"/>
  <c r="F3" i="22"/>
  <c r="C28" i="21" l="1"/>
  <c r="C31" i="21"/>
  <c r="L32" i="21" s="1"/>
  <c r="L41" i="21" s="1"/>
  <c r="C29" i="21"/>
  <c r="L39" i="21" s="1"/>
  <c r="C30" i="21"/>
  <c r="L31" i="21" s="1"/>
  <c r="L40" i="21" s="1"/>
  <c r="F34" i="22"/>
  <c r="E4" i="22"/>
  <c r="H4" i="22" s="1"/>
  <c r="E5" i="22"/>
  <c r="H5" i="22" s="1"/>
  <c r="E6" i="22"/>
  <c r="H6" i="22" s="1"/>
  <c r="E7" i="22"/>
  <c r="H7" i="22" s="1"/>
  <c r="E8" i="22"/>
  <c r="H8" i="22" s="1"/>
  <c r="E9" i="22"/>
  <c r="H9" i="22" s="1"/>
  <c r="E10" i="22"/>
  <c r="E11" i="22"/>
  <c r="H11" i="22" s="1"/>
  <c r="E12" i="22"/>
  <c r="H12" i="22" s="1"/>
  <c r="E13" i="22"/>
  <c r="H13" i="22" s="1"/>
  <c r="E14" i="22"/>
  <c r="H14" i="22" s="1"/>
  <c r="E15" i="22"/>
  <c r="H15" i="22" s="1"/>
  <c r="E16" i="22"/>
  <c r="H16" i="22" s="1"/>
  <c r="E17" i="22"/>
  <c r="H17" i="22" s="1"/>
  <c r="E18" i="22"/>
  <c r="H18" i="22" s="1"/>
  <c r="E19" i="22"/>
  <c r="H19" i="22" s="1"/>
  <c r="E20" i="22"/>
  <c r="H20" i="22" s="1"/>
  <c r="E21" i="22"/>
  <c r="H21" i="22" s="1"/>
  <c r="E22" i="22"/>
  <c r="H22" i="22" s="1"/>
  <c r="E23" i="22"/>
  <c r="H23" i="22" s="1"/>
  <c r="E24" i="22"/>
  <c r="H24" i="22" s="1"/>
  <c r="E25" i="22"/>
  <c r="K25" i="22" s="1"/>
  <c r="E26" i="22"/>
  <c r="K26" i="22" s="1"/>
  <c r="E27" i="22"/>
  <c r="K27" i="22" s="1"/>
  <c r="E28" i="22"/>
  <c r="K28" i="22" s="1"/>
  <c r="E29" i="22"/>
  <c r="K29" i="22" s="1"/>
  <c r="E30" i="22"/>
  <c r="K30" i="22" s="1"/>
  <c r="E3" i="22"/>
  <c r="L42" i="21" l="1"/>
  <c r="L33" i="21"/>
  <c r="K18" i="22"/>
  <c r="H10" i="22"/>
  <c r="G10" i="22"/>
  <c r="C32" i="21"/>
  <c r="G32" i="21"/>
  <c r="H29" i="22"/>
  <c r="H3" i="22"/>
  <c r="E34" i="22"/>
  <c r="H26" i="22"/>
  <c r="H28" i="22"/>
  <c r="H30" i="22"/>
  <c r="H25" i="22"/>
  <c r="H27" i="22"/>
  <c r="G24" i="22"/>
  <c r="G27" i="22"/>
  <c r="G26" i="22"/>
  <c r="G18" i="22"/>
  <c r="K14" i="22"/>
  <c r="G14" i="22"/>
  <c r="K10" i="22"/>
  <c r="K6" i="22"/>
  <c r="G6" i="22"/>
  <c r="G20" i="22"/>
  <c r="G3" i="22"/>
  <c r="G30" i="22"/>
  <c r="K22" i="22"/>
  <c r="G22" i="22"/>
  <c r="G29" i="22"/>
  <c r="G25" i="22"/>
  <c r="G21" i="22"/>
  <c r="G17" i="22"/>
  <c r="G13" i="22"/>
  <c r="G9" i="22"/>
  <c r="G5" i="22"/>
  <c r="G12" i="22"/>
  <c r="G8" i="22"/>
  <c r="G4" i="22"/>
  <c r="G28" i="22"/>
  <c r="G16" i="22"/>
  <c r="K23" i="22"/>
  <c r="G23" i="22"/>
  <c r="K19" i="22"/>
  <c r="G19" i="22"/>
  <c r="K15" i="22"/>
  <c r="G15" i="22"/>
  <c r="K11" i="22"/>
  <c r="G11" i="22"/>
  <c r="K7" i="22"/>
  <c r="G7" i="22"/>
  <c r="K21" i="22"/>
  <c r="K9" i="22"/>
  <c r="K5" i="22"/>
  <c r="K17" i="22"/>
  <c r="K13" i="22"/>
  <c r="K24" i="22"/>
  <c r="K20" i="22"/>
  <c r="K16" i="22"/>
  <c r="K12" i="22"/>
  <c r="K8" i="22"/>
  <c r="K4" i="22"/>
  <c r="B29" i="21"/>
  <c r="K39" i="21" s="1"/>
  <c r="M39" i="21" s="1"/>
  <c r="N39" i="21" s="1"/>
  <c r="B30" i="21"/>
  <c r="K40" i="21" s="1"/>
  <c r="M40" i="21" s="1"/>
  <c r="N40" i="21" s="1"/>
  <c r="B31" i="21"/>
  <c r="K41" i="21" s="1"/>
  <c r="M41" i="21" s="1"/>
  <c r="N41" i="21" s="1"/>
  <c r="B28" i="21"/>
  <c r="K38" i="21" s="1"/>
  <c r="M38" i="21" l="1"/>
  <c r="K42" i="21"/>
  <c r="D29" i="21"/>
  <c r="E29" i="21" s="1"/>
  <c r="K30" i="21"/>
  <c r="M30" i="21" s="1"/>
  <c r="D30" i="21"/>
  <c r="E30" i="21" s="1"/>
  <c r="K31" i="21"/>
  <c r="M31" i="21" s="1"/>
  <c r="D28" i="21"/>
  <c r="E28" i="21" s="1"/>
  <c r="K29" i="21"/>
  <c r="D31" i="21"/>
  <c r="E31" i="21" s="1"/>
  <c r="K32" i="21"/>
  <c r="M32" i="21" s="1"/>
  <c r="H34" i="22"/>
  <c r="G34" i="22"/>
  <c r="B32" i="21"/>
  <c r="L16" i="21"/>
  <c r="L17" i="21"/>
  <c r="L18" i="21"/>
  <c r="L19" i="21"/>
  <c r="L20" i="21"/>
  <c r="L21" i="21"/>
  <c r="L22" i="21"/>
  <c r="G16" i="21"/>
  <c r="G17" i="21"/>
  <c r="G18" i="21"/>
  <c r="G19" i="21"/>
  <c r="G20" i="21"/>
  <c r="G21" i="21"/>
  <c r="G22" i="21"/>
  <c r="L15" i="21"/>
  <c r="G15" i="21"/>
  <c r="M16" i="21"/>
  <c r="M17" i="21"/>
  <c r="M18" i="21"/>
  <c r="M19" i="21"/>
  <c r="M20" i="21"/>
  <c r="M21" i="21"/>
  <c r="M22" i="21"/>
  <c r="H16" i="21"/>
  <c r="H17" i="21"/>
  <c r="H18" i="21"/>
  <c r="H19" i="21"/>
  <c r="H20" i="21"/>
  <c r="H21" i="21"/>
  <c r="H22" i="21"/>
  <c r="C16" i="21"/>
  <c r="C17" i="21"/>
  <c r="C18" i="21"/>
  <c r="C19" i="21"/>
  <c r="C20" i="21"/>
  <c r="C21" i="21"/>
  <c r="C22" i="21"/>
  <c r="N16" i="21"/>
  <c r="N17" i="21"/>
  <c r="N18" i="21"/>
  <c r="N19" i="21"/>
  <c r="N20" i="21"/>
  <c r="N21" i="21"/>
  <c r="N22" i="21"/>
  <c r="I16" i="21"/>
  <c r="I17" i="21"/>
  <c r="I18" i="21"/>
  <c r="I19" i="21"/>
  <c r="I20" i="21"/>
  <c r="I21" i="21"/>
  <c r="I22" i="21"/>
  <c r="E23" i="21"/>
  <c r="J23" i="21"/>
  <c r="O23" i="21"/>
  <c r="M15" i="21"/>
  <c r="H15" i="21"/>
  <c r="N38" i="21" l="1"/>
  <c r="N42" i="21" s="1"/>
  <c r="M42" i="21"/>
  <c r="D32" i="21"/>
  <c r="M29" i="21"/>
  <c r="M33" i="21" s="1"/>
  <c r="K33" i="21"/>
  <c r="M23" i="21"/>
  <c r="H23" i="21"/>
  <c r="L23" i="21"/>
  <c r="G23" i="21"/>
  <c r="C23" i="21" l="1"/>
  <c r="N15" i="21"/>
  <c r="N23" i="21" s="1"/>
  <c r="I15" i="21"/>
  <c r="I23" i="21" s="1"/>
  <c r="D23" i="21"/>
  <c r="A4" i="21" l="1"/>
  <c r="B13" i="21" s="1"/>
  <c r="B23" i="21"/>
  <c r="K6" i="21" l="1"/>
  <c r="H6" i="21"/>
  <c r="C7" i="21"/>
  <c r="C8" i="21"/>
  <c r="C9" i="21"/>
  <c r="D9" i="21"/>
  <c r="C49" i="15" l="1"/>
  <c r="B51" i="15"/>
  <c r="B53" i="15"/>
  <c r="B49" i="15"/>
  <c r="C51" i="15"/>
  <c r="C53" i="15"/>
  <c r="C50" i="15"/>
  <c r="C52" i="15"/>
  <c r="C54" i="15"/>
  <c r="B50" i="15"/>
  <c r="B52" i="15"/>
  <c r="B54" i="15"/>
  <c r="C56" i="15"/>
  <c r="B56" i="15"/>
  <c r="D47" i="15"/>
  <c r="E49" i="15" l="1"/>
  <c r="D49" i="15"/>
  <c r="E50" i="15"/>
  <c r="E51" i="15"/>
  <c r="E52" i="15"/>
  <c r="E53" i="15"/>
  <c r="E54" i="15"/>
  <c r="D50" i="15"/>
  <c r="D51" i="15"/>
  <c r="D52" i="15"/>
  <c r="D53" i="15"/>
  <c r="D54" i="15"/>
  <c r="B35" i="15"/>
  <c r="C35" i="15"/>
  <c r="B36" i="15"/>
  <c r="B38" i="15"/>
  <c r="B40" i="15"/>
  <c r="C36" i="15"/>
  <c r="C38" i="15"/>
  <c r="C40" i="15"/>
  <c r="B37" i="15"/>
  <c r="B39" i="15"/>
  <c r="C37" i="15"/>
  <c r="C39" i="15"/>
  <c r="D56" i="15"/>
  <c r="E56" i="15"/>
  <c r="B25" i="15"/>
  <c r="F47" i="15"/>
  <c r="C42" i="15"/>
  <c r="B42" i="15"/>
  <c r="F50" i="15" l="1"/>
  <c r="F51" i="15"/>
  <c r="F52" i="15"/>
  <c r="F53" i="15"/>
  <c r="F54" i="15"/>
  <c r="F49" i="15"/>
  <c r="G50" i="15"/>
  <c r="G51" i="15"/>
  <c r="G52" i="15"/>
  <c r="G53" i="15"/>
  <c r="G54" i="15"/>
  <c r="G49" i="15"/>
  <c r="B12" i="15"/>
  <c r="B9" i="21" s="1"/>
  <c r="C6" i="21"/>
  <c r="F56" i="15"/>
  <c r="G56" i="15"/>
  <c r="H47" i="15"/>
  <c r="C55" i="15"/>
  <c r="B55" i="15"/>
  <c r="L18" i="15"/>
  <c r="I49" i="15" l="1"/>
  <c r="H49" i="15"/>
  <c r="I50" i="15"/>
  <c r="I51" i="15"/>
  <c r="I52" i="15"/>
  <c r="I53" i="15"/>
  <c r="I54" i="15"/>
  <c r="H50" i="15"/>
  <c r="H51" i="15"/>
  <c r="H52" i="15"/>
  <c r="H53" i="15"/>
  <c r="H54" i="15"/>
  <c r="H56" i="15"/>
  <c r="I56" i="15"/>
  <c r="J47" i="15"/>
  <c r="S35" i="15"/>
  <c r="S36" i="15"/>
  <c r="S37" i="15"/>
  <c r="S38" i="15"/>
  <c r="S39" i="15"/>
  <c r="S40" i="15"/>
  <c r="P35" i="15"/>
  <c r="P36" i="15"/>
  <c r="P37" i="15"/>
  <c r="P38" i="15"/>
  <c r="P39" i="15"/>
  <c r="P40" i="15"/>
  <c r="J50" i="15" l="1"/>
  <c r="J51" i="15"/>
  <c r="J52" i="15"/>
  <c r="J53" i="15"/>
  <c r="J54" i="15"/>
  <c r="J49" i="15"/>
  <c r="K50" i="15"/>
  <c r="K51" i="15"/>
  <c r="K52" i="15"/>
  <c r="K53" i="15"/>
  <c r="K54" i="15"/>
  <c r="K49" i="15"/>
  <c r="S41" i="15"/>
  <c r="P41" i="15"/>
  <c r="K56" i="15"/>
  <c r="J56" i="15"/>
  <c r="L47" i="15"/>
  <c r="K2" i="17"/>
  <c r="K16" i="17"/>
  <c r="L16" i="17"/>
  <c r="K10" i="17"/>
  <c r="L10" i="17"/>
  <c r="L3" i="17"/>
  <c r="L4" i="17"/>
  <c r="L5" i="17"/>
  <c r="L6" i="17"/>
  <c r="L7" i="17"/>
  <c r="L8" i="17"/>
  <c r="L9" i="17"/>
  <c r="L11" i="17"/>
  <c r="L12" i="17"/>
  <c r="L13" i="17"/>
  <c r="L14" i="17"/>
  <c r="L15"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27" i="17"/>
  <c r="L128" i="17"/>
  <c r="L129" i="17"/>
  <c r="L130" i="17"/>
  <c r="L131" i="17"/>
  <c r="L132"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 i="17"/>
  <c r="K3" i="17"/>
  <c r="K4" i="17"/>
  <c r="K5" i="17"/>
  <c r="K6" i="17"/>
  <c r="K7" i="17"/>
  <c r="K8" i="17"/>
  <c r="K9" i="17"/>
  <c r="K11" i="17"/>
  <c r="K12" i="17"/>
  <c r="K13" i="17"/>
  <c r="K14" i="17"/>
  <c r="K15"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4" i="17"/>
  <c r="K115" i="17"/>
  <c r="K116" i="17"/>
  <c r="K117" i="17"/>
  <c r="K118" i="17"/>
  <c r="K119" i="17"/>
  <c r="K120" i="17"/>
  <c r="K121" i="17"/>
  <c r="K122" i="17"/>
  <c r="K123" i="17"/>
  <c r="K124" i="17"/>
  <c r="K125" i="17"/>
  <c r="K126" i="17"/>
  <c r="K127" i="17"/>
  <c r="K128" i="17"/>
  <c r="K129" i="17"/>
  <c r="K130" i="17"/>
  <c r="K131" i="17"/>
  <c r="K132"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C15" i="15"/>
  <c r="A15" i="15"/>
  <c r="B11" i="15" l="1"/>
  <c r="C8" i="32"/>
  <c r="M49" i="15"/>
  <c r="M50" i="15"/>
  <c r="M51" i="15"/>
  <c r="M52" i="15"/>
  <c r="M53" i="15"/>
  <c r="M54" i="15"/>
  <c r="L49" i="15"/>
  <c r="L50" i="15"/>
  <c r="L51" i="15"/>
  <c r="L52" i="15"/>
  <c r="L53" i="15"/>
  <c r="L54" i="15"/>
  <c r="C7" i="32"/>
  <c r="B10" i="15"/>
  <c r="G10" i="15" s="1"/>
  <c r="J10" i="15" s="1"/>
  <c r="L56" i="15"/>
  <c r="M56" i="15"/>
  <c r="N47" i="15"/>
  <c r="D33" i="15"/>
  <c r="V10" i="6"/>
  <c r="U10" i="6"/>
  <c r="T10" i="6"/>
  <c r="S10" i="6"/>
  <c r="R10" i="6"/>
  <c r="P10" i="6"/>
  <c r="O10" i="6"/>
  <c r="W10" i="6"/>
  <c r="B7" i="21" l="1"/>
  <c r="G7" i="21" s="1"/>
  <c r="I7" i="21" s="1"/>
  <c r="I10" i="15"/>
  <c r="O6" i="32"/>
  <c r="E7" i="32"/>
  <c r="N49" i="15"/>
  <c r="N50" i="15"/>
  <c r="N51" i="15"/>
  <c r="N52" i="15"/>
  <c r="N53" i="15"/>
  <c r="N54" i="15"/>
  <c r="O49" i="15"/>
  <c r="O50" i="15"/>
  <c r="O51" i="15"/>
  <c r="O52" i="15"/>
  <c r="O53" i="15"/>
  <c r="O54" i="15"/>
  <c r="N56" i="15"/>
  <c r="P56" i="15" s="1"/>
  <c r="O56" i="15"/>
  <c r="Q56" i="15" s="1"/>
  <c r="O7" i="32"/>
  <c r="E8" i="32"/>
  <c r="G11" i="15"/>
  <c r="B8" i="21"/>
  <c r="G8" i="21" s="1"/>
  <c r="R50" i="15"/>
  <c r="R52" i="15"/>
  <c r="R53" i="15"/>
  <c r="R54" i="15"/>
  <c r="D35" i="15"/>
  <c r="D37" i="15"/>
  <c r="D39" i="15"/>
  <c r="E35" i="15"/>
  <c r="E37" i="15"/>
  <c r="E39" i="15"/>
  <c r="D36" i="15"/>
  <c r="D38" i="15"/>
  <c r="D40" i="15"/>
  <c r="E36" i="15"/>
  <c r="E38" i="15"/>
  <c r="E40" i="15"/>
  <c r="R51" i="15"/>
  <c r="D42" i="15"/>
  <c r="E42" i="15"/>
  <c r="C41" i="15"/>
  <c r="C43" i="15" s="1"/>
  <c r="B41" i="15"/>
  <c r="B43" i="15" s="1"/>
  <c r="F33" i="15"/>
  <c r="L19" i="15"/>
  <c r="N19" i="15" s="1"/>
  <c r="L20" i="15"/>
  <c r="L21" i="15"/>
  <c r="L22" i="15"/>
  <c r="L23" i="15"/>
  <c r="M21" i="15"/>
  <c r="M22" i="15"/>
  <c r="M23" i="15"/>
  <c r="C16" i="15"/>
  <c r="F8" i="15"/>
  <c r="A5" i="21"/>
  <c r="L10" i="15"/>
  <c r="J7" i="21" l="1"/>
  <c r="L7" i="21" s="1"/>
  <c r="J8" i="21"/>
  <c r="L8" i="21" s="1"/>
  <c r="I8" i="21"/>
  <c r="J11" i="15"/>
  <c r="L11" i="15" s="1"/>
  <c r="I11" i="15"/>
  <c r="R7" i="32"/>
  <c r="T7" i="32" s="1"/>
  <c r="Q7" i="32"/>
  <c r="R6" i="32"/>
  <c r="T6" i="32" s="1"/>
  <c r="Q6" i="32"/>
  <c r="U49" i="15"/>
  <c r="R49" i="15"/>
  <c r="F35" i="15"/>
  <c r="F37" i="15"/>
  <c r="F39" i="15"/>
  <c r="G35" i="15"/>
  <c r="G37" i="15"/>
  <c r="G39" i="15"/>
  <c r="F36" i="15"/>
  <c r="F38" i="15"/>
  <c r="F40" i="15"/>
  <c r="G36" i="15"/>
  <c r="G38" i="15"/>
  <c r="G40" i="15"/>
  <c r="C18" i="15"/>
  <c r="C20" i="15"/>
  <c r="C22" i="15"/>
  <c r="C19" i="15"/>
  <c r="C21" i="15"/>
  <c r="C23" i="15"/>
  <c r="N22" i="15"/>
  <c r="N23" i="15"/>
  <c r="F4" i="21"/>
  <c r="B26" i="21"/>
  <c r="U53" i="15"/>
  <c r="R56" i="15"/>
  <c r="U50" i="15"/>
  <c r="U54" i="15"/>
  <c r="U51" i="15"/>
  <c r="P55" i="15"/>
  <c r="S56" i="15"/>
  <c r="U52" i="15"/>
  <c r="G55" i="15"/>
  <c r="E55" i="15"/>
  <c r="D55" i="15"/>
  <c r="G42" i="15"/>
  <c r="F42" i="15"/>
  <c r="D16" i="15"/>
  <c r="C25" i="15"/>
  <c r="E41" i="15"/>
  <c r="E43" i="15" s="1"/>
  <c r="H33" i="15"/>
  <c r="D41" i="15"/>
  <c r="D43" i="15" s="1"/>
  <c r="L24" i="15"/>
  <c r="N21" i="15"/>
  <c r="N20" i="15"/>
  <c r="M24" i="15"/>
  <c r="N18" i="15"/>
  <c r="U55" i="15" l="1"/>
  <c r="H36" i="15"/>
  <c r="H38" i="15"/>
  <c r="H40" i="15"/>
  <c r="I36" i="15"/>
  <c r="I38" i="15"/>
  <c r="I40" i="15"/>
  <c r="H35" i="15"/>
  <c r="H37" i="15"/>
  <c r="H39" i="15"/>
  <c r="I35" i="15"/>
  <c r="I37" i="15"/>
  <c r="I39" i="15"/>
  <c r="D21" i="15"/>
  <c r="D23" i="15"/>
  <c r="D18" i="15"/>
  <c r="D20" i="15"/>
  <c r="D22" i="15"/>
  <c r="D19" i="15"/>
  <c r="S55" i="15"/>
  <c r="F55" i="15"/>
  <c r="H42" i="15"/>
  <c r="I42" i="15"/>
  <c r="E16" i="15"/>
  <c r="D25" i="15"/>
  <c r="F41" i="15"/>
  <c r="F43" i="15" s="1"/>
  <c r="G41" i="15"/>
  <c r="G43" i="15" s="1"/>
  <c r="J33" i="15"/>
  <c r="K36" i="15" s="1"/>
  <c r="N24" i="15"/>
  <c r="B24" i="15"/>
  <c r="J35" i="15" l="1"/>
  <c r="J37" i="15"/>
  <c r="J39" i="15"/>
  <c r="K35" i="15"/>
  <c r="K37" i="15"/>
  <c r="K39" i="15"/>
  <c r="J36" i="15"/>
  <c r="J38" i="15"/>
  <c r="J40" i="15"/>
  <c r="K38" i="15"/>
  <c r="K40" i="15"/>
  <c r="E19" i="15"/>
  <c r="E21" i="15"/>
  <c r="E23" i="15"/>
  <c r="E18" i="15"/>
  <c r="E20" i="15"/>
  <c r="E22" i="15"/>
  <c r="B26" i="15"/>
  <c r="H55" i="15"/>
  <c r="I55" i="15"/>
  <c r="K42" i="15"/>
  <c r="J42" i="15"/>
  <c r="F16" i="15"/>
  <c r="E25" i="15"/>
  <c r="L33" i="15"/>
  <c r="I41" i="15"/>
  <c r="I43" i="15" s="1"/>
  <c r="H41" i="15"/>
  <c r="H43" i="15" s="1"/>
  <c r="AI12" i="15"/>
  <c r="AH12" i="15"/>
  <c r="AG12" i="15"/>
  <c r="AF12" i="15"/>
  <c r="AE12" i="15"/>
  <c r="AA12" i="15"/>
  <c r="AD11" i="15"/>
  <c r="AC11" i="15"/>
  <c r="AB11" i="15"/>
  <c r="AD10" i="15"/>
  <c r="AC10" i="15"/>
  <c r="AB10" i="15"/>
  <c r="AD9" i="15"/>
  <c r="AC9" i="15"/>
  <c r="AB9" i="15"/>
  <c r="AD8" i="15"/>
  <c r="AC8" i="15"/>
  <c r="AB8" i="15"/>
  <c r="AD7" i="15"/>
  <c r="AC7" i="15"/>
  <c r="AB7" i="15"/>
  <c r="AD6" i="15"/>
  <c r="AC6" i="15"/>
  <c r="AB6" i="15"/>
  <c r="AD5" i="15"/>
  <c r="AC5" i="15"/>
  <c r="AB5" i="15"/>
  <c r="L36" i="15" l="1"/>
  <c r="L38" i="15"/>
  <c r="L40" i="15"/>
  <c r="M36" i="15"/>
  <c r="M38" i="15"/>
  <c r="M40" i="15"/>
  <c r="L35" i="15"/>
  <c r="L37" i="15"/>
  <c r="L39" i="15"/>
  <c r="M35" i="15"/>
  <c r="M37" i="15"/>
  <c r="M39" i="15"/>
  <c r="F18" i="15"/>
  <c r="F19" i="15"/>
  <c r="F21" i="15"/>
  <c r="F23" i="15"/>
  <c r="F20" i="15"/>
  <c r="F22" i="15"/>
  <c r="K55" i="15"/>
  <c r="J55" i="15"/>
  <c r="L42" i="15"/>
  <c r="M42" i="15"/>
  <c r="G16" i="15"/>
  <c r="G18" i="15" s="1"/>
  <c r="F25" i="15"/>
  <c r="J41" i="15"/>
  <c r="J43" i="15" s="1"/>
  <c r="N33" i="15"/>
  <c r="K41" i="15"/>
  <c r="K43" i="15" s="1"/>
  <c r="AD12" i="15"/>
  <c r="AC12" i="15"/>
  <c r="AB12" i="15"/>
  <c r="D11" i="15"/>
  <c r="D8" i="21" s="1"/>
  <c r="M59" i="15" l="1"/>
  <c r="N35" i="15"/>
  <c r="N37" i="15"/>
  <c r="N39" i="15"/>
  <c r="O35" i="15"/>
  <c r="O37" i="15"/>
  <c r="O39" i="15"/>
  <c r="N36" i="15"/>
  <c r="N38" i="15"/>
  <c r="N40" i="15"/>
  <c r="O36" i="15"/>
  <c r="O38" i="15"/>
  <c r="O40" i="15"/>
  <c r="G20" i="15"/>
  <c r="G22" i="15"/>
  <c r="G19" i="15"/>
  <c r="G21" i="15"/>
  <c r="G23" i="15"/>
  <c r="M55" i="15"/>
  <c r="L55" i="15"/>
  <c r="O42" i="15"/>
  <c r="N42" i="15"/>
  <c r="H16" i="15"/>
  <c r="G25" i="15"/>
  <c r="L41" i="15"/>
  <c r="L43" i="15" s="1"/>
  <c r="M41" i="15"/>
  <c r="M43" i="15" s="1"/>
  <c r="U40" i="15"/>
  <c r="R36" i="15"/>
  <c r="R37" i="15"/>
  <c r="R38" i="15"/>
  <c r="R39" i="15"/>
  <c r="R40" i="15"/>
  <c r="U36" i="15"/>
  <c r="U37" i="15"/>
  <c r="U38" i="15"/>
  <c r="U39" i="15"/>
  <c r="D10" i="15"/>
  <c r="D7" i="21" s="1"/>
  <c r="H25" i="15" l="1"/>
  <c r="J25" i="15" s="1"/>
  <c r="H19" i="15"/>
  <c r="H21" i="15"/>
  <c r="H18" i="15"/>
  <c r="H20" i="15"/>
  <c r="H22" i="15"/>
  <c r="H23" i="15"/>
  <c r="L57" i="15"/>
  <c r="Q55" i="15"/>
  <c r="R55" i="15" s="1"/>
  <c r="O55" i="15"/>
  <c r="N55" i="15"/>
  <c r="Q41" i="15"/>
  <c r="N41" i="15"/>
  <c r="N43" i="15" s="1"/>
  <c r="U35" i="15"/>
  <c r="O41" i="15"/>
  <c r="O43" i="15" s="1"/>
  <c r="I24" i="15"/>
  <c r="C24" i="15"/>
  <c r="K25" i="15" l="1"/>
  <c r="C26" i="15"/>
  <c r="B6" i="21"/>
  <c r="G6" i="21" s="1"/>
  <c r="D9" i="15"/>
  <c r="D6" i="21" s="1"/>
  <c r="N57" i="15"/>
  <c r="T55" i="15"/>
  <c r="R35" i="15"/>
  <c r="R41" i="15" s="1"/>
  <c r="T41" i="15"/>
  <c r="D24" i="15"/>
  <c r="E24" i="15"/>
  <c r="D26" i="15" l="1"/>
  <c r="E26" i="15"/>
  <c r="L9" i="15"/>
  <c r="I9" i="15"/>
  <c r="J6" i="21"/>
  <c r="L6" i="21" s="1"/>
  <c r="I6" i="21"/>
  <c r="F24" i="15"/>
  <c r="F26" i="15" l="1"/>
  <c r="G24" i="15"/>
  <c r="G26" i="15" s="1"/>
  <c r="K23" i="15" l="1"/>
  <c r="K21" i="15"/>
  <c r="K22" i="15"/>
  <c r="K20" i="15"/>
  <c r="K19" i="15"/>
  <c r="H24" i="15"/>
  <c r="H26" i="15" l="1"/>
  <c r="J24" i="15"/>
  <c r="J26" i="15" s="1"/>
  <c r="K18" i="15"/>
  <c r="K24" i="15" s="1"/>
  <c r="J4" i="6" l="1"/>
  <c r="J5" i="6"/>
  <c r="J6" i="6"/>
  <c r="J7" i="6"/>
  <c r="J8" i="6"/>
  <c r="J3" i="6"/>
  <c r="J10" i="10" l="1"/>
  <c r="I10" i="10"/>
  <c r="H10" i="10"/>
  <c r="G10" i="10"/>
  <c r="F10" i="10"/>
  <c r="B10" i="10"/>
  <c r="J23" i="10"/>
  <c r="I23" i="10"/>
  <c r="H23" i="10"/>
  <c r="G23" i="10"/>
  <c r="F23" i="10"/>
  <c r="B23" i="10"/>
  <c r="E17" i="6"/>
  <c r="E18" i="6"/>
  <c r="E19" i="6"/>
  <c r="E20" i="6"/>
  <c r="E21" i="6"/>
  <c r="E22" i="6"/>
  <c r="E16" i="6"/>
  <c r="D17" i="6"/>
  <c r="D18" i="6"/>
  <c r="D19" i="6"/>
  <c r="D20" i="6"/>
  <c r="D21" i="6"/>
  <c r="D22" i="6"/>
  <c r="D16" i="6"/>
  <c r="C17" i="6"/>
  <c r="C18" i="6"/>
  <c r="C19" i="6"/>
  <c r="C20" i="6"/>
  <c r="C21" i="6"/>
  <c r="C22" i="6"/>
  <c r="C16" i="6"/>
  <c r="B23" i="6"/>
  <c r="J23" i="6"/>
  <c r="I23" i="6"/>
  <c r="H23" i="6"/>
  <c r="G23" i="6"/>
  <c r="F23" i="6"/>
  <c r="C9" i="6"/>
  <c r="E23" i="6" l="1"/>
  <c r="C23" i="6"/>
  <c r="D23" i="6"/>
  <c r="I9" i="6" l="1"/>
  <c r="B9" i="6" l="1"/>
  <c r="J9" i="6" l="1"/>
  <c r="E9" i="6"/>
  <c r="H9" i="6"/>
  <c r="G9" i="6"/>
  <c r="F9" i="6"/>
  <c r="U41" i="15" l="1"/>
  <c r="J34" i="22" l="1"/>
  <c r="I3" i="22"/>
  <c r="I34" i="22" s="1"/>
  <c r="K34" i="22" s="1"/>
  <c r="K3" i="22" l="1"/>
  <c r="C7" i="10" l="1"/>
  <c r="C18" i="10"/>
  <c r="C17" i="10"/>
  <c r="C8" i="10"/>
  <c r="C5" i="10"/>
  <c r="C9" i="10"/>
  <c r="C6" i="10"/>
  <c r="C4" i="10"/>
  <c r="C19" i="10"/>
  <c r="D4" i="10"/>
  <c r="D21" i="10"/>
  <c r="D22" i="10"/>
  <c r="D18" i="10"/>
  <c r="D7" i="10"/>
  <c r="D19" i="10"/>
  <c r="D20" i="10"/>
  <c r="D17" i="10"/>
  <c r="D8" i="10"/>
  <c r="D9" i="10"/>
  <c r="D5" i="10"/>
  <c r="D6" i="10"/>
  <c r="E18" i="10"/>
  <c r="E8" i="10"/>
  <c r="E9" i="10"/>
  <c r="E20" i="10"/>
  <c r="E6" i="10"/>
  <c r="E19" i="10"/>
  <c r="E22" i="10"/>
  <c r="E7" i="10"/>
  <c r="E21" i="10"/>
  <c r="E17" i="10"/>
  <c r="E5" i="10"/>
  <c r="E4" i="10"/>
  <c r="D16" i="10"/>
  <c r="D23" i="10"/>
  <c r="E3" i="10"/>
  <c r="E10" i="10"/>
  <c r="C16" i="10"/>
  <c r="C23" i="10"/>
  <c r="C3" i="10"/>
  <c r="C10" i="10"/>
  <c r="C22" i="10"/>
  <c r="E16" i="10"/>
  <c r="E23" i="10"/>
  <c r="C20" i="10"/>
  <c r="C21" i="10"/>
  <c r="D3" i="10"/>
  <c r="D10" i="10"/>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HillSide Data.xlsx!Table11" type="102" refreshedVersion="6" minRefreshableVersion="5">
    <extLst>
      <ext xmlns:x15="http://schemas.microsoft.com/office/spreadsheetml/2010/11/main" uri="{DE250136-89BD-433C-8126-D09CA5730AF9}">
        <x15:connection id="Table11" autoDelete="1">
          <x15:rangePr sourceName="_xlcn.WorksheetConnection_HillSideData.xlsxTable111"/>
        </x15:connection>
      </ext>
    </extLst>
  </connection>
  <connection id="3" name="WorksheetConnection_HillSide Data.xlsx!Table12" type="102" refreshedVersion="6" minRefreshableVersion="5">
    <extLst>
      <ext xmlns:x15="http://schemas.microsoft.com/office/spreadsheetml/2010/11/main" uri="{DE250136-89BD-433C-8126-D09CA5730AF9}">
        <x15:connection id="Table12" autoDelete="1">
          <x15:rangePr sourceName="_xlcn.WorksheetConnection_HillSideData.xlsxTable121"/>
        </x15:connection>
      </ext>
    </extLst>
  </connection>
  <connection id="4" name="WorksheetConnection_HillSide Data.xlsx!Table6" type="102" refreshedVersion="6" minRefreshableVersion="5">
    <extLst>
      <ext xmlns:x15="http://schemas.microsoft.com/office/spreadsheetml/2010/11/main" uri="{DE250136-89BD-433C-8126-D09CA5730AF9}">
        <x15:connection id="Table6" autoDelete="1">
          <x15:rangePr sourceName="_xlcn.WorksheetConnection_HillSideData.xlsxTable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8">
    <s v="ThisWorkbookDataModel"/>
    <s v="{[Table12].[Week].[All]}"/>
    <s v="{[Table6].[Week].[All]}"/>
    <s v="{[Table6].[Month].[All]}"/>
    <s v="{[Table12].[Month].[All]}"/>
    <s v="{[Table6].[FSRs].&amp;[Diana Wairimu]}"/>
    <s v="{[Table6].[Date].&amp;[2022-03-14T00:00:00]}"/>
    <s v="{[Table6].[Week].&amp;[Week 1],[Table6].[Week].&amp;[Week 2],[Table6].[Week].&amp;[Week 3],[Table6].[Week].&amp;[Week 5],[Table6].[Week].&amp;[Week 6],[Table6].[Week].&amp;[Week 7]}"/>
  </metadataStrings>
  <mdxMetadata count="7">
    <mdx n="0" f="s">
      <ms ns="1" c="0"/>
    </mdx>
    <mdx n="0" f="s">
      <ms ns="2" c="0"/>
    </mdx>
    <mdx n="0" f="s">
      <ms ns="3" c="0"/>
    </mdx>
    <mdx n="0" f="s">
      <ms ns="4" c="0"/>
    </mdx>
    <mdx n="0" f="s">
      <ms ns="5" c="0"/>
    </mdx>
    <mdx n="0" f="s">
      <ms ns="6" c="0"/>
    </mdx>
    <mdx n="0" f="s">
      <ms ns="7" c="0"/>
    </mdx>
  </mdx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<sst xmlns="http://schemas.openxmlformats.org/spreadsheetml/2006/main" count="13656" uniqueCount="1167">
  <si>
    <t>FSRs</t>
  </si>
  <si>
    <t>Hope Nafula</t>
  </si>
  <si>
    <t>Zenta 800g</t>
  </si>
  <si>
    <t>Outlet Name</t>
  </si>
  <si>
    <t>Telmax Shop</t>
  </si>
  <si>
    <t>Digital Shop</t>
  </si>
  <si>
    <t>Halisi 20 litres</t>
  </si>
  <si>
    <t>MCA Shop</t>
  </si>
  <si>
    <t>Fantex Shop</t>
  </si>
  <si>
    <t>Midldan Shop</t>
  </si>
  <si>
    <t>Nuvita Biscuit</t>
  </si>
  <si>
    <t>Rodgers Omondi</t>
  </si>
  <si>
    <t>Middle Point Shop</t>
  </si>
  <si>
    <t>Gladys Hotel</t>
  </si>
  <si>
    <t>Order items</t>
  </si>
  <si>
    <t>Lucas Kimani</t>
  </si>
  <si>
    <t>Sarah Nyambura</t>
  </si>
  <si>
    <t xml:space="preserve">Kabras 2kg </t>
  </si>
  <si>
    <t>Karrie 25kg</t>
  </si>
  <si>
    <t>Newton Muthuri</t>
  </si>
  <si>
    <t>Altor Generation Shop</t>
  </si>
  <si>
    <t>Peters Shop</t>
  </si>
  <si>
    <t>Diana Wairimu</t>
  </si>
  <si>
    <t>Miraj Shop</t>
  </si>
  <si>
    <t>Kabiria</t>
  </si>
  <si>
    <t>Middle Point Hotel</t>
  </si>
  <si>
    <t>Pembe 2kg</t>
  </si>
  <si>
    <t>Mama Gladys Hotel</t>
  </si>
  <si>
    <t>Fourmatt Supermarket</t>
  </si>
  <si>
    <t>Neema General Shop</t>
  </si>
  <si>
    <t>Wawira Shop</t>
  </si>
  <si>
    <t>Mountain Store</t>
  </si>
  <si>
    <t>Diani Shop</t>
  </si>
  <si>
    <t>Faith Shop</t>
  </si>
  <si>
    <t xml:space="preserve">Smart Connection </t>
  </si>
  <si>
    <t>Kangemi Economy Minimart</t>
  </si>
  <si>
    <t>Diaspora Shop</t>
  </si>
  <si>
    <t>Hope Shop</t>
  </si>
  <si>
    <t>Fine Park Shop</t>
  </si>
  <si>
    <t>Ideal Supermarket</t>
  </si>
  <si>
    <t>Korie Rice 25kg</t>
  </si>
  <si>
    <t>Mildan Shop</t>
  </si>
  <si>
    <t>Date</t>
  </si>
  <si>
    <t>Order Total</t>
  </si>
  <si>
    <t>Duka Moja</t>
  </si>
  <si>
    <t>Pembe Maize Flour Bale (2Kg X 12)</t>
  </si>
  <si>
    <t>Warobi Shop</t>
  </si>
  <si>
    <t>Indomie Noodles Ctn 120G X 20Pkts</t>
  </si>
  <si>
    <t>Imani Shop 2</t>
  </si>
  <si>
    <t>Ajab Baking Flour Bale (2Kg X 12)</t>
  </si>
  <si>
    <t>Kabras Sugar Bale 1Kg X 20 Pkts</t>
  </si>
  <si>
    <t>All Seasons Traders</t>
  </si>
  <si>
    <t>Genrac Traders</t>
  </si>
  <si>
    <t>Softcare Sanitary Pad Ctn 24 Pkts</t>
  </si>
  <si>
    <t>Jam Wholesalers</t>
  </si>
  <si>
    <t>Soko Maize Flour Bale (2Kg X 12)</t>
  </si>
  <si>
    <t>tumaini gen shop</t>
  </si>
  <si>
    <t>bei nafuu</t>
  </si>
  <si>
    <t>Kabras Sugar Bale 2Kg X 10 Pkts</t>
  </si>
  <si>
    <t>bei poa shop</t>
  </si>
  <si>
    <t>Action Shop</t>
  </si>
  <si>
    <t>Global shop</t>
  </si>
  <si>
    <t>Bic Razor - 2 Dozens</t>
  </si>
  <si>
    <t xml:space="preserve">Super Discount </t>
  </si>
  <si>
    <t>Goshen Shop</t>
  </si>
  <si>
    <t>Tahidi Shop</t>
  </si>
  <si>
    <t>Sajirises Shop</t>
  </si>
  <si>
    <t>1st Feb</t>
  </si>
  <si>
    <t>2nd Feb</t>
  </si>
  <si>
    <t>3rd Feb</t>
  </si>
  <si>
    <t>Outlets Visited</t>
  </si>
  <si>
    <t>Order</t>
  </si>
  <si>
    <t>Delivery</t>
  </si>
  <si>
    <t>TDRs</t>
  </si>
  <si>
    <t>4th Feb</t>
  </si>
  <si>
    <t>Week 1</t>
  </si>
  <si>
    <t>5th Feb</t>
  </si>
  <si>
    <t>Orders</t>
  </si>
  <si>
    <t>Total Orders</t>
  </si>
  <si>
    <t>Day</t>
  </si>
  <si>
    <t>Outlets with Order</t>
  </si>
  <si>
    <t>Non- Delivered</t>
  </si>
  <si>
    <t>Chalbem Shop</t>
  </si>
  <si>
    <t>Mama Kevo Shop</t>
  </si>
  <si>
    <t>Nashulu Shop</t>
  </si>
  <si>
    <t>Metro Shop</t>
  </si>
  <si>
    <t xml:space="preserve">Kizingo Shop </t>
  </si>
  <si>
    <t>Dakar Shop</t>
  </si>
  <si>
    <t>Zesta Mixed Fruit Jam 200g</t>
  </si>
  <si>
    <t>Express Shop</t>
  </si>
  <si>
    <t>Bottomline Supermarket</t>
  </si>
  <si>
    <t>Suziela Shop</t>
  </si>
  <si>
    <t>Bealuwa Shop</t>
  </si>
  <si>
    <t>Kamau Shop</t>
  </si>
  <si>
    <t xml:space="preserve">Bei Nafuu </t>
  </si>
  <si>
    <t>Jimco Shop</t>
  </si>
  <si>
    <t>Kapunga Rice 25 Kg</t>
  </si>
  <si>
    <t>Commando Shop</t>
  </si>
  <si>
    <t>Lameck Shop</t>
  </si>
  <si>
    <t>Royco Cubes Pack 4G*40s</t>
  </si>
  <si>
    <t>Bic 4 Colour Medium</t>
  </si>
  <si>
    <t>Bubbaa Shop</t>
  </si>
  <si>
    <t>Gatina Hospital Shop</t>
  </si>
  <si>
    <t>Golden Ring Shop</t>
  </si>
  <si>
    <t>Ezbon Shop</t>
  </si>
  <si>
    <t>Peter Shop</t>
  </si>
  <si>
    <t>Gladys Shop</t>
  </si>
  <si>
    <t>Salers Shop</t>
  </si>
  <si>
    <t>Tredy Bites Shop</t>
  </si>
  <si>
    <t>Attendance Report</t>
  </si>
  <si>
    <t>FSAs</t>
  </si>
  <si>
    <t>Stacy Adhiambo</t>
  </si>
  <si>
    <t>Conversion</t>
  </si>
  <si>
    <t>Target Reach</t>
  </si>
  <si>
    <t>Target Conversion</t>
  </si>
  <si>
    <t>Target Order</t>
  </si>
  <si>
    <t>Days worked</t>
  </si>
  <si>
    <t>Daily target</t>
  </si>
  <si>
    <t>Daily Conversion</t>
  </si>
  <si>
    <t xml:space="preserve">Daily Order </t>
  </si>
  <si>
    <t>Halisi Cooking Oil Jerrycan 20 Ltrs</t>
  </si>
  <si>
    <t>Kensalt Salt Bale 200G X 30 Sachets</t>
  </si>
  <si>
    <t>Nuvita Vitamilk Biscuits Ctn 60 Pkts X 5 Pcs</t>
  </si>
  <si>
    <t>Pembe Baking Flour Bale (2Kg X 12)</t>
  </si>
  <si>
    <t>Kensalt Salt Bale 500G X 40 Sachets</t>
  </si>
  <si>
    <t>Maccoffee Coffee Ctn 1.6G X 120 Sachets</t>
  </si>
  <si>
    <t>Pembe Maize Flour Bale (1Kg X 24)</t>
  </si>
  <si>
    <t>Manji Gingernut Biscuits Ctn 60 Pkts X 3 Pcs</t>
  </si>
  <si>
    <t>Pambo Maize Flour Bale (2Kg X 12)</t>
  </si>
  <si>
    <t>Yellow Beans Bag 25Kg</t>
  </si>
  <si>
    <t>Toilex Toilet Roll Bale 4 Packs X 10 Rolls</t>
  </si>
  <si>
    <t>Fair Price Shop</t>
  </si>
  <si>
    <t>Four Matt</t>
  </si>
  <si>
    <t>Molel Shop</t>
  </si>
  <si>
    <t>Lukumay Shop</t>
  </si>
  <si>
    <t>Vidax Oackaving</t>
  </si>
  <si>
    <t>blessings hop</t>
  </si>
  <si>
    <t>mama kevo</t>
  </si>
  <si>
    <t>wajose shop</t>
  </si>
  <si>
    <t>Jm General Shop</t>
  </si>
  <si>
    <t>Lower Lavington Mini Mart</t>
  </si>
  <si>
    <t>Magda Shop</t>
  </si>
  <si>
    <t>Neema Gen Shop</t>
  </si>
  <si>
    <t>Revelation Shop</t>
  </si>
  <si>
    <t>Holiday Shop</t>
  </si>
  <si>
    <t>Likoni Shop</t>
  </si>
  <si>
    <t>Neema Shop</t>
  </si>
  <si>
    <t>Delta Shop</t>
  </si>
  <si>
    <t>Roadside Shop</t>
  </si>
  <si>
    <t>Aggeys Shop</t>
  </si>
  <si>
    <t>Eden Shop</t>
  </si>
  <si>
    <t>Joy Shop</t>
  </si>
  <si>
    <t>Mwaura Shop</t>
  </si>
  <si>
    <t>Usafi Gen</t>
  </si>
  <si>
    <t xml:space="preserve">Wa-john </t>
  </si>
  <si>
    <t>Namesis Shop</t>
  </si>
  <si>
    <t>Stomach Clinic</t>
  </si>
  <si>
    <t>Nashulul Shop</t>
  </si>
  <si>
    <t>Column1</t>
  </si>
  <si>
    <t>EXECUTIVE SUMMARY</t>
  </si>
  <si>
    <t>TARGET</t>
  </si>
  <si>
    <t>ACTUAL</t>
  </si>
  <si>
    <t>% PERF</t>
  </si>
  <si>
    <t>Reach</t>
  </si>
  <si>
    <t xml:space="preserve"> REACH</t>
  </si>
  <si>
    <t>Column2</t>
  </si>
  <si>
    <t>Column3</t>
  </si>
  <si>
    <t>Column4</t>
  </si>
  <si>
    <t>Column5</t>
  </si>
  <si>
    <t>Column6</t>
  </si>
  <si>
    <t>Column7</t>
  </si>
  <si>
    <t>Column8</t>
  </si>
  <si>
    <t>Column9</t>
  </si>
  <si>
    <t>Column10</t>
  </si>
  <si>
    <t>FSA</t>
  </si>
  <si>
    <t>Target</t>
  </si>
  <si>
    <t>% Perf</t>
  </si>
  <si>
    <t>February</t>
  </si>
  <si>
    <t>Month</t>
  </si>
  <si>
    <t>Year</t>
  </si>
  <si>
    <t>FSAs SUMMARY</t>
  </si>
  <si>
    <t>Wa Kamau Stall</t>
  </si>
  <si>
    <t>Kamau Store</t>
  </si>
  <si>
    <t>Mama Wambui</t>
  </si>
  <si>
    <t>Softcare Baby Wipes Ctn 12 Pkts</t>
  </si>
  <si>
    <t>tai shop</t>
  </si>
  <si>
    <t>mama maryann</t>
  </si>
  <si>
    <t>digital shop</t>
  </si>
  <si>
    <t>mama jacklyne</t>
  </si>
  <si>
    <t>Five star shop</t>
  </si>
  <si>
    <t>Zuri shop</t>
  </si>
  <si>
    <t>mildan shop</t>
  </si>
  <si>
    <t>Zenta Cream Soap Ctn 800G X 12 Bars</t>
  </si>
  <si>
    <t>Aromatic Kapunga Rice - White Rice Bag 25Kg</t>
  </si>
  <si>
    <t>Postman Cooking Oil Jerrycan 10 Ltrs</t>
  </si>
  <si>
    <t>Softcare Baby Diapers Bale High Count  - 6 Packs</t>
  </si>
  <si>
    <t>Bubba Cereals Shop</t>
  </si>
  <si>
    <t>Joyconm</t>
  </si>
  <si>
    <t>Boundaries Stores</t>
  </si>
  <si>
    <t>Baraka Shop2</t>
  </si>
  <si>
    <t>Jam Gen Shop</t>
  </si>
  <si>
    <t>Mama Silas Shop</t>
  </si>
  <si>
    <t>Wa John Shop</t>
  </si>
  <si>
    <t>Mama Jim Shop</t>
  </si>
  <si>
    <t>Sprenda Beauty Shop</t>
  </si>
  <si>
    <t>Wiser Shop</t>
  </si>
  <si>
    <t>Kwamboka shop</t>
  </si>
  <si>
    <t>magret Shop</t>
  </si>
  <si>
    <t>Imani Shop</t>
  </si>
  <si>
    <t>softcare baby diapers XL</t>
  </si>
  <si>
    <t>1 Shop</t>
  </si>
  <si>
    <t>Mama Franco Shop</t>
  </si>
  <si>
    <t>River Side Meat Center</t>
  </si>
  <si>
    <t>Esco Traders Store</t>
  </si>
  <si>
    <t>Wa Junguna Shop</t>
  </si>
  <si>
    <t>Sala Center</t>
  </si>
  <si>
    <t>Jevsad Shop</t>
  </si>
  <si>
    <t>Mck Shop</t>
  </si>
  <si>
    <t>Royal 2 Shop</t>
  </si>
  <si>
    <t>Ahadi Shop</t>
  </si>
  <si>
    <t>Nyota Shop</t>
  </si>
  <si>
    <t>Wanjeri Shop</t>
  </si>
  <si>
    <t>Week 2</t>
  </si>
  <si>
    <t>Week</t>
  </si>
  <si>
    <t>ACCUMULATIONS</t>
  </si>
  <si>
    <t>CONVERSION</t>
  </si>
  <si>
    <t>Monthly</t>
  </si>
  <si>
    <t>Yearly</t>
  </si>
  <si>
    <t>REACH</t>
  </si>
  <si>
    <t>Column11</t>
  </si>
  <si>
    <t>Monthly Total</t>
  </si>
  <si>
    <t>Weekly Total</t>
  </si>
  <si>
    <t>Column12</t>
  </si>
  <si>
    <t>Column102</t>
  </si>
  <si>
    <t>Vomare Shop</t>
  </si>
  <si>
    <t>Ebenezer Shop 2</t>
  </si>
  <si>
    <t>Davis Gen  Shop</t>
  </si>
  <si>
    <t>Talk Piont Traders</t>
  </si>
  <si>
    <t>Montego Shop</t>
  </si>
  <si>
    <t>Maasai Shop</t>
  </si>
  <si>
    <t>jimrose shop</t>
  </si>
  <si>
    <t>imani shop</t>
  </si>
  <si>
    <t>Goldring 2</t>
  </si>
  <si>
    <t>Mama Jeff Shop</t>
  </si>
  <si>
    <t>Joylland Gen Shop</t>
  </si>
  <si>
    <t>Callcom Shop</t>
  </si>
  <si>
    <t>Goldring Shop</t>
  </si>
  <si>
    <t>Pembe Baking Flour Bale (1Kg X 24)</t>
  </si>
  <si>
    <t>Rose Shop</t>
  </si>
  <si>
    <t>Dawaat Green Spaghetti Ctn 400G X 21</t>
  </si>
  <si>
    <t>Bic crystal blue dozen</t>
  </si>
  <si>
    <t>Escober Trades</t>
  </si>
  <si>
    <t>HardVic</t>
  </si>
  <si>
    <t>Outwork Shop</t>
  </si>
  <si>
    <t>Softcare Baby Diapers Bale small Low Count  - 12 Packs</t>
  </si>
  <si>
    <t>Softcare Baby Diapers Bale Medium Count  - 12 Packs</t>
  </si>
  <si>
    <t>Softcare Baby Diapers Bale Low Count  - 12 Packs Large</t>
  </si>
  <si>
    <t>Zenta Cream Soap Ctn 1Kg X 10 Bars</t>
  </si>
  <si>
    <t>Solomon Shop</t>
  </si>
  <si>
    <t>Kapunga Rice</t>
  </si>
  <si>
    <t>Lukumay Shop 2</t>
  </si>
  <si>
    <t>Umoja Shop</t>
  </si>
  <si>
    <t>247 Shop</t>
  </si>
  <si>
    <t>Justin Shop</t>
  </si>
  <si>
    <t>Menengai Cream Soap Ctn 1Kg X 20 Bars</t>
  </si>
  <si>
    <t>Sawa Bathing Soap Ctn 250G X 24 Pcs</t>
  </si>
  <si>
    <t>ma stacy beauty shop</t>
  </si>
  <si>
    <t>five star shop</t>
  </si>
  <si>
    <t>nashulul shop</t>
  </si>
  <si>
    <t>Arimis Petroleum Jelly Pack 50g</t>
  </si>
  <si>
    <t>Bei Poa Shop2</t>
  </si>
  <si>
    <t>Ms Shop</t>
  </si>
  <si>
    <t>Okoa Gen Shop</t>
  </si>
  <si>
    <t>Fairprice Shop</t>
  </si>
  <si>
    <t>Ajab Baking Flour Bale (1Kg X 24)</t>
  </si>
  <si>
    <t>Fair Deal Shop</t>
  </si>
  <si>
    <t>Lomeo Shop</t>
  </si>
  <si>
    <t>Isaac</t>
  </si>
  <si>
    <t>Ebenezer  Retail Shop</t>
  </si>
  <si>
    <t>Nyambura Shop</t>
  </si>
  <si>
    <t>Juba Land</t>
  </si>
  <si>
    <t>Mogaka Shop</t>
  </si>
  <si>
    <t>Mama Tobias Shop</t>
  </si>
  <si>
    <t>Arimis Petroleum Jelly Pack 90g</t>
  </si>
  <si>
    <t>Softcare Baby Diapers Hign count L</t>
  </si>
  <si>
    <t>Ombusa General Shop</t>
  </si>
  <si>
    <t>Mama Koki Shop And Cereals</t>
  </si>
  <si>
    <t>Star Sugar Bag 1Kg x 20pkts</t>
  </si>
  <si>
    <t>Softcare Baby Diapers Bale Low Count  Small</t>
  </si>
  <si>
    <t>Softcare Baby Diapers Bale Low Count  - Medium</t>
  </si>
  <si>
    <t>Breakthru Shop</t>
  </si>
  <si>
    <t>Blessed Shop</t>
  </si>
  <si>
    <t>Combine Shop</t>
  </si>
  <si>
    <t>Divine Shop</t>
  </si>
  <si>
    <t>softcare baby Diapers bale count  Medium</t>
  </si>
  <si>
    <t>Late Delivery</t>
  </si>
  <si>
    <t>Amount</t>
  </si>
  <si>
    <t>Spangetti</t>
  </si>
  <si>
    <t>Pambo Maize Meal 2kg</t>
  </si>
  <si>
    <t>Kabras Sugar 2kg</t>
  </si>
  <si>
    <t xml:space="preserve">  </t>
  </si>
  <si>
    <t>Target convertion</t>
  </si>
  <si>
    <t>Reach Target</t>
  </si>
  <si>
    <t>Convertion</t>
  </si>
  <si>
    <t>% Reach Perf</t>
  </si>
  <si>
    <t>% Conversion Perf</t>
  </si>
  <si>
    <t>Mogire Shop</t>
  </si>
  <si>
    <t>Tawakal Shop</t>
  </si>
  <si>
    <t>King David Cereals</t>
  </si>
  <si>
    <t>Wa Jose Sm Shop</t>
  </si>
  <si>
    <t>finepark shop</t>
  </si>
  <si>
    <t>kizingo shop</t>
  </si>
  <si>
    <t>digitally shop</t>
  </si>
  <si>
    <t>sky blue mini shop</t>
  </si>
  <si>
    <t>Ajab Atta Mark 1 Bale (2Kg X 12)</t>
  </si>
  <si>
    <t>Nehema Shop</t>
  </si>
  <si>
    <t>Gaza Shop</t>
  </si>
  <si>
    <t>Alicia Shop</t>
  </si>
  <si>
    <t>Shishamane Shop</t>
  </si>
  <si>
    <t>Muana Mwireri Shop</t>
  </si>
  <si>
    <t>Nuru Shop</t>
  </si>
  <si>
    <t>Empire Rice Bag 25kg</t>
  </si>
  <si>
    <t>Mama Hope Shop</t>
  </si>
  <si>
    <t>Rhino Safety Matches Big Pack 10 X 10</t>
  </si>
  <si>
    <t>Destiny Shop</t>
  </si>
  <si>
    <t>Wanji Shop</t>
  </si>
  <si>
    <t>Reach2</t>
  </si>
  <si>
    <t>Reach3</t>
  </si>
  <si>
    <t>Reach4</t>
  </si>
  <si>
    <t>Reach5</t>
  </si>
  <si>
    <t>Reach6</t>
  </si>
  <si>
    <t>Reach7</t>
  </si>
  <si>
    <t>Conversion2</t>
  </si>
  <si>
    <t>Conversion3</t>
  </si>
  <si>
    <t>Conversion4</t>
  </si>
  <si>
    <t>Conversion5</t>
  </si>
  <si>
    <t>Conversion6</t>
  </si>
  <si>
    <t>Conversion7</t>
  </si>
  <si>
    <t>%Perf Reach</t>
  </si>
  <si>
    <t>%Perf Conversion</t>
  </si>
  <si>
    <t>Conversion Target2</t>
  </si>
  <si>
    <t>Total Reach</t>
  </si>
  <si>
    <t>Total Conversion</t>
  </si>
  <si>
    <t>Weekly Conversion</t>
  </si>
  <si>
    <t>Weekly Reach</t>
  </si>
  <si>
    <t>Reach/Conversion</t>
  </si>
  <si>
    <t>Subira Shop</t>
  </si>
  <si>
    <t>Corner Shop</t>
  </si>
  <si>
    <t>Jimben Trades</t>
  </si>
  <si>
    <t>Rosy White Serviette Ctn 18 Pkts</t>
  </si>
  <si>
    <t>kaka shop</t>
  </si>
  <si>
    <t>risper shop</t>
  </si>
  <si>
    <t>dante digital shop</t>
  </si>
  <si>
    <t>ideal supermarket</t>
  </si>
  <si>
    <t>waviki shop</t>
  </si>
  <si>
    <t>pick wholsaler</t>
  </si>
  <si>
    <t>hope Nafula</t>
  </si>
  <si>
    <t>Lilian Shop</t>
  </si>
  <si>
    <t>Karimi Shop</t>
  </si>
  <si>
    <t>Munjo</t>
  </si>
  <si>
    <t>H. K Gen</t>
  </si>
  <si>
    <t>Pema Shop</t>
  </si>
  <si>
    <t>Mama Sum Shop</t>
  </si>
  <si>
    <t>Adamocy Sho</t>
  </si>
  <si>
    <t>Indomie Noodles Ctn 120G X 20Pkts Chicken Flavor</t>
  </si>
  <si>
    <t>Jam Shop</t>
  </si>
  <si>
    <t>Big Five Shop</t>
  </si>
  <si>
    <t>EBENEZAR SHOP</t>
  </si>
  <si>
    <t>Manpower Shop</t>
  </si>
  <si>
    <t>Ebeneza Shop</t>
  </si>
  <si>
    <t>Luen Shop</t>
  </si>
  <si>
    <t>Twin B Shop</t>
  </si>
  <si>
    <t>Chris Shop</t>
  </si>
  <si>
    <t>Narok Millers</t>
  </si>
  <si>
    <t>Softcare Baby Diapers Bale Large High Count</t>
  </si>
  <si>
    <t>Softcare Small Outer</t>
  </si>
  <si>
    <t>Wa Kungus Cereals Shop</t>
  </si>
  <si>
    <t>Lucky Shop</t>
  </si>
  <si>
    <t>Reho Spring Gen Shop</t>
  </si>
  <si>
    <t>Softcare Baby Diapers Bale High Count XL  - 6 Packs</t>
  </si>
  <si>
    <t>Indomie Noodles Ctn 120G X 20Pkts Beef Flavor</t>
  </si>
  <si>
    <t>Digital Corner Shop</t>
  </si>
  <si>
    <t>Neema Shop 3</t>
  </si>
  <si>
    <t>Nameless Shop</t>
  </si>
  <si>
    <t>Bro Com Rhumba Shop</t>
  </si>
  <si>
    <t>Mwatasha Shop</t>
  </si>
  <si>
    <t>Jam Wholesale</t>
  </si>
  <si>
    <t>Goldways</t>
  </si>
  <si>
    <t>Ellykins Cereal Shop</t>
  </si>
  <si>
    <t>Riziki Shop</t>
  </si>
  <si>
    <t>Friends Mini Supermarket</t>
  </si>
  <si>
    <t>Mountain Mimi Mart</t>
  </si>
  <si>
    <t>Max Shop</t>
  </si>
  <si>
    <t>Bei Poa Shop</t>
  </si>
  <si>
    <t>Ya Shosh Shop</t>
  </si>
  <si>
    <t>Kariri Shop</t>
  </si>
  <si>
    <t>Softcare Baby Diapers Dozen High Count XL</t>
  </si>
  <si>
    <t>Week 3</t>
  </si>
  <si>
    <t xml:space="preserve"> </t>
  </si>
  <si>
    <t>Out of sctock averagely 15%</t>
  </si>
  <si>
    <t>High product pricing</t>
  </si>
  <si>
    <t>Take out</t>
  </si>
  <si>
    <t>Realignment of logistics to spediate deliveries</t>
  </si>
  <si>
    <t>Collect</t>
  </si>
  <si>
    <t>Gap Analysis</t>
  </si>
  <si>
    <t>Delay/late delivery attributing to averagely 12%</t>
  </si>
  <si>
    <t>Softcare Baby Diapers Bale High Count Large</t>
  </si>
  <si>
    <t>Grand Total</t>
  </si>
  <si>
    <t>Softcare diapers High Count Large</t>
  </si>
  <si>
    <t>Softcare Baby Diapers L</t>
  </si>
  <si>
    <t>Nawam Traders</t>
  </si>
  <si>
    <t>Shirmap Traders</t>
  </si>
  <si>
    <t>Softcare Baby Diapers Bale High Count Large  - 6 Packs</t>
  </si>
  <si>
    <t>Softcare Baby Diapers Dozen High Count Large</t>
  </si>
  <si>
    <t>Star Sugar Bag 2Kg x 10pkts</t>
  </si>
  <si>
    <t>Adamocy Shop</t>
  </si>
  <si>
    <t>Salit Cooking Oil Jerrycan 20 Litres</t>
  </si>
  <si>
    <t>rodgers Omondi</t>
  </si>
  <si>
    <t>Rahisi Gen Shop</t>
  </si>
  <si>
    <t>Wasammy Shop</t>
  </si>
  <si>
    <t>New Beinners Traders</t>
  </si>
  <si>
    <t>Ben Subukia Shop</t>
  </si>
  <si>
    <t>Israel Wholesalers</t>
  </si>
  <si>
    <t>Pedo Shop</t>
  </si>
  <si>
    <t>Postman Cooking Oil Jerrycan 20 Ltrs</t>
  </si>
  <si>
    <t>Bic 1 Razor Shaver Ctn 12 X 8 dozen</t>
  </si>
  <si>
    <t>Bic Cristal Blue Pens Ctn 40Pkts X 25Pcs</t>
  </si>
  <si>
    <t>Fresh Fri Cooking Oil Ctn 2 Ltrs X 6</t>
  </si>
  <si>
    <t>metro shop</t>
  </si>
  <si>
    <t>Chalbem shop</t>
  </si>
  <si>
    <t>mama jachy</t>
  </si>
  <si>
    <t>belsa shop</t>
  </si>
  <si>
    <t>Menengai Cream Soap Ctn 800g X 25 Bars</t>
  </si>
  <si>
    <t>Presence Shop</t>
  </si>
  <si>
    <t>Mr Budget Shopping</t>
  </si>
  <si>
    <t>Cheap Spot</t>
  </si>
  <si>
    <t>Tumaini Shop</t>
  </si>
  <si>
    <t>Baraka Cereals Shop</t>
  </si>
  <si>
    <t>Kisasa Store</t>
  </si>
  <si>
    <t>Zesta Tomato Sauce Ctn 700G X 12 Tins</t>
  </si>
  <si>
    <t>Rosy White Tissue Bale 40Pcs</t>
  </si>
  <si>
    <t>Mama Sarah Shop</t>
  </si>
  <si>
    <t>Wilso Shop</t>
  </si>
  <si>
    <t>Kanisani Shop</t>
  </si>
  <si>
    <t>Samfresh Shop</t>
  </si>
  <si>
    <t>stacy Adhiambo</t>
  </si>
  <si>
    <t>Break Thruogh Shop</t>
  </si>
  <si>
    <t>Current Week</t>
  </si>
  <si>
    <t>Previous Week</t>
  </si>
  <si>
    <t>Daily %Perf</t>
  </si>
  <si>
    <t>Moon Light</t>
  </si>
  <si>
    <t>Softcare Baby Diapers Bale Low Count Large - 12 Packs</t>
  </si>
  <si>
    <t>Salit Cooking Oil Ctn 2 Ltrs X 6</t>
  </si>
  <si>
    <t>washiko green grocer</t>
  </si>
  <si>
    <t>bethsaida shop</t>
  </si>
  <si>
    <t>karimi shop</t>
  </si>
  <si>
    <t>MJ Shop &amp; Grocery</t>
  </si>
  <si>
    <t>Zesta Strawberry Jam Ctn 100G X 12 Tins</t>
  </si>
  <si>
    <t>newton Muthuri</t>
  </si>
  <si>
    <t>Dorice Shop</t>
  </si>
  <si>
    <t>Cristine Shop</t>
  </si>
  <si>
    <t>Wamborah Gen Shop</t>
  </si>
  <si>
    <t>Ebenezer  Lucy Shop</t>
  </si>
  <si>
    <t>Jane's Shop</t>
  </si>
  <si>
    <t>Sayjoy Gen Shop &amp;cerreals</t>
  </si>
  <si>
    <t>Karim Shop</t>
  </si>
  <si>
    <t>Mugaka Shenti</t>
  </si>
  <si>
    <t>Mama Karanja</t>
  </si>
  <si>
    <t>Kangemi Economic Shop</t>
  </si>
  <si>
    <t>Hesed 2shop</t>
  </si>
  <si>
    <t>wasami Shop</t>
  </si>
  <si>
    <t>Gertrude Shop</t>
  </si>
  <si>
    <t>Geteway</t>
  </si>
  <si>
    <t>Fine Base</t>
  </si>
  <si>
    <t>Cyber Shop</t>
  </si>
  <si>
    <t>Generac Traders 2</t>
  </si>
  <si>
    <t>Kabras Sugar Bag 50Kg</t>
  </si>
  <si>
    <t>mahitaji shop</t>
  </si>
  <si>
    <t>maasai shop</t>
  </si>
  <si>
    <t xml:space="preserve">Zenta Cream Soap Ctn 800G X 12 Bars </t>
  </si>
  <si>
    <t>Budget General Shop</t>
  </si>
  <si>
    <t>Rum Shop</t>
  </si>
  <si>
    <t>mema Gen Shop</t>
  </si>
  <si>
    <t>Ann's Shop</t>
  </si>
  <si>
    <t>Maziwa Tami Shop</t>
  </si>
  <si>
    <t>Pakistan Five Star Rice Bag 25kg</t>
  </si>
  <si>
    <t>Muthoni Shol</t>
  </si>
  <si>
    <t>Junction Shop</t>
  </si>
  <si>
    <t>Tahidi General Shop</t>
  </si>
  <si>
    <t>Distinct Count of Outlet Name</t>
  </si>
  <si>
    <t>Processed</t>
  </si>
  <si>
    <t>Delivered</t>
  </si>
  <si>
    <t>Nashulul shop</t>
  </si>
  <si>
    <t>Orders2</t>
  </si>
  <si>
    <t>Orders4</t>
  </si>
  <si>
    <t>Orders6</t>
  </si>
  <si>
    <t>Orders3</t>
  </si>
  <si>
    <t>Orders5</t>
  </si>
  <si>
    <t>Orders7</t>
  </si>
  <si>
    <t>Quantity</t>
  </si>
  <si>
    <t>Beulah Shop</t>
  </si>
  <si>
    <t>Miraj</t>
  </si>
  <si>
    <t>Elias Maasai Shop</t>
  </si>
  <si>
    <t>Dakar shop</t>
  </si>
  <si>
    <t>mama fabian</t>
  </si>
  <si>
    <t>Joex General Shop</t>
  </si>
  <si>
    <t>Victoria Shop</t>
  </si>
  <si>
    <t>Maggy's Shop</t>
  </si>
  <si>
    <t>Rehoboth Shop</t>
  </si>
  <si>
    <t>Softcare Baby Diapers Dozen Low Count Large</t>
  </si>
  <si>
    <t>Natuc Shop</t>
  </si>
  <si>
    <t>Ahadi</t>
  </si>
  <si>
    <t>Max Fresh</t>
  </si>
  <si>
    <t>Clems Gen Shop</t>
  </si>
  <si>
    <t>sarah Nyambura</t>
  </si>
  <si>
    <t>Ascent Village Shop</t>
  </si>
  <si>
    <t>Bet Shop</t>
  </si>
  <si>
    <t>Steve Shop</t>
  </si>
  <si>
    <t>Okoa shop</t>
  </si>
  <si>
    <t>Wanjii shop</t>
  </si>
  <si>
    <t>Dispach</t>
  </si>
  <si>
    <t>Daily %Delivered</t>
  </si>
  <si>
    <t>Weekly Perfomance</t>
  </si>
  <si>
    <t>Kwa Maasai Shop</t>
  </si>
  <si>
    <t>Tonya Shop2</t>
  </si>
  <si>
    <t>Chao Shop</t>
  </si>
  <si>
    <t>Amani Shop</t>
  </si>
  <si>
    <t>Samton Shop</t>
  </si>
  <si>
    <t>3k General Shop</t>
  </si>
  <si>
    <t>Wa Bless</t>
  </si>
  <si>
    <t>Phonix General Shop</t>
  </si>
  <si>
    <t>By Grace Shop</t>
  </si>
  <si>
    <t>EDEN 2 Shop</t>
  </si>
  <si>
    <t>ORDERS</t>
  </si>
  <si>
    <t>DELIVERY</t>
  </si>
  <si>
    <t>REPORT</t>
  </si>
  <si>
    <t>Simora Bunaka</t>
  </si>
  <si>
    <t>Productive Outlets</t>
  </si>
  <si>
    <t>Deliveries</t>
  </si>
  <si>
    <t>Cumulative</t>
  </si>
  <si>
    <t>Monhtly Cumulative</t>
  </si>
  <si>
    <t>Row Labels</t>
  </si>
  <si>
    <t>Weekly</t>
  </si>
  <si>
    <t>Total</t>
  </si>
  <si>
    <t>Weeks</t>
  </si>
  <si>
    <t>Week 4</t>
  </si>
  <si>
    <t>Summary</t>
  </si>
  <si>
    <t>Coner Shop</t>
  </si>
  <si>
    <t>Francia Cereals</t>
  </si>
  <si>
    <t>Mama Jane Grocery</t>
  </si>
  <si>
    <t>Bright Star Shop</t>
  </si>
  <si>
    <t>Re Booat Shop</t>
  </si>
  <si>
    <t>Salit Cooking Oil 3ltrs</t>
  </si>
  <si>
    <t>Bic Mega Lighter (outer) 1x 12pcs</t>
  </si>
  <si>
    <t>Arimis Petroleum Jelly Ctn 90g X 12</t>
  </si>
  <si>
    <t>38 Shop</t>
  </si>
  <si>
    <t>Wa Muthoni Shop</t>
  </si>
  <si>
    <t>Blessed Hands</t>
  </si>
  <si>
    <t>Iad Retails Shop</t>
  </si>
  <si>
    <t>Kamuyu Shop $ Cereal</t>
  </si>
  <si>
    <t>Movan Shop</t>
  </si>
  <si>
    <t>upendo shop</t>
  </si>
  <si>
    <t xml:space="preserve">Salit Cooking Oil Jerrycan 20 Litres </t>
  </si>
  <si>
    <t>Isaac Shop</t>
  </si>
  <si>
    <t>Erick</t>
  </si>
  <si>
    <t>Silas Shop</t>
  </si>
  <si>
    <t>Nyamakima</t>
  </si>
  <si>
    <t>Not Dispatch</t>
  </si>
  <si>
    <t>Fourmatt</t>
  </si>
  <si>
    <t>salit cooking oil</t>
  </si>
  <si>
    <t>mountain mimi mart</t>
  </si>
  <si>
    <t>Delivered Previous Day</t>
  </si>
  <si>
    <t>TOTAL</t>
  </si>
  <si>
    <t>Chris Gem Shop</t>
  </si>
  <si>
    <t>Genrac  Tradera</t>
  </si>
  <si>
    <t>Kenylon Tomato Paste Ctn 275G X 12 Tins</t>
  </si>
  <si>
    <t>Lydia Shop</t>
  </si>
  <si>
    <t>John Shop</t>
  </si>
  <si>
    <t>Edwin</t>
  </si>
  <si>
    <t>Chalute Enterprises</t>
  </si>
  <si>
    <t>Upscale Shop</t>
  </si>
  <si>
    <t>Diana Shop</t>
  </si>
  <si>
    <t>Ajab Homebaking Flour 2kg (Delivery required before 11:00am)</t>
  </si>
  <si>
    <t>Mwangi shop</t>
  </si>
  <si>
    <t>Tumaini shop</t>
  </si>
  <si>
    <t>Suba sevens</t>
  </si>
  <si>
    <t>Combined shop</t>
  </si>
  <si>
    <t>Vero shop</t>
  </si>
  <si>
    <t>Pagil 56</t>
  </si>
  <si>
    <t>Mkombozi shop</t>
  </si>
  <si>
    <t>Breakthrough shop</t>
  </si>
  <si>
    <t>Firstborn shop</t>
  </si>
  <si>
    <t>Salit Cooking Oil 3 Litres</t>
  </si>
  <si>
    <t>Fresh Fri 5litres</t>
  </si>
  <si>
    <t>Softcare large outer</t>
  </si>
  <si>
    <t xml:space="preserve">Softcare lowcount small </t>
  </si>
  <si>
    <t>Arimis 50g</t>
  </si>
  <si>
    <t>Arimis 90g</t>
  </si>
  <si>
    <t>Nuvita vitamilk 60pkts*5pcs</t>
  </si>
  <si>
    <t>Margaret Wanjiku</t>
  </si>
  <si>
    <t>Neema Gen shop</t>
  </si>
  <si>
    <t>Movian Shop</t>
  </si>
  <si>
    <t>Zikhavi Shop</t>
  </si>
  <si>
    <t>Peters shop</t>
  </si>
  <si>
    <t>Imani shop</t>
  </si>
  <si>
    <t>Shishamane shop</t>
  </si>
  <si>
    <t>Salit 5 litres</t>
  </si>
  <si>
    <t>Dispatched</t>
  </si>
  <si>
    <t>Not Dispatched</t>
  </si>
  <si>
    <t>Returned</t>
  </si>
  <si>
    <t>%Not Dispatch</t>
  </si>
  <si>
    <t>Return</t>
  </si>
  <si>
    <t>% Return</t>
  </si>
  <si>
    <t>Non Dispatched</t>
  </si>
  <si>
    <t>% Non Dispatched</t>
  </si>
  <si>
    <t>Reason for not Dispatch</t>
  </si>
  <si>
    <t>Retailer didn't have enough cash</t>
  </si>
  <si>
    <t>The Shop was closed</t>
  </si>
  <si>
    <t>PRODUCT</t>
  </si>
  <si>
    <t>QUANTITY</t>
  </si>
  <si>
    <t>REASON</t>
  </si>
  <si>
    <t>Salit 20 litres</t>
  </si>
  <si>
    <t>Softcare Large 2 Bales</t>
  </si>
  <si>
    <t>Pembe 1kg</t>
  </si>
  <si>
    <t>Order Date</t>
  </si>
  <si>
    <t>Stock outs from the warehouse</t>
  </si>
  <si>
    <t>1 Pack</t>
  </si>
  <si>
    <t>Delivery Date</t>
  </si>
  <si>
    <t>6 Packs</t>
  </si>
  <si>
    <t>2 Packs</t>
  </si>
  <si>
    <t>Nuvita</t>
  </si>
  <si>
    <t>Softcare XL</t>
  </si>
  <si>
    <t>Indomie</t>
  </si>
  <si>
    <t>Dawaat Spaghetti</t>
  </si>
  <si>
    <t>Softcare Large</t>
  </si>
  <si>
    <t>Menengai 1kg</t>
  </si>
  <si>
    <t>2 MacCoffee</t>
  </si>
  <si>
    <t>2 Ajab baking 1kg</t>
  </si>
  <si>
    <t>Indomie Beef</t>
  </si>
  <si>
    <t xml:space="preserve">Empire Rice 25kg  </t>
  </si>
  <si>
    <t>kabras Sugar 1kg</t>
  </si>
  <si>
    <t>Star Sugar 1kg</t>
  </si>
  <si>
    <t>1 L.C Small</t>
  </si>
  <si>
    <t>2 L.C Large</t>
  </si>
  <si>
    <t>5 Packs H.C Large</t>
  </si>
  <si>
    <t>1 H.C Large</t>
  </si>
  <si>
    <t>2 Kensalt 200g</t>
  </si>
  <si>
    <t>Soko Maize 2kg</t>
  </si>
  <si>
    <t>Zenta 1kg</t>
  </si>
  <si>
    <t>2 bales of Pambo Maize 2kg</t>
  </si>
  <si>
    <t xml:space="preserve">Halisi 20 litres </t>
  </si>
  <si>
    <t>2 packs</t>
  </si>
  <si>
    <t>Empire Rice 25kg</t>
  </si>
  <si>
    <t>5 packs</t>
  </si>
  <si>
    <t>Kabras 2kg</t>
  </si>
  <si>
    <t>Pambo Maize meal</t>
  </si>
  <si>
    <t>Soko Maize meal</t>
  </si>
  <si>
    <t>Ajab 2kg</t>
  </si>
  <si>
    <t>Rosy tissue</t>
  </si>
  <si>
    <t>Nuvita biscuits</t>
  </si>
  <si>
    <t>Zesta tomato sauce</t>
  </si>
  <si>
    <t xml:space="preserve"> Ajab 2kg ngano</t>
  </si>
  <si>
    <t>Halisi cooking oil 20l</t>
  </si>
  <si>
    <t>Postman cooking oil 20l</t>
  </si>
  <si>
    <t>Zenta soap 800g</t>
  </si>
  <si>
    <t>Menengai 800g</t>
  </si>
  <si>
    <t>Empire rice 25kg</t>
  </si>
  <si>
    <t xml:space="preserve">Softcare Large </t>
  </si>
  <si>
    <t>4 packs</t>
  </si>
  <si>
    <t>Maccoffee</t>
  </si>
  <si>
    <t>1 pack</t>
  </si>
  <si>
    <t xml:space="preserve">Pembe 1 kg maize </t>
  </si>
  <si>
    <t xml:space="preserve">Zenta 800g </t>
  </si>
  <si>
    <t xml:space="preserve">Pembe maize 2kg </t>
  </si>
  <si>
    <t>Soko Maize meal 2kg</t>
  </si>
  <si>
    <t>Kensalt 50g</t>
  </si>
  <si>
    <t>Softcare Large 2 outers</t>
  </si>
  <si>
    <t xml:space="preserve">Menengai 800g </t>
  </si>
  <si>
    <t>Zenta 800g -1</t>
  </si>
  <si>
    <t>Pembe baking 2kg -1</t>
  </si>
  <si>
    <t>Ajab 2kg baking flour</t>
  </si>
  <si>
    <t>1 piece</t>
  </si>
  <si>
    <t xml:space="preserve">Halisi - 3 </t>
  </si>
  <si>
    <t>Soko maize -1</t>
  </si>
  <si>
    <t>Softcare pack H.C (L) -1</t>
  </si>
  <si>
    <t>Pembe maize 2kg -1</t>
  </si>
  <si>
    <t>Pembe maize 1kg -1</t>
  </si>
  <si>
    <t>Pakistan rice -1</t>
  </si>
  <si>
    <t>Kabras 1kg -1</t>
  </si>
  <si>
    <t>Nuvita -1</t>
  </si>
  <si>
    <t>Pambo 2kg -1</t>
  </si>
  <si>
    <t>Softcare pack L.C (L) -</t>
  </si>
  <si>
    <t>Mama Kevo</t>
  </si>
  <si>
    <t>Jay Shop</t>
  </si>
  <si>
    <t>Suu Maish Investment</t>
  </si>
  <si>
    <t>Maina Shop</t>
  </si>
  <si>
    <t>Fair Price Shop 2</t>
  </si>
  <si>
    <t>Kanya</t>
  </si>
  <si>
    <t>Supa DUKa</t>
  </si>
  <si>
    <t>Enock</t>
  </si>
  <si>
    <t>Jamii Shop</t>
  </si>
  <si>
    <t>Mkenya Shop</t>
  </si>
  <si>
    <t>Denis Shop</t>
  </si>
  <si>
    <t>Mama Grolia</t>
  </si>
  <si>
    <t>Bic Comfort Card Pack 1x4x24 ctn</t>
  </si>
  <si>
    <t>kamoni Shop</t>
  </si>
  <si>
    <t>Mogaka 2 Shop</t>
  </si>
  <si>
    <t>Jubaland</t>
  </si>
  <si>
    <t>Mama Sara Generally Shop</t>
  </si>
  <si>
    <t>Gits Gen shop</t>
  </si>
  <si>
    <t>Global</t>
  </si>
  <si>
    <t>Softcare 1 Bale Large High count</t>
  </si>
  <si>
    <t>Trinity Wholesaler</t>
  </si>
  <si>
    <t>Exodus</t>
  </si>
  <si>
    <t>Pagir Shop</t>
  </si>
  <si>
    <t>Annoited Shop</t>
  </si>
  <si>
    <t>Robert Supplier</t>
  </si>
  <si>
    <t>Vision Shop</t>
  </si>
  <si>
    <t>Mama Frank Shop</t>
  </si>
  <si>
    <t>Pricilla Shop</t>
  </si>
  <si>
    <t>Nice Nice Shop</t>
  </si>
  <si>
    <t>Eunither Shop</t>
  </si>
  <si>
    <t>Wangui Shop</t>
  </si>
  <si>
    <t>Blessings</t>
  </si>
  <si>
    <t>Wa Mwangis Shop</t>
  </si>
  <si>
    <t>Balozi Shop</t>
  </si>
  <si>
    <t>God First Shop</t>
  </si>
  <si>
    <t>Joox Gen Shop</t>
  </si>
  <si>
    <t>Joycomm Shop</t>
  </si>
  <si>
    <t>Bic razer 1</t>
  </si>
  <si>
    <t>Softcare Medium</t>
  </si>
  <si>
    <t>Ajab 2kg 1 Bale</t>
  </si>
  <si>
    <t>Bic razor 1 dozen</t>
  </si>
  <si>
    <t>Rhino Kubwa</t>
  </si>
  <si>
    <t xml:space="preserve">Kensalt 200g </t>
  </si>
  <si>
    <t>Late delivery</t>
  </si>
  <si>
    <t xml:space="preserve">Indomie Beef </t>
  </si>
  <si>
    <t>Mac coffee</t>
  </si>
  <si>
    <t>Pembe Maize 1kg</t>
  </si>
  <si>
    <t xml:space="preserve">Kensalt 900g </t>
  </si>
  <si>
    <t>Kabras 2kg Sugar</t>
  </si>
  <si>
    <t>Non Processed</t>
  </si>
  <si>
    <t>Muana Muireri Shop</t>
  </si>
  <si>
    <t>Tonya Shop</t>
  </si>
  <si>
    <t>Pagil Shop</t>
  </si>
  <si>
    <t>Bic Razor 12*8</t>
  </si>
  <si>
    <t>Bic Razor 12*8 - 2 dozen</t>
  </si>
  <si>
    <t>Softcare Small</t>
  </si>
  <si>
    <t>All had been generated in Uthiru</t>
  </si>
  <si>
    <t>6th Feb</t>
  </si>
  <si>
    <t>week 1</t>
  </si>
  <si>
    <t>week 2</t>
  </si>
  <si>
    <t>% Non Processed</t>
  </si>
  <si>
    <t>1 Feb- 6 Feb</t>
  </si>
  <si>
    <t>7 Feb - 13 Feb</t>
  </si>
  <si>
    <t>14 Feb - 20 Feb</t>
  </si>
  <si>
    <t>21 Feb -25 Feb</t>
  </si>
  <si>
    <t>Days</t>
  </si>
  <si>
    <t>Processed Date</t>
  </si>
  <si>
    <t>Sum of Order Total</t>
  </si>
  <si>
    <t>Home Of Valley</t>
  </si>
  <si>
    <t>Northend Super</t>
  </si>
  <si>
    <t>Green Shop</t>
  </si>
  <si>
    <t>Jabir Shop</t>
  </si>
  <si>
    <t>Musimbi</t>
  </si>
  <si>
    <t>Midside</t>
  </si>
  <si>
    <t>Mama Moraa</t>
  </si>
  <si>
    <t>Fresh Fri Cooking Oil Ctn 250Ml X 24</t>
  </si>
  <si>
    <t>Royco Cubes Pack 4G X 40S</t>
  </si>
  <si>
    <t>Bishii Shop</t>
  </si>
  <si>
    <t xml:space="preserve">Softcare Small </t>
  </si>
  <si>
    <t>Week 5</t>
  </si>
  <si>
    <t>TOTAL VALUE</t>
  </si>
  <si>
    <t>Softcare L Packs</t>
  </si>
  <si>
    <t xml:space="preserve">Rhino Safety Matches Big Pack 10 X 10 </t>
  </si>
  <si>
    <t>Sum of TOTAL VALUE</t>
  </si>
  <si>
    <t>Wasn't supplied due to dispatch lisence and county boundaries</t>
  </si>
  <si>
    <t>All</t>
  </si>
  <si>
    <t>The shop was closed</t>
  </si>
  <si>
    <t>Customer's payment transaction delayed to reflect.</t>
  </si>
  <si>
    <t>Retailer changed mind to puchase from a competitor</t>
  </si>
  <si>
    <t>Reason for sound return</t>
  </si>
  <si>
    <t>% Contri'</t>
  </si>
  <si>
    <t>POSTman Cooking Oil Jerrycan 10 Ltrs</t>
  </si>
  <si>
    <t>March</t>
  </si>
  <si>
    <t>Roho Safi Hotel</t>
  </si>
  <si>
    <t>mswahili shop</t>
  </si>
  <si>
    <t>lenana stores</t>
  </si>
  <si>
    <t>neshab shop</t>
  </si>
  <si>
    <t>Hotspring</t>
  </si>
  <si>
    <t>Suda Kerosene</t>
  </si>
  <si>
    <t>Paty Shop</t>
  </si>
  <si>
    <t>Samtee</t>
  </si>
  <si>
    <t>Orex Shop</t>
  </si>
  <si>
    <t>Nyayo</t>
  </si>
  <si>
    <t>Samis Shop</t>
  </si>
  <si>
    <t>Combined Effort</t>
  </si>
  <si>
    <t>Shalom</t>
  </si>
  <si>
    <t>Margret Shop</t>
  </si>
  <si>
    <t>Alice Shop</t>
  </si>
  <si>
    <t>Peter's shop</t>
  </si>
  <si>
    <t>Magda shop</t>
  </si>
  <si>
    <t>Brocom Shop</t>
  </si>
  <si>
    <t>Lemon carton</t>
  </si>
  <si>
    <t>cooking oil 10 litres</t>
  </si>
  <si>
    <t>Mama Gift</t>
  </si>
  <si>
    <t>Firstborn</t>
  </si>
  <si>
    <t>Ben K</t>
  </si>
  <si>
    <t>Clems Shop</t>
  </si>
  <si>
    <t>Emmanuel</t>
  </si>
  <si>
    <t>Corner</t>
  </si>
  <si>
    <t>Zesta Strawberry Jam Ctn 300G X 12 Tins</t>
  </si>
  <si>
    <t>Zesta Strawberry Jam Ctn 200G X 12 Tins</t>
  </si>
  <si>
    <t>Mogaka 5 Shop</t>
  </si>
  <si>
    <t>Ebenezer 2</t>
  </si>
  <si>
    <t>Fine Yard</t>
  </si>
  <si>
    <t>Economy Kangemi</t>
  </si>
  <si>
    <t>Sam Fresh</t>
  </si>
  <si>
    <t>Jemshan Shop</t>
  </si>
  <si>
    <t>Great Nite Shop</t>
  </si>
  <si>
    <t>Mama Jeff shop</t>
  </si>
  <si>
    <t>Baraka Shop</t>
  </si>
  <si>
    <t>Bwabwa Shop</t>
  </si>
  <si>
    <t>Budget Shop</t>
  </si>
  <si>
    <t>Movan gen Shop</t>
  </si>
  <si>
    <t>Bishi Shop</t>
  </si>
  <si>
    <t>Malebo Shop</t>
  </si>
  <si>
    <t>Pambo Maize 2kg</t>
  </si>
  <si>
    <t>Arimis 50 grams</t>
  </si>
  <si>
    <t xml:space="preserve">Softcare H.C.L </t>
  </si>
  <si>
    <t>The customer didn't have sufficient funds thus declined to receive the delivery.</t>
  </si>
  <si>
    <t>Bei Nafuu Shop</t>
  </si>
  <si>
    <t>Mutinda</t>
  </si>
  <si>
    <t>Maragoli</t>
  </si>
  <si>
    <t>Hot Cereal</t>
  </si>
  <si>
    <t>Revelation</t>
  </si>
  <si>
    <t>Bismilah</t>
  </si>
  <si>
    <t>Gateway</t>
  </si>
  <si>
    <t>Jumbo Rice Bag 25kg</t>
  </si>
  <si>
    <t>Zesta Mixed Fruit Jam Ctn 100G X 12 Tins</t>
  </si>
  <si>
    <t>Softcare Baby Diapers Dozen Low Count Small</t>
  </si>
  <si>
    <t>Precious Angel</t>
  </si>
  <si>
    <t>Ombusa Shop</t>
  </si>
  <si>
    <t>Ann Shop</t>
  </si>
  <si>
    <t>Masterpiece</t>
  </si>
  <si>
    <t>Wa Macha Shop</t>
  </si>
  <si>
    <t>David Shop</t>
  </si>
  <si>
    <t>Kabiria Superstores</t>
  </si>
  <si>
    <t>Bethsaida Shop</t>
  </si>
  <si>
    <t>Shishamae Shop</t>
  </si>
  <si>
    <t>Sidechick shop</t>
  </si>
  <si>
    <t>Mwanamwireri shop</t>
  </si>
  <si>
    <t>Nuru shop</t>
  </si>
  <si>
    <t>Pagil shop</t>
  </si>
  <si>
    <t>Gatina Hosp. Shop</t>
  </si>
  <si>
    <t>Pambo 2kg maize flour</t>
  </si>
  <si>
    <t>Softcare large</t>
  </si>
  <si>
    <t>Pembe Maize 2kg</t>
  </si>
  <si>
    <t>Softcare HC Outer</t>
  </si>
  <si>
    <t>Kensalt 200g</t>
  </si>
  <si>
    <t>Pembe baking 1kg</t>
  </si>
  <si>
    <t>May</t>
  </si>
  <si>
    <t>January</t>
  </si>
  <si>
    <t>April</t>
  </si>
  <si>
    <t>June</t>
  </si>
  <si>
    <t>July</t>
  </si>
  <si>
    <t>August</t>
  </si>
  <si>
    <t>September</t>
  </si>
  <si>
    <t>October</t>
  </si>
  <si>
    <t>November</t>
  </si>
  <si>
    <t>December</t>
  </si>
  <si>
    <t>Working Days</t>
  </si>
  <si>
    <t>John Maasai Shop</t>
  </si>
  <si>
    <t>evans shop</t>
  </si>
  <si>
    <t>Pembe baking Flour Bale (1Kg X 24)</t>
  </si>
  <si>
    <t>Mama Dorothy</t>
  </si>
  <si>
    <t>The Victorious</t>
  </si>
  <si>
    <t>Breakthrough Opp KCB</t>
  </si>
  <si>
    <t>Wa Joy</t>
  </si>
  <si>
    <t>Fresh Fri Cooking Oil Ctn 5 Ltrs X 4</t>
  </si>
  <si>
    <t>Softcare Baby Diapers Bale Low Count Small  - 12 Packs</t>
  </si>
  <si>
    <t>Sule Shop</t>
  </si>
  <si>
    <t>Iad Shop</t>
  </si>
  <si>
    <t>Fairshop</t>
  </si>
  <si>
    <t>Wanja Enterprise</t>
  </si>
  <si>
    <t>Mara 5-Star Rice Bag 25kgs</t>
  </si>
  <si>
    <t>Joycoms Shop</t>
  </si>
  <si>
    <t xml:space="preserve">Gatina hospital </t>
  </si>
  <si>
    <t>Reason for return</t>
  </si>
  <si>
    <t>customer Didn't have sufficient funds</t>
  </si>
  <si>
    <t>Customer changed his preference</t>
  </si>
  <si>
    <t>Customer was unavailable at the point of delivery</t>
  </si>
  <si>
    <t>(blank)</t>
  </si>
  <si>
    <t>Talk Point</t>
  </si>
  <si>
    <t>Bic Cristal Blue Pens Pack</t>
  </si>
  <si>
    <t>wa jose</t>
  </si>
  <si>
    <t>Evacom</t>
  </si>
  <si>
    <t>Divine Favour</t>
  </si>
  <si>
    <t>Main Gatina</t>
  </si>
  <si>
    <t>K.K.cereal</t>
  </si>
  <si>
    <t>margaret Wanjiku</t>
  </si>
  <si>
    <t>MA Dalvin</t>
  </si>
  <si>
    <t>N Betty Gatina Dosai</t>
  </si>
  <si>
    <t>Peter's Shop</t>
  </si>
  <si>
    <t>CChalute Shop</t>
  </si>
  <si>
    <t>I'maya Hotel</t>
  </si>
  <si>
    <t>Himani Shop</t>
  </si>
  <si>
    <t>Beipoa</t>
  </si>
  <si>
    <t>Dispatch</t>
  </si>
  <si>
    <t>TARGET UPDATE EVERY  MONTH</t>
  </si>
  <si>
    <t>Not Dispatch2</t>
  </si>
  <si>
    <t>Not Dispatch3</t>
  </si>
  <si>
    <t>Not Dispatch4</t>
  </si>
  <si>
    <t>Not Dispatch5</t>
  </si>
  <si>
    <t>Not Dispatch6</t>
  </si>
  <si>
    <t>Not Dispatch7</t>
  </si>
  <si>
    <t>Total Not Dispatch</t>
  </si>
  <si>
    <t>Order/Dispatch</t>
  </si>
  <si>
    <t>Weekly Returns</t>
  </si>
  <si>
    <t>Weekly Dispatch</t>
  </si>
  <si>
    <t>% Dispatch</t>
  </si>
  <si>
    <t>Sales</t>
  </si>
  <si>
    <t>Returns</t>
  </si>
  <si>
    <t>Dubai Stores</t>
  </si>
  <si>
    <t>Sajire Enterprise</t>
  </si>
  <si>
    <t>Mondi AMBOSELI</t>
  </si>
  <si>
    <t>Genesis</t>
  </si>
  <si>
    <t>Victorious Shop</t>
  </si>
  <si>
    <t>Kwa Goshen</t>
  </si>
  <si>
    <t>Star Shop</t>
  </si>
  <si>
    <t>Joycom Shop</t>
  </si>
  <si>
    <t>Bishiii Shop</t>
  </si>
  <si>
    <t>Mwangi Shop</t>
  </si>
  <si>
    <t>Weekly Performance</t>
  </si>
  <si>
    <t>KPIs</t>
  </si>
  <si>
    <t>PROCESSED</t>
  </si>
  <si>
    <t>NON PROCESSED</t>
  </si>
  <si>
    <t>RETURNS</t>
  </si>
  <si>
    <t>SALES</t>
  </si>
  <si>
    <t>Sum of Not Dispatch</t>
  </si>
  <si>
    <t>Week 6</t>
  </si>
  <si>
    <t>Smart Shop</t>
  </si>
  <si>
    <t>Kemera Smart Shop</t>
  </si>
  <si>
    <t>Nyamakima Shop</t>
  </si>
  <si>
    <t>The shop owner who had placed the order wasn't available at the point of delivery.</t>
  </si>
  <si>
    <t xml:space="preserve">License coverage limited to Nairobi Count(Kiambu Orders) </t>
  </si>
  <si>
    <t>License coverage limited to Nairobi Count(Kiambu Orders)</t>
  </si>
  <si>
    <t>FEBRUARY</t>
  </si>
  <si>
    <t>MARCH</t>
  </si>
  <si>
    <t>WEEK 1</t>
  </si>
  <si>
    <t>WEEK 2</t>
  </si>
  <si>
    <t>WEEK 3</t>
  </si>
  <si>
    <t>WEEK 4</t>
  </si>
  <si>
    <t>% CHANGE</t>
  </si>
  <si>
    <t>MTD</t>
  </si>
  <si>
    <t>MARCH TARGET</t>
  </si>
  <si>
    <t>TIME GONE</t>
  </si>
  <si>
    <t>ORDER GENERATION(KSH. 6,604,000 PER MONTH TO BE ACHIEVED BY 6 FSAs)</t>
  </si>
  <si>
    <t>REACH(4,320 OUTLETS PER MONTH)</t>
  </si>
  <si>
    <t>Count of Order Total</t>
  </si>
  <si>
    <t>Distinct Count of Date</t>
  </si>
  <si>
    <t>Column Labels</t>
  </si>
  <si>
    <t>Growth</t>
  </si>
  <si>
    <t>CONTRIBUTION</t>
  </si>
  <si>
    <t>Catergory</t>
  </si>
  <si>
    <t>Maize Flour</t>
  </si>
  <si>
    <t>Baking Flour</t>
  </si>
  <si>
    <t>Rice</t>
  </si>
  <si>
    <t>Cooking Oil</t>
  </si>
  <si>
    <t>Sugar</t>
  </si>
  <si>
    <t>Beans</t>
  </si>
  <si>
    <t>COFFEE, COCOA &amp; TEA</t>
  </si>
  <si>
    <t>SPAGHETTI &amp; NOODLES</t>
  </si>
  <si>
    <t>BISCUITS</t>
  </si>
  <si>
    <t>JAMS AND JELLIES</t>
  </si>
  <si>
    <t>TOMATO SAUCE</t>
  </si>
  <si>
    <t>SOAPS</t>
  </si>
  <si>
    <t>BABY CARE</t>
  </si>
  <si>
    <t>TISSUE</t>
  </si>
  <si>
    <t>STATIONERY</t>
  </si>
  <si>
    <t>SHAVERS</t>
  </si>
  <si>
    <t>LIGHTERS &amp; MATCHES</t>
  </si>
  <si>
    <t>SALT</t>
  </si>
  <si>
    <t>BODY JELLY</t>
  </si>
  <si>
    <t>SANITARY</t>
  </si>
  <si>
    <t>SPICES</t>
  </si>
  <si>
    <t>Sum of Reach</t>
  </si>
  <si>
    <t>Sum of Convertion</t>
  </si>
  <si>
    <t>Sum of Reach Target</t>
  </si>
  <si>
    <t>Rahisi</t>
  </si>
  <si>
    <t>God will Shop</t>
  </si>
  <si>
    <t>Linet Shop</t>
  </si>
  <si>
    <t>Morning Star</t>
  </si>
  <si>
    <t>Middle East Shop</t>
  </si>
  <si>
    <t>Halicons</t>
  </si>
  <si>
    <t>Wambo Shop</t>
  </si>
  <si>
    <t>Cancelled due Late Delivery</t>
  </si>
  <si>
    <t>Retailer had insufficient funds</t>
  </si>
  <si>
    <t>Customer canceled the order before dispatch</t>
  </si>
  <si>
    <t>Customer claimed they didn’t place any order</t>
  </si>
  <si>
    <t>Shop closed at the point of delivery</t>
  </si>
  <si>
    <t>Customer canceled the order after dispatch</t>
  </si>
  <si>
    <t>Customer had an emergency</t>
  </si>
  <si>
    <t>Panama</t>
  </si>
  <si>
    <t>Philfever</t>
  </si>
  <si>
    <t>Grolius Amboseli</t>
  </si>
  <si>
    <t>Blessd 2ranger Maria</t>
  </si>
  <si>
    <t>Mama Evans Shop</t>
  </si>
  <si>
    <t>Tesopa Cereals</t>
  </si>
  <si>
    <t>Mama Precious</t>
  </si>
  <si>
    <t>New life Shop</t>
  </si>
  <si>
    <t>Trizah Shop</t>
  </si>
  <si>
    <t>Shop was closed</t>
  </si>
  <si>
    <t>customer had insufficient funds</t>
  </si>
  <si>
    <t>Product wasn’t on the catalogue</t>
  </si>
  <si>
    <t>stock outs from the warehouse</t>
  </si>
  <si>
    <t>customer claimed to have ordered 1 instead of 2</t>
  </si>
  <si>
    <t>Fresh Fri Cooking Oil Ctn 3 Ltrs X 6</t>
  </si>
  <si>
    <t>Bei Poa</t>
  </si>
  <si>
    <t>Stage 2 Shop</t>
  </si>
  <si>
    <t>Stage View</t>
  </si>
  <si>
    <t>Sideways Shop</t>
  </si>
  <si>
    <t>One On One Shop</t>
  </si>
  <si>
    <t>Junction Traders</t>
  </si>
  <si>
    <t>Chief Shop</t>
  </si>
  <si>
    <t>Rashid Shop</t>
  </si>
  <si>
    <t>Divine Cereal</t>
  </si>
  <si>
    <t>Alhuda</t>
  </si>
  <si>
    <t>Tumaini</t>
  </si>
  <si>
    <t>Shakers</t>
  </si>
  <si>
    <t>App Lands Shop</t>
  </si>
  <si>
    <t>Crescendo Shop</t>
  </si>
  <si>
    <t>Genesis Shop</t>
  </si>
  <si>
    <t>Gilbert Shop</t>
  </si>
  <si>
    <t>Annifield Shop</t>
  </si>
  <si>
    <t>Side Chick Shop</t>
  </si>
  <si>
    <t>Kihara Hotel</t>
  </si>
  <si>
    <t>Wananchi  Shop</t>
  </si>
  <si>
    <t>Busyabbie Shop</t>
  </si>
  <si>
    <t>EXE Chapati Baking Flour Bale (2kg x 12)</t>
  </si>
  <si>
    <t>EXE Mandazi Banking Flour Bale(2kg x 12)</t>
  </si>
  <si>
    <t>MOONLIGHT</t>
  </si>
  <si>
    <t>Mkombozi</t>
  </si>
  <si>
    <t>Fair Gen</t>
  </si>
  <si>
    <t>Newstar</t>
  </si>
  <si>
    <t>Famila Ujimix Bale (20 x 500g)</t>
  </si>
  <si>
    <t>Famila Pure Wimbi Bale (20 x 500g)</t>
  </si>
  <si>
    <t>Fresh Fri Cooking Oil 3 Ltrs Pieces</t>
  </si>
  <si>
    <t>Stage Woria Shop</t>
  </si>
  <si>
    <t>Auntie Shop Lower Gatina</t>
  </si>
  <si>
    <t>Famila Baby Weaning(20 x 500g)</t>
  </si>
  <si>
    <t>Satelite Sugarcane Shop</t>
  </si>
  <si>
    <t>Junction Generally Shop</t>
  </si>
  <si>
    <t>Neem Shop</t>
  </si>
  <si>
    <t>Porridge Flour</t>
  </si>
  <si>
    <t>sales</t>
  </si>
  <si>
    <t>CONVERSION(1,296 OUTLETS PER MONTH)</t>
  </si>
  <si>
    <t>KPI 3:</t>
  </si>
  <si>
    <t>KPI 2:</t>
  </si>
  <si>
    <t>KPI 1:</t>
  </si>
  <si>
    <t>Products</t>
  </si>
  <si>
    <t>976914v</t>
  </si>
  <si>
    <t>No. of times Visited</t>
  </si>
  <si>
    <t>Order Amount</t>
  </si>
  <si>
    <t xml:space="preserve"> Order Placed</t>
  </si>
  <si>
    <t>Visit between 3 &amp; 5</t>
  </si>
  <si>
    <t>Visited between 6 &amp; 9</t>
  </si>
  <si>
    <t>Visited Above 10</t>
  </si>
  <si>
    <t>Outlet name</t>
  </si>
  <si>
    <t>Top 10 Productive outlets</t>
  </si>
  <si>
    <t>Visited 1</t>
  </si>
  <si>
    <t>Visited 2</t>
  </si>
  <si>
    <t>No. of visits</t>
  </si>
  <si>
    <t>No. of Outlets</t>
  </si>
  <si>
    <t>%perf</t>
  </si>
  <si>
    <t>MONTH TO DATE REPORT &amp; GAP ANALYSIS</t>
  </si>
  <si>
    <t>ORDERS vs PROCESSED</t>
  </si>
  <si>
    <t>Cresendo</t>
  </si>
  <si>
    <t>Mzima Shop</t>
  </si>
  <si>
    <t>(Multiple Items)</t>
  </si>
  <si>
    <t>Week 7</t>
  </si>
  <si>
    <t>Mama Tesy</t>
  </si>
  <si>
    <t>Bethel Stage 2</t>
  </si>
  <si>
    <t>Vero Shop</t>
  </si>
  <si>
    <t>Famila Baby weening Bale(20 x 500g)</t>
  </si>
  <si>
    <t>Wa Njoroge Shop</t>
  </si>
  <si>
    <t>Ann Shop Waithaka</t>
  </si>
  <si>
    <t>Mama Sharon Shop</t>
  </si>
  <si>
    <t>EXE All Purpose Baking Flour Bale (2kg x 12)</t>
  </si>
  <si>
    <t>Mwana Mwereri Shop</t>
  </si>
  <si>
    <t>Okoa General Shop</t>
  </si>
  <si>
    <t>Mr Budget Shop</t>
  </si>
  <si>
    <t>Joyland Gen. Shop</t>
  </si>
  <si>
    <t>Famila Pure Shop</t>
  </si>
  <si>
    <t>Local Sugar 50kg Bag</t>
  </si>
  <si>
    <t>3/14/2022</t>
  </si>
  <si>
    <t>Maasai</t>
  </si>
  <si>
    <t>Tumaini  Shop</t>
  </si>
  <si>
    <t>Customer bought from a competitor</t>
  </si>
  <si>
    <t>Cancelled Order by the customer</t>
  </si>
  <si>
    <t>cancelled order before dispatch</t>
  </si>
  <si>
    <t>customer purchased from a competitor</t>
  </si>
  <si>
    <t>wanjoro shop</t>
  </si>
  <si>
    <t>Ebenezer 56</t>
  </si>
  <si>
    <t>Maasai 48</t>
  </si>
  <si>
    <t>Greenshop Next musimbi</t>
  </si>
  <si>
    <t>Mogusu Shop</t>
  </si>
  <si>
    <t>Pembe Maize Baking Bale (2Kg X 12)</t>
  </si>
  <si>
    <t>Lee General Shop</t>
  </si>
  <si>
    <t>Cruisjam General Shop</t>
  </si>
  <si>
    <t>Centre Shop</t>
  </si>
  <si>
    <t>Softcare low count Large Diapers</t>
  </si>
  <si>
    <t>Zesta Tomato Sauce Ctn 250G X 24 Tins</t>
  </si>
  <si>
    <t>Mara Brown Sugar Bale 2Kg X 10 Pkts</t>
  </si>
  <si>
    <t>juniour shop</t>
  </si>
  <si>
    <t>Korie Spaghetti Ctn 400G X 21</t>
  </si>
  <si>
    <t>Mbale Shop</t>
  </si>
  <si>
    <t>cutomer was unavailable</t>
  </si>
  <si>
    <t>Order placed under a wrong outlet</t>
  </si>
  <si>
    <t>Customer canceled the order</t>
  </si>
  <si>
    <t>customer canceled the order</t>
  </si>
  <si>
    <t>kabras Sugar 50kg</t>
  </si>
  <si>
    <t>Customer reducedthe order</t>
  </si>
  <si>
    <t>Pagil Shop &amp; Cereals</t>
  </si>
  <si>
    <t>GAP ANALYSIS</t>
  </si>
  <si>
    <t>PRODUCT ANALYSIS</t>
  </si>
  <si>
    <t>Feb Contri</t>
  </si>
  <si>
    <t>Mar Contri</t>
  </si>
  <si>
    <t>Product Category Sales contribution</t>
  </si>
  <si>
    <t>Distinct Count of Order items</t>
  </si>
  <si>
    <t>DEMAND ANALYSIS REPORT AND PRICING</t>
  </si>
  <si>
    <t>Pembe maize 1kg</t>
  </si>
  <si>
    <t>Pembe maize 2 kgs</t>
  </si>
  <si>
    <t>Soko ugali 1kgs</t>
  </si>
  <si>
    <t>Out of stock</t>
  </si>
  <si>
    <t>Soko ugali 2 kgs</t>
  </si>
  <si>
    <t>Poa ugali 1kgs</t>
  </si>
  <si>
    <t>Poa ugali 2kgs</t>
  </si>
  <si>
    <t>Pembe ngano 1 kgs</t>
  </si>
  <si>
    <t>Pembe ngano 2 kgs</t>
  </si>
  <si>
    <t>Ajab 1 kgs</t>
  </si>
  <si>
    <t>Ajab 2kgs</t>
  </si>
  <si>
    <t>Dola 1kgs</t>
  </si>
  <si>
    <t>Dola 2kgs</t>
  </si>
  <si>
    <t>Mama Lao 1 kgs</t>
  </si>
  <si>
    <t>Mama Lao 2 kgs</t>
  </si>
  <si>
    <t>Baba Lao 1 kgs</t>
  </si>
  <si>
    <t>Baba Lao 2 kgs</t>
  </si>
  <si>
    <t>Kapunga rice 25 kgs</t>
  </si>
  <si>
    <t>Kangore Rice 25 kgs</t>
  </si>
  <si>
    <t>Indus Rice 25 kgs</t>
  </si>
  <si>
    <t>Empire rice 25 kgs</t>
  </si>
  <si>
    <t>Local sugar kabras 50kgs</t>
  </si>
  <si>
    <t xml:space="preserve">Halisi 20 liters </t>
  </si>
  <si>
    <t>Halisi 10 liters</t>
  </si>
  <si>
    <t>GROWTH</t>
  </si>
  <si>
    <t>DIFF</t>
  </si>
  <si>
    <t>Products On Demand</t>
  </si>
  <si>
    <t>HSW Stocking Status</t>
  </si>
  <si>
    <t>Instock</t>
  </si>
  <si>
    <t>HSW Prices(ksh.)</t>
  </si>
  <si>
    <t>Market Prices(ksh.)</t>
  </si>
  <si>
    <t>Never Stocked</t>
  </si>
  <si>
    <t>gap</t>
  </si>
  <si>
    <t>835v</t>
  </si>
  <si>
    <t>623v</t>
  </si>
  <si>
    <t>CLICK&gt;&gt;&gt;&gt;&gt;&gt;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</si>
</sst>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_);_(* \(#,##0\);_(* &quot;-&quot;_);_(@_)"/>
    <numFmt numFmtId="165" formatCode="_(* #,##0.00_);_(* \(#,##0.00\);_(* &quot;-&quot;??_);_(@_)"/>
    <numFmt numFmtId="166" formatCode="_(* #,##0_);_(* \(#,##0\);_(* &quot;-&quot;??_);_(@_)"/>
    <numFmt numFmtId="167" formatCode="0.0"/>
    <numFmt numFmtId="168" formatCode="#,##0.0"/>
    <numFmt numFmtId="169" formatCode="0.0%"/>
    <numFmt numFmtId="170" formatCode="_(* #,##0.0_);_(* \(#,##0.0\);_(* &quot;-&quot;??_);_(@_)"/>
    <numFmt numFmtId="171" formatCode="[Color10]\▲* \+0.0%;[Red]\▼* 0.0%;;"/>
    <numFmt numFmtId="172" formatCode="_(* #,##0.0_);_(* \(#,##0.0\);_(* &quot;-&quot;?_);_(@_)"/>
  </numFmts>
  <fonts count="33"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charset val="1"/>
      <scheme val="minor"/>
    </font>
    <font>
      <b/>
      <sz val="11"/>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20"/>
      <color theme="1"/>
      <name val="Calibri"/>
      <family val="2"/>
      <scheme val="minor"/>
    </font>
    <font>
      <b/>
      <sz val="11"/>
      <color rgb="FF0070C0"/>
      <name val="Calibri"/>
      <family val="2"/>
      <scheme val="minor"/>
    </font>
    <font>
      <b/>
      <sz val="11"/>
      <color rgb="FFC00000"/>
      <name val="Calibri"/>
      <family val="2"/>
      <scheme val="minor"/>
    </font>
    <font>
      <b/>
      <sz val="16"/>
      <color rgb="FFC00000"/>
      <name val="Calibri"/>
      <family val="2"/>
      <scheme val="minor"/>
    </font>
    <font>
      <b/>
      <sz val="22"/>
      <color rgb="FFC00000"/>
      <name val="Calibri"/>
      <family val="2"/>
      <scheme val="minor"/>
    </font>
    <font>
      <b/>
      <sz val="12"/>
      <color rgb="FF0070C0"/>
      <name val="Calibri"/>
      <family val="2"/>
      <scheme val="minor"/>
    </font>
    <font>
      <sz val="11"/>
      <color theme="1"/>
      <name val="Calibri"/>
      <family val="2"/>
      <scheme val="minor"/>
    </font>
    <font>
      <sz val="11"/>
      <name val="Calibri"/>
      <family val="2"/>
    </font>
    <font>
      <sz val="11"/>
      <color rgb="FFFF0000"/>
      <name val="Calibri"/>
      <family val="2"/>
      <charset val="1"/>
    </font>
    <font>
      <b/>
      <sz val="11"/>
      <color theme="1"/>
      <name val="Calibri"/>
      <family val="2"/>
      <scheme val="minor"/>
    </font>
    <font>
      <sz val="11"/>
      <color theme="1"/>
      <name val="Arial Rounded MT Bold"/>
      <family val="2"/>
    </font>
    <font>
      <sz val="14"/>
      <color theme="1"/>
      <name val="Franklin Gothic Book"/>
      <family val="2"/>
    </font>
    <font>
      <sz val="26"/>
      <color theme="1"/>
      <name val="Calibri"/>
      <family val="2"/>
      <scheme val="minor"/>
    </font>
    <font>
      <b/>
      <sz val="14"/>
      <color theme="1"/>
      <name val="Calibri"/>
      <family val="2"/>
      <scheme val="minor"/>
    </font>
    <font>
      <b/>
      <sz val="14"/>
      <color rgb="FFC00000"/>
      <name val="Calibri"/>
      <family val="2"/>
      <scheme val="minor"/>
    </font>
    <font>
      <u/>
      <sz val="11"/>
      <color theme="10"/>
      <name val="Calibri"/>
      <family val="2"/>
      <scheme val="minor"/>
    </font>
    <font>
      <b/>
      <sz val="11"/>
      <color theme="1"/>
      <name val="Calibri"/>
      <scheme val="minor"/>
    </font>
    <font>
      <b/>
      <sz val="12"/>
      <color theme="1"/>
      <name val="Calibri"/>
      <family val="2"/>
      <scheme val="minor"/>
    </font>
    <font>
      <b/>
      <sz val="18"/>
      <color rgb="FFC00000"/>
      <name val="Calibri"/>
      <family val="2"/>
    </font>
    <font>
      <b/>
      <sz val="11"/>
      <color rgb="FF000000"/>
      <name val="Calibri"/>
      <family val="2"/>
    </font>
    <font>
      <sz val="11"/>
      <color rgb="FF000000"/>
      <name val="Calibri"/>
      <family val="2"/>
    </font>
    <font>
      <b/>
      <u/>
      <sz val="16"/>
      <color rgb="FFC00000"/>
      <name val="Calibri"/>
      <family val="2"/>
      <scheme val="minor"/>
    </font>
    <font>
      <i/>
      <sz val="11"/>
      <color rgb="FFFF0000"/>
      <name val="Calibri"/>
      <family val="2"/>
    </font>
    <font>
      <sz val="11"/>
      <color rgb="FFFF0000"/>
      <name val="Calibri"/>
      <family val="2"/>
    </font>
  </fonts>
  <fills count="22">
    <fill>
      <patternFill patternType="none"/>
    </fill>
    <fill>
      <patternFill patternType="gray125"/>
    </fill>
    <fill>
      <patternFill patternType="solid">
        <fgColor rgb="FFC00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CCC"/>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4B083"/>
        <bgColor indexed="64"/>
      </patternFill>
    </fill>
  </fills>
  <borders count="5">
    <border>
      <left/>
      <right/>
      <top/>
      <bottom/>
      <diagonal/>
    </border>
    <border>
      <left/>
      <right/>
      <top style="thin">
        <color theme="4" tint="0.39997558519241921"/>
      </top>
      <bottom style="thin">
        <color theme="4" tint="0.39997558519241921"/>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7">
    <xf numFmtId="0" fontId="0" fillId="0" borderId="0"/>
    <xf numFmtId="165" fontId="2" fillId="0" borderId="0" applyFont="0" applyFill="0" applyBorder="0" applyAlignment="0" applyProtection="0"/>
    <xf numFmtId="9" fontId="2" fillId="0" borderId="0" applyFont="0" applyFill="0" applyBorder="0" applyAlignment="0" applyProtection="0"/>
    <xf numFmtId="0" fontId="3" fillId="0" borderId="0"/>
    <xf numFmtId="0" fontId="24" fillId="0" borderId="0" applyNumberFormat="0" applyFill="0" applyBorder="0" applyAlignment="0" applyProtection="0"/>
    <xf numFmtId="0" fontId="16" fillId="0" borderId="0">
      <alignment vertical="center"/>
    </xf>
    <xf numFmtId="165" fontId="29" fillId="0" borderId="0">
      <alignment vertical="top"/>
      <protection locked="0"/>
    </xf>
  </cellStyleXfs>
  <cellXfs count="266">
    <xf numFmtId="0" fontId="0" fillId="0" borderId="0" xfId="0"/>
    <xf numFmtId="164" fontId="0" fillId="0" borderId="0" xfId="0" applyNumberFormat="1"/>
    <xf numFmtId="0" fontId="1" fillId="0" borderId="0" xfId="0" applyFont="1"/>
    <xf numFmtId="164" fontId="1" fillId="0" borderId="0" xfId="0" applyNumberFormat="1" applyFont="1"/>
    <xf numFmtId="0" fontId="1" fillId="3" borderId="0" xfId="0" applyFont="1" applyFill="1" applyAlignment="1">
      <alignment horizontal="center"/>
    </xf>
    <xf numFmtId="16" fontId="0" fillId="0" borderId="0" xfId="0" applyNumberFormat="1"/>
    <xf numFmtId="166" fontId="0" fillId="0" borderId="0" xfId="1" applyNumberFormat="1" applyFont="1" applyAlignment="1"/>
    <xf numFmtId="164" fontId="0" fillId="0" borderId="0" xfId="0" applyNumberFormat="1" applyAlignment="1"/>
    <xf numFmtId="165" fontId="0" fillId="0" borderId="0" xfId="1" applyFont="1" applyAlignment="1"/>
    <xf numFmtId="0" fontId="0" fillId="0" borderId="0" xfId="0" applyAlignment="1"/>
    <xf numFmtId="9" fontId="0" fillId="0" borderId="0" xfId="2" applyFont="1"/>
    <xf numFmtId="166" fontId="1" fillId="3" borderId="0" xfId="0" applyNumberFormat="1" applyFont="1" applyFill="1" applyAlignment="1"/>
    <xf numFmtId="164" fontId="1" fillId="3" borderId="0" xfId="0" applyNumberFormat="1" applyFont="1" applyFill="1" applyAlignment="1"/>
    <xf numFmtId="0" fontId="1" fillId="3" borderId="0" xfId="0" applyFont="1" applyFill="1" applyAlignment="1"/>
    <xf numFmtId="3" fontId="0" fillId="0" borderId="0" xfId="0" applyNumberFormat="1" applyAlignment="1"/>
    <xf numFmtId="1" fontId="0" fillId="0" borderId="0" xfId="1" applyNumberFormat="1" applyFont="1" applyAlignment="1">
      <alignment horizontal="center"/>
    </xf>
    <xf numFmtId="167" fontId="1" fillId="3" borderId="0" xfId="0" applyNumberFormat="1" applyFont="1" applyFill="1" applyAlignment="1">
      <alignment horizontal="center"/>
    </xf>
    <xf numFmtId="1" fontId="1" fillId="3" borderId="0" xfId="0" applyNumberFormat="1" applyFont="1" applyFill="1" applyAlignment="1">
      <alignment horizontal="center"/>
    </xf>
    <xf numFmtId="168" fontId="0" fillId="0" borderId="0" xfId="0" applyNumberFormat="1" applyAlignment="1"/>
    <xf numFmtId="1" fontId="0" fillId="0" borderId="0" xfId="0" applyNumberFormat="1" applyAlignment="1">
      <alignment horizontal="center"/>
    </xf>
    <xf numFmtId="3" fontId="0" fillId="0" borderId="0" xfId="0" applyNumberFormat="1" applyAlignment="1">
      <alignment horizontal="center"/>
    </xf>
    <xf numFmtId="4" fontId="5" fillId="0" borderId="0" xfId="0" applyNumberFormat="1" applyFont="1" applyAlignment="1">
      <alignment horizontal="right" vertical="top"/>
    </xf>
    <xf numFmtId="0" fontId="5" fillId="0" borderId="0" xfId="0" applyFont="1" applyAlignment="1">
      <alignment horizontal="left" vertical="top"/>
    </xf>
    <xf numFmtId="4" fontId="0" fillId="0" borderId="0" xfId="0" applyNumberFormat="1" applyAlignment="1">
      <alignment horizontal="right" vertical="top"/>
    </xf>
    <xf numFmtId="0" fontId="0" fillId="0" borderId="0" xfId="0" applyAlignment="1">
      <alignment horizontal="left" vertical="top"/>
    </xf>
    <xf numFmtId="0" fontId="0" fillId="0" borderId="0" xfId="0" applyAlignment="1">
      <alignment horizontal="right" vertical="top"/>
    </xf>
    <xf numFmtId="167" fontId="7" fillId="3" borderId="0" xfId="0" applyNumberFormat="1" applyFont="1" applyFill="1" applyAlignment="1">
      <alignment horizontal="center"/>
    </xf>
    <xf numFmtId="1" fontId="7" fillId="3" borderId="0" xfId="0" applyNumberFormat="1" applyFont="1" applyFill="1" applyAlignment="1">
      <alignment horizontal="center"/>
    </xf>
    <xf numFmtId="166" fontId="7" fillId="3" borderId="0" xfId="0" applyNumberFormat="1" applyFont="1" applyFill="1" applyAlignment="1"/>
    <xf numFmtId="164" fontId="7" fillId="3" borderId="0" xfId="0" applyNumberFormat="1" applyFont="1" applyFill="1" applyAlignment="1"/>
    <xf numFmtId="0" fontId="7" fillId="3" borderId="0" xfId="0" applyFont="1" applyFill="1" applyAlignment="1"/>
    <xf numFmtId="4" fontId="6" fillId="0" borderId="0" xfId="0" applyNumberFormat="1" applyFont="1" applyFill="1" applyAlignment="1">
      <alignment horizontal="right" vertical="top"/>
    </xf>
    <xf numFmtId="0" fontId="9" fillId="2" borderId="0" xfId="0" applyFont="1" applyFill="1" applyAlignment="1">
      <alignment horizontal="center"/>
    </xf>
    <xf numFmtId="164" fontId="0" fillId="0" borderId="0" xfId="1" applyNumberFormat="1" applyFont="1" applyAlignment="1">
      <alignment horizontal="center"/>
    </xf>
    <xf numFmtId="164" fontId="0" fillId="0" borderId="0" xfId="1" applyNumberFormat="1" applyFont="1" applyAlignment="1"/>
    <xf numFmtId="1" fontId="0" fillId="0" borderId="0" xfId="0" applyNumberFormat="1"/>
    <xf numFmtId="166" fontId="10" fillId="0" borderId="0" xfId="1" applyNumberFormat="1" applyFont="1" applyAlignment="1">
      <alignment horizontal="center"/>
    </xf>
    <xf numFmtId="166" fontId="10" fillId="0" borderId="0" xfId="0" applyNumberFormat="1" applyFont="1" applyAlignment="1">
      <alignment horizontal="center"/>
    </xf>
    <xf numFmtId="9" fontId="10" fillId="0" borderId="0" xfId="2" applyFont="1" applyAlignment="1">
      <alignment horizontal="center"/>
    </xf>
    <xf numFmtId="169" fontId="0" fillId="0" borderId="0" xfId="2" applyNumberFormat="1" applyFont="1" applyAlignment="1">
      <alignment horizontal="center"/>
    </xf>
    <xf numFmtId="0" fontId="1" fillId="0" borderId="0" xfId="0" applyFont="1" applyAlignment="1">
      <alignment horizontal="right"/>
    </xf>
    <xf numFmtId="0" fontId="11" fillId="0" borderId="0" xfId="0" applyFont="1"/>
    <xf numFmtId="0" fontId="1" fillId="4" borderId="0" xfId="0" applyFont="1" applyFill="1"/>
    <xf numFmtId="0" fontId="1" fillId="4" borderId="0" xfId="0" applyFont="1" applyFill="1" applyAlignment="1">
      <alignment horizontal="center"/>
    </xf>
    <xf numFmtId="0" fontId="11" fillId="0" borderId="0" xfId="0" applyFont="1" applyAlignment="1">
      <alignment horizontal="center"/>
    </xf>
    <xf numFmtId="165" fontId="0" fillId="0" borderId="0" xfId="1" applyFont="1"/>
    <xf numFmtId="166" fontId="0" fillId="0" borderId="0" xfId="1" applyNumberFormat="1" applyFont="1"/>
    <xf numFmtId="166" fontId="0" fillId="0" borderId="0" xfId="1" applyNumberFormat="1" applyFont="1" applyAlignment="1">
      <alignment horizontal="right" vertical="top"/>
    </xf>
    <xf numFmtId="166" fontId="5" fillId="0" borderId="0" xfId="1" applyNumberFormat="1" applyFont="1" applyAlignment="1">
      <alignment horizontal="right" vertical="top"/>
    </xf>
    <xf numFmtId="14" fontId="0" fillId="0" borderId="0" xfId="0" applyNumberFormat="1"/>
    <xf numFmtId="0" fontId="0" fillId="0" borderId="0" xfId="0" quotePrefix="1"/>
    <xf numFmtId="0" fontId="7" fillId="0" borderId="0" xfId="0" applyFont="1" applyAlignment="1">
      <alignment horizontal="center"/>
    </xf>
    <xf numFmtId="3" fontId="1" fillId="4" borderId="0" xfId="0" applyNumberFormat="1" applyFont="1" applyFill="1" applyAlignment="1">
      <alignment horizontal="center"/>
    </xf>
    <xf numFmtId="0" fontId="1" fillId="7" borderId="0" xfId="0" applyFont="1" applyFill="1"/>
    <xf numFmtId="1" fontId="1" fillId="7" borderId="0" xfId="0" applyNumberFormat="1" applyFont="1" applyFill="1" applyAlignment="1">
      <alignment horizontal="center"/>
    </xf>
    <xf numFmtId="0" fontId="1" fillId="9" borderId="0" xfId="0" applyFont="1" applyFill="1"/>
    <xf numFmtId="1" fontId="1" fillId="9" borderId="0" xfId="0" applyNumberFormat="1" applyFont="1" applyFill="1" applyAlignment="1">
      <alignment horizontal="center"/>
    </xf>
    <xf numFmtId="164" fontId="1" fillId="3" borderId="0" xfId="0" applyNumberFormat="1" applyFont="1" applyFill="1" applyAlignment="1">
      <alignment horizontal="center"/>
    </xf>
    <xf numFmtId="0" fontId="12" fillId="0" borderId="0" xfId="0" applyFont="1" applyAlignment="1">
      <alignment horizontal="center"/>
    </xf>
    <xf numFmtId="0" fontId="4" fillId="7" borderId="0" xfId="0" applyFont="1" applyFill="1" applyAlignment="1">
      <alignment horizontal="center"/>
    </xf>
    <xf numFmtId="0" fontId="0" fillId="5" borderId="0" xfId="0" applyFill="1"/>
    <xf numFmtId="166" fontId="0" fillId="5" borderId="0" xfId="1" applyNumberFormat="1" applyFont="1" applyFill="1"/>
    <xf numFmtId="9" fontId="0" fillId="5" borderId="0" xfId="2" applyNumberFormat="1" applyFont="1" applyFill="1" applyAlignment="1">
      <alignment horizontal="center"/>
    </xf>
    <xf numFmtId="166" fontId="0" fillId="3" borderId="0" xfId="1" applyNumberFormat="1" applyFont="1" applyFill="1"/>
    <xf numFmtId="0" fontId="1" fillId="0" borderId="0" xfId="0" applyFont="1" applyFill="1"/>
    <xf numFmtId="166" fontId="1" fillId="3" borderId="0" xfId="0" applyNumberFormat="1" applyFont="1" applyFill="1" applyAlignment="1">
      <alignment horizontal="center"/>
    </xf>
    <xf numFmtId="169" fontId="1" fillId="3" borderId="0" xfId="0" applyNumberFormat="1" applyFont="1" applyFill="1" applyAlignment="1">
      <alignment horizontal="center"/>
    </xf>
    <xf numFmtId="166" fontId="0" fillId="0" borderId="0" xfId="1" applyNumberFormat="1" applyFont="1" applyAlignment="1">
      <alignment horizontal="center"/>
    </xf>
    <xf numFmtId="0" fontId="1" fillId="10" borderId="0" xfId="0" applyFont="1" applyFill="1" applyAlignment="1">
      <alignment horizontal="center"/>
    </xf>
    <xf numFmtId="16" fontId="1" fillId="10" borderId="0" xfId="0" applyNumberFormat="1" applyFont="1" applyFill="1" applyAlignment="1">
      <alignment horizontal="right"/>
    </xf>
    <xf numFmtId="16" fontId="1" fillId="10" borderId="0" xfId="0" applyNumberFormat="1" applyFont="1" applyFill="1"/>
    <xf numFmtId="0" fontId="1" fillId="10" borderId="0" xfId="0" applyFont="1" applyFill="1"/>
    <xf numFmtId="0" fontId="1" fillId="0" borderId="0" xfId="0" applyFont="1" applyAlignment="1">
      <alignment horizontal="center"/>
    </xf>
    <xf numFmtId="166" fontId="1" fillId="0" borderId="0" xfId="1" applyNumberFormat="1" applyFont="1"/>
    <xf numFmtId="16" fontId="0" fillId="0" borderId="0" xfId="0" applyNumberFormat="1" applyAlignment="1">
      <alignment horizontal="center"/>
    </xf>
    <xf numFmtId="0" fontId="0" fillId="0" borderId="0" xfId="0" applyAlignment="1">
      <alignment horizontal="center"/>
    </xf>
    <xf numFmtId="9" fontId="0" fillId="0" borderId="0" xfId="2" applyFont="1" applyAlignment="1">
      <alignment horizontal="center"/>
    </xf>
    <xf numFmtId="14" fontId="1" fillId="3" borderId="0" xfId="0" applyNumberFormat="1" applyFont="1" applyFill="1" applyAlignment="1">
      <alignment horizontal="center"/>
    </xf>
    <xf numFmtId="14" fontId="1" fillId="3" borderId="0" xfId="0" applyNumberFormat="1" applyFont="1" applyFill="1" applyAlignment="1">
      <alignment horizontal="center" wrapText="1"/>
    </xf>
    <xf numFmtId="1" fontId="0" fillId="11" borderId="0" xfId="0" applyNumberFormat="1" applyFill="1" applyAlignment="1">
      <alignment horizontal="center"/>
    </xf>
    <xf numFmtId="9" fontId="0" fillId="11" borderId="0" xfId="2" applyFont="1" applyFill="1" applyAlignment="1">
      <alignment horizontal="center"/>
    </xf>
    <xf numFmtId="1" fontId="0" fillId="12" borderId="0" xfId="0" applyNumberFormat="1" applyFill="1" applyAlignment="1">
      <alignment horizontal="center"/>
    </xf>
    <xf numFmtId="9" fontId="0" fillId="12" borderId="0" xfId="2" applyFont="1" applyFill="1" applyAlignment="1">
      <alignment horizontal="center"/>
    </xf>
    <xf numFmtId="0" fontId="0" fillId="12" borderId="0" xfId="0" applyFill="1" applyAlignment="1">
      <alignment horizontal="center"/>
    </xf>
    <xf numFmtId="166" fontId="0" fillId="5" borderId="0" xfId="0" applyNumberFormat="1" applyFill="1"/>
    <xf numFmtId="166" fontId="0" fillId="3" borderId="0" xfId="0" applyNumberFormat="1" applyFill="1"/>
    <xf numFmtId="9" fontId="0" fillId="3" borderId="0" xfId="2" applyFont="1" applyFill="1" applyAlignment="1">
      <alignment horizontal="center"/>
    </xf>
    <xf numFmtId="0" fontId="7" fillId="3" borderId="0" xfId="0" applyFont="1" applyFill="1"/>
    <xf numFmtId="166" fontId="7" fillId="3" borderId="0" xfId="0" applyNumberFormat="1" applyFont="1" applyFill="1" applyAlignment="1">
      <alignment horizontal="center"/>
    </xf>
    <xf numFmtId="0" fontId="4" fillId="0" borderId="0" xfId="0" applyFont="1" applyFill="1" applyAlignment="1">
      <alignment horizontal="left"/>
    </xf>
    <xf numFmtId="0" fontId="8" fillId="0" borderId="0" xfId="0" applyFont="1"/>
    <xf numFmtId="0" fontId="0" fillId="0" borderId="0" xfId="0" pivotButton="1"/>
    <xf numFmtId="0" fontId="0" fillId="0" borderId="0" xfId="0" applyAlignment="1">
      <alignment horizontal="left"/>
    </xf>
    <xf numFmtId="9" fontId="10" fillId="0" borderId="0" xfId="2" applyFont="1" applyAlignment="1">
      <alignment horizontal="right"/>
    </xf>
    <xf numFmtId="0" fontId="10" fillId="0" borderId="0" xfId="0" applyFont="1"/>
    <xf numFmtId="9" fontId="10" fillId="0" borderId="0" xfId="2" applyFont="1"/>
    <xf numFmtId="0" fontId="10" fillId="0" borderId="0" xfId="0" applyFont="1" applyAlignment="1">
      <alignment horizontal="center"/>
    </xf>
    <xf numFmtId="0" fontId="1" fillId="14" borderId="0" xfId="0" applyFont="1" applyFill="1" applyAlignment="1">
      <alignment horizontal="center"/>
    </xf>
    <xf numFmtId="166" fontId="1" fillId="14" borderId="0" xfId="1" applyNumberFormat="1" applyFont="1" applyFill="1"/>
    <xf numFmtId="0" fontId="1" fillId="14" borderId="0" xfId="0" applyFont="1" applyFill="1"/>
    <xf numFmtId="166" fontId="1" fillId="14" borderId="0" xfId="0" applyNumberFormat="1" applyFont="1" applyFill="1"/>
    <xf numFmtId="169" fontId="1" fillId="14" borderId="0" xfId="2" applyNumberFormat="1" applyFont="1" applyFill="1" applyAlignment="1">
      <alignment horizontal="center"/>
    </xf>
    <xf numFmtId="0" fontId="0" fillId="0" borderId="0" xfId="0" applyNumberFormat="1"/>
    <xf numFmtId="4" fontId="0" fillId="15" borderId="0" xfId="0" applyNumberFormat="1" applyFill="1" applyAlignment="1">
      <alignment horizontal="right" vertical="top"/>
    </xf>
    <xf numFmtId="9" fontId="1" fillId="3" borderId="0" xfId="0" applyNumberFormat="1" applyFont="1" applyFill="1" applyAlignment="1">
      <alignment horizontal="center"/>
    </xf>
    <xf numFmtId="166" fontId="0" fillId="11" borderId="0" xfId="1" applyNumberFormat="1" applyFont="1" applyFill="1" applyAlignment="1">
      <alignment horizontal="center"/>
    </xf>
    <xf numFmtId="4" fontId="0" fillId="0" borderId="0" xfId="0" applyNumberFormat="1" applyFill="1" applyAlignment="1">
      <alignment horizontal="right" vertical="top"/>
    </xf>
    <xf numFmtId="4" fontId="0" fillId="0" borderId="0" xfId="0" applyNumberFormat="1" applyFont="1" applyFill="1" applyAlignment="1">
      <alignment horizontal="right" vertical="top"/>
    </xf>
    <xf numFmtId="0" fontId="1" fillId="10" borderId="0" xfId="0" applyFont="1" applyFill="1" applyAlignment="1">
      <alignment horizontal="center"/>
    </xf>
    <xf numFmtId="3" fontId="0" fillId="15" borderId="0" xfId="0" applyNumberFormat="1" applyFill="1" applyAlignment="1">
      <alignment horizontal="right" vertical="top"/>
    </xf>
    <xf numFmtId="3" fontId="0" fillId="0" borderId="0" xfId="0" applyNumberFormat="1" applyAlignment="1">
      <alignment horizontal="right" vertical="top"/>
    </xf>
    <xf numFmtId="170" fontId="0" fillId="0" borderId="0" xfId="1" applyNumberFormat="1" applyFont="1"/>
    <xf numFmtId="166" fontId="0" fillId="0" borderId="0" xfId="1" applyNumberFormat="1" applyFont="1" applyFill="1" applyAlignment="1">
      <alignment horizontal="right" vertical="top"/>
    </xf>
    <xf numFmtId="166" fontId="0" fillId="0" borderId="0" xfId="0" applyNumberFormat="1"/>
    <xf numFmtId="9" fontId="14" fillId="0" borderId="0" xfId="2" applyFont="1" applyAlignment="1"/>
    <xf numFmtId="9" fontId="0" fillId="11" borderId="0" xfId="2" applyNumberFormat="1" applyFont="1" applyFill="1" applyAlignment="1">
      <alignment horizontal="center"/>
    </xf>
    <xf numFmtId="9" fontId="1" fillId="14" borderId="0" xfId="2" applyFont="1" applyFill="1" applyAlignment="1">
      <alignment horizontal="center"/>
    </xf>
    <xf numFmtId="166" fontId="0" fillId="12" borderId="0" xfId="1" applyNumberFormat="1" applyFont="1" applyFill="1" applyAlignment="1">
      <alignment horizontal="center"/>
    </xf>
    <xf numFmtId="9" fontId="1" fillId="0" borderId="0" xfId="2" applyFont="1"/>
    <xf numFmtId="0" fontId="1" fillId="0" borderId="0" xfId="0" applyFont="1" applyAlignment="1">
      <alignment horizontal="center"/>
    </xf>
    <xf numFmtId="4" fontId="0" fillId="0" borderId="1" xfId="0" applyNumberFormat="1" applyFont="1" applyFill="1" applyBorder="1" applyAlignment="1">
      <alignment horizontal="right" vertical="top"/>
    </xf>
    <xf numFmtId="166" fontId="0" fillId="0" borderId="1" xfId="1" applyNumberFormat="1" applyFont="1" applyFill="1" applyBorder="1" applyAlignment="1">
      <alignment horizontal="right" vertical="top"/>
    </xf>
    <xf numFmtId="4" fontId="0" fillId="0" borderId="0" xfId="0" applyNumberFormat="1" applyFont="1" applyAlignment="1">
      <alignment horizontal="right" vertical="top"/>
    </xf>
    <xf numFmtId="4" fontId="0" fillId="16" borderId="0" xfId="0" applyNumberFormat="1" applyFont="1" applyFill="1" applyAlignment="1">
      <alignment horizontal="right" vertical="top"/>
    </xf>
    <xf numFmtId="16" fontId="5" fillId="0" borderId="0" xfId="0" applyNumberFormat="1" applyFont="1"/>
    <xf numFmtId="1" fontId="5" fillId="0" borderId="0" xfId="0" applyNumberFormat="1" applyFont="1"/>
    <xf numFmtId="0" fontId="5" fillId="0" borderId="0" xfId="0" applyFont="1"/>
    <xf numFmtId="166" fontId="5" fillId="0" borderId="0" xfId="1" applyNumberFormat="1" applyFont="1"/>
    <xf numFmtId="0" fontId="5" fillId="0" borderId="0" xfId="0" quotePrefix="1" applyFont="1"/>
    <xf numFmtId="166" fontId="1" fillId="0" borderId="0" xfId="0" applyNumberFormat="1" applyFont="1"/>
    <xf numFmtId="0" fontId="1" fillId="0" borderId="0" xfId="0" applyFont="1" applyAlignment="1">
      <alignment horizontal="center"/>
    </xf>
    <xf numFmtId="9" fontId="15" fillId="0" borderId="0" xfId="2" applyFont="1" applyAlignment="1">
      <alignment horizontal="center"/>
    </xf>
    <xf numFmtId="166" fontId="0" fillId="15" borderId="0" xfId="1" applyNumberFormat="1" applyFont="1" applyFill="1" applyAlignment="1">
      <alignment horizontal="right" vertical="top"/>
    </xf>
    <xf numFmtId="4" fontId="5" fillId="15" borderId="0" xfId="0" applyNumberFormat="1" applyFont="1" applyFill="1" applyAlignment="1">
      <alignment horizontal="right" vertical="top"/>
    </xf>
    <xf numFmtId="166" fontId="5" fillId="0" borderId="0" xfId="1" applyNumberFormat="1" applyFont="1" applyFill="1" applyAlignment="1">
      <alignment horizontal="right" vertical="top"/>
    </xf>
    <xf numFmtId="0" fontId="1" fillId="3" borderId="0" xfId="0" applyFont="1" applyFill="1" applyAlignment="1">
      <alignment horizontal="center"/>
    </xf>
    <xf numFmtId="166" fontId="0" fillId="17" borderId="1" xfId="1" applyNumberFormat="1" applyFont="1" applyFill="1" applyBorder="1"/>
    <xf numFmtId="166" fontId="0" fillId="0" borderId="1" xfId="1" applyNumberFormat="1" applyFont="1" applyBorder="1"/>
    <xf numFmtId="3" fontId="0" fillId="0" borderId="0" xfId="0" applyNumberFormat="1"/>
    <xf numFmtId="4" fontId="16" fillId="0" borderId="0" xfId="0" applyNumberFormat="1" applyFont="1" applyAlignment="1">
      <alignment horizontal="right" vertical="top"/>
    </xf>
    <xf numFmtId="9" fontId="1" fillId="3" borderId="0" xfId="2" applyNumberFormat="1" applyFont="1" applyFill="1" applyAlignment="1">
      <alignment horizontal="center"/>
    </xf>
    <xf numFmtId="0" fontId="0" fillId="0" borderId="0" xfId="0" applyFill="1"/>
    <xf numFmtId="0" fontId="1" fillId="0" borderId="0" xfId="0" applyFont="1" applyFill="1" applyAlignment="1">
      <alignment horizontal="center"/>
    </xf>
    <xf numFmtId="1" fontId="1" fillId="0" borderId="0" xfId="1" applyNumberFormat="1" applyFont="1" applyFill="1" applyAlignment="1">
      <alignment horizontal="center"/>
    </xf>
    <xf numFmtId="1" fontId="0" fillId="0" borderId="0" xfId="1" applyNumberFormat="1" applyFont="1" applyFill="1" applyAlignment="1">
      <alignment horizontal="center"/>
    </xf>
    <xf numFmtId="164" fontId="1" fillId="0" borderId="0" xfId="0" applyNumberFormat="1" applyFont="1" applyFill="1" applyAlignment="1"/>
    <xf numFmtId="1" fontId="1" fillId="0" borderId="0" xfId="0" applyNumberFormat="1" applyFont="1" applyFill="1" applyAlignment="1">
      <alignment horizontal="center"/>
    </xf>
    <xf numFmtId="0" fontId="1" fillId="0" borderId="0" xfId="0" applyFont="1" applyFill="1" applyAlignment="1"/>
    <xf numFmtId="3" fontId="0" fillId="0" borderId="0" xfId="1" applyNumberFormat="1" applyFont="1"/>
    <xf numFmtId="3" fontId="1" fillId="0" borderId="0" xfId="1" applyNumberFormat="1" applyFont="1"/>
    <xf numFmtId="165" fontId="1" fillId="0" borderId="0" xfId="1" applyFont="1"/>
    <xf numFmtId="9" fontId="1" fillId="0" borderId="0" xfId="2" applyFont="1" applyAlignment="1">
      <alignment horizontal="center"/>
    </xf>
    <xf numFmtId="4" fontId="6" fillId="0" borderId="0" xfId="0" applyNumberFormat="1" applyFont="1" applyAlignment="1">
      <alignment horizontal="right" vertical="top"/>
    </xf>
    <xf numFmtId="165" fontId="0" fillId="0" borderId="0" xfId="0" applyNumberFormat="1"/>
    <xf numFmtId="4" fontId="17" fillId="15" borderId="0" xfId="0" applyNumberFormat="1" applyFont="1" applyFill="1" applyAlignment="1">
      <alignment horizontal="right" vertical="top"/>
    </xf>
    <xf numFmtId="0" fontId="1" fillId="0" borderId="2" xfId="0" applyFont="1" applyBorder="1" applyAlignment="1">
      <alignment horizontal="center"/>
    </xf>
    <xf numFmtId="166" fontId="1" fillId="0" borderId="2" xfId="0" applyNumberFormat="1" applyFont="1" applyBorder="1"/>
    <xf numFmtId="0" fontId="1" fillId="3" borderId="0" xfId="0" applyFont="1" applyFill="1" applyAlignment="1">
      <alignment horizontal="center"/>
    </xf>
    <xf numFmtId="0" fontId="1" fillId="0" borderId="0" xfId="0" applyFont="1" applyAlignment="1">
      <alignment horizontal="center"/>
    </xf>
    <xf numFmtId="0" fontId="18" fillId="0" borderId="0" xfId="0" applyFont="1"/>
    <xf numFmtId="0" fontId="1" fillId="3" borderId="0" xfId="0" applyFont="1" applyFill="1" applyAlignment="1">
      <alignment horizontal="center"/>
    </xf>
    <xf numFmtId="0" fontId="1" fillId="0" borderId="0" xfId="0" applyFont="1" applyAlignment="1">
      <alignment horizontal="center"/>
    </xf>
    <xf numFmtId="0" fontId="6" fillId="0" borderId="0" xfId="0" applyFont="1"/>
    <xf numFmtId="0" fontId="0" fillId="0" borderId="0" xfId="0" applyAlignment="1">
      <alignment vertical="center"/>
    </xf>
    <xf numFmtId="16" fontId="0" fillId="18" borderId="0" xfId="0" applyNumberFormat="1" applyFill="1" applyAlignment="1">
      <alignment horizontal="center"/>
    </xf>
    <xf numFmtId="166" fontId="0" fillId="18" borderId="0" xfId="1" applyNumberFormat="1" applyFont="1" applyFill="1" applyAlignment="1">
      <alignment horizontal="center"/>
    </xf>
    <xf numFmtId="9" fontId="1" fillId="18" borderId="0" xfId="2" applyFont="1" applyFill="1" applyAlignment="1">
      <alignment horizontal="center"/>
    </xf>
    <xf numFmtId="16" fontId="0" fillId="19" borderId="0" xfId="0" applyNumberFormat="1" applyFill="1" applyAlignment="1">
      <alignment horizontal="center"/>
    </xf>
    <xf numFmtId="166" fontId="2" fillId="19" borderId="0" xfId="1" applyNumberFormat="1" applyFont="1" applyFill="1" applyAlignment="1">
      <alignment horizontal="center"/>
    </xf>
    <xf numFmtId="166" fontId="0" fillId="19" borderId="0" xfId="1" applyNumberFormat="1" applyFont="1" applyFill="1" applyAlignment="1">
      <alignment horizontal="center"/>
    </xf>
    <xf numFmtId="9" fontId="1" fillId="19" borderId="0" xfId="2" applyFont="1" applyFill="1" applyAlignment="1">
      <alignment horizontal="center"/>
    </xf>
    <xf numFmtId="16" fontId="0" fillId="9" borderId="0" xfId="0" applyNumberFormat="1" applyFill="1" applyAlignment="1">
      <alignment horizontal="center"/>
    </xf>
    <xf numFmtId="166" fontId="0" fillId="9" borderId="0" xfId="1" applyNumberFormat="1" applyFont="1" applyFill="1" applyAlignment="1">
      <alignment horizontal="center"/>
    </xf>
    <xf numFmtId="9" fontId="1" fillId="9" borderId="0" xfId="2" applyFont="1" applyFill="1" applyAlignment="1">
      <alignment horizontal="center"/>
    </xf>
    <xf numFmtId="166" fontId="2" fillId="9" borderId="0" xfId="1" applyNumberFormat="1" applyFont="1" applyFill="1" applyAlignment="1">
      <alignment horizontal="center"/>
    </xf>
    <xf numFmtId="164" fontId="0" fillId="9" borderId="0" xfId="0" applyNumberFormat="1" applyFill="1" applyAlignment="1"/>
    <xf numFmtId="166" fontId="0" fillId="9" borderId="0" xfId="1" applyNumberFormat="1" applyFont="1" applyFill="1" applyAlignment="1"/>
    <xf numFmtId="3" fontId="0" fillId="9" borderId="0" xfId="0" applyNumberFormat="1" applyFill="1" applyAlignment="1"/>
    <xf numFmtId="9" fontId="0" fillId="0" borderId="0" xfId="0" applyNumberFormat="1"/>
    <xf numFmtId="0" fontId="1" fillId="0" borderId="0" xfId="0" applyFont="1" applyAlignment="1">
      <alignment horizontal="left"/>
    </xf>
    <xf numFmtId="0" fontId="0" fillId="7" borderId="0" xfId="0" applyFill="1"/>
    <xf numFmtId="0" fontId="11" fillId="7" borderId="0" xfId="0" applyFont="1" applyFill="1"/>
    <xf numFmtId="166" fontId="10" fillId="7" borderId="0" xfId="1" applyNumberFormat="1" applyFont="1" applyFill="1" applyAlignment="1">
      <alignment horizontal="center"/>
    </xf>
    <xf numFmtId="166" fontId="10" fillId="7" borderId="0" xfId="0" applyNumberFormat="1" applyFont="1" applyFill="1" applyAlignment="1">
      <alignment horizontal="center"/>
    </xf>
    <xf numFmtId="9" fontId="10" fillId="7" borderId="0" xfId="2" applyFont="1" applyFill="1" applyAlignment="1">
      <alignment horizontal="center"/>
    </xf>
    <xf numFmtId="0" fontId="1" fillId="3" borderId="0" xfId="0" applyFont="1" applyFill="1" applyAlignment="1">
      <alignment horizontal="center"/>
    </xf>
    <xf numFmtId="0" fontId="1" fillId="17" borderId="3" xfId="0" applyFont="1" applyFill="1" applyBorder="1"/>
    <xf numFmtId="171" fontId="0" fillId="0" borderId="0" xfId="2" applyNumberFormat="1" applyFont="1"/>
    <xf numFmtId="0" fontId="4" fillId="9" borderId="0" xfId="0" applyFont="1" applyFill="1"/>
    <xf numFmtId="0" fontId="0" fillId="0" borderId="0" xfId="1" applyNumberFormat="1" applyFont="1" applyAlignment="1">
      <alignment horizontal="center"/>
    </xf>
    <xf numFmtId="0" fontId="4" fillId="9" borderId="0" xfId="0" applyFont="1" applyFill="1" applyAlignment="1">
      <alignment horizontal="center"/>
    </xf>
    <xf numFmtId="172" fontId="0" fillId="0" borderId="0" xfId="0" applyNumberFormat="1"/>
    <xf numFmtId="171" fontId="20" fillId="0" borderId="0" xfId="2" applyNumberFormat="1" applyFont="1" applyAlignment="1">
      <alignment horizontal="center"/>
    </xf>
    <xf numFmtId="169" fontId="0" fillId="0" borderId="0" xfId="2" applyNumberFormat="1" applyFont="1"/>
    <xf numFmtId="10" fontId="0" fillId="0" borderId="0" xfId="2" applyNumberFormat="1" applyFont="1" applyAlignment="1">
      <alignment horizontal="center"/>
    </xf>
    <xf numFmtId="4" fontId="0" fillId="20" borderId="0" xfId="0" applyNumberFormat="1" applyFont="1" applyFill="1" applyAlignment="1">
      <alignment horizontal="right" vertical="top"/>
    </xf>
    <xf numFmtId="4" fontId="0" fillId="15" borderId="0" xfId="0" applyNumberFormat="1" applyFont="1" applyFill="1" applyAlignment="1">
      <alignment horizontal="right" vertical="top"/>
    </xf>
    <xf numFmtId="9" fontId="1" fillId="17" borderId="4" xfId="2" applyFont="1" applyFill="1" applyBorder="1" applyAlignment="1">
      <alignment horizontal="center"/>
    </xf>
    <xf numFmtId="16" fontId="0" fillId="12" borderId="0" xfId="0" applyNumberFormat="1" applyFill="1" applyAlignment="1">
      <alignment horizontal="center"/>
    </xf>
    <xf numFmtId="9" fontId="1" fillId="9" borderId="0" xfId="2" applyNumberFormat="1" applyFont="1" applyFill="1" applyAlignment="1">
      <alignment horizontal="center"/>
    </xf>
    <xf numFmtId="9" fontId="1" fillId="12" borderId="0" xfId="2" applyNumberFormat="1" applyFont="1" applyFill="1" applyAlignment="1">
      <alignment horizontal="center"/>
    </xf>
    <xf numFmtId="9" fontId="1" fillId="0" borderId="0" xfId="2" applyNumberFormat="1" applyFont="1" applyAlignment="1">
      <alignment horizontal="center"/>
    </xf>
    <xf numFmtId="0" fontId="1" fillId="3" borderId="0" xfId="0" applyFont="1" applyFill="1" applyAlignment="1">
      <alignment horizontal="center"/>
    </xf>
    <xf numFmtId="0" fontId="1" fillId="0" borderId="0" xfId="0" applyFont="1" applyAlignment="1">
      <alignment horizontal="center"/>
    </xf>
    <xf numFmtId="0" fontId="1" fillId="0" borderId="2" xfId="0" applyFont="1" applyBorder="1"/>
    <xf numFmtId="171" fontId="0" fillId="0" borderId="2" xfId="2" applyNumberFormat="1" applyFont="1" applyBorder="1"/>
    <xf numFmtId="171" fontId="1" fillId="0" borderId="2" xfId="2" applyNumberFormat="1" applyFont="1" applyBorder="1"/>
    <xf numFmtId="171" fontId="0" fillId="0" borderId="0" xfId="2" applyNumberFormat="1" applyFont="1" applyBorder="1"/>
    <xf numFmtId="171" fontId="1" fillId="0" borderId="0" xfId="2" applyNumberFormat="1" applyFont="1" applyBorder="1"/>
    <xf numFmtId="0" fontId="1" fillId="0" borderId="2" xfId="0" applyFont="1" applyBorder="1" applyAlignment="1">
      <alignment horizontal="left"/>
    </xf>
    <xf numFmtId="0" fontId="1" fillId="0" borderId="0" xfId="0" applyFont="1" applyBorder="1"/>
    <xf numFmtId="0" fontId="22" fillId="0" borderId="0" xfId="0" applyFont="1"/>
    <xf numFmtId="0" fontId="23" fillId="0" borderId="0" xfId="0" applyFont="1" applyAlignment="1">
      <alignment horizontal="right"/>
    </xf>
    <xf numFmtId="0" fontId="23" fillId="0" borderId="0" xfId="0" applyFont="1"/>
    <xf numFmtId="0" fontId="11" fillId="0" borderId="0" xfId="0" applyFont="1" applyBorder="1"/>
    <xf numFmtId="0" fontId="24" fillId="0" borderId="0" xfId="4"/>
    <xf numFmtId="0" fontId="1" fillId="0" borderId="0" xfId="0" applyFont="1" applyAlignment="1">
      <alignment horizontal="center"/>
    </xf>
    <xf numFmtId="166" fontId="25" fillId="3" borderId="0" xfId="0" applyNumberFormat="1" applyFont="1" applyFill="1" applyAlignment="1">
      <alignment horizontal="center"/>
    </xf>
    <xf numFmtId="9" fontId="25" fillId="3" borderId="0" xfId="0" applyNumberFormat="1" applyFont="1" applyFill="1" applyAlignment="1">
      <alignment horizontal="center"/>
    </xf>
    <xf numFmtId="166" fontId="10" fillId="0" borderId="0" xfId="1" applyNumberFormat="1" applyFont="1" applyAlignment="1">
      <alignment horizontal="right"/>
    </xf>
    <xf numFmtId="10" fontId="0" fillId="0" borderId="0" xfId="0" applyNumberFormat="1"/>
    <xf numFmtId="0" fontId="26" fillId="0" borderId="0" xfId="0" applyFont="1"/>
    <xf numFmtId="0" fontId="16" fillId="0" borderId="0" xfId="5">
      <alignment vertical="center"/>
    </xf>
    <xf numFmtId="0" fontId="28" fillId="21" borderId="0" xfId="5" applyFont="1" applyFill="1" applyAlignment="1">
      <alignment horizontal="center"/>
    </xf>
    <xf numFmtId="0" fontId="28" fillId="21" borderId="0" xfId="5" applyFont="1" applyFill="1" applyAlignment="1"/>
    <xf numFmtId="0" fontId="28" fillId="0" borderId="0" xfId="5" applyFont="1" applyAlignment="1"/>
    <xf numFmtId="167" fontId="29" fillId="0" borderId="0" xfId="5" applyNumberFormat="1" applyFont="1" applyAlignment="1"/>
    <xf numFmtId="0" fontId="29" fillId="0" borderId="0" xfId="5" applyFont="1" applyAlignment="1"/>
    <xf numFmtId="165" fontId="28" fillId="0" borderId="0" xfId="6" applyFont="1" applyAlignment="1" applyProtection="1"/>
    <xf numFmtId="165" fontId="29" fillId="0" borderId="0" xfId="6" applyFont="1" applyAlignment="1" applyProtection="1"/>
    <xf numFmtId="0" fontId="30" fillId="0" borderId="0" xfId="0" applyFont="1"/>
    <xf numFmtId="166" fontId="16" fillId="0" borderId="0" xfId="1" applyNumberFormat="1" applyFont="1" applyAlignment="1">
      <alignment vertical="center"/>
    </xf>
    <xf numFmtId="166" fontId="29" fillId="0" borderId="0" xfId="1" applyNumberFormat="1" applyFont="1" applyAlignment="1" applyProtection="1"/>
    <xf numFmtId="166" fontId="29" fillId="0" borderId="0" xfId="1" applyNumberFormat="1" applyFont="1" applyAlignment="1"/>
    <xf numFmtId="0" fontId="1" fillId="10" borderId="0" xfId="0" applyFont="1" applyFill="1" applyAlignment="1">
      <alignment horizontal="center"/>
    </xf>
    <xf numFmtId="16" fontId="1" fillId="10" borderId="0" xfId="0" applyNumberFormat="1" applyFont="1" applyFill="1" applyAlignment="1">
      <alignment horizontal="center"/>
    </xf>
    <xf numFmtId="0" fontId="1" fillId="11" borderId="0" xfId="0" applyFont="1" applyFill="1" applyAlignment="1">
      <alignment horizontal="center"/>
    </xf>
    <xf numFmtId="0" fontId="11" fillId="0" borderId="0" xfId="0" applyFont="1" applyFill="1" applyAlignment="1">
      <alignment horizontal="center"/>
    </xf>
    <xf numFmtId="0" fontId="13" fillId="13" borderId="0" xfId="0" applyFont="1" applyFill="1" applyAlignment="1">
      <alignment horizontal="center"/>
    </xf>
    <xf numFmtId="0" fontId="4" fillId="6" borderId="0" xfId="0" applyFont="1" applyFill="1" applyAlignment="1">
      <alignment horizontal="center"/>
    </xf>
    <xf numFmtId="0" fontId="4" fillId="8" borderId="0" xfId="0" applyFont="1" applyFill="1" applyAlignment="1">
      <alignment horizontal="center"/>
    </xf>
    <xf numFmtId="0" fontId="9" fillId="2" borderId="0" xfId="0" applyFont="1" applyFill="1" applyAlignment="1">
      <alignment horizontal="center"/>
    </xf>
    <xf numFmtId="169" fontId="14" fillId="0" borderId="0" xfId="2" applyNumberFormat="1" applyFont="1" applyAlignment="1">
      <alignment horizontal="center"/>
    </xf>
    <xf numFmtId="0" fontId="11" fillId="0" borderId="0" xfId="0" applyFont="1" applyAlignment="1">
      <alignment horizontal="center"/>
    </xf>
    <xf numFmtId="0" fontId="1" fillId="0" borderId="2" xfId="0" applyFont="1" applyBorder="1" applyAlignment="1">
      <alignment horizontal="center"/>
    </xf>
    <xf numFmtId="0" fontId="1" fillId="3" borderId="0" xfId="0" applyFont="1" applyFill="1" applyAlignment="1">
      <alignment horizontal="center"/>
    </xf>
    <xf numFmtId="0" fontId="1" fillId="0" borderId="0" xfId="0" applyFont="1" applyAlignment="1">
      <alignment horizontal="center"/>
    </xf>
    <xf numFmtId="0" fontId="1" fillId="0" borderId="0" xfId="0" applyFont="1" applyAlignment="1">
      <alignment horizontal="left"/>
    </xf>
    <xf numFmtId="0" fontId="12" fillId="0" borderId="0" xfId="0" applyFont="1" applyAlignment="1">
      <alignment horizontal="center"/>
    </xf>
    <xf numFmtId="0" fontId="12" fillId="0" borderId="0" xfId="0" applyFont="1" applyFill="1" applyAlignment="1">
      <alignment horizontal="center" vertical="center"/>
    </xf>
    <xf numFmtId="166" fontId="19" fillId="6" borderId="0" xfId="1" applyNumberFormat="1" applyFont="1" applyFill="1" applyBorder="1" applyAlignment="1">
      <alignment horizontal="center" vertical="center"/>
    </xf>
    <xf numFmtId="3" fontId="19" fillId="6" borderId="0" xfId="1" applyNumberFormat="1" applyFont="1" applyFill="1" applyBorder="1" applyAlignment="1">
      <alignment horizontal="center" vertical="center"/>
    </xf>
    <xf numFmtId="0" fontId="27" fillId="0" borderId="0" xfId="5" applyFont="1" applyAlignment="1">
      <alignment horizontal="center"/>
    </xf>
    <xf numFmtId="0" fontId="0" fillId="9" borderId="0" xfId="0" applyFill="1" applyAlignment="1">
      <alignment horizontal="center" vertical="center"/>
    </xf>
    <xf numFmtId="166" fontId="0" fillId="9" borderId="0" xfId="0" applyNumberFormat="1" applyFill="1" applyAlignment="1">
      <alignment horizontal="center" vertical="center"/>
    </xf>
    <xf numFmtId="166" fontId="0" fillId="0" borderId="0" xfId="0" applyNumberFormat="1" applyAlignment="1">
      <alignment horizontal="center" vertical="center"/>
    </xf>
    <xf numFmtId="0" fontId="0" fillId="0" borderId="0" xfId="0" applyAlignment="1">
      <alignment horizontal="center" vertical="center"/>
    </xf>
    <xf numFmtId="0" fontId="0" fillId="18" borderId="0" xfId="0" applyFill="1" applyAlignment="1">
      <alignment horizontal="center" vertical="center"/>
    </xf>
    <xf numFmtId="166" fontId="0" fillId="18" borderId="0" xfId="0" applyNumberFormat="1" applyFill="1" applyAlignment="1">
      <alignment horizontal="center" vertical="center"/>
    </xf>
    <xf numFmtId="166" fontId="0" fillId="19" borderId="0" xfId="0" applyNumberFormat="1" applyFill="1" applyAlignment="1">
      <alignment horizontal="center" vertical="center"/>
    </xf>
    <xf numFmtId="0" fontId="0" fillId="19" borderId="0" xfId="0" applyFill="1" applyAlignment="1">
      <alignment horizontal="center" vertical="center"/>
    </xf>
    <xf numFmtId="166" fontId="0" fillId="12" borderId="0" xfId="0" applyNumberFormat="1" applyFill="1" applyAlignment="1">
      <alignment horizontal="center" vertical="center"/>
    </xf>
    <xf numFmtId="0" fontId="0" fillId="12" borderId="0" xfId="0" applyFill="1" applyAlignment="1">
      <alignment horizontal="center" vertical="center"/>
    </xf>
    <xf numFmtId="0" fontId="21" fillId="0" borderId="0" xfId="0" applyFont="1" applyAlignment="1">
      <alignment horizontal="center" vertical="center" textRotation="90"/>
    </xf>
    <xf numFmtId="0" fontId="31" fillId="0" borderId="0" xfId="0" applyFont="1"/>
    <xf numFmtId="0" fontId="32" fillId="0" borderId="0" xfId="5" applyFont="1">
      <alignment vertical="center"/>
    </xf>
  </cellXfs>
  <cellStyles count="7">
    <cellStyle name="Comma" xfId="1" builtinId="3"/>
    <cellStyle name="Comma 2" xfId="6"/>
    <cellStyle name="Hyperlink" xfId="4" builtinId="8"/>
    <cellStyle name="Normal" xfId="0" builtinId="0"/>
    <cellStyle name="Normal 2" xfId="3"/>
    <cellStyle name="Normal 3" xfId="5"/>
    <cellStyle name="Percent" xfId="2" builtinId="5"/>
  </cellStyles>
  <dxfs count="358">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7" formatCode="0.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font>
      <fill>
        <patternFill patternType="solid">
          <fgColor indexed="64"/>
          <bgColor theme="5" tint="0.39997558519241921"/>
        </patternFill>
      </fill>
    </dxf>
    <dxf>
      <font>
        <b/>
      </font>
      <fill>
        <patternFill patternType="solid">
          <fgColor indexed="64"/>
          <bgColor theme="5"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7" formatCode="0.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font>
      <fill>
        <patternFill patternType="solid">
          <fgColor indexed="64"/>
          <bgColor theme="5" tint="0.39997558519241921"/>
        </patternFill>
      </fill>
    </dxf>
    <dxf>
      <font>
        <b/>
      </font>
      <fill>
        <patternFill patternType="solid">
          <fgColor indexed="64"/>
          <bgColor theme="5" tint="0.39997558519241921"/>
        </patternFill>
      </fill>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166" formatCode="_(* #,##0_);_(* \(#,##0\);_(* &quot;-&quot;??_);_(@_)"/>
    </dxf>
    <dxf>
      <numFmt numFmtId="170" formatCode="_(* #,##0.0_);_(* \(#,##0.0\);_(* &quot;-&quot;??_);_(@_)"/>
    </dxf>
    <dxf>
      <numFmt numFmtId="165" formatCode="_(* #,##0.00_);_(* \(#,##0.00\);_(* &quot;-&quot;??_);_(@_)"/>
    </dxf>
    <dxf>
      <numFmt numFmtId="166" formatCode="_(* #,##0_);_(* \(#,##0\);_(* &quot;-&quot;??_);_(@_)"/>
    </dxf>
    <dxf>
      <numFmt numFmtId="166" formatCode="_(* #,##0_);_(* \(#,##0\);_(* &quot;-&quot;??_);_(@_)"/>
    </dxf>
    <dxf>
      <numFmt numFmtId="166" formatCode="_(* #,##0_);_(* \(#,##0\);_(* &quot;-&quot;??_);_(@_)"/>
    </dxf>
    <dxf>
      <alignment horizontal="left" textRotation="0" wrapText="0" indent="0" justifyLastLine="0" shrinkToFit="0" readingOrder="0"/>
    </dxf>
    <dxf>
      <numFmt numFmtId="173" formatCode="d\-mmm"/>
    </dxf>
    <dxf>
      <numFmt numFmtId="173" formatCode="d\-mmm"/>
    </dxf>
    <dxf>
      <numFmt numFmtId="173" formatCode="d\-mmm"/>
    </dxf>
    <dxf>
      <font>
        <b/>
        <i val="0"/>
        <strike val="0"/>
        <condense val="0"/>
        <extend val="0"/>
        <outline val="0"/>
        <shadow val="0"/>
        <u val="none"/>
        <vertAlign val="baseline"/>
        <sz val="11"/>
        <color theme="1"/>
        <name val="Calibri"/>
        <scheme val="minor"/>
      </font>
    </dxf>
    <dxf>
      <numFmt numFmtId="13" formatCode="0%"/>
    </dxf>
    <dxf>
      <numFmt numFmtId="169" formatCode="0.0%"/>
    </dxf>
    <dxf>
      <numFmt numFmtId="166" formatCode="_(* #,##0_);_(* \(#,##0\);_(* &quot;-&quot;??_);_(@_)"/>
    </dxf>
    <dxf>
      <numFmt numFmtId="173" formatCode="d\-mmm"/>
    </dxf>
    <dxf>
      <numFmt numFmtId="173" formatCode="d\-mmm"/>
    </dxf>
    <dxf>
      <numFmt numFmtId="173" formatCode="d\-mmm"/>
    </dxf>
    <dxf>
      <numFmt numFmtId="173" formatCode="d\-mmm"/>
    </dxf>
    <dxf>
      <numFmt numFmtId="173" formatCode="d\-mmm"/>
    </dxf>
    <dxf>
      <font>
        <b/>
        <i val="0"/>
        <strike val="0"/>
        <condense val="0"/>
        <extend val="0"/>
        <outline val="0"/>
        <shadow val="0"/>
        <u val="none"/>
        <vertAlign val="baseline"/>
        <sz val="11"/>
        <color theme="1"/>
        <name val="Calibri"/>
        <scheme val="minor"/>
      </font>
    </dxf>
    <dxf>
      <numFmt numFmtId="13" formatCode="0%"/>
    </dxf>
    <dxf>
      <numFmt numFmtId="169" formatCode="0.0%"/>
    </dxf>
    <dxf>
      <numFmt numFmtId="0" formatCode="General"/>
    </dxf>
    <dxf>
      <numFmt numFmtId="13" formatCode="0%"/>
    </dxf>
    <dxf>
      <numFmt numFmtId="169" formatCode="0.0%"/>
    </dxf>
    <dxf>
      <numFmt numFmtId="13" formatCode="0%"/>
    </dxf>
    <dxf>
      <numFmt numFmtId="169" formatCode="0.0%"/>
    </dxf>
    <dxf>
      <numFmt numFmtId="13" formatCode="0%"/>
    </dxf>
    <dxf>
      <numFmt numFmtId="169" formatCode="0.0%"/>
    </dxf>
    <dxf>
      <numFmt numFmtId="14" formatCode="0.00%"/>
    </dxf>
    <dxf>
      <numFmt numFmtId="0" formatCode="General"/>
    </dxf>
    <dxf>
      <numFmt numFmtId="13" formatCode="0%"/>
    </dxf>
    <dxf>
      <numFmt numFmtId="169" formatCode="0.0%"/>
    </dxf>
    <dxf>
      <numFmt numFmtId="169" formatCode="0.0%"/>
    </dxf>
    <dxf>
      <numFmt numFmtId="166" formatCode="_(* #,##0_);_(* \(#,##0\);_(* &quot;-&quot;??_);_(@_)"/>
    </dxf>
    <dxf>
      <numFmt numFmtId="170" formatCode="_(* #,##0.0_);_(* \(#,##0.0\);_(* &quot;-&quot;??_);_(@_)"/>
    </dxf>
    <dxf>
      <numFmt numFmtId="165" formatCode="_(* #,##0.00_);_(* \(#,##0.00\);_(* &quot;-&quot;??_);_(@_)"/>
    </dxf>
    <dxf>
      <font>
        <b/>
        <i val="0"/>
        <strike val="0"/>
        <condense val="0"/>
        <extend val="0"/>
        <outline val="0"/>
        <shadow val="0"/>
        <u val="none"/>
        <vertAlign val="baseline"/>
        <sz val="11"/>
        <color theme="1"/>
        <name val="Calibri"/>
        <scheme val="minor"/>
      </font>
      <numFmt numFmtId="13" formatCode="0%"/>
      <fill>
        <patternFill patternType="solid">
          <fgColor indexed="64"/>
          <bgColor theme="5" tint="0.39997558519241921"/>
        </patternFill>
      </fill>
      <alignment horizontal="center" vertical="bottom" textRotation="0" wrapText="0" indent="0" justifyLastLine="0" shrinkToFit="0" readingOrder="0"/>
    </dxf>
    <dxf>
      <font>
        <b/>
      </font>
      <numFmt numFmtId="13"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font>
      <fill>
        <patternFill patternType="solid">
          <fgColor indexed="64"/>
          <bgColor theme="5" tint="0.39997558519241921"/>
        </patternFill>
      </fill>
    </dxf>
    <dxf>
      <font>
        <b/>
      </font>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dxf>
    <dxf>
      <numFmt numFmtId="170" formatCode="_(* #,##0.0_);_(* \(#,##0.0\);_(* &quot;-&quot;??_);_(@_)"/>
    </dxf>
    <dxf>
      <numFmt numFmtId="165" formatCode="_(* #,##0.00_);_(* \(#,##0.00\);_(* &quot;-&quot;??_);_(@_)"/>
    </dxf>
    <dxf>
      <numFmt numFmtId="166" formatCode="_(* #,##0_);_(* \(#,##0\);_(* &quot;-&quot;??_);_(@_)"/>
    </dxf>
    <dxf>
      <numFmt numFmtId="170" formatCode="_(* #,##0.0_);_(* \(#,##0.0\);_(* &quot;-&quot;??_);_(@_)"/>
    </dxf>
    <dxf>
      <numFmt numFmtId="165" formatCode="_(* #,##0.00_);_(* \(#,##0.00\);_(* &quot;-&quot;??_);_(@_)"/>
    </dxf>
    <dxf>
      <numFmt numFmtId="166" formatCode="_(* #,##0_);_(* \(#,##0\);_(* &quot;-&quot;??_);_(@_)"/>
    </dxf>
    <dxf>
      <numFmt numFmtId="170" formatCode="_(* #,##0.0_);_(* \(#,##0.0\);_(* &quot;-&quot;??_);_(@_)"/>
    </dxf>
    <dxf>
      <numFmt numFmtId="165" formatCode="_(* #,##0.00_);_(* \(#,##0.00\);_(* &quot;-&quot;??_);_(@_)"/>
    </dxf>
    <dxf>
      <numFmt numFmtId="166" formatCode="_(* #,##0_);_(* \(#,##0\);_(* &quot;-&quot;??_);_(@_)"/>
    </dxf>
    <dxf>
      <numFmt numFmtId="170" formatCode="_(* #,##0.0_);_(* \(#,##0.0\);_(* &quot;-&quot;??_);_(@_)"/>
    </dxf>
    <dxf>
      <numFmt numFmtId="165" formatCode="_(* #,##0.00_);_(* \(#,##0.00\);_(* &quot;-&quot;??_);_(@_)"/>
    </dxf>
    <dxf>
      <numFmt numFmtId="166" formatCode="_(* #,##0_);_(* \(#,##0\);_(* &quot;-&quot;??_);_(@_)"/>
    </dxf>
    <dxf>
      <numFmt numFmtId="170" formatCode="_(* #,##0.0_);_(* \(#,##0.0\);_(* &quot;-&quot;??_);_(@_)"/>
    </dxf>
    <dxf>
      <numFmt numFmtId="165" formatCode="_(* #,##0.00_);_(* \(#,##0.00\);_(* &quot;-&quot;??_);_(@_)"/>
    </dxf>
    <dxf>
      <numFmt numFmtId="0" formatCode="General"/>
    </dxf>
    <dxf>
      <numFmt numFmtId="14" formatCode="0.00%"/>
    </dxf>
    <dxf>
      <numFmt numFmtId="166" formatCode="_(* #,##0_);_(* \(#,##0\);_(* &quot;-&quot;??_);_(@_)"/>
    </dxf>
    <dxf>
      <numFmt numFmtId="170" formatCode="_(* #,##0.0_);_(* \(#,##0.0\);_(* &quot;-&quot;??_);_(@_)"/>
    </dxf>
    <dxf>
      <numFmt numFmtId="165" formatCode="_(* #,##0.00_);_(* \(#,##0.00\);_(* &quot;-&quot;??_);_(@_)"/>
    </dxf>
    <dxf>
      <numFmt numFmtId="13" formatCode="0%"/>
    </dxf>
    <dxf>
      <numFmt numFmtId="169" formatCode="0.0%"/>
    </dxf>
    <dxf>
      <numFmt numFmtId="14" formatCode="0.00%"/>
    </dxf>
    <dxf>
      <numFmt numFmtId="166" formatCode="_(* #,##0_);_(* \(#,##0\);_(* &quot;-&quot;??_);_(@_)"/>
    </dxf>
    <dxf>
      <numFmt numFmtId="170" formatCode="_(* #,##0.0_);_(* \(#,##0.0\);_(* &quot;-&quot;??_);_(@_)"/>
    </dxf>
    <dxf>
      <numFmt numFmtId="165" formatCode="_(* #,##0.00_);_(* \(#,##0.00\);_(* &quot;-&quot;??_);_(@_)"/>
    </dxf>
    <dxf>
      <numFmt numFmtId="13" formatCode="0%"/>
    </dxf>
    <dxf>
      <numFmt numFmtId="169" formatCode="0.0%"/>
    </dxf>
    <dxf>
      <numFmt numFmtId="14" formatCode="0.00%"/>
    </dxf>
    <dxf>
      <numFmt numFmtId="166" formatCode="_(* #,##0_);_(* \(#,##0\);_(* &quot;-&quot;??_);_(@_)"/>
    </dxf>
    <dxf>
      <numFmt numFmtId="170" formatCode="_(* #,##0.0_);_(* \(#,##0.0\);_(* &quot;-&quot;??_);_(@_)"/>
    </dxf>
    <dxf>
      <numFmt numFmtId="165" formatCode="_(* #,##0.00_);_(* \(#,##0.00\);_(* &quot;-&quot;??_);_(@_)"/>
    </dxf>
    <dxf>
      <numFmt numFmtId="13" formatCode="0%"/>
    </dxf>
    <dxf>
      <numFmt numFmtId="169" formatCode="0.0%"/>
    </dxf>
    <dxf>
      <numFmt numFmtId="166" formatCode="_(* #,##0_);_(* \(#,##0\);_(* &quot;-&quot;??_);_(@_)"/>
    </dxf>
    <dxf>
      <numFmt numFmtId="170" formatCode="_(* #,##0.0_);_(* \(#,##0.0\);_(* &quot;-&quot;??_);_(@_)"/>
    </dxf>
    <dxf>
      <numFmt numFmtId="165" formatCode="_(* #,##0.00_);_(* \(#,##0.00\);_(* &quot;-&quot;??_);_(@_)"/>
    </dxf>
    <dxf>
      <numFmt numFmtId="166" formatCode="_(* #,##0_);_(* \(#,##0\);_(* &quot;-&quot;??_);_(@_)"/>
    </dxf>
    <dxf>
      <numFmt numFmtId="170" formatCode="_(* #,##0.0_);_(* \(#,##0.0\);_(* &quot;-&quot;??_);_(@_)"/>
    </dxf>
    <dxf>
      <numFmt numFmtId="165" formatCode="_(* #,##0.00_);_(* \(#,##0.00\);_(* &quot;-&quot;??_);_(@_)"/>
    </dxf>
    <dxf>
      <numFmt numFmtId="166" formatCode="_(* #,##0_);_(* \(#,##0\);_(* &quot;-&quot;??_);_(@_)"/>
    </dxf>
    <dxf>
      <numFmt numFmtId="170" formatCode="_(* #,##0.0_);_(* \(#,##0.0\);_(* &quot;-&quot;??_);_(@_)"/>
    </dxf>
    <dxf>
      <numFmt numFmtId="165" formatCode="_(* #,##0.00_);_(* \(#,##0.00\);_(* &quot;-&quot;??_);_(@_)"/>
    </dxf>
    <dxf>
      <font>
        <b/>
        <i val="0"/>
        <strike val="0"/>
        <condense val="0"/>
        <extend val="0"/>
        <outline val="0"/>
        <shadow val="0"/>
        <u val="none"/>
        <vertAlign val="baseline"/>
        <sz val="11"/>
        <color theme="1"/>
        <name val="Calibri"/>
        <scheme val="minor"/>
      </font>
      <numFmt numFmtId="13" formatCode="0%"/>
      <fill>
        <patternFill patternType="solid">
          <fgColor indexed="64"/>
          <bgColor theme="5"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font>
      <fill>
        <patternFill patternType="solid">
          <fgColor indexed="64"/>
          <bgColor theme="5" tint="0.39997558519241921"/>
        </patternFill>
      </fill>
    </dxf>
    <dxf>
      <font>
        <b/>
      </font>
      <fill>
        <patternFill patternType="solid">
          <fgColor indexed="64"/>
          <bgColor theme="5"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fill>
        <patternFill patternType="solid">
          <fgColor indexed="64"/>
          <bgColor theme="9"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fill>
        <patternFill patternType="solid">
          <fgColor indexed="64"/>
          <bgColor theme="9"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fill>
        <patternFill patternType="solid">
          <fgColor indexed="64"/>
          <bgColor theme="9"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9" formatCode="0.0%"/>
      <fill>
        <patternFill patternType="solid">
          <fgColor indexed="64"/>
          <bgColor theme="5" tint="0.39997558519241921"/>
        </patternFill>
      </fill>
      <alignment horizontal="center" vertical="bottom" textRotation="0" wrapText="0" indent="0" justifyLastLine="0" shrinkToFit="0" readingOrder="0"/>
    </dxf>
    <dxf>
      <numFmt numFmtId="13" formatCode="0%"/>
      <fill>
        <patternFill patternType="solid">
          <fgColor indexed="64"/>
          <bgColor theme="8"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fill>
        <patternFill patternType="solid">
          <fgColor indexed="64"/>
          <bgColor theme="8"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fill>
        <patternFill patternType="solid">
          <fgColor indexed="64"/>
          <bgColor theme="8"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font>
      <fill>
        <patternFill patternType="solid">
          <fgColor indexed="64"/>
          <bgColor theme="5" tint="0.39997558519241921"/>
        </patternFill>
      </fill>
    </dxf>
    <dxf>
      <font>
        <b/>
      </font>
      <fill>
        <patternFill patternType="solid">
          <fgColor indexed="64"/>
          <bgColor theme="5"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3" formatCode="0%"/>
      <fill>
        <patternFill patternType="solid">
          <fgColor indexed="64"/>
          <bgColor theme="5" tint="0.39997558519241921"/>
        </patternFill>
      </fill>
      <alignment horizontal="center" vertical="bottom" textRotation="0" wrapText="0" indent="0" justifyLastLine="0" shrinkToFit="0" readingOrder="0"/>
    </dxf>
    <dxf>
      <numFmt numFmtId="13" formatCode="0%"/>
      <fill>
        <patternFill patternType="solid">
          <fgColor indexed="64"/>
          <bgColor theme="9"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center" vertical="bottom" textRotation="0" wrapText="0" indent="0" justifyLastLine="0" shrinkToFit="0" readingOrder="0"/>
    </dxf>
    <dxf>
      <numFmt numFmtId="0" formatCode="General"/>
      <fill>
        <patternFill patternType="solid">
          <fgColor indexed="64"/>
          <bgColor theme="9"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fill>
        <patternFill patternType="solid">
          <fgColor indexed="64"/>
          <bgColor theme="9"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3" formatCode="0%"/>
      <fill>
        <patternFill patternType="solid">
          <fgColor indexed="64"/>
          <bgColor theme="5" tint="0.39997558519241921"/>
        </patternFill>
      </fill>
      <alignment horizontal="center" vertical="bottom" textRotation="0" wrapText="0" indent="0" justifyLastLine="0" shrinkToFit="0" readingOrder="0"/>
    </dxf>
    <dxf>
      <fill>
        <patternFill patternType="solid">
          <fgColor indexed="64"/>
          <bgColor theme="8"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fill>
        <patternFill patternType="solid">
          <fgColor indexed="64"/>
          <bgColor theme="8"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fill>
        <patternFill patternType="solid">
          <fgColor indexed="64"/>
          <bgColor theme="8"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font>
      <fill>
        <patternFill patternType="solid">
          <fgColor indexed="64"/>
          <bgColor theme="5" tint="0.39997558519241921"/>
        </patternFill>
      </fill>
    </dxf>
    <dxf>
      <font>
        <b/>
      </font>
      <fill>
        <patternFill patternType="solid">
          <fgColor indexed="64"/>
          <bgColor theme="5"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7" formatCode="0.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font>
      <fill>
        <patternFill patternType="solid">
          <fgColor indexed="64"/>
          <bgColor theme="5" tint="0.39997558519241921"/>
        </patternFill>
      </fill>
    </dxf>
    <dxf>
      <font>
        <b/>
      </font>
      <fill>
        <patternFill patternType="solid">
          <fgColor indexed="64"/>
          <bgColor theme="5"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9" formatCode="0.0%"/>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9" formatCode="0.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6" formatCode="_(* #,##0_);_(* \(#,##0\);_(* &quot;-&quot;??_);_(@_)"/>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6" formatCode="_(* #,##0_);_(* \(#,##0\);_(* &quot;-&quot;??_);_(@_)"/>
    </dxf>
    <dxf>
      <font>
        <b/>
        <i val="0"/>
        <strike val="0"/>
        <condense val="0"/>
        <extend val="0"/>
        <outline val="0"/>
        <shadow val="0"/>
        <u val="none"/>
        <vertAlign val="baseline"/>
        <sz val="11"/>
        <color theme="1"/>
        <name val="Calibri"/>
        <scheme val="minor"/>
      </font>
      <numFmt numFmtId="169" formatCode="0.0%"/>
      <fill>
        <patternFill patternType="solid">
          <fgColor indexed="64"/>
          <bgColor theme="5" tint="0.39997558519241921"/>
        </patternFill>
      </fill>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4" formatCode="_(* #,##0_);_(* \(#,##0\);_(* &quot;-&quot;_);_(@_)"/>
    </dxf>
    <dxf>
      <font>
        <b/>
      </font>
      <fill>
        <patternFill patternType="solid">
          <fgColor indexed="64"/>
          <bgColor theme="5" tint="0.39997558519241921"/>
        </patternFill>
      </fill>
    </dxf>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6"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center" vertical="bottom" textRotation="0" wrapText="0" indent="0" justifyLastLine="0" shrinkToFit="0" readingOrder="0"/>
    </dxf>
    <dxf>
      <numFmt numFmtId="166" formatCode="_(* #,##0_);_(* \(#,##0\);_(* &quot;-&quot;??_);_(@_)"/>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dxf>
    <dxf>
      <numFmt numFmtId="1" formatCode="0"/>
      <alignment horizontal="center" vertical="bottom" textRotation="0" wrapText="0" indent="0" justifyLastLine="0" shrinkToFit="0" readingOrder="0"/>
    </dxf>
    <dxf>
      <font>
        <b/>
      </font>
      <fill>
        <patternFill patternType="solid">
          <fgColor indexed="64"/>
          <bgColor theme="5" tint="0.39997558519241921"/>
        </patternFill>
      </fill>
    </dxf>
    <dxf>
      <font>
        <b/>
      </font>
      <fill>
        <patternFill patternType="solid">
          <fgColor indexed="64"/>
          <bgColor theme="5"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7" formatCode="0.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font>
      <fill>
        <patternFill patternType="solid">
          <fgColor indexed="64"/>
          <bgColor theme="5" tint="0.39997558519241921"/>
        </patternFill>
      </fill>
    </dxf>
    <dxf>
      <font>
        <b/>
      </font>
      <fill>
        <patternFill patternType="solid">
          <fgColor indexed="64"/>
          <bgColor theme="5" tint="0.3999755851924192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_);_(* \(#,##0\);_(* &quot;-&quot;_);_(@_)"/>
      <fill>
        <patternFill patternType="solid">
          <fgColor indexed="64"/>
          <bgColor theme="5" tint="0.39997558519241921"/>
        </patternFill>
      </fill>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 #,##0_);_(* \(#,##0\);_(* &quot;-&quot;??_);_(@_)"/>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6" formatCode="_(* #,##0_);_(* \(#,##0\);_(* &quot;-&quot;??_);_(@_)"/>
      <fill>
        <patternFill patternType="solid">
          <fgColor indexed="64"/>
          <bgColor theme="5"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font>
        <b/>
      </font>
      <fill>
        <patternFill patternType="solid">
          <fgColor indexed="64"/>
          <bgColor theme="5" tint="0.39997558519241921"/>
        </patternFill>
      </fill>
    </dxf>
    <dxf>
      <font>
        <b/>
      </font>
      <fill>
        <patternFill patternType="solid">
          <fgColor indexed="64"/>
          <bgColor theme="5" tint="0.39997558519241921"/>
        </patternFill>
      </fill>
      <alignment horizontal="center" vertical="bottom" textRotation="0" wrapText="0" indent="0" justifyLastLine="0" shrinkToFit="0" readingOrder="0"/>
    </dxf>
    <dxf>
      <fill>
        <patternFill>
          <bgColor theme="0"/>
        </patternFill>
      </fill>
      <border diagonalUp="0" diagonalDown="0">
        <left/>
        <right/>
        <top/>
        <bottom/>
        <vertical/>
        <horizontal/>
      </border>
    </dxf>
  </dxfs>
  <tableStyles count="1" defaultTableStyle="TableStyleMedium2" defaultPivotStyle="PivotStyleLight16">
    <tableStyle name="Slicer Style 1" pivot="0" table="0" count="1">
      <tableStyleElement type="wholeTable" dxfId="357"/>
    </tableStyle>
  </tableStyles>
  <colors>
    <mruColors>
      <color rgb="FF66FFCC"/>
      <color rgb="FFFFCCC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4.xml"/><Relationship Id="rId21" Type="http://schemas.openxmlformats.org/officeDocument/2006/relationships/worksheet" Target="worksheets/sheet21.xml"/><Relationship Id="rId34" Type="http://schemas.openxmlformats.org/officeDocument/2006/relationships/pivotCacheDefinition" Target="pivotCache/pivotCacheDefinition12.xml"/><Relationship Id="rId42" Type="http://schemas.openxmlformats.org/officeDocument/2006/relationships/pivotCacheDefinition" Target="pivotCache/pivotCacheDefinition20.xml"/><Relationship Id="rId47" Type="http://schemas.openxmlformats.org/officeDocument/2006/relationships/pivotCacheDefinition" Target="pivotCache/pivotCacheDefinition25.xml"/><Relationship Id="rId50" Type="http://schemas.openxmlformats.org/officeDocument/2006/relationships/pivotCacheDefinition" Target="pivotCache/pivotCacheDefinition28.xml"/><Relationship Id="rId55" Type="http://schemas.microsoft.com/office/2007/relationships/slicerCache" Target="slicerCaches/slicerCache4.xml"/><Relationship Id="rId63" Type="http://schemas.openxmlformats.org/officeDocument/2006/relationships/sheetMetadata" Target="metadata.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7.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pivotCacheDefinition" Target="pivotCache/pivotCacheDefinition15.xml"/><Relationship Id="rId40" Type="http://schemas.openxmlformats.org/officeDocument/2006/relationships/pivotCacheDefinition" Target="pivotCache/pivotCacheDefinition18.xml"/><Relationship Id="rId45" Type="http://schemas.openxmlformats.org/officeDocument/2006/relationships/pivotCacheDefinition" Target="pivotCache/pivotCacheDefinition23.xml"/><Relationship Id="rId53" Type="http://schemas.microsoft.com/office/2007/relationships/slicerCache" Target="slicerCaches/slicerCache2.xml"/><Relationship Id="rId58" Type="http://schemas.microsoft.com/office/2007/relationships/slicerCache" Target="slicerCaches/slicerCache7.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pivotCacheDefinition" Target="pivotCache/pivotCacheDefinition13.xml"/><Relationship Id="rId43" Type="http://schemas.openxmlformats.org/officeDocument/2006/relationships/pivotCacheDefinition" Target="pivotCache/pivotCacheDefinition21.xml"/><Relationship Id="rId48" Type="http://schemas.openxmlformats.org/officeDocument/2006/relationships/pivotCacheDefinition" Target="pivotCache/pivotCacheDefinition26.xml"/><Relationship Id="rId56" Type="http://schemas.microsoft.com/office/2007/relationships/slicerCache" Target="slicerCaches/slicerCache5.xml"/><Relationship Id="rId64" Type="http://schemas.openxmlformats.org/officeDocument/2006/relationships/powerPivotData" Target="model/item.data"/><Relationship Id="rId8" Type="http://schemas.openxmlformats.org/officeDocument/2006/relationships/worksheet" Target="worksheets/sheet8.xml"/><Relationship Id="rId51" Type="http://schemas.openxmlformats.org/officeDocument/2006/relationships/pivotCacheDefinition" Target="pivotCache/pivotCacheDefinition2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pivotCacheDefinition" Target="pivotCache/pivotCacheDefinition16.xml"/><Relationship Id="rId46" Type="http://schemas.openxmlformats.org/officeDocument/2006/relationships/pivotCacheDefinition" Target="pivotCache/pivotCacheDefinition24.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pivotCacheDefinition" Target="pivotCache/pivotCacheDefinition19.xml"/><Relationship Id="rId54" Type="http://schemas.microsoft.com/office/2007/relationships/slicerCache" Target="slicerCaches/slicerCache3.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pivotCacheDefinition" Target="pivotCache/pivotCacheDefinition14.xml"/><Relationship Id="rId49" Type="http://schemas.openxmlformats.org/officeDocument/2006/relationships/pivotCacheDefinition" Target="pivotCache/pivotCacheDefinition27.xml"/><Relationship Id="rId57" Type="http://schemas.microsoft.com/office/2007/relationships/slicerCache" Target="slicerCaches/slicerCache6.xml"/><Relationship Id="rId10" Type="http://schemas.openxmlformats.org/officeDocument/2006/relationships/worksheet" Target="worksheets/sheet10.xml"/><Relationship Id="rId31" Type="http://schemas.openxmlformats.org/officeDocument/2006/relationships/pivotCacheDefinition" Target="pivotCache/pivotCacheDefinition9.xml"/><Relationship Id="rId44" Type="http://schemas.openxmlformats.org/officeDocument/2006/relationships/pivotCacheDefinition" Target="pivotCache/pivotCacheDefinition22.xml"/><Relationship Id="rId52" Type="http://schemas.microsoft.com/office/2007/relationships/slicerCache" Target="slicerCaches/slicerCache1.xml"/><Relationship Id="rId60" Type="http://schemas.openxmlformats.org/officeDocument/2006/relationships/connections" Target="connections.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wow Perfomance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
        </a:p>
      </c:txPr>
    </c:title>
    <c:autoTitleDeleted val="0"/>
    <c:plotArea>
      <c:layout/>
      <c:barChart>
        <c:barDir val="col"/>
        <c:grouping val="clustered"/>
        <c:varyColors val="0"/>
        <c:ser>
          <c:idx val="0"/>
          <c:order val="0"/>
          <c:tx>
            <c:strRef>
              <c:f>Dashboard!$A$24</c:f>
              <c:strCache>
                <c:ptCount val="1"/>
                <c:pt idx="0">
                  <c:v>Current Week</c:v>
                </c:pt>
              </c:strCache>
            </c:strRef>
          </c:tx>
          <c:spPr>
            <a:solidFill>
              <a:schemeClr val="accent1"/>
            </a:solidFill>
            <a:ln>
              <a:noFill/>
            </a:ln>
            <a:effectLst/>
          </c:spPr>
          <c:invertIfNegative val="0"/>
          <c:cat>
            <c:strRef>
              <c:f>Dashboard!$B$16:$H$16</c:f>
              <c:strCache>
                <c:ptCount val="7"/>
                <c:pt idx="0">
                  <c:v>14-Mar</c:v>
                </c:pt>
                <c:pt idx="1">
                  <c:v>15-Mar</c:v>
                </c:pt>
                <c:pt idx="2">
                  <c:v>16-Mar</c:v>
                </c:pt>
                <c:pt idx="3">
                  <c:v>17-Mar</c:v>
                </c:pt>
                <c:pt idx="4">
                  <c:v>18-Mar</c:v>
                </c:pt>
                <c:pt idx="5">
                  <c:v>19-Mar</c:v>
                </c:pt>
                <c:pt idx="6">
                  <c:v>20-Mar</c:v>
                </c:pt>
              </c:strCache>
            </c:strRef>
          </c:cat>
          <c:val>
            <c:numRef>
              <c:f>Dashboard!$B$24:$H$24</c:f>
              <c:numCache>
                <c:formatCode>_(* #,##0_);_(* \(#,##0\);_(* "-"_);_(@_)</c:formatCode>
                <c:ptCount val="7"/>
                <c:pt idx="0" formatCode="_(* #,##0_);_(* \(#,##0\);_(* &quot;-&quot;??_);_(@_)">
                  <c:v>87160</c:v>
                </c:pt>
                <c:pt idx="1">
                  <c:v>79825</c:v>
                </c:pt>
                <c:pt idx="2">
                  <c:v>66966</c:v>
                </c:pt>
                <c:pt idx="3">
                  <c:v>0</c:v>
                </c:pt>
                <c:pt idx="4">
                  <c:v>0</c:v>
                </c:pt>
                <c:pt idx="5">
                  <c:v>0</c:v>
                </c:pt>
                <c:pt idx="6">
                  <c:v>0</c:v>
                </c:pt>
              </c:numCache>
            </c:numRef>
          </c:val>
          <c:extLst xmlns:c16r2="http://schemas.microsoft.com/office/drawing/2015/06/chart">
            <c:ext xmlns:c16="http://schemas.microsoft.com/office/drawing/2014/chart" uri="{C3380CC4-5D6E-409C-BE32-E72D297353CC}">
              <c16:uniqueId val="{00000000-DB75-4E02-8038-10EE0EA953C1}"/>
            </c:ext>
          </c:extLst>
        </c:ser>
        <c:ser>
          <c:idx val="1"/>
          <c:order val="1"/>
          <c:tx>
            <c:strRef>
              <c:f>Dashboard!$A$25</c:f>
              <c:strCache>
                <c:ptCount val="1"/>
                <c:pt idx="0">
                  <c:v>Previous Week</c:v>
                </c:pt>
              </c:strCache>
            </c:strRef>
          </c:tx>
          <c:spPr>
            <a:solidFill>
              <a:schemeClr val="accent2">
                <a:lumMod val="60000"/>
                <a:lumOff val="40000"/>
              </a:schemeClr>
            </a:solidFill>
            <a:ln>
              <a:noFill/>
            </a:ln>
            <a:effectLst/>
          </c:spPr>
          <c:invertIfNegative val="0"/>
          <c:cat>
            <c:strRef>
              <c:f>Dashboard!$B$16:$H$16</c:f>
              <c:strCache>
                <c:ptCount val="7"/>
                <c:pt idx="0">
                  <c:v>14-Mar</c:v>
                </c:pt>
                <c:pt idx="1">
                  <c:v>15-Mar</c:v>
                </c:pt>
                <c:pt idx="2">
                  <c:v>16-Mar</c:v>
                </c:pt>
                <c:pt idx="3">
                  <c:v>17-Mar</c:v>
                </c:pt>
                <c:pt idx="4">
                  <c:v>18-Mar</c:v>
                </c:pt>
                <c:pt idx="5">
                  <c:v>19-Mar</c:v>
                </c:pt>
                <c:pt idx="6">
                  <c:v>20-Mar</c:v>
                </c:pt>
              </c:strCache>
            </c:strRef>
          </c:cat>
          <c:val>
            <c:numRef>
              <c:f>Dashboard!$B$25:$H$25</c:f>
              <c:numCache>
                <c:formatCode>_(* #,##0_);_(* \(#,##0\);_(* "-"??_);_(@_)</c:formatCode>
                <c:ptCount val="7"/>
                <c:pt idx="0">
                  <c:v>62020</c:v>
                </c:pt>
                <c:pt idx="1">
                  <c:v>55580</c:v>
                </c:pt>
                <c:pt idx="2">
                  <c:v>59165</c:v>
                </c:pt>
                <c:pt idx="3">
                  <c:v>48535</c:v>
                </c:pt>
                <c:pt idx="4">
                  <c:v>57915</c:v>
                </c:pt>
                <c:pt idx="5">
                  <c:v>63415</c:v>
                </c:pt>
                <c:pt idx="6">
                  <c:v>9280</c:v>
                </c:pt>
              </c:numCache>
            </c:numRef>
          </c:val>
          <c:extLst xmlns:c16r2="http://schemas.microsoft.com/office/drawing/2015/06/chart">
            <c:ext xmlns:c16="http://schemas.microsoft.com/office/drawing/2014/chart" uri="{C3380CC4-5D6E-409C-BE32-E72D297353CC}">
              <c16:uniqueId val="{00000001-DB75-4E02-8038-10EE0EA953C1}"/>
            </c:ext>
          </c:extLst>
        </c:ser>
        <c:dLbls>
          <c:showLegendKey val="0"/>
          <c:showVal val="0"/>
          <c:showCatName val="0"/>
          <c:showSerName val="0"/>
          <c:showPercent val="0"/>
          <c:showBubbleSize val="0"/>
        </c:dLbls>
        <c:gapWidth val="219"/>
        <c:overlap val="-27"/>
        <c:axId val="1687398816"/>
        <c:axId val="1599161824"/>
      </c:barChart>
      <c:catAx>
        <c:axId val="168739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1599161824"/>
        <c:crosses val="autoZero"/>
        <c:auto val="1"/>
        <c:lblAlgn val="ctr"/>
        <c:lblOffset val="100"/>
        <c:noMultiLvlLbl val="0"/>
      </c:catAx>
      <c:valAx>
        <c:axId val="1599161824"/>
        <c:scaling>
          <c:orientation val="minMax"/>
        </c:scaling>
        <c:delete val="1"/>
        <c:axPos val="l"/>
        <c:numFmt formatCode="_(* #,##0_);_(* \(#,##0\);_(* &quot;-&quot;??_);_(@_)" sourceLinked="1"/>
        <c:majorTickMark val="none"/>
        <c:minorTickMark val="none"/>
        <c:tickLblPos val="nextTo"/>
        <c:crossAx val="1687398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
        </a:p>
      </c:txPr>
    </c:legend>
    <c:plotVisOnly val="1"/>
    <c:dispBlanksAs val="gap"/>
    <c:showDLblsOverMax val="0"/>
  </c:chart>
  <c:spPr>
    <a:solidFill>
      <a:schemeClr val="bg1"/>
    </a:solidFill>
    <a:ln w="9525" cap="flat" cmpd="sng" algn="ctr">
      <a:noFill/>
      <a:round/>
    </a:ln>
    <a:effectLst/>
  </c:spPr>
  <c:txPr>
    <a:bodyPr/>
    <a:lstStyle/>
    <a:p>
      <a:pPr>
        <a:defRPr/>
      </a:pPr>
      <a:endParaRPr la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b="0">
                <a:solidFill>
                  <a:srgbClr val="C00000"/>
                </a:solidFill>
                <a:latin typeface="+mn-lt"/>
              </a:rPr>
              <a:t>Order Gen Processed &amp; Return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
        </a:p>
      </c:txPr>
    </c:title>
    <c:autoTitleDeleted val="0"/>
    <c:plotArea>
      <c:layout/>
      <c:barChart>
        <c:barDir val="col"/>
        <c:grouping val="clustered"/>
        <c:varyColors val="0"/>
        <c:ser>
          <c:idx val="0"/>
          <c:order val="0"/>
          <c:tx>
            <c:strRef>
              <c:f>Dashboard!$P$48</c:f>
              <c:strCache>
                <c:ptCount val="1"/>
                <c:pt idx="0">
                  <c:v>Total Orders</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Dashboard!$A$49:$A$54</c:f>
              <c:strCache>
                <c:ptCount val="6"/>
                <c:pt idx="0">
                  <c:v>Diana Wairimu</c:v>
                </c:pt>
                <c:pt idx="1">
                  <c:v>Hope Nafula</c:v>
                </c:pt>
                <c:pt idx="2">
                  <c:v>Newton Muthuri</c:v>
                </c:pt>
                <c:pt idx="3">
                  <c:v>Rodgers Omondi</c:v>
                </c:pt>
                <c:pt idx="4">
                  <c:v>Margaret Wanjiku</c:v>
                </c:pt>
                <c:pt idx="5">
                  <c:v>Stacy Adhiambo</c:v>
                </c:pt>
              </c:strCache>
            </c:strRef>
          </c:cat>
          <c:val>
            <c:numRef>
              <c:f>Dashboard!$P$49:$P$54</c:f>
              <c:numCache>
                <c:formatCode>_(* #,##0_);_(* \(#,##0\);_(* "-"??_);_(@_)</c:formatCode>
                <c:ptCount val="6"/>
                <c:pt idx="0">
                  <c:v>55568</c:v>
                </c:pt>
                <c:pt idx="1">
                  <c:v>37655</c:v>
                </c:pt>
                <c:pt idx="2">
                  <c:v>30578</c:v>
                </c:pt>
                <c:pt idx="3">
                  <c:v>33285</c:v>
                </c:pt>
                <c:pt idx="4">
                  <c:v>48135</c:v>
                </c:pt>
                <c:pt idx="5">
                  <c:v>28730</c:v>
                </c:pt>
              </c:numCache>
            </c:numRef>
          </c:val>
          <c:extLst xmlns:c16r2="http://schemas.microsoft.com/office/drawing/2015/06/chart">
            <c:ext xmlns:c16="http://schemas.microsoft.com/office/drawing/2014/chart" uri="{C3380CC4-5D6E-409C-BE32-E72D297353CC}">
              <c16:uniqueId val="{00000000-841C-4DB6-8DA5-13C6792A67A0}"/>
            </c:ext>
          </c:extLst>
        </c:ser>
        <c:ser>
          <c:idx val="1"/>
          <c:order val="1"/>
          <c:tx>
            <c:strRef>
              <c:f>Dashboard!$S$48</c:f>
              <c:strCache>
                <c:ptCount val="1"/>
                <c:pt idx="0">
                  <c:v>Dispatch</c:v>
                </c:pt>
              </c:strCache>
            </c:strRef>
          </c:tx>
          <c:spPr>
            <a:solidFill>
              <a:srgbClr val="00B050"/>
            </a:solidFill>
            <a:ln>
              <a:noFill/>
            </a:ln>
            <a:effectLst/>
          </c:spPr>
          <c:invertIfNegative val="0"/>
          <c:dLbls>
            <c:dLbl>
              <c:idx val="0"/>
              <c:layout>
                <c:manualLayout>
                  <c:x val="6.1538451598877192E-3"/>
                  <c:y val="-4.2437781360066642E-17"/>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841C-4DB6-8DA5-13C6792A67A0}"/>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Dashboard!$A$49:$A$54</c:f>
              <c:strCache>
                <c:ptCount val="6"/>
                <c:pt idx="0">
                  <c:v>Diana Wairimu</c:v>
                </c:pt>
                <c:pt idx="1">
                  <c:v>Hope Nafula</c:v>
                </c:pt>
                <c:pt idx="2">
                  <c:v>Newton Muthuri</c:v>
                </c:pt>
                <c:pt idx="3">
                  <c:v>Rodgers Omondi</c:v>
                </c:pt>
                <c:pt idx="4">
                  <c:v>Margaret Wanjiku</c:v>
                </c:pt>
                <c:pt idx="5">
                  <c:v>Stacy Adhiambo</c:v>
                </c:pt>
              </c:strCache>
            </c:strRef>
          </c:cat>
          <c:val>
            <c:numRef>
              <c:f>Dashboard!$S$49:$S$54</c:f>
              <c:numCache>
                <c:formatCode>_(* #,##0_);_(* \(#,##0\);_(* "-"??_);_(@_)</c:formatCode>
                <c:ptCount val="6"/>
                <c:pt idx="0">
                  <c:v>15960</c:v>
                </c:pt>
                <c:pt idx="1">
                  <c:v>14005</c:v>
                </c:pt>
                <c:pt idx="2">
                  <c:v>10025</c:v>
                </c:pt>
                <c:pt idx="3">
                  <c:v>13930</c:v>
                </c:pt>
                <c:pt idx="4">
                  <c:v>14945</c:v>
                </c:pt>
                <c:pt idx="5">
                  <c:v>7700</c:v>
                </c:pt>
              </c:numCache>
            </c:numRef>
          </c:val>
          <c:extLst xmlns:c16r2="http://schemas.microsoft.com/office/drawing/2015/06/chart">
            <c:ext xmlns:c16="http://schemas.microsoft.com/office/drawing/2014/chart" uri="{C3380CC4-5D6E-409C-BE32-E72D297353CC}">
              <c16:uniqueId val="{00000001-841C-4DB6-8DA5-13C6792A67A0}"/>
            </c:ext>
          </c:extLst>
        </c:ser>
        <c:ser>
          <c:idx val="2"/>
          <c:order val="2"/>
          <c:tx>
            <c:strRef>
              <c:f>Dashboard!$T$48</c:f>
              <c:strCache>
                <c:ptCount val="1"/>
                <c:pt idx="0">
                  <c:v>Return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Dashboard!$A$49:$A$54</c:f>
              <c:strCache>
                <c:ptCount val="6"/>
                <c:pt idx="0">
                  <c:v>Diana Wairimu</c:v>
                </c:pt>
                <c:pt idx="1">
                  <c:v>Hope Nafula</c:v>
                </c:pt>
                <c:pt idx="2">
                  <c:v>Newton Muthuri</c:v>
                </c:pt>
                <c:pt idx="3">
                  <c:v>Rodgers Omondi</c:v>
                </c:pt>
                <c:pt idx="4">
                  <c:v>Margaret Wanjiku</c:v>
                </c:pt>
                <c:pt idx="5">
                  <c:v>Stacy Adhiambo</c:v>
                </c:pt>
              </c:strCache>
            </c:strRef>
          </c:cat>
          <c:val>
            <c:numRef>
              <c:f>Dashboard!$T$49:$T$54</c:f>
              <c:numCache>
                <c:formatCode>_(* #,##0_);_(* \(#,##0\);_(* "-"??_);_(@_)</c:formatCode>
                <c:ptCount val="6"/>
                <c:pt idx="0">
                  <c:v>0</c:v>
                </c:pt>
                <c:pt idx="1">
                  <c:v>2780</c:v>
                </c:pt>
                <c:pt idx="2">
                  <c:v>3845</c:v>
                </c:pt>
                <c:pt idx="3">
                  <c:v>1390</c:v>
                </c:pt>
                <c:pt idx="4">
                  <c:v>0</c:v>
                </c:pt>
                <c:pt idx="5">
                  <c:v>2760</c:v>
                </c:pt>
              </c:numCache>
            </c:numRef>
          </c:val>
          <c:extLst xmlns:c16r2="http://schemas.microsoft.com/office/drawing/2015/06/chart">
            <c:ext xmlns:c16="http://schemas.microsoft.com/office/drawing/2014/chart" uri="{C3380CC4-5D6E-409C-BE32-E72D297353CC}">
              <c16:uniqueId val="{00000002-841C-4DB6-8DA5-13C6792A67A0}"/>
            </c:ext>
          </c:extLst>
        </c:ser>
        <c:dLbls>
          <c:dLblPos val="outEnd"/>
          <c:showLegendKey val="0"/>
          <c:showVal val="1"/>
          <c:showCatName val="0"/>
          <c:showSerName val="0"/>
          <c:showPercent val="0"/>
          <c:showBubbleSize val="0"/>
        </c:dLbls>
        <c:gapWidth val="219"/>
        <c:overlap val="-27"/>
        <c:axId val="2008846208"/>
        <c:axId val="2008853280"/>
      </c:barChart>
      <c:catAx>
        <c:axId val="200884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crossAx val="2008853280"/>
        <c:crosses val="autoZero"/>
        <c:auto val="1"/>
        <c:lblAlgn val="ctr"/>
        <c:lblOffset val="100"/>
        <c:noMultiLvlLbl val="0"/>
      </c:catAx>
      <c:valAx>
        <c:axId val="2008853280"/>
        <c:scaling>
          <c:orientation val="minMax"/>
        </c:scaling>
        <c:delete val="1"/>
        <c:axPos val="l"/>
        <c:numFmt formatCode="_(* #,##0_);_(* \(#,##0\);_(* &quot;-&quot;??_);_(@_)" sourceLinked="1"/>
        <c:majorTickMark val="none"/>
        <c:minorTickMark val="none"/>
        <c:tickLblPos val="nextTo"/>
        <c:crossAx val="2008846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legend>
    <c:plotVisOnly val="1"/>
    <c:dispBlanksAs val="gap"/>
    <c:showDLblsOverMax val="0"/>
  </c:chart>
  <c:spPr>
    <a:noFill/>
    <a:ln w="9525" cap="flat" cmpd="sng" algn="ctr">
      <a:noFill/>
      <a:round/>
    </a:ln>
    <a:effectLst/>
  </c:spPr>
  <c:txPr>
    <a:bodyPr/>
    <a:lstStyle/>
    <a:p>
      <a:pPr>
        <a:defRPr/>
      </a:pPr>
      <a:endParaRPr la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DATA.xlsx]Return pv!PivotTable3</c:name>
    <c:fmtId val="3"/>
  </c:pivotSource>
  <c:chart>
    <c:title>
      <c:tx>
        <c:rich>
          <a:bodyPr rot="0" spcFirstLastPara="1" vertOverflow="ellipsis" vert="horz" wrap="square" anchor="ctr" anchorCtr="1"/>
          <a:lstStyle/>
          <a:p>
            <a:pPr>
              <a:defRPr sz="1400" b="0" i="0" u="none" strike="noStrike" kern="1200" spc="0" baseline="0">
                <a:solidFill>
                  <a:srgbClr val="C00000"/>
                </a:solidFill>
                <a:latin typeface="+mj-lt"/>
                <a:ea typeface="+mn-ea"/>
                <a:cs typeface="+mn-cs"/>
              </a:defRPr>
            </a:pPr>
            <a:r>
              <a:rPr lang="en-US" b="0">
                <a:solidFill>
                  <a:srgbClr val="C00000"/>
                </a:solidFill>
                <a:latin typeface="+mj-lt"/>
              </a:rPr>
              <a:t>Reason for Sound return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j-lt"/>
              <a:ea typeface="+mn-ea"/>
              <a:cs typeface="+mn-cs"/>
            </a:defRPr>
          </a:pPr>
          <a:endParaRPr la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'Return pv'!$E$5</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'Return pv'!$D$6:$D$32</c:f>
              <c:strCache>
                <c:ptCount val="26"/>
                <c:pt idx="0">
                  <c:v>Late Delivery</c:v>
                </c:pt>
                <c:pt idx="1">
                  <c:v>Retailer changed mind to puchase from a competitor</c:v>
                </c:pt>
                <c:pt idx="2">
                  <c:v>The shop was closed</c:v>
                </c:pt>
                <c:pt idx="3">
                  <c:v>Retailer didn't have enough cash</c:v>
                </c:pt>
                <c:pt idx="4">
                  <c:v>customer Didn't have sufficient funds</c:v>
                </c:pt>
                <c:pt idx="5">
                  <c:v>License coverage limited to Nairobi Count(Kiambu Orders)</c:v>
                </c:pt>
                <c:pt idx="6">
                  <c:v>The customer didn't have sufficient funds thus declined to receive the delivery.</c:v>
                </c:pt>
                <c:pt idx="7">
                  <c:v>(blank)</c:v>
                </c:pt>
                <c:pt idx="8">
                  <c:v>Customer claimed they didn’t place any order</c:v>
                </c:pt>
                <c:pt idx="9">
                  <c:v>Customer was unavailable at the point of delivery</c:v>
                </c:pt>
                <c:pt idx="10">
                  <c:v>Shop closed at the point of delivery</c:v>
                </c:pt>
                <c:pt idx="11">
                  <c:v>Shop was closed</c:v>
                </c:pt>
                <c:pt idx="12">
                  <c:v>customer canceled the order</c:v>
                </c:pt>
                <c:pt idx="13">
                  <c:v>customer claimed to have ordered 1 instead of 2</c:v>
                </c:pt>
                <c:pt idx="14">
                  <c:v>Customer canceled the order after dispatch</c:v>
                </c:pt>
                <c:pt idx="15">
                  <c:v>Customer's payment transaction delayed to reflect.</c:v>
                </c:pt>
                <c:pt idx="16">
                  <c:v>Customer had an emergency</c:v>
                </c:pt>
                <c:pt idx="17">
                  <c:v>customer had insufficient funds</c:v>
                </c:pt>
                <c:pt idx="18">
                  <c:v>Order placed under a wrong outlet</c:v>
                </c:pt>
                <c:pt idx="19">
                  <c:v>Cancelled due Late Delivery</c:v>
                </c:pt>
                <c:pt idx="20">
                  <c:v>cutomer was unavailable</c:v>
                </c:pt>
                <c:pt idx="21">
                  <c:v>Customer changed his preference</c:v>
                </c:pt>
                <c:pt idx="22">
                  <c:v>Customer bought from a competitor</c:v>
                </c:pt>
                <c:pt idx="23">
                  <c:v>customer purchased from a competitor</c:v>
                </c:pt>
                <c:pt idx="24">
                  <c:v>The shop owner who had placed the order wasn't available at the point of delivery.</c:v>
                </c:pt>
                <c:pt idx="25">
                  <c:v>Retailer had insufficient funds</c:v>
                </c:pt>
              </c:strCache>
            </c:strRef>
          </c:cat>
          <c:val>
            <c:numRef>
              <c:f>'Return pv'!$E$6:$E$32</c:f>
              <c:numCache>
                <c:formatCode>0%</c:formatCode>
                <c:ptCount val="26"/>
                <c:pt idx="0">
                  <c:v>0.46513166318125559</c:v>
                </c:pt>
                <c:pt idx="1">
                  <c:v>8.0747727369723868E-2</c:v>
                </c:pt>
                <c:pt idx="2">
                  <c:v>6.6642482181725068E-2</c:v>
                </c:pt>
                <c:pt idx="3">
                  <c:v>6.6279714907601039E-2</c:v>
                </c:pt>
                <c:pt idx="4">
                  <c:v>5.6698391020443002E-2</c:v>
                </c:pt>
                <c:pt idx="5">
                  <c:v>4.3660108403397208E-2</c:v>
                </c:pt>
                <c:pt idx="6">
                  <c:v>2.7783705347616407E-2</c:v>
                </c:pt>
                <c:pt idx="7">
                  <c:v>2.6332636251120312E-2</c:v>
                </c:pt>
                <c:pt idx="8">
                  <c:v>2.3942640092185566E-2</c:v>
                </c:pt>
                <c:pt idx="9">
                  <c:v>1.7156758140924416E-2</c:v>
                </c:pt>
                <c:pt idx="10">
                  <c:v>1.651658059835261E-2</c:v>
                </c:pt>
                <c:pt idx="11">
                  <c:v>1.3571763902522299E-2</c:v>
                </c:pt>
                <c:pt idx="12">
                  <c:v>1.1779266783321241E-2</c:v>
                </c:pt>
                <c:pt idx="13">
                  <c:v>1.0883018223720712E-2</c:v>
                </c:pt>
                <c:pt idx="14">
                  <c:v>1.0883018223720712E-2</c:v>
                </c:pt>
                <c:pt idx="15">
                  <c:v>1.0797661218044471E-2</c:v>
                </c:pt>
                <c:pt idx="16">
                  <c:v>1.0584268703853868E-2</c:v>
                </c:pt>
                <c:pt idx="17">
                  <c:v>7.682130510861679E-3</c:v>
                </c:pt>
                <c:pt idx="18">
                  <c:v>6.0176689001749818E-3</c:v>
                </c:pt>
                <c:pt idx="19">
                  <c:v>5.9323118944987407E-3</c:v>
                </c:pt>
                <c:pt idx="20">
                  <c:v>5.2921343519269342E-3</c:v>
                </c:pt>
                <c:pt idx="21">
                  <c:v>5.121420340574453E-3</c:v>
                </c:pt>
                <c:pt idx="22">
                  <c:v>4.6092783065170076E-3</c:v>
                </c:pt>
                <c:pt idx="23">
                  <c:v>2.6674064273825276E-3</c:v>
                </c:pt>
                <c:pt idx="24">
                  <c:v>2.3899961589347444E-3</c:v>
                </c:pt>
                <c:pt idx="25">
                  <c:v>8.9624855960052921E-4</c:v>
                </c:pt>
              </c:numCache>
            </c:numRef>
          </c:val>
          <c:extLst xmlns:c16r2="http://schemas.microsoft.com/office/drawing/2015/06/chart">
            <c:ext xmlns:c16="http://schemas.microsoft.com/office/drawing/2014/chart" uri="{C3380CC4-5D6E-409C-BE32-E72D297353CC}">
              <c16:uniqueId val="{00000000-1908-4DEF-81C1-9C689D6EE25C}"/>
            </c:ext>
          </c:extLst>
        </c:ser>
        <c:dLbls>
          <c:dLblPos val="outEnd"/>
          <c:showLegendKey val="0"/>
          <c:showVal val="1"/>
          <c:showCatName val="0"/>
          <c:showSerName val="0"/>
          <c:showPercent val="0"/>
          <c:showBubbleSize val="0"/>
        </c:dLbls>
        <c:gapWidth val="219"/>
        <c:overlap val="-27"/>
        <c:axId val="2008851648"/>
        <c:axId val="2008846752"/>
      </c:barChart>
      <c:catAx>
        <c:axId val="200885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crossAx val="2008846752"/>
        <c:crosses val="autoZero"/>
        <c:auto val="1"/>
        <c:lblAlgn val="ctr"/>
        <c:lblOffset val="100"/>
        <c:noMultiLvlLbl val="0"/>
      </c:catAx>
      <c:valAx>
        <c:axId val="2008846752"/>
        <c:scaling>
          <c:orientation val="minMax"/>
        </c:scaling>
        <c:delete val="1"/>
        <c:axPos val="l"/>
        <c:numFmt formatCode="0%" sourceLinked="1"/>
        <c:majorTickMark val="none"/>
        <c:minorTickMark val="none"/>
        <c:tickLblPos val="nextTo"/>
        <c:crossAx val="20088516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DATA.xlsx]NON Dispatch Pivot!PivotTable17</c:name>
    <c:fmtId val="3"/>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solidFill>
                  <a:srgbClr val="C00000"/>
                </a:solidFill>
              </a:rPr>
              <a:t>Reason</a:t>
            </a:r>
            <a:r>
              <a:rPr lang="en-US" baseline="0">
                <a:solidFill>
                  <a:srgbClr val="C00000"/>
                </a:solidFill>
              </a:rPr>
              <a:t> for Non Dispatch</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'NON Dispatch 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'NON Dispatch Pivot'!$A$5:$A$10</c:f>
              <c:strCache>
                <c:ptCount val="5"/>
                <c:pt idx="0">
                  <c:v>Stock outs from the warehouse</c:v>
                </c:pt>
                <c:pt idx="1">
                  <c:v>Delivered Previous Day</c:v>
                </c:pt>
                <c:pt idx="2">
                  <c:v>All had been generated in Uthiru</c:v>
                </c:pt>
                <c:pt idx="3">
                  <c:v>Customer canceled the order before dispatch</c:v>
                </c:pt>
                <c:pt idx="4">
                  <c:v>Product wasn’t on the catalogue</c:v>
                </c:pt>
              </c:strCache>
            </c:strRef>
          </c:cat>
          <c:val>
            <c:numRef>
              <c:f>'NON Dispatch Pivot'!$B$5:$B$10</c:f>
              <c:numCache>
                <c:formatCode>0%</c:formatCode>
                <c:ptCount val="5"/>
                <c:pt idx="0">
                  <c:v>0.78179876899886946</c:v>
                </c:pt>
                <c:pt idx="1">
                  <c:v>9.0867981409370677E-2</c:v>
                </c:pt>
                <c:pt idx="2">
                  <c:v>6.8521542519783943E-2</c:v>
                </c:pt>
                <c:pt idx="3">
                  <c:v>4.9993719381987191E-2</c:v>
                </c:pt>
                <c:pt idx="4">
                  <c:v>8.8179876899886957E-3</c:v>
                </c:pt>
              </c:numCache>
            </c:numRef>
          </c:val>
          <c:extLst xmlns:c16r2="http://schemas.microsoft.com/office/drawing/2015/06/chart">
            <c:ext xmlns:c16="http://schemas.microsoft.com/office/drawing/2014/chart" uri="{C3380CC4-5D6E-409C-BE32-E72D297353CC}">
              <c16:uniqueId val="{00000000-65EC-41FE-9EF1-46B79E37EB25}"/>
            </c:ext>
          </c:extLst>
        </c:ser>
        <c:dLbls>
          <c:dLblPos val="outEnd"/>
          <c:showLegendKey val="0"/>
          <c:showVal val="1"/>
          <c:showCatName val="0"/>
          <c:showSerName val="0"/>
          <c:showPercent val="0"/>
          <c:showBubbleSize val="0"/>
        </c:dLbls>
        <c:gapWidth val="219"/>
        <c:overlap val="-27"/>
        <c:axId val="2008847296"/>
        <c:axId val="2008852192"/>
      </c:barChart>
      <c:catAx>
        <c:axId val="20088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crossAx val="2008852192"/>
        <c:crosses val="autoZero"/>
        <c:auto val="1"/>
        <c:lblAlgn val="ctr"/>
        <c:lblOffset val="100"/>
        <c:noMultiLvlLbl val="0"/>
      </c:catAx>
      <c:valAx>
        <c:axId val="2008852192"/>
        <c:scaling>
          <c:orientation val="minMax"/>
        </c:scaling>
        <c:delete val="1"/>
        <c:axPos val="l"/>
        <c:numFmt formatCode="0%" sourceLinked="1"/>
        <c:majorTickMark val="none"/>
        <c:minorTickMark val="none"/>
        <c:tickLblPos val="nextTo"/>
        <c:crossAx val="2008847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b="0">
                <a:solidFill>
                  <a:srgbClr val="C00000"/>
                </a:solidFill>
                <a:latin typeface="+mn-lt"/>
              </a:rPr>
              <a:t>Daily Order Generated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
        </a:p>
      </c:txPr>
    </c:title>
    <c:autoTitleDeleted val="0"/>
    <c:plotArea>
      <c:layout>
        <c:manualLayout>
          <c:layoutTarget val="inner"/>
          <c:xMode val="edge"/>
          <c:yMode val="edge"/>
          <c:x val="2.6931350887741762E-2"/>
          <c:y val="0.32051177742637005"/>
          <c:w val="0.94613729822451642"/>
          <c:h val="0.54288353484900853"/>
        </c:manualLayout>
      </c:layout>
      <c:barChart>
        <c:barDir val="col"/>
        <c:grouping val="clustered"/>
        <c:varyColors val="0"/>
        <c:ser>
          <c:idx val="0"/>
          <c:order val="0"/>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Dashboard!$B$16:$H$16</c:f>
              <c:strCache>
                <c:ptCount val="7"/>
                <c:pt idx="0">
                  <c:v>14-Mar</c:v>
                </c:pt>
                <c:pt idx="1">
                  <c:v>15-Mar</c:v>
                </c:pt>
                <c:pt idx="2">
                  <c:v>16-Mar</c:v>
                </c:pt>
                <c:pt idx="3">
                  <c:v>17-Mar</c:v>
                </c:pt>
                <c:pt idx="4">
                  <c:v>18-Mar</c:v>
                </c:pt>
                <c:pt idx="5">
                  <c:v>19-Mar</c:v>
                </c:pt>
                <c:pt idx="6">
                  <c:v>20-Mar</c:v>
                </c:pt>
              </c:strCache>
            </c:strRef>
          </c:cat>
          <c:val>
            <c:numRef>
              <c:f>Dashboard!$B$24:$H$24</c:f>
              <c:numCache>
                <c:formatCode>_(* #,##0_);_(* \(#,##0\);_(* "-"_);_(@_)</c:formatCode>
                <c:ptCount val="7"/>
                <c:pt idx="0" formatCode="_(* #,##0_);_(* \(#,##0\);_(* &quot;-&quot;??_);_(@_)">
                  <c:v>87160</c:v>
                </c:pt>
                <c:pt idx="1">
                  <c:v>79825</c:v>
                </c:pt>
                <c:pt idx="2">
                  <c:v>66966</c:v>
                </c:pt>
                <c:pt idx="3">
                  <c:v>0</c:v>
                </c:pt>
                <c:pt idx="4">
                  <c:v>0</c:v>
                </c:pt>
                <c:pt idx="5">
                  <c:v>0</c:v>
                </c:pt>
                <c:pt idx="6">
                  <c:v>0</c:v>
                </c:pt>
              </c:numCache>
            </c:numRef>
          </c:val>
          <c:extLst xmlns:c16r2="http://schemas.microsoft.com/office/drawing/2015/06/chart">
            <c:ext xmlns:c16="http://schemas.microsoft.com/office/drawing/2014/chart" uri="{C3380CC4-5D6E-409C-BE32-E72D297353CC}">
              <c16:uniqueId val="{00000000-FF33-4E5F-A8D2-02979D783E62}"/>
            </c:ext>
          </c:extLst>
        </c:ser>
        <c:dLbls>
          <c:dLblPos val="outEnd"/>
          <c:showLegendKey val="0"/>
          <c:showVal val="1"/>
          <c:showCatName val="0"/>
          <c:showSerName val="0"/>
          <c:showPercent val="0"/>
          <c:showBubbleSize val="0"/>
        </c:dLbls>
        <c:gapWidth val="219"/>
        <c:overlap val="-27"/>
        <c:axId val="2008843488"/>
        <c:axId val="2008853824"/>
      </c:barChart>
      <c:catAx>
        <c:axId val="200884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crossAx val="2008853824"/>
        <c:crosses val="autoZero"/>
        <c:auto val="1"/>
        <c:lblAlgn val="ctr"/>
        <c:lblOffset val="100"/>
        <c:noMultiLvlLbl val="0"/>
      </c:catAx>
      <c:valAx>
        <c:axId val="2008853824"/>
        <c:scaling>
          <c:orientation val="minMax"/>
        </c:scaling>
        <c:delete val="1"/>
        <c:axPos val="l"/>
        <c:numFmt formatCode="_(* #,##0_);_(* \(#,##0\);_(* &quot;-&quot;??_);_(@_)" sourceLinked="1"/>
        <c:majorTickMark val="none"/>
        <c:minorTickMark val="none"/>
        <c:tickLblPos val="nextTo"/>
        <c:crossAx val="20088434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bg2">
              <a:lumMod val="10000"/>
            </a:schemeClr>
          </a:solidFill>
          <a:latin typeface="Trebuchet MS" panose="020B0603020202020204" pitchFamily="34" charset="0"/>
        </a:defRPr>
      </a:pPr>
      <a:endParaRPr lan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DATA.xlsx]NON Dispatch Pivot!PivotTable17</c:name>
    <c:fmtId val="6"/>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solidFill>
                  <a:srgbClr val="C00000"/>
                </a:solidFill>
              </a:rPr>
              <a:t>Reason</a:t>
            </a:r>
            <a:r>
              <a:rPr lang="en-US" baseline="0">
                <a:solidFill>
                  <a:srgbClr val="C00000"/>
                </a:solidFill>
              </a:rPr>
              <a:t> for the Drop</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'NON Dispatch 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'NON Dispatch Pivot'!$A$5:$A$10</c:f>
              <c:strCache>
                <c:ptCount val="5"/>
                <c:pt idx="0">
                  <c:v>Stock outs from the warehouse</c:v>
                </c:pt>
                <c:pt idx="1">
                  <c:v>Delivered Previous Day</c:v>
                </c:pt>
                <c:pt idx="2">
                  <c:v>All had been generated in Uthiru</c:v>
                </c:pt>
                <c:pt idx="3">
                  <c:v>Customer canceled the order before dispatch</c:v>
                </c:pt>
                <c:pt idx="4">
                  <c:v>Product wasn’t on the catalogue</c:v>
                </c:pt>
              </c:strCache>
            </c:strRef>
          </c:cat>
          <c:val>
            <c:numRef>
              <c:f>'NON Dispatch Pivot'!$B$5:$B$10</c:f>
              <c:numCache>
                <c:formatCode>0%</c:formatCode>
                <c:ptCount val="5"/>
                <c:pt idx="0">
                  <c:v>0.78179876899886946</c:v>
                </c:pt>
                <c:pt idx="1">
                  <c:v>9.0867981409370677E-2</c:v>
                </c:pt>
                <c:pt idx="2">
                  <c:v>6.8521542519783943E-2</c:v>
                </c:pt>
                <c:pt idx="3">
                  <c:v>4.9993719381987191E-2</c:v>
                </c:pt>
                <c:pt idx="4">
                  <c:v>8.8179876899886957E-3</c:v>
                </c:pt>
              </c:numCache>
            </c:numRef>
          </c:val>
          <c:extLst xmlns:c16r2="http://schemas.microsoft.com/office/drawing/2015/06/chart">
            <c:ext xmlns:c16="http://schemas.microsoft.com/office/drawing/2014/chart" uri="{C3380CC4-5D6E-409C-BE32-E72D297353CC}">
              <c16:uniqueId val="{00000000-1A71-41D6-B5A9-C224CA03B9A7}"/>
            </c:ext>
          </c:extLst>
        </c:ser>
        <c:dLbls>
          <c:dLblPos val="outEnd"/>
          <c:showLegendKey val="0"/>
          <c:showVal val="1"/>
          <c:showCatName val="0"/>
          <c:showSerName val="0"/>
          <c:showPercent val="0"/>
          <c:showBubbleSize val="0"/>
        </c:dLbls>
        <c:gapWidth val="219"/>
        <c:overlap val="-27"/>
        <c:axId val="2008848384"/>
        <c:axId val="2008854368"/>
      </c:barChart>
      <c:catAx>
        <c:axId val="20088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crossAx val="2008854368"/>
        <c:crosses val="autoZero"/>
        <c:auto val="1"/>
        <c:lblAlgn val="ctr"/>
        <c:lblOffset val="100"/>
        <c:noMultiLvlLbl val="0"/>
      </c:catAx>
      <c:valAx>
        <c:axId val="2008854368"/>
        <c:scaling>
          <c:orientation val="minMax"/>
        </c:scaling>
        <c:delete val="1"/>
        <c:axPos val="l"/>
        <c:numFmt formatCode="0%" sourceLinked="1"/>
        <c:majorTickMark val="none"/>
        <c:minorTickMark val="none"/>
        <c:tickLblPos val="nextTo"/>
        <c:crossAx val="20088483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84492563429571"/>
          <c:y val="0.17171296296296296"/>
          <c:w val="0.76278018372703427"/>
          <c:h val="0.62458333333333338"/>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0071150481189851"/>
                  <c:y val="-0.139305555555555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trendlineLbl>
          </c:trendline>
          <c:yVal>
            <c:numRef>
              <c:f>'Final Report'!$C$13:$F$13</c:f>
              <c:numCache>
                <c:formatCode>[Color10]\▲* \+0.0%;[Red]\▼* 0.0%;;</c:formatCode>
                <c:ptCount val="4"/>
                <c:pt idx="0">
                  <c:v>0.30967606305537426</c:v>
                </c:pt>
                <c:pt idx="1">
                  <c:v>-1.8071145569079041</c:v>
                </c:pt>
                <c:pt idx="2">
                  <c:v>-2.9737380904548387</c:v>
                </c:pt>
                <c:pt idx="3">
                  <c:v>0</c:v>
                </c:pt>
              </c:numCache>
            </c:numRef>
          </c:yVal>
          <c:smooth val="1"/>
          <c:extLst xmlns:c16r2="http://schemas.microsoft.com/office/drawing/2015/06/chart">
            <c:ext xmlns:c16="http://schemas.microsoft.com/office/drawing/2014/chart" uri="{C3380CC4-5D6E-409C-BE32-E72D297353CC}">
              <c16:uniqueId val="{00000000-ED5C-44FD-82EE-CCCE56683C6A}"/>
            </c:ext>
          </c:extLst>
        </c:ser>
        <c:dLbls>
          <c:showLegendKey val="0"/>
          <c:showVal val="0"/>
          <c:showCatName val="0"/>
          <c:showSerName val="0"/>
          <c:showPercent val="0"/>
          <c:showBubbleSize val="0"/>
        </c:dLbls>
        <c:axId val="2008856000"/>
        <c:axId val="2008854912"/>
      </c:scatterChart>
      <c:valAx>
        <c:axId val="20088560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2008854912"/>
        <c:crosses val="autoZero"/>
        <c:crossBetween val="midCat"/>
      </c:valAx>
      <c:valAx>
        <c:axId val="2008854912"/>
        <c:scaling>
          <c:orientation val="minMax"/>
        </c:scaling>
        <c:delete val="0"/>
        <c:axPos val="l"/>
        <c:majorGridlines>
          <c:spPr>
            <a:ln w="9525" cap="flat" cmpd="sng" algn="ctr">
              <a:solidFill>
                <a:schemeClr val="tx1">
                  <a:lumMod val="15000"/>
                  <a:lumOff val="85000"/>
                </a:schemeClr>
              </a:solidFill>
              <a:round/>
            </a:ln>
            <a:effectLst/>
          </c:spPr>
        </c:majorGridlines>
        <c:numFmt formatCode="[Color10]\▲* \+0.0%;[Red]\▼* 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20088560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b="0">
                <a:solidFill>
                  <a:srgbClr val="C00000"/>
                </a:solidFill>
              </a:rPr>
              <a:t>No. times visited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
        </a:p>
      </c:txPr>
    </c:title>
    <c:autoTitleDeleted val="0"/>
    <c:plotArea>
      <c:layout>
        <c:manualLayout>
          <c:layoutTarget val="inner"/>
          <c:xMode val="edge"/>
          <c:yMode val="edge"/>
          <c:x val="3.1457750349761997E-2"/>
          <c:y val="0.2175946392531688"/>
          <c:w val="0.91706593089608213"/>
          <c:h val="0.4997299947846725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'Productive Outlets'!$G$20:$G$24</c:f>
              <c:strCache>
                <c:ptCount val="5"/>
                <c:pt idx="0">
                  <c:v>Visited 1</c:v>
                </c:pt>
                <c:pt idx="1">
                  <c:v>Visited 2</c:v>
                </c:pt>
                <c:pt idx="2">
                  <c:v>Visit between 3 &amp; 5</c:v>
                </c:pt>
                <c:pt idx="3">
                  <c:v>Visited between 6 &amp; 9</c:v>
                </c:pt>
                <c:pt idx="4">
                  <c:v>Visited Above 10</c:v>
                </c:pt>
              </c:strCache>
            </c:strRef>
          </c:cat>
          <c:val>
            <c:numRef>
              <c:f>'Productive Outlets'!$I$20:$I$24</c:f>
              <c:numCache>
                <c:formatCode>0%</c:formatCode>
                <c:ptCount val="5"/>
                <c:pt idx="0">
                  <c:v>0.54738878143133463</c:v>
                </c:pt>
                <c:pt idx="1">
                  <c:v>0.16441005802707931</c:v>
                </c:pt>
                <c:pt idx="2">
                  <c:v>0.20502901353965183</c:v>
                </c:pt>
                <c:pt idx="3">
                  <c:v>6.1895551257253385E-2</c:v>
                </c:pt>
                <c:pt idx="4">
                  <c:v>2.1276595744680851E-2</c:v>
                </c:pt>
              </c:numCache>
            </c:numRef>
          </c:val>
          <c:extLst xmlns:c16r2="http://schemas.microsoft.com/office/drawing/2015/06/chart">
            <c:ext xmlns:c16="http://schemas.microsoft.com/office/drawing/2014/chart" uri="{C3380CC4-5D6E-409C-BE32-E72D297353CC}">
              <c16:uniqueId val="{00000000-281A-467F-A253-C0207EBE00DD}"/>
            </c:ext>
          </c:extLst>
        </c:ser>
        <c:dLbls>
          <c:dLblPos val="outEnd"/>
          <c:showLegendKey val="0"/>
          <c:showVal val="1"/>
          <c:showCatName val="0"/>
          <c:showSerName val="0"/>
          <c:showPercent val="0"/>
          <c:showBubbleSize val="0"/>
        </c:dLbls>
        <c:gapWidth val="219"/>
        <c:overlap val="-27"/>
        <c:axId val="2008856544"/>
        <c:axId val="2008857632"/>
      </c:barChart>
      <c:catAx>
        <c:axId val="20088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
          </a:p>
        </c:txPr>
        <c:crossAx val="2008857632"/>
        <c:crosses val="autoZero"/>
        <c:auto val="1"/>
        <c:lblAlgn val="ctr"/>
        <c:lblOffset val="100"/>
        <c:noMultiLvlLbl val="0"/>
      </c:catAx>
      <c:valAx>
        <c:axId val="2008857632"/>
        <c:scaling>
          <c:orientation val="minMax"/>
        </c:scaling>
        <c:delete val="1"/>
        <c:axPos val="l"/>
        <c:numFmt formatCode="0%" sourceLinked="1"/>
        <c:majorTickMark val="none"/>
        <c:minorTickMark val="none"/>
        <c:tickLblPos val="nextTo"/>
        <c:crossAx val="200885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DATA.xlsx]Productive Outlets!PivotTable16</c:name>
    <c:fmtId val="5"/>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b="0">
                <a:solidFill>
                  <a:srgbClr val="C00000"/>
                </a:solidFill>
              </a:rPr>
              <a:t>Productive Outlets Visit</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
        </a:p>
      </c:txPr>
    </c:title>
    <c:autoTitleDeleted val="0"/>
    <c:pivotFmts>
      <c:pivotFmt>
        <c:idx val="0"/>
        <c:spPr>
          <a:solidFill>
            <a:schemeClr val="accent1"/>
          </a:solidFill>
          <a:ln w="25400">
            <a:solidFill>
              <a:schemeClr val="lt1"/>
            </a:solidFill>
          </a:ln>
          <a:effectLst/>
          <a:scene3d>
            <a:camera prst="orthographicFront"/>
            <a:lightRig rig="threePt" dir="t"/>
          </a:scene3d>
          <a:sp3d contourW="25400">
            <a:bevelT/>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C00000"/>
          </a:solidFill>
          <a:ln w="25400">
            <a:noFill/>
          </a:ln>
          <a:effectLst/>
          <a:scene3d>
            <a:camera prst="orthographicFront"/>
            <a:lightRig rig="threePt" dir="t"/>
          </a:scene3d>
          <a:sp3d>
            <a:bevelT/>
            <a:bevelB/>
            <a:contourClr>
              <a:srgbClr val="000000"/>
            </a:contourClr>
          </a:sp3d>
        </c:spPr>
        <c:dLbl>
          <c:idx val="0"/>
          <c:layout>
            <c:manualLayout>
              <c:x val="0.10446972270218914"/>
              <c:y val="-0.1630331153748947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2"/>
        <c:spPr>
          <a:solidFill>
            <a:schemeClr val="accent1"/>
          </a:solidFill>
          <a:ln w="25400">
            <a:solidFill>
              <a:schemeClr val="lt1"/>
            </a:solidFill>
          </a:ln>
          <a:effectLst/>
          <a:scene3d>
            <a:camera prst="orthographicFront"/>
            <a:lightRig rig="threePt" dir="t"/>
          </a:scene3d>
          <a:sp3d contourW="25400">
            <a:bevelT/>
            <a:bevelB/>
            <a:contourClr>
              <a:schemeClr val="lt1"/>
            </a:contourClr>
          </a:sp3d>
        </c:spPr>
        <c:dLbl>
          <c:idx val="0"/>
          <c:layout>
            <c:manualLayout>
              <c:x val="1.2358778964157434E-2"/>
              <c:y val="0.1479840337470260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3"/>
        <c:spPr>
          <a:solidFill>
            <a:schemeClr val="accent1"/>
          </a:solidFill>
          <a:ln w="25400">
            <a:solidFill>
              <a:schemeClr val="lt1"/>
            </a:solidFill>
          </a:ln>
          <a:effectLst/>
          <a:scene3d>
            <a:camera prst="orthographicFront"/>
            <a:lightRig rig="threePt" dir="t"/>
          </a:scene3d>
          <a:sp3d contourW="25400">
            <a:bevelT/>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5400">
            <a:solidFill>
              <a:schemeClr val="lt1"/>
            </a:solidFill>
          </a:ln>
          <a:effectLst/>
          <a:scene3d>
            <a:camera prst="orthographicFront"/>
            <a:lightRig rig="threePt" dir="t"/>
          </a:scene3d>
          <a:sp3d contourW="25400">
            <a:bevelT/>
            <a:bevelB/>
            <a:contourClr>
              <a:schemeClr val="lt1"/>
            </a:contourClr>
          </a:sp3d>
        </c:spPr>
        <c:dLbl>
          <c:idx val="0"/>
          <c:layout>
            <c:manualLayout>
              <c:x val="1.2358778964157434E-2"/>
              <c:y val="0.1479840337470260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5"/>
        <c:spPr>
          <a:solidFill>
            <a:srgbClr val="C00000"/>
          </a:solidFill>
          <a:ln w="25400">
            <a:noFill/>
          </a:ln>
          <a:effectLst/>
          <a:scene3d>
            <a:camera prst="orthographicFront"/>
            <a:lightRig rig="threePt" dir="t"/>
          </a:scene3d>
          <a:sp3d>
            <a:bevelT/>
            <a:bevelB/>
            <a:contourClr>
              <a:srgbClr val="000000"/>
            </a:contourClr>
          </a:sp3d>
        </c:spPr>
        <c:dLbl>
          <c:idx val="0"/>
          <c:layout>
            <c:manualLayout>
              <c:x val="0.10446972270218914"/>
              <c:y val="-0.1630331153748947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6"/>
        <c:spPr>
          <a:solidFill>
            <a:schemeClr val="accent1"/>
          </a:solidFill>
          <a:ln w="25400">
            <a:solidFill>
              <a:schemeClr val="lt1"/>
            </a:solidFill>
          </a:ln>
          <a:effectLst/>
          <a:scene3d>
            <a:camera prst="orthographicFront"/>
            <a:lightRig rig="threePt" dir="t"/>
          </a:scene3d>
          <a:sp3d contourW="25400">
            <a:bevelT/>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5400">
            <a:solidFill>
              <a:schemeClr val="lt1"/>
            </a:solidFill>
          </a:ln>
          <a:effectLst/>
          <a:scene3d>
            <a:camera prst="orthographicFront"/>
            <a:lightRig rig="threePt" dir="t"/>
          </a:scene3d>
          <a:sp3d contourW="25400">
            <a:bevelT/>
            <a:bevelB/>
            <a:contourClr>
              <a:schemeClr val="lt1"/>
            </a:contourClr>
          </a:sp3d>
        </c:spPr>
        <c:dLbl>
          <c:idx val="0"/>
          <c:layout>
            <c:manualLayout>
              <c:x val="1.2358778964157434E-2"/>
              <c:y val="0.1479840337470260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8"/>
        <c:spPr>
          <a:solidFill>
            <a:srgbClr val="C00000"/>
          </a:solidFill>
          <a:ln w="25400">
            <a:noFill/>
          </a:ln>
          <a:effectLst/>
          <a:scene3d>
            <a:camera prst="orthographicFront"/>
            <a:lightRig rig="threePt" dir="t"/>
          </a:scene3d>
          <a:sp3d>
            <a:bevelT/>
            <a:bevelB/>
            <a:contourClr>
              <a:srgbClr val="000000"/>
            </a:contourClr>
          </a:sp3d>
        </c:spPr>
        <c:dLbl>
          <c:idx val="0"/>
          <c:layout>
            <c:manualLayout>
              <c:x val="0.10446972270218914"/>
              <c:y val="-0.1630331153748947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9"/>
        <c:spPr>
          <a:solidFill>
            <a:schemeClr val="accent1"/>
          </a:solidFill>
          <a:ln w="25400">
            <a:solidFill>
              <a:schemeClr val="lt1"/>
            </a:solidFill>
          </a:ln>
          <a:effectLst/>
          <a:scene3d>
            <a:camera prst="orthographicFront"/>
            <a:lightRig rig="threePt" dir="t"/>
          </a:scene3d>
          <a:sp3d contourW="25400">
            <a:bevelT/>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22666375036453776"/>
          <c:w val="0.73539989859160482"/>
          <c:h val="0.60052842182867805"/>
        </c:manualLayout>
      </c:layout>
      <c:pie3DChart>
        <c:varyColors val="1"/>
        <c:ser>
          <c:idx val="0"/>
          <c:order val="0"/>
          <c:tx>
            <c:strRef>
              <c:f>'Productive Outlets'!$M$4</c:f>
              <c:strCache>
                <c:ptCount val="1"/>
                <c:pt idx="0">
                  <c:v>Total</c:v>
                </c:pt>
              </c:strCache>
            </c:strRef>
          </c:tx>
          <c:spPr>
            <a:scene3d>
              <a:camera prst="orthographicFront"/>
              <a:lightRig rig="threePt" dir="t"/>
            </a:scene3d>
            <a:sp3d>
              <a:bevelT/>
              <a:contourClr>
                <a:srgbClr val="000000"/>
              </a:contourClr>
            </a:sp3d>
          </c:spPr>
          <c:dPt>
            <c:idx val="0"/>
            <c:bubble3D val="0"/>
            <c:spPr>
              <a:solidFill>
                <a:schemeClr val="accent1"/>
              </a:solidFill>
              <a:ln w="25400">
                <a:solidFill>
                  <a:schemeClr val="lt1"/>
                </a:solidFill>
              </a:ln>
              <a:effectLst/>
              <a:scene3d>
                <a:camera prst="orthographicFront"/>
                <a:lightRig rig="threePt" dir="t"/>
              </a:scene3d>
              <a:sp3d contourW="25400">
                <a:bevelT/>
                <a:contourClr>
                  <a:schemeClr val="lt1"/>
                </a:contourClr>
              </a:sp3d>
            </c:spPr>
            <c:extLst xmlns:c16r2="http://schemas.microsoft.com/office/drawing/2015/06/chart">
              <c:ext xmlns:c16="http://schemas.microsoft.com/office/drawing/2014/chart" uri="{C3380CC4-5D6E-409C-BE32-E72D297353CC}">
                <c16:uniqueId val="{00000001-C7C6-408A-ABA8-50F8D467471C}"/>
              </c:ext>
            </c:extLst>
          </c:dPt>
          <c:dPt>
            <c:idx val="1"/>
            <c:bubble3D val="0"/>
            <c:spPr>
              <a:solidFill>
                <a:schemeClr val="accent2"/>
              </a:solidFill>
              <a:ln w="25400">
                <a:solidFill>
                  <a:schemeClr val="lt1"/>
                </a:solidFill>
              </a:ln>
              <a:effectLst/>
              <a:scene3d>
                <a:camera prst="orthographicFront"/>
                <a:lightRig rig="threePt" dir="t"/>
              </a:scene3d>
              <a:sp3d contourW="25400">
                <a:bevelT/>
                <a:bevelB/>
                <a:contourClr>
                  <a:schemeClr val="lt1"/>
                </a:contourClr>
              </a:sp3d>
            </c:spPr>
            <c:extLst xmlns:c16r2="http://schemas.microsoft.com/office/drawing/2015/06/chart">
              <c:ext xmlns:c16="http://schemas.microsoft.com/office/drawing/2014/chart" uri="{C3380CC4-5D6E-409C-BE32-E72D297353CC}">
                <c16:uniqueId val="{00000003-C7C6-408A-ABA8-50F8D467471C}"/>
              </c:ext>
            </c:extLst>
          </c:dPt>
          <c:dPt>
            <c:idx val="2"/>
            <c:bubble3D val="0"/>
            <c:spPr>
              <a:solidFill>
                <a:srgbClr val="C00000"/>
              </a:solidFill>
              <a:ln w="25400">
                <a:noFill/>
              </a:ln>
              <a:effectLst/>
              <a:scene3d>
                <a:camera prst="orthographicFront"/>
                <a:lightRig rig="threePt" dir="t"/>
              </a:scene3d>
              <a:sp3d>
                <a:bevelT/>
                <a:bevelB/>
                <a:contourClr>
                  <a:srgbClr val="000000"/>
                </a:contourClr>
              </a:sp3d>
            </c:spPr>
            <c:extLst xmlns:c16r2="http://schemas.microsoft.com/office/drawing/2015/06/chart">
              <c:ext xmlns:c16="http://schemas.microsoft.com/office/drawing/2014/chart" uri="{C3380CC4-5D6E-409C-BE32-E72D297353CC}">
                <c16:uniqueId val="{00000005-0197-482F-B513-151612CCB4BC}"/>
              </c:ext>
            </c:extLst>
          </c:dPt>
          <c:dLbls>
            <c:dLbl>
              <c:idx val="1"/>
              <c:layout>
                <c:manualLayout>
                  <c:x val="1.2358778964157434E-2"/>
                  <c:y val="0.14798403374702607"/>
                </c:manualLayout>
              </c:layout>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dLbl>
              <c:idx val="2"/>
              <c:layout>
                <c:manualLayout>
                  <c:x val="0.10446972270218914"/>
                  <c:y val="-0.16303311537489473"/>
                </c:manualLayout>
              </c:layout>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'Productive Outlets'!$L$5:$L$8</c:f>
              <c:strCache>
                <c:ptCount val="3"/>
                <c:pt idx="0">
                  <c:v>(blank)</c:v>
                </c:pt>
                <c:pt idx="1">
                  <c:v>February</c:v>
                </c:pt>
                <c:pt idx="2">
                  <c:v>March</c:v>
                </c:pt>
              </c:strCache>
            </c:strRef>
          </c:cat>
          <c:val>
            <c:numRef>
              <c:f>'Productive Outlets'!$M$5:$M$8</c:f>
              <c:numCache>
                <c:formatCode>0%</c:formatCode>
                <c:ptCount val="3"/>
                <c:pt idx="0">
                  <c:v>1.8518518518518519E-3</c:v>
                </c:pt>
                <c:pt idx="1">
                  <c:v>0.73703703703703705</c:v>
                </c:pt>
                <c:pt idx="2">
                  <c:v>0.49629629629629629</c:v>
                </c:pt>
              </c:numCache>
            </c:numRef>
          </c:val>
          <c:extLst xmlns:c16r2="http://schemas.microsoft.com/office/drawing/2015/06/chart">
            <c:ext xmlns:c16="http://schemas.microsoft.com/office/drawing/2014/chart" uri="{C3380CC4-5D6E-409C-BE32-E72D297353CC}">
              <c16:uniqueId val="{00000004-C7C6-408A-ABA8-50F8D467471C}"/>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DATA.xlsx]Productive Outlets!Yearly</c:name>
    <c:fmtId val="6"/>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solidFill>
                  <a:srgbClr val="C00000"/>
                </a:solidFill>
              </a:rPr>
              <a:t>Productive Outlets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'Productive Outlets'!$H$4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'Productive Outlets'!$G$5:$G$15</c:f>
              <c:strCache>
                <c:ptCount val="10"/>
                <c:pt idx="0">
                  <c:v>Rodgers Omondi</c:v>
                </c:pt>
                <c:pt idx="1">
                  <c:v>Margaret Wanjiku</c:v>
                </c:pt>
                <c:pt idx="2">
                  <c:v>Stacy Adhiambo</c:v>
                </c:pt>
                <c:pt idx="3">
                  <c:v>Newton Muthuri</c:v>
                </c:pt>
                <c:pt idx="4">
                  <c:v>Diana Wairimu</c:v>
                </c:pt>
                <c:pt idx="5">
                  <c:v>Hope Nafula</c:v>
                </c:pt>
                <c:pt idx="6">
                  <c:v>Sarah Nyambura</c:v>
                </c:pt>
                <c:pt idx="7">
                  <c:v>Lucas Kimani</c:v>
                </c:pt>
                <c:pt idx="8">
                  <c:v>Simora Bunaka</c:v>
                </c:pt>
                <c:pt idx="9">
                  <c:v>(blank)</c:v>
                </c:pt>
              </c:strCache>
            </c:strRef>
          </c:cat>
          <c:val>
            <c:numRef>
              <c:f>'Productive Outlets'!$H$5:$H$15</c:f>
              <c:numCache>
                <c:formatCode>0%</c:formatCode>
                <c:ptCount val="10"/>
                <c:pt idx="0">
                  <c:v>0.21111111111111111</c:v>
                </c:pt>
                <c:pt idx="1">
                  <c:v>0.17592592592592593</c:v>
                </c:pt>
                <c:pt idx="2">
                  <c:v>0.17407407407407408</c:v>
                </c:pt>
                <c:pt idx="3">
                  <c:v>0.17037037037037037</c:v>
                </c:pt>
                <c:pt idx="4">
                  <c:v>0.12222222222222222</c:v>
                </c:pt>
                <c:pt idx="5">
                  <c:v>0.10740740740740741</c:v>
                </c:pt>
                <c:pt idx="6">
                  <c:v>7.5925925925925924E-2</c:v>
                </c:pt>
                <c:pt idx="7">
                  <c:v>1.1111111111111112E-2</c:v>
                </c:pt>
                <c:pt idx="8">
                  <c:v>5.5555555555555558E-3</c:v>
                </c:pt>
                <c:pt idx="9">
                  <c:v>1.8518518518518519E-3</c:v>
                </c:pt>
              </c:numCache>
            </c:numRef>
          </c:val>
          <c:extLst xmlns:c16r2="http://schemas.microsoft.com/office/drawing/2015/06/chart">
            <c:ext xmlns:c16="http://schemas.microsoft.com/office/drawing/2014/chart" uri="{C3380CC4-5D6E-409C-BE32-E72D297353CC}">
              <c16:uniqueId val="{00000000-AFB0-40EF-940F-EF9EBDB7A024}"/>
            </c:ext>
          </c:extLst>
        </c:ser>
        <c:dLbls>
          <c:dLblPos val="outEnd"/>
          <c:showLegendKey val="0"/>
          <c:showVal val="1"/>
          <c:showCatName val="0"/>
          <c:showSerName val="0"/>
          <c:showPercent val="0"/>
          <c:showBubbleSize val="0"/>
        </c:dLbls>
        <c:gapWidth val="219"/>
        <c:overlap val="-27"/>
        <c:axId val="2008844032"/>
        <c:axId val="2008844576"/>
      </c:barChart>
      <c:catAx>
        <c:axId val="20088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
          </a:p>
        </c:txPr>
        <c:crossAx val="2008844576"/>
        <c:crosses val="autoZero"/>
        <c:auto val="1"/>
        <c:lblAlgn val="ctr"/>
        <c:lblOffset val="100"/>
        <c:noMultiLvlLbl val="0"/>
      </c:catAx>
      <c:valAx>
        <c:axId val="2008844576"/>
        <c:scaling>
          <c:orientation val="minMax"/>
        </c:scaling>
        <c:delete val="1"/>
        <c:axPos val="l"/>
        <c:numFmt formatCode="0%" sourceLinked="1"/>
        <c:majorTickMark val="none"/>
        <c:minorTickMark val="none"/>
        <c:tickLblPos val="nextTo"/>
        <c:crossAx val="2008844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DATA.xlsx]Gap Analysis!PivotTable2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Hillside Market Demand</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gradFill>
              <a:gsLst>
                <a:gs pos="18000">
                  <a:srgbClr val="00B050"/>
                </a:gs>
                <a:gs pos="100000">
                  <a:srgbClr val="C00000"/>
                </a:gs>
              </a:gsLst>
              <a:lin ang="5400000" scaled="1"/>
            </a:gradFill>
            <a:round/>
          </a:ln>
          <a:effectLst/>
        </c:spPr>
        <c:marker>
          <c:symbol val="none"/>
        </c:marker>
      </c:pivotFmt>
    </c:pivotFmts>
    <c:plotArea>
      <c:layout/>
      <c:lineChart>
        <c:grouping val="standard"/>
        <c:varyColors val="0"/>
        <c:ser>
          <c:idx val="0"/>
          <c:order val="0"/>
          <c:tx>
            <c:strRef>
              <c:f>'Gap Analysis'!$AA$36</c:f>
              <c:strCache>
                <c:ptCount val="1"/>
                <c:pt idx="0">
                  <c:v>Total</c:v>
                </c:pt>
              </c:strCache>
            </c:strRef>
          </c:tx>
          <c:spPr>
            <a:ln w="28575" cap="rnd">
              <a:gradFill>
                <a:gsLst>
                  <a:gs pos="18000">
                    <a:srgbClr val="00B050"/>
                  </a:gs>
                  <a:gs pos="100000">
                    <a:srgbClr val="C00000"/>
                  </a:gs>
                </a:gsLst>
                <a:lin ang="5400000" scaled="1"/>
              </a:gradFill>
              <a:round/>
            </a:ln>
            <a:effectLst/>
          </c:spPr>
          <c:marker>
            <c:symbol val="none"/>
          </c:marker>
          <c:trendline>
            <c:spPr>
              <a:ln w="19050" cap="rnd">
                <a:gradFill>
                  <a:gsLst>
                    <a:gs pos="62000">
                      <a:srgbClr val="0070C0"/>
                    </a:gs>
                    <a:gs pos="91000">
                      <a:srgbClr val="C00000"/>
                    </a:gs>
                  </a:gsLst>
                  <a:lin ang="5400000" scaled="1"/>
                </a:gradFill>
                <a:prstDash val="sysDot"/>
              </a:ln>
              <a:effectLst/>
            </c:spPr>
            <c:trendlineType val="exp"/>
            <c:dispRSqr val="1"/>
            <c:dispEq val="1"/>
            <c:trendlineLbl>
              <c:layout>
                <c:manualLayout>
                  <c:x val="1.3265440034281428E-2"/>
                  <c:y val="-0.17934951695387963"/>
                </c:manualLayout>
              </c:layout>
              <c:numFmt formatCode="General" sourceLinked="0"/>
              <c:spPr>
                <a:noFill/>
                <a:ln>
                  <a:noFill/>
                </a:ln>
                <a:effectLst/>
              </c:spPr>
              <c:txPr>
                <a:bodyPr rot="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
                </a:p>
              </c:txPr>
            </c:trendlineLbl>
          </c:trendline>
          <c:cat>
            <c:strRef>
              <c:f>'Gap Analysis'!$Z$37:$Z$45</c:f>
              <c:strCache>
                <c:ptCount val="8"/>
                <c:pt idx="0">
                  <c:v>(blank)</c:v>
                </c:pt>
                <c:pt idx="1">
                  <c:v>Week 1</c:v>
                </c:pt>
                <c:pt idx="2">
                  <c:v>Week 2</c:v>
                </c:pt>
                <c:pt idx="3">
                  <c:v>Week 3</c:v>
                </c:pt>
                <c:pt idx="4">
                  <c:v>Week 4</c:v>
                </c:pt>
                <c:pt idx="5">
                  <c:v>Week 5</c:v>
                </c:pt>
                <c:pt idx="6">
                  <c:v>Week 6</c:v>
                </c:pt>
                <c:pt idx="7">
                  <c:v>Week 7</c:v>
                </c:pt>
              </c:strCache>
            </c:strRef>
          </c:cat>
          <c:val>
            <c:numRef>
              <c:f>'Gap Analysis'!$AA$37:$AA$45</c:f>
              <c:numCache>
                <c:formatCode>_(* #,##0_);_(* \(#,##0\);_(* "-"??_);_(@_)</c:formatCode>
                <c:ptCount val="8"/>
                <c:pt idx="0">
                  <c:v>1</c:v>
                </c:pt>
                <c:pt idx="1">
                  <c:v>40</c:v>
                </c:pt>
                <c:pt idx="2">
                  <c:v>53</c:v>
                </c:pt>
                <c:pt idx="3">
                  <c:v>46</c:v>
                </c:pt>
                <c:pt idx="4">
                  <c:v>62</c:v>
                </c:pt>
                <c:pt idx="5">
                  <c:v>46</c:v>
                </c:pt>
                <c:pt idx="6">
                  <c:v>35</c:v>
                </c:pt>
                <c:pt idx="7">
                  <c:v>31</c:v>
                </c:pt>
              </c:numCache>
            </c:numRef>
          </c:val>
          <c:smooth val="0"/>
          <c:extLst xmlns:c16r2="http://schemas.microsoft.com/office/drawing/2015/06/chart">
            <c:ext xmlns:c16="http://schemas.microsoft.com/office/drawing/2014/chart" uri="{C3380CC4-5D6E-409C-BE32-E72D297353CC}">
              <c16:uniqueId val="{00000000-8858-421C-BDD2-9878F6872B90}"/>
            </c:ext>
          </c:extLst>
        </c:ser>
        <c:dLbls>
          <c:showLegendKey val="0"/>
          <c:showVal val="0"/>
          <c:showCatName val="0"/>
          <c:showSerName val="0"/>
          <c:showPercent val="0"/>
          <c:showBubbleSize val="0"/>
        </c:dLbls>
        <c:smooth val="0"/>
        <c:axId val="2008848928"/>
        <c:axId val="2025510304"/>
      </c:lineChart>
      <c:catAx>
        <c:axId val="200884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2025510304"/>
        <c:crosses val="autoZero"/>
        <c:auto val="1"/>
        <c:lblAlgn val="ctr"/>
        <c:lblOffset val="100"/>
        <c:noMultiLvlLbl val="0"/>
      </c:catAx>
      <c:valAx>
        <c:axId val="20255103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200884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WOW Perfomance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
        </a:p>
      </c:txPr>
    </c:title>
    <c:autoTitleDeleted val="0"/>
    <c:plotArea>
      <c:layout>
        <c:manualLayout>
          <c:layoutTarget val="inner"/>
          <c:xMode val="edge"/>
          <c:yMode val="edge"/>
          <c:x val="3.0748615431887085E-2"/>
          <c:y val="0.23576893950200739"/>
          <c:w val="0.93850276913622588"/>
          <c:h val="0.61676729727849378"/>
        </c:manualLayout>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1-E0CD-48D6-BFCC-51F77A74048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Dashboard!$A$24:$A$25</c:f>
              <c:strCache>
                <c:ptCount val="2"/>
                <c:pt idx="0">
                  <c:v>Current Week</c:v>
                </c:pt>
                <c:pt idx="1">
                  <c:v>Previous Week</c:v>
                </c:pt>
              </c:strCache>
            </c:strRef>
          </c:cat>
          <c:val>
            <c:numRef>
              <c:f>Dashboard!$K$24:$K$25</c:f>
              <c:numCache>
                <c:formatCode>0.0%</c:formatCode>
                <c:ptCount val="2"/>
                <c:pt idx="0">
                  <c:v>0.92106692913385835</c:v>
                </c:pt>
                <c:pt idx="1">
                  <c:v>1.4012204724409447</c:v>
                </c:pt>
              </c:numCache>
            </c:numRef>
          </c:val>
          <c:extLst xmlns:c16r2="http://schemas.microsoft.com/office/drawing/2015/06/chart">
            <c:ext xmlns:c16="http://schemas.microsoft.com/office/drawing/2014/chart" uri="{C3380CC4-5D6E-409C-BE32-E72D297353CC}">
              <c16:uniqueId val="{00000000-E0CD-48D6-BFCC-51F77A740481}"/>
            </c:ext>
          </c:extLst>
        </c:ser>
        <c:dLbls>
          <c:dLblPos val="outEnd"/>
          <c:showLegendKey val="0"/>
          <c:showVal val="1"/>
          <c:showCatName val="0"/>
          <c:showSerName val="0"/>
          <c:showPercent val="0"/>
          <c:showBubbleSize val="0"/>
        </c:dLbls>
        <c:gapWidth val="219"/>
        <c:overlap val="-27"/>
        <c:axId val="1599150400"/>
        <c:axId val="1859212864"/>
      </c:barChart>
      <c:catAx>
        <c:axId val="159915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
          </a:p>
        </c:txPr>
        <c:crossAx val="1859212864"/>
        <c:crosses val="autoZero"/>
        <c:auto val="1"/>
        <c:lblAlgn val="ctr"/>
        <c:lblOffset val="100"/>
        <c:noMultiLvlLbl val="0"/>
      </c:catAx>
      <c:valAx>
        <c:axId val="1859212864"/>
        <c:scaling>
          <c:orientation val="minMax"/>
        </c:scaling>
        <c:delete val="1"/>
        <c:axPos val="l"/>
        <c:numFmt formatCode="0.0%" sourceLinked="1"/>
        <c:majorTickMark val="none"/>
        <c:minorTickMark val="none"/>
        <c:tickLblPos val="nextTo"/>
        <c:crossAx val="15991504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DATA.xlsx]Gap Analysis!PivotTable3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Fast</a:t>
            </a:r>
            <a:r>
              <a:rPr lang="en-US" b="1" baseline="0"/>
              <a:t> moving Product Demand</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3605150214592276E-2"/>
          <c:y val="0.20994475138121546"/>
          <c:w val="0.835565205636849"/>
          <c:h val="0.55260886588071523"/>
        </c:manualLayout>
      </c:layout>
      <c:barChart>
        <c:barDir val="col"/>
        <c:grouping val="clustered"/>
        <c:varyColors val="0"/>
        <c:ser>
          <c:idx val="0"/>
          <c:order val="0"/>
          <c:tx>
            <c:strRef>
              <c:f>'Gap Analysis'!$AE$38:$AE$39</c:f>
              <c:strCache>
                <c:ptCount val="1"/>
                <c:pt idx="0">
                  <c:v>February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'Gap Analysis'!$AD$40:$AD$47</c:f>
              <c:strCache>
                <c:ptCount val="7"/>
                <c:pt idx="0">
                  <c:v>Cooking Oil</c:v>
                </c:pt>
                <c:pt idx="1">
                  <c:v>Maize Flour</c:v>
                </c:pt>
                <c:pt idx="2">
                  <c:v>Sugar</c:v>
                </c:pt>
                <c:pt idx="3">
                  <c:v>Baking Flour</c:v>
                </c:pt>
                <c:pt idx="4">
                  <c:v>Rice</c:v>
                </c:pt>
                <c:pt idx="5">
                  <c:v>SOAPS</c:v>
                </c:pt>
                <c:pt idx="6">
                  <c:v>BABY CARE</c:v>
                </c:pt>
              </c:strCache>
            </c:strRef>
          </c:cat>
          <c:val>
            <c:numRef>
              <c:f>'Gap Analysis'!$AE$40:$AE$47</c:f>
              <c:numCache>
                <c:formatCode>0%</c:formatCode>
                <c:ptCount val="7"/>
                <c:pt idx="0">
                  <c:v>0.31329280654231834</c:v>
                </c:pt>
                <c:pt idx="1">
                  <c:v>7.6679723814596132E-2</c:v>
                </c:pt>
                <c:pt idx="2">
                  <c:v>0.10516945658211972</c:v>
                </c:pt>
                <c:pt idx="3">
                  <c:v>7.5407892702314211E-2</c:v>
                </c:pt>
                <c:pt idx="4">
                  <c:v>8.4709201662304737E-2</c:v>
                </c:pt>
                <c:pt idx="5">
                  <c:v>6.4656982615285644E-2</c:v>
                </c:pt>
                <c:pt idx="6">
                  <c:v>5.866410486951442E-2</c:v>
                </c:pt>
              </c:numCache>
            </c:numRef>
          </c:val>
          <c:extLst xmlns:c16r2="http://schemas.microsoft.com/office/drawing/2015/06/chart">
            <c:ext xmlns:c16="http://schemas.microsoft.com/office/drawing/2014/chart" uri="{C3380CC4-5D6E-409C-BE32-E72D297353CC}">
              <c16:uniqueId val="{00000000-D441-44E6-81CE-55FE6CF90E1E}"/>
            </c:ext>
          </c:extLst>
        </c:ser>
        <c:ser>
          <c:idx val="1"/>
          <c:order val="1"/>
          <c:tx>
            <c:strRef>
              <c:f>'Gap Analysis'!$AF$38:$AF$39</c:f>
              <c:strCache>
                <c:ptCount val="1"/>
                <c:pt idx="0">
                  <c:v>March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'Gap Analysis'!$AD$40:$AD$47</c:f>
              <c:strCache>
                <c:ptCount val="7"/>
                <c:pt idx="0">
                  <c:v>Cooking Oil</c:v>
                </c:pt>
                <c:pt idx="1">
                  <c:v>Maize Flour</c:v>
                </c:pt>
                <c:pt idx="2">
                  <c:v>Sugar</c:v>
                </c:pt>
                <c:pt idx="3">
                  <c:v>Baking Flour</c:v>
                </c:pt>
                <c:pt idx="4">
                  <c:v>Rice</c:v>
                </c:pt>
                <c:pt idx="5">
                  <c:v>SOAPS</c:v>
                </c:pt>
                <c:pt idx="6">
                  <c:v>BABY CARE</c:v>
                </c:pt>
              </c:strCache>
            </c:strRef>
          </c:cat>
          <c:val>
            <c:numRef>
              <c:f>'Gap Analysis'!$AF$40:$AF$47</c:f>
              <c:numCache>
                <c:formatCode>0%</c:formatCode>
                <c:ptCount val="7"/>
                <c:pt idx="0">
                  <c:v>5.1326617683272536E-3</c:v>
                </c:pt>
                <c:pt idx="1">
                  <c:v>7.5248734850176857E-2</c:v>
                </c:pt>
                <c:pt idx="2">
                  <c:v>3.8706139722936482E-2</c:v>
                </c:pt>
                <c:pt idx="3">
                  <c:v>4.3415255482952213E-2</c:v>
                </c:pt>
                <c:pt idx="4">
                  <c:v>2.0008074815166907E-2</c:v>
                </c:pt>
                <c:pt idx="5">
                  <c:v>2.6782424773456576E-2</c:v>
                </c:pt>
                <c:pt idx="6">
                  <c:v>1.2126539798530497E-2</c:v>
                </c:pt>
              </c:numCache>
            </c:numRef>
          </c:val>
          <c:extLst xmlns:c16r2="http://schemas.microsoft.com/office/drawing/2015/06/chart">
            <c:ext xmlns:c16="http://schemas.microsoft.com/office/drawing/2014/chart" uri="{C3380CC4-5D6E-409C-BE32-E72D297353CC}">
              <c16:uniqueId val="{00000001-D441-44E6-81CE-55FE6CF90E1E}"/>
            </c:ext>
          </c:extLst>
        </c:ser>
        <c:dLbls>
          <c:dLblPos val="outEnd"/>
          <c:showLegendKey val="0"/>
          <c:showVal val="1"/>
          <c:showCatName val="0"/>
          <c:showSerName val="0"/>
          <c:showPercent val="0"/>
          <c:showBubbleSize val="0"/>
        </c:dLbls>
        <c:gapWidth val="219"/>
        <c:overlap val="-27"/>
        <c:axId val="2025508128"/>
        <c:axId val="2025511936"/>
      </c:barChart>
      <c:catAx>
        <c:axId val="202550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2025511936"/>
        <c:crosses val="autoZero"/>
        <c:auto val="1"/>
        <c:lblAlgn val="ctr"/>
        <c:lblOffset val="100"/>
        <c:noMultiLvlLbl val="0"/>
      </c:catAx>
      <c:valAx>
        <c:axId val="2025511936"/>
        <c:scaling>
          <c:orientation val="minMax"/>
        </c:scaling>
        <c:delete val="1"/>
        <c:axPos val="l"/>
        <c:numFmt formatCode="0%" sourceLinked="1"/>
        <c:majorTickMark val="none"/>
        <c:minorTickMark val="none"/>
        <c:tickLblPos val="nextTo"/>
        <c:crossAx val="202550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Catego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DATA.xlsx]Gap 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FSA</a:t>
            </a:r>
            <a:r>
              <a:rPr lang="en-US" baseline="0"/>
              <a:t> PERFOMANCE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'Gap Analysis'!$AA$49:$AA$50</c:f>
              <c:strCache>
                <c:ptCount val="1"/>
                <c:pt idx="0">
                  <c:v>February</c:v>
                </c:pt>
              </c:strCache>
            </c:strRef>
          </c:tx>
          <c:spPr>
            <a:solidFill>
              <a:schemeClr val="accent1"/>
            </a:solidFill>
            <a:ln>
              <a:noFill/>
            </a:ln>
            <a:effectLst/>
          </c:spPr>
          <c:invertIfNegative val="0"/>
          <c:cat>
            <c:strRef>
              <c:f>'Gap Analysis'!$Z$51:$Z$57</c:f>
              <c:strCache>
                <c:ptCount val="6"/>
                <c:pt idx="0">
                  <c:v>Diana Wairimu</c:v>
                </c:pt>
                <c:pt idx="1">
                  <c:v>Hope Nafula</c:v>
                </c:pt>
                <c:pt idx="2">
                  <c:v>Margaret Wanjiku</c:v>
                </c:pt>
                <c:pt idx="3">
                  <c:v>Newton Muthuri</c:v>
                </c:pt>
                <c:pt idx="4">
                  <c:v>Rodgers Omondi</c:v>
                </c:pt>
                <c:pt idx="5">
                  <c:v>Stacy Adhiambo</c:v>
                </c:pt>
              </c:strCache>
            </c:strRef>
          </c:cat>
          <c:val>
            <c:numRef>
              <c:f>'Gap Analysis'!$AA$51:$AA$57</c:f>
              <c:numCache>
                <c:formatCode>_(* #,##0_);_(* \(#,##0\);_(* "-"??_);_(@_)</c:formatCode>
                <c:ptCount val="6"/>
                <c:pt idx="0">
                  <c:v>860810</c:v>
                </c:pt>
                <c:pt idx="1">
                  <c:v>1136568</c:v>
                </c:pt>
                <c:pt idx="2">
                  <c:v>126489</c:v>
                </c:pt>
                <c:pt idx="3">
                  <c:v>327195</c:v>
                </c:pt>
                <c:pt idx="4">
                  <c:v>332990</c:v>
                </c:pt>
                <c:pt idx="5">
                  <c:v>419080</c:v>
                </c:pt>
              </c:numCache>
            </c:numRef>
          </c:val>
          <c:extLst xmlns:c16r2="http://schemas.microsoft.com/office/drawing/2015/06/chart">
            <c:ext xmlns:c16="http://schemas.microsoft.com/office/drawing/2014/chart" uri="{C3380CC4-5D6E-409C-BE32-E72D297353CC}">
              <c16:uniqueId val="{00000000-9393-4C72-BB03-EE36B5F0CE40}"/>
            </c:ext>
          </c:extLst>
        </c:ser>
        <c:ser>
          <c:idx val="1"/>
          <c:order val="1"/>
          <c:tx>
            <c:strRef>
              <c:f>'Gap Analysis'!$AB$49:$AB$50</c:f>
              <c:strCache>
                <c:ptCount val="1"/>
                <c:pt idx="0">
                  <c:v>March</c:v>
                </c:pt>
              </c:strCache>
            </c:strRef>
          </c:tx>
          <c:spPr>
            <a:solidFill>
              <a:schemeClr val="accent2"/>
            </a:solidFill>
            <a:ln>
              <a:noFill/>
            </a:ln>
            <a:effectLst/>
          </c:spPr>
          <c:invertIfNegative val="0"/>
          <c:cat>
            <c:strRef>
              <c:f>'Gap Analysis'!$Z$51:$Z$57</c:f>
              <c:strCache>
                <c:ptCount val="6"/>
                <c:pt idx="0">
                  <c:v>Diana Wairimu</c:v>
                </c:pt>
                <c:pt idx="1">
                  <c:v>Hope Nafula</c:v>
                </c:pt>
                <c:pt idx="2">
                  <c:v>Margaret Wanjiku</c:v>
                </c:pt>
                <c:pt idx="3">
                  <c:v>Newton Muthuri</c:v>
                </c:pt>
                <c:pt idx="4">
                  <c:v>Rodgers Omondi</c:v>
                </c:pt>
                <c:pt idx="5">
                  <c:v>Stacy Adhiambo</c:v>
                </c:pt>
              </c:strCache>
            </c:strRef>
          </c:cat>
          <c:val>
            <c:numRef>
              <c:f>'Gap Analysis'!$AB$51:$AB$57</c:f>
              <c:numCache>
                <c:formatCode>_(* #,##0_);_(* \(#,##0\);_(* "-"??_);_(@_)</c:formatCode>
                <c:ptCount val="6"/>
                <c:pt idx="0">
                  <c:v>209343</c:v>
                </c:pt>
                <c:pt idx="1">
                  <c:v>234505</c:v>
                </c:pt>
                <c:pt idx="2">
                  <c:v>217900</c:v>
                </c:pt>
                <c:pt idx="3">
                  <c:v>162211</c:v>
                </c:pt>
                <c:pt idx="4">
                  <c:v>141580</c:v>
                </c:pt>
                <c:pt idx="5">
                  <c:v>126665</c:v>
                </c:pt>
              </c:numCache>
            </c:numRef>
          </c:val>
          <c:extLst xmlns:c16r2="http://schemas.microsoft.com/office/drawing/2015/06/chart">
            <c:ext xmlns:c16="http://schemas.microsoft.com/office/drawing/2014/chart" uri="{C3380CC4-5D6E-409C-BE32-E72D297353CC}">
              <c16:uniqueId val="{00000001-9393-4C72-BB03-EE36B5F0CE40}"/>
            </c:ext>
          </c:extLst>
        </c:ser>
        <c:dLbls>
          <c:showLegendKey val="0"/>
          <c:showVal val="0"/>
          <c:showCatName val="0"/>
          <c:showSerName val="0"/>
          <c:showPercent val="0"/>
          <c:showBubbleSize val="0"/>
        </c:dLbls>
        <c:gapWidth val="219"/>
        <c:overlap val="-27"/>
        <c:axId val="2025501056"/>
        <c:axId val="2025505408"/>
      </c:barChart>
      <c:catAx>
        <c:axId val="202550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2025505408"/>
        <c:crosses val="autoZero"/>
        <c:auto val="1"/>
        <c:lblAlgn val="ctr"/>
        <c:lblOffset val="100"/>
        <c:noMultiLvlLbl val="0"/>
      </c:catAx>
      <c:valAx>
        <c:axId val="2025505408"/>
        <c:scaling>
          <c:orientation val="minMax"/>
        </c:scaling>
        <c:delete val="1"/>
        <c:axPos val="l"/>
        <c:numFmt formatCode="_(* #,##0_);_(* \(#,##0\);_(* &quot;-&quot;??_);_(@_)" sourceLinked="1"/>
        <c:majorTickMark val="none"/>
        <c:minorTickMark val="none"/>
        <c:tickLblPos val="nextTo"/>
        <c:crossAx val="202550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DATA.xlsx]Products 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53502154667358581"/>
          <c:y val="6.6174176144648586E-2"/>
          <c:w val="0.46497845332641419"/>
          <c:h val="0.8913830562846311"/>
        </c:manualLayout>
      </c:layout>
      <c:barChart>
        <c:barDir val="bar"/>
        <c:grouping val="clustered"/>
        <c:varyColors val="0"/>
        <c:ser>
          <c:idx val="0"/>
          <c:order val="0"/>
          <c:tx>
            <c:strRef>
              <c:f>'Products Pivot'!$C$3:$C$4</c:f>
              <c:strCache>
                <c:ptCount val="1"/>
                <c:pt idx="0">
                  <c:v>February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 Pivot'!$A$5:$B$28</c:f>
              <c:strCache>
                <c:ptCount val="23"/>
                <c:pt idx="0">
                  <c:v>Cooking Oil</c:v>
                </c:pt>
                <c:pt idx="1">
                  <c:v>Maize Flour</c:v>
                </c:pt>
                <c:pt idx="2">
                  <c:v>Sugar</c:v>
                </c:pt>
                <c:pt idx="3">
                  <c:v>Baking Flour</c:v>
                </c:pt>
                <c:pt idx="4">
                  <c:v>Rice</c:v>
                </c:pt>
                <c:pt idx="5">
                  <c:v>SOAPS</c:v>
                </c:pt>
                <c:pt idx="6">
                  <c:v>BABY CARE</c:v>
                </c:pt>
                <c:pt idx="7">
                  <c:v>SPAGHETTI &amp; NOODLES</c:v>
                </c:pt>
                <c:pt idx="8">
                  <c:v>BODY JELLY</c:v>
                </c:pt>
                <c:pt idx="9">
                  <c:v>Porridge Flour</c:v>
                </c:pt>
                <c:pt idx="10">
                  <c:v>COFFEE, COCOA &amp; TEA</c:v>
                </c:pt>
                <c:pt idx="11">
                  <c:v>SANITARY</c:v>
                </c:pt>
                <c:pt idx="12">
                  <c:v>BISCUITS</c:v>
                </c:pt>
                <c:pt idx="13">
                  <c:v>TISSUE</c:v>
                </c:pt>
                <c:pt idx="14">
                  <c:v>SALT</c:v>
                </c:pt>
                <c:pt idx="15">
                  <c:v>SHAVERS</c:v>
                </c:pt>
                <c:pt idx="16">
                  <c:v>LIGHTERS &amp; MATCHES</c:v>
                </c:pt>
                <c:pt idx="17">
                  <c:v>JAMS AND JELLIES</c:v>
                </c:pt>
                <c:pt idx="18">
                  <c:v>TOMATO SAUCE</c:v>
                </c:pt>
                <c:pt idx="19">
                  <c:v>Beans</c:v>
                </c:pt>
                <c:pt idx="20">
                  <c:v>SPICES</c:v>
                </c:pt>
                <c:pt idx="21">
                  <c:v>STATIONERY</c:v>
                </c:pt>
                <c:pt idx="22">
                  <c:v>(blank)</c:v>
                </c:pt>
              </c:strCache>
            </c:strRef>
          </c:cat>
          <c:val>
            <c:numRef>
              <c:f>'Products Pivot'!$C$5:$C$28</c:f>
              <c:numCache>
                <c:formatCode>_(* #,##0_);_(* \(#,##0\);_(* "-"??_);_(@_)</c:formatCode>
                <c:ptCount val="23"/>
                <c:pt idx="0">
                  <c:v>783395</c:v>
                </c:pt>
                <c:pt idx="1">
                  <c:v>249770</c:v>
                </c:pt>
                <c:pt idx="2">
                  <c:v>375675</c:v>
                </c:pt>
                <c:pt idx="3">
                  <c:v>253240</c:v>
                </c:pt>
                <c:pt idx="4">
                  <c:v>306700</c:v>
                </c:pt>
                <c:pt idx="5">
                  <c:v>194180</c:v>
                </c:pt>
                <c:pt idx="6">
                  <c:v>171700</c:v>
                </c:pt>
                <c:pt idx="7">
                  <c:v>61845</c:v>
                </c:pt>
                <c:pt idx="8">
                  <c:v>10925</c:v>
                </c:pt>
                <c:pt idx="10">
                  <c:v>10180</c:v>
                </c:pt>
                <c:pt idx="11">
                  <c:v>19960</c:v>
                </c:pt>
                <c:pt idx="12">
                  <c:v>9880</c:v>
                </c:pt>
                <c:pt idx="13">
                  <c:v>15510</c:v>
                </c:pt>
                <c:pt idx="14">
                  <c:v>10380</c:v>
                </c:pt>
                <c:pt idx="15">
                  <c:v>3148</c:v>
                </c:pt>
                <c:pt idx="16">
                  <c:v>3720</c:v>
                </c:pt>
                <c:pt idx="17">
                  <c:v>1560</c:v>
                </c:pt>
                <c:pt idx="18">
                  <c:v>1760</c:v>
                </c:pt>
                <c:pt idx="19">
                  <c:v>2425</c:v>
                </c:pt>
                <c:pt idx="20">
                  <c:v>2295</c:v>
                </c:pt>
                <c:pt idx="21">
                  <c:v>1055</c:v>
                </c:pt>
                <c:pt idx="22">
                  <c:v>260</c:v>
                </c:pt>
              </c:numCache>
            </c:numRef>
          </c:val>
          <c:extLst xmlns:c16r2="http://schemas.microsoft.com/office/drawing/2015/06/chart">
            <c:ext xmlns:c16="http://schemas.microsoft.com/office/drawing/2014/chart" uri="{C3380CC4-5D6E-409C-BE32-E72D297353CC}">
              <c16:uniqueId val="{00000000-355F-499A-B3E0-123BD8CA574B}"/>
            </c:ext>
          </c:extLst>
        </c:ser>
        <c:ser>
          <c:idx val="1"/>
          <c:order val="1"/>
          <c:tx>
            <c:strRef>
              <c:f>'Products Pivot'!$D$3:$D$4</c:f>
              <c:strCache>
                <c:ptCount val="1"/>
                <c:pt idx="0">
                  <c:v>March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 Pivot'!$A$5:$B$28</c:f>
              <c:strCache>
                <c:ptCount val="23"/>
                <c:pt idx="0">
                  <c:v>Cooking Oil</c:v>
                </c:pt>
                <c:pt idx="1">
                  <c:v>Maize Flour</c:v>
                </c:pt>
                <c:pt idx="2">
                  <c:v>Sugar</c:v>
                </c:pt>
                <c:pt idx="3">
                  <c:v>Baking Flour</c:v>
                </c:pt>
                <c:pt idx="4">
                  <c:v>Rice</c:v>
                </c:pt>
                <c:pt idx="5">
                  <c:v>SOAPS</c:v>
                </c:pt>
                <c:pt idx="6">
                  <c:v>BABY CARE</c:v>
                </c:pt>
                <c:pt idx="7">
                  <c:v>SPAGHETTI &amp; NOODLES</c:v>
                </c:pt>
                <c:pt idx="8">
                  <c:v>BODY JELLY</c:v>
                </c:pt>
                <c:pt idx="9">
                  <c:v>Porridge Flour</c:v>
                </c:pt>
                <c:pt idx="10">
                  <c:v>COFFEE, COCOA &amp; TEA</c:v>
                </c:pt>
                <c:pt idx="11">
                  <c:v>SANITARY</c:v>
                </c:pt>
                <c:pt idx="12">
                  <c:v>BISCUITS</c:v>
                </c:pt>
                <c:pt idx="13">
                  <c:v>TISSUE</c:v>
                </c:pt>
                <c:pt idx="14">
                  <c:v>SALT</c:v>
                </c:pt>
                <c:pt idx="15">
                  <c:v>SHAVERS</c:v>
                </c:pt>
                <c:pt idx="16">
                  <c:v>LIGHTERS &amp; MATCHES</c:v>
                </c:pt>
                <c:pt idx="17">
                  <c:v>JAMS AND JELLIES</c:v>
                </c:pt>
                <c:pt idx="18">
                  <c:v>TOMATO SAUCE</c:v>
                </c:pt>
                <c:pt idx="19">
                  <c:v>Beans</c:v>
                </c:pt>
                <c:pt idx="20">
                  <c:v>SPICES</c:v>
                </c:pt>
                <c:pt idx="21">
                  <c:v>STATIONERY</c:v>
                </c:pt>
                <c:pt idx="22">
                  <c:v>(blank)</c:v>
                </c:pt>
              </c:strCache>
            </c:strRef>
          </c:cat>
          <c:val>
            <c:numRef>
              <c:f>'Products Pivot'!$D$5:$D$28</c:f>
              <c:numCache>
                <c:formatCode>_(* #,##0_);_(* \(#,##0\);_(* "-"??_);_(@_)</c:formatCode>
                <c:ptCount val="23"/>
                <c:pt idx="0">
                  <c:v>21510</c:v>
                </c:pt>
                <c:pt idx="1">
                  <c:v>315353</c:v>
                </c:pt>
                <c:pt idx="2">
                  <c:v>162210</c:v>
                </c:pt>
                <c:pt idx="3">
                  <c:v>181945</c:v>
                </c:pt>
                <c:pt idx="4">
                  <c:v>83850</c:v>
                </c:pt>
                <c:pt idx="5">
                  <c:v>112240</c:v>
                </c:pt>
                <c:pt idx="6">
                  <c:v>50820</c:v>
                </c:pt>
                <c:pt idx="7">
                  <c:v>43680</c:v>
                </c:pt>
                <c:pt idx="8">
                  <c:v>42170</c:v>
                </c:pt>
                <c:pt idx="9">
                  <c:v>38035</c:v>
                </c:pt>
                <c:pt idx="10">
                  <c:v>10710</c:v>
                </c:pt>
                <c:pt idx="12">
                  <c:v>8840</c:v>
                </c:pt>
                <c:pt idx="14">
                  <c:v>2795</c:v>
                </c:pt>
                <c:pt idx="15">
                  <c:v>6530</c:v>
                </c:pt>
                <c:pt idx="16">
                  <c:v>5890</c:v>
                </c:pt>
                <c:pt idx="17">
                  <c:v>2790</c:v>
                </c:pt>
                <c:pt idx="18">
                  <c:v>2516</c:v>
                </c:pt>
                <c:pt idx="21">
                  <c:v>320</c:v>
                </c:pt>
              </c:numCache>
            </c:numRef>
          </c:val>
          <c:extLst xmlns:c16r2="http://schemas.microsoft.com/office/drawing/2015/06/chart">
            <c:ext xmlns:c16="http://schemas.microsoft.com/office/drawing/2014/chart" uri="{C3380CC4-5D6E-409C-BE32-E72D297353CC}">
              <c16:uniqueId val="{00000000-C337-44A8-B728-50F16387C2FE}"/>
            </c:ext>
          </c:extLst>
        </c:ser>
        <c:dLbls>
          <c:dLblPos val="outEnd"/>
          <c:showLegendKey val="0"/>
          <c:showVal val="1"/>
          <c:showCatName val="0"/>
          <c:showSerName val="0"/>
          <c:showPercent val="0"/>
          <c:showBubbleSize val="0"/>
        </c:dLbls>
        <c:gapWidth val="182"/>
        <c:axId val="2025509216"/>
        <c:axId val="2025497792"/>
      </c:barChart>
      <c:catAx>
        <c:axId val="202550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2025497792"/>
        <c:crosses val="autoZero"/>
        <c:auto val="1"/>
        <c:lblAlgn val="ctr"/>
        <c:lblOffset val="100"/>
        <c:noMultiLvlLbl val="0"/>
      </c:catAx>
      <c:valAx>
        <c:axId val="2025497792"/>
        <c:scaling>
          <c:orientation val="minMax"/>
        </c:scaling>
        <c:delete val="1"/>
        <c:axPos val="b"/>
        <c:numFmt formatCode="_(* #,##0_);_(* \(#,##0\);_(* &quot;-&quot;??_);_(@_)" sourceLinked="1"/>
        <c:majorTickMark val="none"/>
        <c:minorTickMark val="none"/>
        <c:tickLblPos val="nextTo"/>
        <c:crossAx val="2025509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times visited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'Productive Outlets'!$G$20:$G$24</c:f>
              <c:strCache>
                <c:ptCount val="5"/>
                <c:pt idx="0">
                  <c:v>Visited 1</c:v>
                </c:pt>
                <c:pt idx="1">
                  <c:v>Visited 2</c:v>
                </c:pt>
                <c:pt idx="2">
                  <c:v>Visit between 3 &amp; 5</c:v>
                </c:pt>
                <c:pt idx="3">
                  <c:v>Visited between 6 &amp; 9</c:v>
                </c:pt>
                <c:pt idx="4">
                  <c:v>Visited Above 10</c:v>
                </c:pt>
              </c:strCache>
            </c:strRef>
          </c:cat>
          <c:val>
            <c:numRef>
              <c:f>'Productive Outlets'!$I$20:$I$24</c:f>
              <c:numCache>
                <c:formatCode>0%</c:formatCode>
                <c:ptCount val="5"/>
                <c:pt idx="0">
                  <c:v>0.54738878143133463</c:v>
                </c:pt>
                <c:pt idx="1">
                  <c:v>0.16441005802707931</c:v>
                </c:pt>
                <c:pt idx="2">
                  <c:v>0.20502901353965183</c:v>
                </c:pt>
                <c:pt idx="3">
                  <c:v>6.1895551257253385E-2</c:v>
                </c:pt>
                <c:pt idx="4">
                  <c:v>2.1276595744680851E-2</c:v>
                </c:pt>
              </c:numCache>
            </c:numRef>
          </c:val>
          <c:extLst xmlns:c16r2="http://schemas.microsoft.com/office/drawing/2015/06/chart">
            <c:ext xmlns:c16="http://schemas.microsoft.com/office/drawing/2014/chart" uri="{C3380CC4-5D6E-409C-BE32-E72D297353CC}">
              <c16:uniqueId val="{00000000-3EC8-45B0-8FF8-C53924D3DBEC}"/>
            </c:ext>
          </c:extLst>
        </c:ser>
        <c:dLbls>
          <c:dLblPos val="outEnd"/>
          <c:showLegendKey val="0"/>
          <c:showVal val="1"/>
          <c:showCatName val="0"/>
          <c:showSerName val="0"/>
          <c:showPercent val="0"/>
          <c:showBubbleSize val="0"/>
        </c:dLbls>
        <c:gapWidth val="219"/>
        <c:overlap val="-27"/>
        <c:axId val="2025501600"/>
        <c:axId val="2025502144"/>
      </c:barChart>
      <c:catAx>
        <c:axId val="202550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
          </a:p>
        </c:txPr>
        <c:crossAx val="2025502144"/>
        <c:crosses val="autoZero"/>
        <c:auto val="1"/>
        <c:lblAlgn val="ctr"/>
        <c:lblOffset val="100"/>
        <c:noMultiLvlLbl val="0"/>
      </c:catAx>
      <c:valAx>
        <c:axId val="2025502144"/>
        <c:scaling>
          <c:orientation val="minMax"/>
        </c:scaling>
        <c:delete val="1"/>
        <c:axPos val="l"/>
        <c:numFmt formatCode="0%" sourceLinked="1"/>
        <c:majorTickMark val="none"/>
        <c:minorTickMark val="none"/>
        <c:tickLblPos val="nextTo"/>
        <c:crossAx val="202550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DATA.xlsx]Productive Outlets!Yearly</c:name>
    <c:fmtId val="0"/>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solidFill>
                  <a:srgbClr val="C00000"/>
                </a:solidFill>
              </a:rPr>
              <a:t>Productive Outlets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'Productive Outlets'!$H$4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'Productive Outlets'!$G$5:$G$15</c:f>
              <c:strCache>
                <c:ptCount val="10"/>
                <c:pt idx="0">
                  <c:v>Rodgers Omondi</c:v>
                </c:pt>
                <c:pt idx="1">
                  <c:v>Margaret Wanjiku</c:v>
                </c:pt>
                <c:pt idx="2">
                  <c:v>Stacy Adhiambo</c:v>
                </c:pt>
                <c:pt idx="3">
                  <c:v>Newton Muthuri</c:v>
                </c:pt>
                <c:pt idx="4">
                  <c:v>Diana Wairimu</c:v>
                </c:pt>
                <c:pt idx="5">
                  <c:v>Hope Nafula</c:v>
                </c:pt>
                <c:pt idx="6">
                  <c:v>Sarah Nyambura</c:v>
                </c:pt>
                <c:pt idx="7">
                  <c:v>Lucas Kimani</c:v>
                </c:pt>
                <c:pt idx="8">
                  <c:v>Simora Bunaka</c:v>
                </c:pt>
                <c:pt idx="9">
                  <c:v>(blank)</c:v>
                </c:pt>
              </c:strCache>
            </c:strRef>
          </c:cat>
          <c:val>
            <c:numRef>
              <c:f>'Productive Outlets'!$H$5:$H$15</c:f>
              <c:numCache>
                <c:formatCode>0%</c:formatCode>
                <c:ptCount val="10"/>
                <c:pt idx="0">
                  <c:v>0.21111111111111111</c:v>
                </c:pt>
                <c:pt idx="1">
                  <c:v>0.17592592592592593</c:v>
                </c:pt>
                <c:pt idx="2">
                  <c:v>0.17407407407407408</c:v>
                </c:pt>
                <c:pt idx="3">
                  <c:v>0.17037037037037037</c:v>
                </c:pt>
                <c:pt idx="4">
                  <c:v>0.12222222222222222</c:v>
                </c:pt>
                <c:pt idx="5">
                  <c:v>0.10740740740740741</c:v>
                </c:pt>
                <c:pt idx="6">
                  <c:v>7.5925925925925924E-2</c:v>
                </c:pt>
                <c:pt idx="7">
                  <c:v>1.1111111111111112E-2</c:v>
                </c:pt>
                <c:pt idx="8">
                  <c:v>5.5555555555555558E-3</c:v>
                </c:pt>
                <c:pt idx="9">
                  <c:v>1.8518518518518519E-3</c:v>
                </c:pt>
              </c:numCache>
            </c:numRef>
          </c:val>
          <c:extLst xmlns:c16r2="http://schemas.microsoft.com/office/drawing/2015/06/chart">
            <c:ext xmlns:c16="http://schemas.microsoft.com/office/drawing/2014/chart" uri="{C3380CC4-5D6E-409C-BE32-E72D297353CC}">
              <c16:uniqueId val="{00000000-F7C0-4F13-B96A-E038480B644F}"/>
            </c:ext>
          </c:extLst>
        </c:ser>
        <c:dLbls>
          <c:dLblPos val="outEnd"/>
          <c:showLegendKey val="0"/>
          <c:showVal val="1"/>
          <c:showCatName val="0"/>
          <c:showSerName val="0"/>
          <c:showPercent val="0"/>
          <c:showBubbleSize val="0"/>
        </c:dLbls>
        <c:gapWidth val="219"/>
        <c:overlap val="-27"/>
        <c:axId val="2025510848"/>
        <c:axId val="2025502688"/>
      </c:barChart>
      <c:catAx>
        <c:axId val="202551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
          </a:p>
        </c:txPr>
        <c:crossAx val="2025502688"/>
        <c:crosses val="autoZero"/>
        <c:auto val="1"/>
        <c:lblAlgn val="ctr"/>
        <c:lblOffset val="100"/>
        <c:noMultiLvlLbl val="0"/>
      </c:catAx>
      <c:valAx>
        <c:axId val="2025502688"/>
        <c:scaling>
          <c:orientation val="minMax"/>
        </c:scaling>
        <c:delete val="1"/>
        <c:axPos val="l"/>
        <c:numFmt formatCode="0%" sourceLinked="1"/>
        <c:majorTickMark val="none"/>
        <c:minorTickMark val="none"/>
        <c:tickLblPos val="nextTo"/>
        <c:crossAx val="2025510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DATA.xlsx]Productive Outlets!PivotTable16</c:name>
    <c:fmtId val="8"/>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Outlet Visit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
        </a:p>
      </c:txPr>
    </c:title>
    <c:autoTitleDeleted val="0"/>
    <c:pivotFmts>
      <c:pivotFmt>
        <c:idx val="0"/>
        <c:spPr>
          <a:solidFill>
            <a:schemeClr val="accent1"/>
          </a:solidFill>
          <a:ln w="25400">
            <a:solidFill>
              <a:schemeClr val="lt1"/>
            </a:solidFill>
          </a:ln>
          <a:effectLst/>
          <a:scene3d>
            <a:camera prst="orthographicFront"/>
            <a:lightRig rig="threePt" dir="t"/>
          </a:scene3d>
          <a:sp3d contourW="25400">
            <a:bevelT/>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C00000"/>
          </a:solidFill>
          <a:ln w="25400">
            <a:noFill/>
          </a:ln>
          <a:effectLst/>
          <a:scene3d>
            <a:camera prst="orthographicFront"/>
            <a:lightRig rig="threePt" dir="t"/>
          </a:scene3d>
          <a:sp3d>
            <a:bevelT/>
            <a:bevelB/>
            <a:contourClr>
              <a:srgbClr val="000000"/>
            </a:contourClr>
          </a:sp3d>
        </c:spPr>
        <c:dLbl>
          <c:idx val="0"/>
          <c:layout>
            <c:manualLayout>
              <c:x val="0.10446972270218914"/>
              <c:y val="-0.1630331153748947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2"/>
        <c:spPr>
          <a:solidFill>
            <a:schemeClr val="accent1"/>
          </a:solidFill>
          <a:ln w="25400">
            <a:solidFill>
              <a:schemeClr val="lt1"/>
            </a:solidFill>
          </a:ln>
          <a:effectLst/>
          <a:scene3d>
            <a:camera prst="orthographicFront"/>
            <a:lightRig rig="threePt" dir="t"/>
          </a:scene3d>
          <a:sp3d contourW="25400">
            <a:bevelT/>
            <a:bevelB/>
            <a:contourClr>
              <a:schemeClr val="lt1"/>
            </a:contourClr>
          </a:sp3d>
        </c:spPr>
        <c:dLbl>
          <c:idx val="0"/>
          <c:layout>
            <c:manualLayout>
              <c:x val="1.2358778964157434E-2"/>
              <c:y val="0.1479840337470260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3"/>
        <c:spPr>
          <a:solidFill>
            <a:schemeClr val="accent1"/>
          </a:solidFill>
          <a:ln w="25400">
            <a:solidFill>
              <a:schemeClr val="lt1"/>
            </a:solidFill>
          </a:ln>
          <a:effectLst/>
          <a:scene3d>
            <a:camera prst="orthographicFront"/>
            <a:lightRig rig="threePt" dir="t"/>
          </a:scene3d>
          <a:sp3d contourW="25400">
            <a:bevelT/>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5400">
            <a:solidFill>
              <a:schemeClr val="lt1"/>
            </a:solidFill>
          </a:ln>
          <a:effectLst/>
          <a:scene3d>
            <a:camera prst="orthographicFront"/>
            <a:lightRig rig="threePt" dir="t"/>
          </a:scene3d>
          <a:sp3d contourW="25400">
            <a:bevelT/>
            <a:bevelB/>
            <a:contourClr>
              <a:schemeClr val="lt1"/>
            </a:contourClr>
          </a:sp3d>
        </c:spPr>
        <c:dLbl>
          <c:idx val="0"/>
          <c:layout>
            <c:manualLayout>
              <c:x val="1.2358778964157434E-2"/>
              <c:y val="0.1479840337470260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5"/>
        <c:spPr>
          <a:solidFill>
            <a:srgbClr val="C00000"/>
          </a:solidFill>
          <a:ln w="25400">
            <a:noFill/>
          </a:ln>
          <a:effectLst/>
          <a:scene3d>
            <a:camera prst="orthographicFront"/>
            <a:lightRig rig="threePt" dir="t"/>
          </a:scene3d>
          <a:sp3d>
            <a:bevelT/>
            <a:bevelB/>
            <a:contourClr>
              <a:srgbClr val="000000"/>
            </a:contourClr>
          </a:sp3d>
        </c:spPr>
        <c:dLbl>
          <c:idx val="0"/>
          <c:layout>
            <c:manualLayout>
              <c:x val="0.10446972270218914"/>
              <c:y val="-0.1630331153748947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6"/>
        <c:spPr>
          <a:solidFill>
            <a:schemeClr val="accent1"/>
          </a:solidFill>
          <a:ln w="25400">
            <a:solidFill>
              <a:schemeClr val="lt1"/>
            </a:solidFill>
          </a:ln>
          <a:effectLst/>
          <a:scene3d>
            <a:camera prst="orthographicFront"/>
            <a:lightRig rig="threePt" dir="t"/>
          </a:scene3d>
          <a:sp3d contourW="25400">
            <a:bevelT/>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5400">
            <a:solidFill>
              <a:schemeClr val="lt1"/>
            </a:solidFill>
          </a:ln>
          <a:effectLst/>
          <a:scene3d>
            <a:camera prst="orthographicFront"/>
            <a:lightRig rig="threePt" dir="t"/>
          </a:scene3d>
          <a:sp3d contourW="25400">
            <a:bevelT/>
            <a:bevelB/>
            <a:contourClr>
              <a:schemeClr val="lt1"/>
            </a:contourClr>
          </a:sp3d>
        </c:spPr>
        <c:dLbl>
          <c:idx val="0"/>
          <c:layout>
            <c:manualLayout>
              <c:x val="1.2358778964157434E-2"/>
              <c:y val="0.1479840337470260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8"/>
        <c:spPr>
          <a:solidFill>
            <a:srgbClr val="C00000"/>
          </a:solidFill>
          <a:ln w="25400">
            <a:noFill/>
          </a:ln>
          <a:effectLst/>
          <a:scene3d>
            <a:camera prst="orthographicFront"/>
            <a:lightRig rig="threePt" dir="t"/>
          </a:scene3d>
          <a:sp3d>
            <a:bevelT/>
            <a:bevelB/>
            <a:contourClr>
              <a:srgbClr val="000000"/>
            </a:contourClr>
          </a:sp3d>
        </c:spPr>
        <c:dLbl>
          <c:idx val="0"/>
          <c:layout>
            <c:manualLayout>
              <c:x val="0.10446972270218914"/>
              <c:y val="-0.1630331153748947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9"/>
        <c:spPr>
          <a:solidFill>
            <a:schemeClr val="accent1"/>
          </a:solidFill>
          <a:ln w="25400">
            <a:solidFill>
              <a:schemeClr val="lt1"/>
            </a:solidFill>
          </a:ln>
          <a:effectLst/>
          <a:scene3d>
            <a:camera prst="orthographicFront"/>
            <a:lightRig rig="threePt" dir="t"/>
          </a:scene3d>
          <a:sp3d contourW="25400">
            <a:bevelT/>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22666375036453776"/>
          <c:w val="0.73539989859160482"/>
          <c:h val="0.60052842182867805"/>
        </c:manualLayout>
      </c:layout>
      <c:pie3DChart>
        <c:varyColors val="1"/>
        <c:ser>
          <c:idx val="0"/>
          <c:order val="0"/>
          <c:tx>
            <c:strRef>
              <c:f>'Productive Outlets'!$M$4</c:f>
              <c:strCache>
                <c:ptCount val="1"/>
                <c:pt idx="0">
                  <c:v>Total</c:v>
                </c:pt>
              </c:strCache>
            </c:strRef>
          </c:tx>
          <c:spPr>
            <a:scene3d>
              <a:camera prst="orthographicFront"/>
              <a:lightRig rig="threePt" dir="t"/>
            </a:scene3d>
            <a:sp3d>
              <a:bevelT/>
              <a:contourClr>
                <a:srgbClr val="000000"/>
              </a:contourClr>
            </a:sp3d>
          </c:spPr>
          <c:dPt>
            <c:idx val="0"/>
            <c:bubble3D val="0"/>
            <c:spPr>
              <a:solidFill>
                <a:schemeClr val="accent1"/>
              </a:solidFill>
              <a:ln w="25400">
                <a:solidFill>
                  <a:schemeClr val="lt1"/>
                </a:solidFill>
              </a:ln>
              <a:effectLst/>
              <a:scene3d>
                <a:camera prst="orthographicFront"/>
                <a:lightRig rig="threePt" dir="t"/>
              </a:scene3d>
              <a:sp3d contourW="25400">
                <a:bevelT/>
                <a:contourClr>
                  <a:schemeClr val="lt1"/>
                </a:contourClr>
              </a:sp3d>
            </c:spPr>
            <c:extLst xmlns:c16r2="http://schemas.microsoft.com/office/drawing/2015/06/chart">
              <c:ext xmlns:c16="http://schemas.microsoft.com/office/drawing/2014/chart" uri="{C3380CC4-5D6E-409C-BE32-E72D297353CC}">
                <c16:uniqueId val="{00000001-58AE-4692-BDCE-B2F5EC74FA11}"/>
              </c:ext>
            </c:extLst>
          </c:dPt>
          <c:dPt>
            <c:idx val="1"/>
            <c:bubble3D val="0"/>
            <c:spPr>
              <a:solidFill>
                <a:schemeClr val="accent2"/>
              </a:solidFill>
              <a:ln w="25400">
                <a:solidFill>
                  <a:schemeClr val="lt1"/>
                </a:solidFill>
              </a:ln>
              <a:effectLst/>
              <a:scene3d>
                <a:camera prst="orthographicFront"/>
                <a:lightRig rig="threePt" dir="t"/>
              </a:scene3d>
              <a:sp3d contourW="25400">
                <a:bevelT/>
                <a:bevelB/>
                <a:contourClr>
                  <a:schemeClr val="lt1"/>
                </a:contourClr>
              </a:sp3d>
            </c:spPr>
            <c:extLst xmlns:c16r2="http://schemas.microsoft.com/office/drawing/2015/06/chart">
              <c:ext xmlns:c16="http://schemas.microsoft.com/office/drawing/2014/chart" uri="{C3380CC4-5D6E-409C-BE32-E72D297353CC}">
                <c16:uniqueId val="{00000003-58AE-4692-BDCE-B2F5EC74FA11}"/>
              </c:ext>
            </c:extLst>
          </c:dPt>
          <c:dPt>
            <c:idx val="2"/>
            <c:bubble3D val="0"/>
            <c:spPr>
              <a:solidFill>
                <a:srgbClr val="C00000"/>
              </a:solidFill>
              <a:ln w="25400">
                <a:noFill/>
              </a:ln>
              <a:effectLst/>
              <a:scene3d>
                <a:camera prst="orthographicFront"/>
                <a:lightRig rig="threePt" dir="t"/>
              </a:scene3d>
              <a:sp3d>
                <a:bevelT/>
                <a:bevelB/>
                <a:contourClr>
                  <a:srgbClr val="000000"/>
                </a:contourClr>
              </a:sp3d>
            </c:spPr>
            <c:extLst xmlns:c16r2="http://schemas.microsoft.com/office/drawing/2015/06/chart">
              <c:ext xmlns:c16="http://schemas.microsoft.com/office/drawing/2014/chart" uri="{C3380CC4-5D6E-409C-BE32-E72D297353CC}">
                <c16:uniqueId val="{00000005-3B99-44E3-9281-17B457A578A3}"/>
              </c:ext>
            </c:extLst>
          </c:dPt>
          <c:dLbls>
            <c:dLbl>
              <c:idx val="1"/>
              <c:layout>
                <c:manualLayout>
                  <c:x val="1.2358778964157434E-2"/>
                  <c:y val="0.14798403374702607"/>
                </c:manualLayout>
              </c:layout>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dLbl>
              <c:idx val="2"/>
              <c:layout>
                <c:manualLayout>
                  <c:x val="0.10446972270218914"/>
                  <c:y val="-0.16303311537489473"/>
                </c:manualLayout>
              </c:layout>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'Productive Outlets'!$L$5:$L$8</c:f>
              <c:strCache>
                <c:ptCount val="3"/>
                <c:pt idx="0">
                  <c:v>(blank)</c:v>
                </c:pt>
                <c:pt idx="1">
                  <c:v>February</c:v>
                </c:pt>
                <c:pt idx="2">
                  <c:v>March</c:v>
                </c:pt>
              </c:strCache>
            </c:strRef>
          </c:cat>
          <c:val>
            <c:numRef>
              <c:f>'Productive Outlets'!$M$5:$M$8</c:f>
              <c:numCache>
                <c:formatCode>0%</c:formatCode>
                <c:ptCount val="3"/>
                <c:pt idx="0">
                  <c:v>1.8518518518518519E-3</c:v>
                </c:pt>
                <c:pt idx="1">
                  <c:v>0.73703703703703705</c:v>
                </c:pt>
                <c:pt idx="2">
                  <c:v>0.49629629629629629</c:v>
                </c:pt>
              </c:numCache>
            </c:numRef>
          </c:val>
          <c:extLst xmlns:c16r2="http://schemas.microsoft.com/office/drawing/2015/06/chart">
            <c:ext xmlns:c16="http://schemas.microsoft.com/office/drawing/2014/chart" uri="{C3380CC4-5D6E-409C-BE32-E72D297353CC}">
              <c16:uniqueId val="{00000004-58AE-4692-BDCE-B2F5EC74FA11}"/>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 for Sound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'Return pv'!$G$11:$G$17</c:f>
              <c:strCache>
                <c:ptCount val="7"/>
                <c:pt idx="0">
                  <c:v>Stock outs from the warehouse</c:v>
                </c:pt>
                <c:pt idx="1">
                  <c:v>Late Delivery</c:v>
                </c:pt>
                <c:pt idx="2">
                  <c:v>Retailer changed mind to puchase from a competitor</c:v>
                </c:pt>
                <c:pt idx="3">
                  <c:v>Retailer didn't have enough cash</c:v>
                </c:pt>
                <c:pt idx="4">
                  <c:v>Wasn't supplied due to dispatch lisence and county boundaries</c:v>
                </c:pt>
                <c:pt idx="5">
                  <c:v>The shop was closed</c:v>
                </c:pt>
                <c:pt idx="6">
                  <c:v>Customer's payment transaction delayed to reflect.</c:v>
                </c:pt>
              </c:strCache>
            </c:strRef>
          </c:cat>
          <c:val>
            <c:numRef>
              <c:f>'Return pv'!$I$11:$I$17</c:f>
              <c:numCache>
                <c:formatCode>0%</c:formatCode>
                <c:ptCount val="7"/>
                <c:pt idx="0">
                  <c:v>0.41623330990864371</c:v>
                </c:pt>
                <c:pt idx="1">
                  <c:v>0.21345748418833452</c:v>
                </c:pt>
                <c:pt idx="2">
                  <c:v>0.13295853829936755</c:v>
                </c:pt>
                <c:pt idx="3">
                  <c:v>0.10913562895291637</c:v>
                </c:pt>
                <c:pt idx="4">
                  <c:v>5.945186226282502E-2</c:v>
                </c:pt>
                <c:pt idx="5">
                  <c:v>5.0983836964160222E-2</c:v>
                </c:pt>
                <c:pt idx="6">
                  <c:v>1.7779339423752635E-2</c:v>
                </c:pt>
              </c:numCache>
            </c:numRef>
          </c:val>
          <c:extLst xmlns:c16r2="http://schemas.microsoft.com/office/drawing/2015/06/chart">
            <c:ext xmlns:c16="http://schemas.microsoft.com/office/drawing/2014/chart" uri="{C3380CC4-5D6E-409C-BE32-E72D297353CC}">
              <c16:uniqueId val="{00000000-0690-46C2-950F-075C8A481192}"/>
            </c:ext>
          </c:extLst>
        </c:ser>
        <c:dLbls>
          <c:dLblPos val="outEnd"/>
          <c:showLegendKey val="0"/>
          <c:showVal val="1"/>
          <c:showCatName val="0"/>
          <c:showSerName val="0"/>
          <c:showPercent val="0"/>
          <c:showBubbleSize val="0"/>
        </c:dLbls>
        <c:gapWidth val="219"/>
        <c:overlap val="-27"/>
        <c:axId val="2025498336"/>
        <c:axId val="2025496704"/>
      </c:barChart>
      <c:catAx>
        <c:axId val="202549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2025496704"/>
        <c:crosses val="autoZero"/>
        <c:auto val="1"/>
        <c:lblAlgn val="ctr"/>
        <c:lblOffset val="100"/>
        <c:noMultiLvlLbl val="0"/>
      </c:catAx>
      <c:valAx>
        <c:axId val="2025496704"/>
        <c:scaling>
          <c:orientation val="minMax"/>
        </c:scaling>
        <c:delete val="1"/>
        <c:axPos val="l"/>
        <c:numFmt formatCode="0%" sourceLinked="1"/>
        <c:majorTickMark val="none"/>
        <c:minorTickMark val="none"/>
        <c:tickLblPos val="nextTo"/>
        <c:crossAx val="202549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DATA.xlsx]Return pv!PivotTable3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'Return pv'!$E$5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'Return pv'!$D$6:$D$32</c:f>
              <c:strCache>
                <c:ptCount val="26"/>
                <c:pt idx="0">
                  <c:v>Late Delivery</c:v>
                </c:pt>
                <c:pt idx="1">
                  <c:v>Retailer changed mind to puchase from a competitor</c:v>
                </c:pt>
                <c:pt idx="2">
                  <c:v>The shop was closed</c:v>
                </c:pt>
                <c:pt idx="3">
                  <c:v>Retailer didn't have enough cash</c:v>
                </c:pt>
                <c:pt idx="4">
                  <c:v>customer Didn't have sufficient funds</c:v>
                </c:pt>
                <c:pt idx="5">
                  <c:v>License coverage limited to Nairobi Count(Kiambu Orders)</c:v>
                </c:pt>
                <c:pt idx="6">
                  <c:v>The customer didn't have sufficient funds thus declined to receive the delivery.</c:v>
                </c:pt>
                <c:pt idx="7">
                  <c:v>(blank)</c:v>
                </c:pt>
                <c:pt idx="8">
                  <c:v>Customer claimed they didn’t place any order</c:v>
                </c:pt>
                <c:pt idx="9">
                  <c:v>Customer was unavailable at the point of delivery</c:v>
                </c:pt>
                <c:pt idx="10">
                  <c:v>Shop closed at the point of delivery</c:v>
                </c:pt>
                <c:pt idx="11">
                  <c:v>Shop was closed</c:v>
                </c:pt>
                <c:pt idx="12">
                  <c:v>customer canceled the order</c:v>
                </c:pt>
                <c:pt idx="13">
                  <c:v>customer claimed to have ordered 1 instead of 2</c:v>
                </c:pt>
                <c:pt idx="14">
                  <c:v>Customer canceled the order after dispatch</c:v>
                </c:pt>
                <c:pt idx="15">
                  <c:v>Customer's payment transaction delayed to reflect.</c:v>
                </c:pt>
                <c:pt idx="16">
                  <c:v>Customer had an emergency</c:v>
                </c:pt>
                <c:pt idx="17">
                  <c:v>customer had insufficient funds</c:v>
                </c:pt>
                <c:pt idx="18">
                  <c:v>Order placed under a wrong outlet</c:v>
                </c:pt>
                <c:pt idx="19">
                  <c:v>Cancelled due Late Delivery</c:v>
                </c:pt>
                <c:pt idx="20">
                  <c:v>cutomer was unavailable</c:v>
                </c:pt>
                <c:pt idx="21">
                  <c:v>Customer changed his preference</c:v>
                </c:pt>
                <c:pt idx="22">
                  <c:v>Customer bought from a competitor</c:v>
                </c:pt>
                <c:pt idx="23">
                  <c:v>customer purchased from a competitor</c:v>
                </c:pt>
                <c:pt idx="24">
                  <c:v>The shop owner who had placed the order wasn't available at the point of delivery.</c:v>
                </c:pt>
                <c:pt idx="25">
                  <c:v>Retailer had insufficient funds</c:v>
                </c:pt>
              </c:strCache>
            </c:strRef>
          </c:cat>
          <c:val>
            <c:numRef>
              <c:f>'Return pv'!$E$6:$E$32</c:f>
              <c:numCache>
                <c:formatCode>0%</c:formatCode>
                <c:ptCount val="26"/>
                <c:pt idx="0">
                  <c:v>0.46513166318125559</c:v>
                </c:pt>
                <c:pt idx="1">
                  <c:v>8.0747727369723868E-2</c:v>
                </c:pt>
                <c:pt idx="2">
                  <c:v>6.6642482181725068E-2</c:v>
                </c:pt>
                <c:pt idx="3">
                  <c:v>6.6279714907601039E-2</c:v>
                </c:pt>
                <c:pt idx="4">
                  <c:v>5.6698391020443002E-2</c:v>
                </c:pt>
                <c:pt idx="5">
                  <c:v>4.3660108403397208E-2</c:v>
                </c:pt>
                <c:pt idx="6">
                  <c:v>2.7783705347616407E-2</c:v>
                </c:pt>
                <c:pt idx="7">
                  <c:v>2.6332636251120312E-2</c:v>
                </c:pt>
                <c:pt idx="8">
                  <c:v>2.3942640092185566E-2</c:v>
                </c:pt>
                <c:pt idx="9">
                  <c:v>1.7156758140924416E-2</c:v>
                </c:pt>
                <c:pt idx="10">
                  <c:v>1.651658059835261E-2</c:v>
                </c:pt>
                <c:pt idx="11">
                  <c:v>1.3571763902522299E-2</c:v>
                </c:pt>
                <c:pt idx="12">
                  <c:v>1.1779266783321241E-2</c:v>
                </c:pt>
                <c:pt idx="13">
                  <c:v>1.0883018223720712E-2</c:v>
                </c:pt>
                <c:pt idx="14">
                  <c:v>1.0883018223720712E-2</c:v>
                </c:pt>
                <c:pt idx="15">
                  <c:v>1.0797661218044471E-2</c:v>
                </c:pt>
                <c:pt idx="16">
                  <c:v>1.0584268703853868E-2</c:v>
                </c:pt>
                <c:pt idx="17">
                  <c:v>7.682130510861679E-3</c:v>
                </c:pt>
                <c:pt idx="18">
                  <c:v>6.0176689001749818E-3</c:v>
                </c:pt>
                <c:pt idx="19">
                  <c:v>5.9323118944987407E-3</c:v>
                </c:pt>
                <c:pt idx="20">
                  <c:v>5.2921343519269342E-3</c:v>
                </c:pt>
                <c:pt idx="21">
                  <c:v>5.121420340574453E-3</c:v>
                </c:pt>
                <c:pt idx="22">
                  <c:v>4.6092783065170076E-3</c:v>
                </c:pt>
                <c:pt idx="23">
                  <c:v>2.6674064273825276E-3</c:v>
                </c:pt>
                <c:pt idx="24">
                  <c:v>2.3899961589347444E-3</c:v>
                </c:pt>
                <c:pt idx="25">
                  <c:v>8.9624855960052921E-4</c:v>
                </c:pt>
              </c:numCache>
            </c:numRef>
          </c:val>
          <c:extLst xmlns:c16r2="http://schemas.microsoft.com/office/drawing/2015/06/chart">
            <c:ext xmlns:c16="http://schemas.microsoft.com/office/drawing/2014/chart" uri="{C3380CC4-5D6E-409C-BE32-E72D297353CC}">
              <c16:uniqueId val="{00000000-B7A3-4316-B69C-39385E9203A9}"/>
            </c:ext>
          </c:extLst>
        </c:ser>
        <c:dLbls>
          <c:dLblPos val="outEnd"/>
          <c:showLegendKey val="0"/>
          <c:showVal val="1"/>
          <c:showCatName val="0"/>
          <c:showSerName val="0"/>
          <c:showPercent val="0"/>
          <c:showBubbleSize val="0"/>
        </c:dLbls>
        <c:gapWidth val="219"/>
        <c:overlap val="-27"/>
        <c:axId val="2025505952"/>
        <c:axId val="2025504320"/>
      </c:barChart>
      <c:catAx>
        <c:axId val="20255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2025504320"/>
        <c:crosses val="autoZero"/>
        <c:auto val="1"/>
        <c:lblAlgn val="ctr"/>
        <c:lblOffset val="100"/>
        <c:noMultiLvlLbl val="0"/>
      </c:catAx>
      <c:valAx>
        <c:axId val="202550432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02550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[HSW DATA.xlsx]NON Dispatch Pivot!PivotTable17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a:t>
            </a:r>
            <a:r>
              <a:rPr lang="en-US" baseline="0"/>
              <a:t> for Non Dispatch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'NON Dispatch 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'NON Dispatch Pivot'!$A$5:$A$10</c:f>
              <c:strCache>
                <c:ptCount val="5"/>
                <c:pt idx="0">
                  <c:v>Stock outs from the warehouse</c:v>
                </c:pt>
                <c:pt idx="1">
                  <c:v>Delivered Previous Day</c:v>
                </c:pt>
                <c:pt idx="2">
                  <c:v>All had been generated in Uthiru</c:v>
                </c:pt>
                <c:pt idx="3">
                  <c:v>Customer canceled the order before dispatch</c:v>
                </c:pt>
                <c:pt idx="4">
                  <c:v>Product wasn’t on the catalogue</c:v>
                </c:pt>
              </c:strCache>
            </c:strRef>
          </c:cat>
          <c:val>
            <c:numRef>
              <c:f>'NON Dispatch Pivot'!$B$5:$B$10</c:f>
              <c:numCache>
                <c:formatCode>0%</c:formatCode>
                <c:ptCount val="5"/>
                <c:pt idx="0">
                  <c:v>0.78179876899886946</c:v>
                </c:pt>
                <c:pt idx="1">
                  <c:v>9.0867981409370677E-2</c:v>
                </c:pt>
                <c:pt idx="2">
                  <c:v>6.8521542519783943E-2</c:v>
                </c:pt>
                <c:pt idx="3">
                  <c:v>4.9993719381987191E-2</c:v>
                </c:pt>
                <c:pt idx="4">
                  <c:v>8.8179876899886957E-3</c:v>
                </c:pt>
              </c:numCache>
            </c:numRef>
          </c:val>
          <c:extLst xmlns:c16r2="http://schemas.microsoft.com/office/drawing/2015/06/chart">
            <c:ext xmlns:c16="http://schemas.microsoft.com/office/drawing/2014/chart" uri="{C3380CC4-5D6E-409C-BE32-E72D297353CC}">
              <c16:uniqueId val="{00000000-FA96-4B72-B606-C99161A935ED}"/>
            </c:ext>
          </c:extLst>
        </c:ser>
        <c:dLbls>
          <c:dLblPos val="outEnd"/>
          <c:showLegendKey val="0"/>
          <c:showVal val="1"/>
          <c:showCatName val="0"/>
          <c:showSerName val="0"/>
          <c:showPercent val="0"/>
          <c:showBubbleSize val="0"/>
        </c:dLbls>
        <c:gapWidth val="219"/>
        <c:overlap val="-27"/>
        <c:axId val="2025507584"/>
        <c:axId val="2025498880"/>
      </c:barChart>
      <c:catAx>
        <c:axId val="202550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2025498880"/>
        <c:crosses val="autoZero"/>
        <c:auto val="1"/>
        <c:lblAlgn val="ctr"/>
        <c:lblOffset val="100"/>
        <c:noMultiLvlLbl val="0"/>
      </c:catAx>
      <c:valAx>
        <c:axId val="2025498880"/>
        <c:scaling>
          <c:orientation val="minMax"/>
        </c:scaling>
        <c:delete val="1"/>
        <c:axPos val="l"/>
        <c:numFmt formatCode="0%" sourceLinked="1"/>
        <c:majorTickMark val="none"/>
        <c:minorTickMark val="none"/>
        <c:tickLblPos val="nextTo"/>
        <c:crossAx val="2025507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2">
                    <a:lumMod val="10000"/>
                  </a:schemeClr>
                </a:solidFill>
                <a:latin typeface="Trebuchet MS" panose="020B0603020202020204" pitchFamily="34" charset="0"/>
                <a:ea typeface="+mn-ea"/>
                <a:cs typeface="+mn-cs"/>
              </a:defRPr>
            </a:pPr>
            <a:r>
              <a:rPr lang="en-US" b="1">
                <a:solidFill>
                  <a:schemeClr val="bg2">
                    <a:lumMod val="10000"/>
                  </a:schemeClr>
                </a:solidFill>
                <a:latin typeface="Trebuchet MS" panose="020B0603020202020204" pitchFamily="34" charset="0"/>
              </a:rPr>
              <a:t>Dispatch Vs Retuns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2">
                  <a:lumMod val="10000"/>
                </a:schemeClr>
              </a:solidFill>
              <a:latin typeface="Trebuchet MS" panose="020B0603020202020204" pitchFamily="34" charset="0"/>
              <a:ea typeface="+mn-ea"/>
              <a:cs typeface="+mn-cs"/>
            </a:defRPr>
          </a:pPr>
          <a:endParaRPr lang=""/>
        </a:p>
      </c:txPr>
    </c:title>
    <c:autoTitleDeleted val="0"/>
    <c:plotArea>
      <c:layout/>
      <c:barChart>
        <c:barDir val="col"/>
        <c:grouping val="clustered"/>
        <c:varyColors val="0"/>
        <c:ser>
          <c:idx val="0"/>
          <c:order val="0"/>
          <c:tx>
            <c:strRef>
              <c:f>Dashboard!$S$48</c:f>
              <c:strCache>
                <c:ptCount val="1"/>
                <c:pt idx="0">
                  <c:v>Dispatch</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Dashboard!$A$49:$A$54</c:f>
              <c:strCache>
                <c:ptCount val="6"/>
                <c:pt idx="0">
                  <c:v>Diana Wairimu</c:v>
                </c:pt>
                <c:pt idx="1">
                  <c:v>Hope Nafula</c:v>
                </c:pt>
                <c:pt idx="2">
                  <c:v>Newton Muthuri</c:v>
                </c:pt>
                <c:pt idx="3">
                  <c:v>Rodgers Omondi</c:v>
                </c:pt>
                <c:pt idx="4">
                  <c:v>Margaret Wanjiku</c:v>
                </c:pt>
                <c:pt idx="5">
                  <c:v>Stacy Adhiambo</c:v>
                </c:pt>
              </c:strCache>
            </c:strRef>
          </c:cat>
          <c:val>
            <c:numRef>
              <c:f>Dashboard!$S$49:$S$54</c:f>
              <c:numCache>
                <c:formatCode>_(* #,##0_);_(* \(#,##0\);_(* "-"??_);_(@_)</c:formatCode>
                <c:ptCount val="6"/>
                <c:pt idx="0">
                  <c:v>15960</c:v>
                </c:pt>
                <c:pt idx="1">
                  <c:v>14005</c:v>
                </c:pt>
                <c:pt idx="2">
                  <c:v>10025</c:v>
                </c:pt>
                <c:pt idx="3">
                  <c:v>13930</c:v>
                </c:pt>
                <c:pt idx="4">
                  <c:v>14945</c:v>
                </c:pt>
                <c:pt idx="5">
                  <c:v>7700</c:v>
                </c:pt>
              </c:numCache>
            </c:numRef>
          </c:val>
          <c:extLst xmlns:c16r2="http://schemas.microsoft.com/office/drawing/2015/06/chart">
            <c:ext xmlns:c16="http://schemas.microsoft.com/office/drawing/2014/chart" uri="{C3380CC4-5D6E-409C-BE32-E72D297353CC}">
              <c16:uniqueId val="{00000000-60F0-46F1-BC36-10AA3B6267E0}"/>
            </c:ext>
          </c:extLst>
        </c:ser>
        <c:ser>
          <c:idx val="1"/>
          <c:order val="1"/>
          <c:tx>
            <c:strRef>
              <c:f>Dashboard!$T$48</c:f>
              <c:strCache>
                <c:ptCount val="1"/>
                <c:pt idx="0">
                  <c:v>Return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Dashboard!$A$49:$A$54</c:f>
              <c:strCache>
                <c:ptCount val="6"/>
                <c:pt idx="0">
                  <c:v>Diana Wairimu</c:v>
                </c:pt>
                <c:pt idx="1">
                  <c:v>Hope Nafula</c:v>
                </c:pt>
                <c:pt idx="2">
                  <c:v>Newton Muthuri</c:v>
                </c:pt>
                <c:pt idx="3">
                  <c:v>Rodgers Omondi</c:v>
                </c:pt>
                <c:pt idx="4">
                  <c:v>Margaret Wanjiku</c:v>
                </c:pt>
                <c:pt idx="5">
                  <c:v>Stacy Adhiambo</c:v>
                </c:pt>
              </c:strCache>
            </c:strRef>
          </c:cat>
          <c:val>
            <c:numRef>
              <c:f>Dashboard!$T$49:$T$54</c:f>
              <c:numCache>
                <c:formatCode>_(* #,##0_);_(* \(#,##0\);_(* "-"??_);_(@_)</c:formatCode>
                <c:ptCount val="6"/>
                <c:pt idx="0">
                  <c:v>0</c:v>
                </c:pt>
                <c:pt idx="1">
                  <c:v>2780</c:v>
                </c:pt>
                <c:pt idx="2">
                  <c:v>3845</c:v>
                </c:pt>
                <c:pt idx="3">
                  <c:v>1390</c:v>
                </c:pt>
                <c:pt idx="4">
                  <c:v>0</c:v>
                </c:pt>
                <c:pt idx="5">
                  <c:v>2760</c:v>
                </c:pt>
              </c:numCache>
            </c:numRef>
          </c:val>
          <c:extLst xmlns:c16r2="http://schemas.microsoft.com/office/drawing/2015/06/chart">
            <c:ext xmlns:c16="http://schemas.microsoft.com/office/drawing/2014/chart" uri="{C3380CC4-5D6E-409C-BE32-E72D297353CC}">
              <c16:uniqueId val="{00000001-60F0-46F1-BC36-10AA3B6267E0}"/>
            </c:ext>
          </c:extLst>
        </c:ser>
        <c:dLbls>
          <c:dLblPos val="outEnd"/>
          <c:showLegendKey val="0"/>
          <c:showVal val="1"/>
          <c:showCatName val="0"/>
          <c:showSerName val="0"/>
          <c:showPercent val="0"/>
          <c:showBubbleSize val="0"/>
        </c:dLbls>
        <c:gapWidth val="219"/>
        <c:overlap val="-27"/>
        <c:axId val="1859201984"/>
        <c:axId val="1429833184"/>
      </c:barChart>
      <c:catAx>
        <c:axId val="185920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crossAx val="1429833184"/>
        <c:crosses val="autoZero"/>
        <c:auto val="1"/>
        <c:lblAlgn val="ctr"/>
        <c:lblOffset val="100"/>
        <c:noMultiLvlLbl val="0"/>
      </c:catAx>
      <c:valAx>
        <c:axId val="1429833184"/>
        <c:scaling>
          <c:orientation val="minMax"/>
        </c:scaling>
        <c:delete val="1"/>
        <c:axPos val="l"/>
        <c:numFmt formatCode="_(* #,##0_);_(* \(#,##0\);_(* &quot;-&quot;??_);_(@_)" sourceLinked="1"/>
        <c:majorTickMark val="none"/>
        <c:minorTickMark val="none"/>
        <c:tickLblPos val="nextTo"/>
        <c:crossAx val="185920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2">
                    <a:lumMod val="10000"/>
                  </a:schemeClr>
                </a:solidFill>
                <a:latin typeface="Trebuchet MS" panose="020B0603020202020204" pitchFamily="34" charset="0"/>
                <a:ea typeface="+mn-ea"/>
                <a:cs typeface="+mn-cs"/>
              </a:defRPr>
            </a:pPr>
            <a:r>
              <a:rPr lang="en-US" b="1">
                <a:solidFill>
                  <a:schemeClr val="bg2">
                    <a:lumMod val="10000"/>
                  </a:schemeClr>
                </a:solidFill>
                <a:latin typeface="Trebuchet MS" panose="020B0603020202020204" pitchFamily="34" charset="0"/>
              </a:rPr>
              <a:t>Order Gen Processed &amp; Return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2">
                  <a:lumMod val="10000"/>
                </a:schemeClr>
              </a:solidFill>
              <a:latin typeface="Trebuchet MS" panose="020B0603020202020204" pitchFamily="34" charset="0"/>
              <a:ea typeface="+mn-ea"/>
              <a:cs typeface="+mn-cs"/>
            </a:defRPr>
          </a:pPr>
          <a:endParaRPr lang=""/>
        </a:p>
      </c:txPr>
    </c:title>
    <c:autoTitleDeleted val="0"/>
    <c:plotArea>
      <c:layout/>
      <c:barChart>
        <c:barDir val="col"/>
        <c:grouping val="clustered"/>
        <c:varyColors val="0"/>
        <c:ser>
          <c:idx val="0"/>
          <c:order val="0"/>
          <c:tx>
            <c:strRef>
              <c:f>Dashboard!$P$48</c:f>
              <c:strCache>
                <c:ptCount val="1"/>
                <c:pt idx="0">
                  <c:v>Total Orders</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Dashboard!$A$49:$A$54</c:f>
              <c:strCache>
                <c:ptCount val="6"/>
                <c:pt idx="0">
                  <c:v>Diana Wairimu</c:v>
                </c:pt>
                <c:pt idx="1">
                  <c:v>Hope Nafula</c:v>
                </c:pt>
                <c:pt idx="2">
                  <c:v>Newton Muthuri</c:v>
                </c:pt>
                <c:pt idx="3">
                  <c:v>Rodgers Omondi</c:v>
                </c:pt>
                <c:pt idx="4">
                  <c:v>Margaret Wanjiku</c:v>
                </c:pt>
                <c:pt idx="5">
                  <c:v>Stacy Adhiambo</c:v>
                </c:pt>
              </c:strCache>
            </c:strRef>
          </c:cat>
          <c:val>
            <c:numRef>
              <c:f>Dashboard!$P$49:$P$54</c:f>
              <c:numCache>
                <c:formatCode>_(* #,##0_);_(* \(#,##0\);_(* "-"??_);_(@_)</c:formatCode>
                <c:ptCount val="6"/>
                <c:pt idx="0">
                  <c:v>55568</c:v>
                </c:pt>
                <c:pt idx="1">
                  <c:v>37655</c:v>
                </c:pt>
                <c:pt idx="2">
                  <c:v>30578</c:v>
                </c:pt>
                <c:pt idx="3">
                  <c:v>33285</c:v>
                </c:pt>
                <c:pt idx="4">
                  <c:v>48135</c:v>
                </c:pt>
                <c:pt idx="5">
                  <c:v>28730</c:v>
                </c:pt>
              </c:numCache>
            </c:numRef>
          </c:val>
          <c:extLst xmlns:c16r2="http://schemas.microsoft.com/office/drawing/2015/06/chart">
            <c:ext xmlns:c16="http://schemas.microsoft.com/office/drawing/2014/chart" uri="{C3380CC4-5D6E-409C-BE32-E72D297353CC}">
              <c16:uniqueId val="{00000000-38E5-4A1E-96DB-41A5BB0B7E32}"/>
            </c:ext>
          </c:extLst>
        </c:ser>
        <c:ser>
          <c:idx val="1"/>
          <c:order val="1"/>
          <c:tx>
            <c:strRef>
              <c:f>Dashboard!$S$48</c:f>
              <c:strCache>
                <c:ptCount val="1"/>
                <c:pt idx="0">
                  <c:v>Dispatch</c:v>
                </c:pt>
              </c:strCache>
            </c:strRef>
          </c:tx>
          <c:spPr>
            <a:solidFill>
              <a:srgbClr val="00B050"/>
            </a:solidFill>
            <a:ln>
              <a:noFill/>
            </a:ln>
            <a:effectLst/>
          </c:spPr>
          <c:invertIfNegative val="0"/>
          <c:dLbls>
            <c:dLbl>
              <c:idx val="0"/>
              <c:layout>
                <c:manualLayout>
                  <c:x val="6.1538451598877192E-3"/>
                  <c:y val="-4.2437781360066642E-17"/>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38E5-4A1E-96DB-41A5BB0B7E3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Dashboard!$A$49:$A$54</c:f>
              <c:strCache>
                <c:ptCount val="6"/>
                <c:pt idx="0">
                  <c:v>Diana Wairimu</c:v>
                </c:pt>
                <c:pt idx="1">
                  <c:v>Hope Nafula</c:v>
                </c:pt>
                <c:pt idx="2">
                  <c:v>Newton Muthuri</c:v>
                </c:pt>
                <c:pt idx="3">
                  <c:v>Rodgers Omondi</c:v>
                </c:pt>
                <c:pt idx="4">
                  <c:v>Margaret Wanjiku</c:v>
                </c:pt>
                <c:pt idx="5">
                  <c:v>Stacy Adhiambo</c:v>
                </c:pt>
              </c:strCache>
            </c:strRef>
          </c:cat>
          <c:val>
            <c:numRef>
              <c:f>Dashboard!$S$49:$S$54</c:f>
              <c:numCache>
                <c:formatCode>_(* #,##0_);_(* \(#,##0\);_(* "-"??_);_(@_)</c:formatCode>
                <c:ptCount val="6"/>
                <c:pt idx="0">
                  <c:v>15960</c:v>
                </c:pt>
                <c:pt idx="1">
                  <c:v>14005</c:v>
                </c:pt>
                <c:pt idx="2">
                  <c:v>10025</c:v>
                </c:pt>
                <c:pt idx="3">
                  <c:v>13930</c:v>
                </c:pt>
                <c:pt idx="4">
                  <c:v>14945</c:v>
                </c:pt>
                <c:pt idx="5">
                  <c:v>7700</c:v>
                </c:pt>
              </c:numCache>
            </c:numRef>
          </c:val>
          <c:extLst xmlns:c16r2="http://schemas.microsoft.com/office/drawing/2015/06/chart">
            <c:ext xmlns:c16="http://schemas.microsoft.com/office/drawing/2014/chart" uri="{C3380CC4-5D6E-409C-BE32-E72D297353CC}">
              <c16:uniqueId val="{00000002-38E5-4A1E-96DB-41A5BB0B7E32}"/>
            </c:ext>
          </c:extLst>
        </c:ser>
        <c:ser>
          <c:idx val="2"/>
          <c:order val="2"/>
          <c:tx>
            <c:strRef>
              <c:f>Dashboard!$T$48</c:f>
              <c:strCache>
                <c:ptCount val="1"/>
                <c:pt idx="0">
                  <c:v>Return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Dashboard!$A$49:$A$54</c:f>
              <c:strCache>
                <c:ptCount val="6"/>
                <c:pt idx="0">
                  <c:v>Diana Wairimu</c:v>
                </c:pt>
                <c:pt idx="1">
                  <c:v>Hope Nafula</c:v>
                </c:pt>
                <c:pt idx="2">
                  <c:v>Newton Muthuri</c:v>
                </c:pt>
                <c:pt idx="3">
                  <c:v>Rodgers Omondi</c:v>
                </c:pt>
                <c:pt idx="4">
                  <c:v>Margaret Wanjiku</c:v>
                </c:pt>
                <c:pt idx="5">
                  <c:v>Stacy Adhiambo</c:v>
                </c:pt>
              </c:strCache>
            </c:strRef>
          </c:cat>
          <c:val>
            <c:numRef>
              <c:f>Dashboard!$T$49:$T$54</c:f>
              <c:numCache>
                <c:formatCode>_(* #,##0_);_(* \(#,##0\);_(* "-"??_);_(@_)</c:formatCode>
                <c:ptCount val="6"/>
                <c:pt idx="0">
                  <c:v>0</c:v>
                </c:pt>
                <c:pt idx="1">
                  <c:v>2780</c:v>
                </c:pt>
                <c:pt idx="2">
                  <c:v>3845</c:v>
                </c:pt>
                <c:pt idx="3">
                  <c:v>1390</c:v>
                </c:pt>
                <c:pt idx="4">
                  <c:v>0</c:v>
                </c:pt>
                <c:pt idx="5">
                  <c:v>2760</c:v>
                </c:pt>
              </c:numCache>
            </c:numRef>
          </c:val>
          <c:extLst xmlns:c16r2="http://schemas.microsoft.com/office/drawing/2015/06/chart">
            <c:ext xmlns:c16="http://schemas.microsoft.com/office/drawing/2014/chart" uri="{C3380CC4-5D6E-409C-BE32-E72D297353CC}">
              <c16:uniqueId val="{00000003-38E5-4A1E-96DB-41A5BB0B7E32}"/>
            </c:ext>
          </c:extLst>
        </c:ser>
        <c:dLbls>
          <c:dLblPos val="outEnd"/>
          <c:showLegendKey val="0"/>
          <c:showVal val="1"/>
          <c:showCatName val="0"/>
          <c:showSerName val="0"/>
          <c:showPercent val="0"/>
          <c:showBubbleSize val="0"/>
        </c:dLbls>
        <c:gapWidth val="219"/>
        <c:overlap val="-27"/>
        <c:axId val="2008842400"/>
        <c:axId val="2008849472"/>
      </c:barChart>
      <c:catAx>
        <c:axId val="200884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crossAx val="2008849472"/>
        <c:crosses val="autoZero"/>
        <c:auto val="1"/>
        <c:lblAlgn val="ctr"/>
        <c:lblOffset val="100"/>
        <c:noMultiLvlLbl val="0"/>
      </c:catAx>
      <c:valAx>
        <c:axId val="2008849472"/>
        <c:scaling>
          <c:orientation val="minMax"/>
        </c:scaling>
        <c:delete val="1"/>
        <c:axPos val="l"/>
        <c:numFmt formatCode="_(* #,##0_);_(* \(#,##0\);_(* &quot;-&quot;??_);_(@_)" sourceLinked="1"/>
        <c:majorTickMark val="none"/>
        <c:minorTickMark val="none"/>
        <c:tickLblPos val="nextTo"/>
        <c:crossAx val="200884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a:t>
            </a:r>
            <a:r>
              <a:rPr lang="en-US" baseline="0"/>
              <a:t> week Order Generated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
        </a:p>
      </c:txPr>
    </c:title>
    <c:autoTitleDeleted val="0"/>
    <c:plotArea>
      <c:layout/>
      <c:barChart>
        <c:barDir val="col"/>
        <c:grouping val="clustered"/>
        <c:varyColors val="0"/>
        <c:ser>
          <c:idx val="0"/>
          <c:order val="0"/>
          <c:spPr>
            <a:solidFill>
              <a:schemeClr val="accent1"/>
            </a:solidFill>
            <a:ln>
              <a:noFill/>
            </a:ln>
            <a:effectLst/>
          </c:spPr>
          <c:invertIfNegative val="0"/>
          <c:cat>
            <c:strRef>
              <c:f>Dashboard!$B$16:$H$16</c:f>
              <c:strCache>
                <c:ptCount val="7"/>
                <c:pt idx="0">
                  <c:v>14-Mar</c:v>
                </c:pt>
                <c:pt idx="1">
                  <c:v>15-Mar</c:v>
                </c:pt>
                <c:pt idx="2">
                  <c:v>16-Mar</c:v>
                </c:pt>
                <c:pt idx="3">
                  <c:v>17-Mar</c:v>
                </c:pt>
                <c:pt idx="4">
                  <c:v>18-Mar</c:v>
                </c:pt>
                <c:pt idx="5">
                  <c:v>19-Mar</c:v>
                </c:pt>
                <c:pt idx="6">
                  <c:v>20-Mar</c:v>
                </c:pt>
              </c:strCache>
            </c:strRef>
          </c:cat>
          <c:val>
            <c:numRef>
              <c:f>Dashboard!$B$24:$H$24</c:f>
              <c:numCache>
                <c:formatCode>_(* #,##0_);_(* \(#,##0\);_(* "-"_);_(@_)</c:formatCode>
                <c:ptCount val="7"/>
                <c:pt idx="0" formatCode="_(* #,##0_);_(* \(#,##0\);_(* &quot;-&quot;??_);_(@_)">
                  <c:v>87160</c:v>
                </c:pt>
                <c:pt idx="1">
                  <c:v>79825</c:v>
                </c:pt>
                <c:pt idx="2">
                  <c:v>66966</c:v>
                </c:pt>
                <c:pt idx="3">
                  <c:v>0</c:v>
                </c:pt>
                <c:pt idx="4">
                  <c:v>0</c:v>
                </c:pt>
                <c:pt idx="5">
                  <c:v>0</c:v>
                </c:pt>
                <c:pt idx="6">
                  <c:v>0</c:v>
                </c:pt>
              </c:numCache>
            </c:numRef>
          </c:val>
          <c:extLst xmlns:c16r2="http://schemas.microsoft.com/office/drawing/2015/06/chart">
            <c:ext xmlns:c16="http://schemas.microsoft.com/office/drawing/2014/chart" uri="{C3380CC4-5D6E-409C-BE32-E72D297353CC}">
              <c16:uniqueId val="{00000000-3A6F-4069-B3C0-42F7CB86C4EB}"/>
            </c:ext>
          </c:extLst>
        </c:ser>
        <c:dLbls>
          <c:showLegendKey val="0"/>
          <c:showVal val="0"/>
          <c:showCatName val="0"/>
          <c:showSerName val="0"/>
          <c:showPercent val="0"/>
          <c:showBubbleSize val="0"/>
        </c:dLbls>
        <c:gapWidth val="219"/>
        <c:overlap val="-27"/>
        <c:axId val="2008855456"/>
        <c:axId val="2008850016"/>
      </c:barChart>
      <c:catAx>
        <c:axId val="200885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2008850016"/>
        <c:crosses val="autoZero"/>
        <c:auto val="1"/>
        <c:lblAlgn val="ctr"/>
        <c:lblOffset val="100"/>
        <c:noMultiLvlLbl val="0"/>
      </c:catAx>
      <c:valAx>
        <c:axId val="2008850016"/>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2008855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WOW Perfomance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
        </a:p>
      </c:txPr>
    </c:title>
    <c:autoTitleDeleted val="0"/>
    <c:plotArea>
      <c:layout>
        <c:manualLayout>
          <c:layoutTarget val="inner"/>
          <c:xMode val="edge"/>
          <c:yMode val="edge"/>
          <c:x val="3.0748615431887085E-2"/>
          <c:y val="0.23576893950200739"/>
          <c:w val="0.93850276913622588"/>
          <c:h val="0.61676729727849378"/>
        </c:manualLayout>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01-B0E0-4A71-B92F-BF662FC2B315}"/>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Dashboard!$A$24:$A$25</c:f>
              <c:strCache>
                <c:ptCount val="2"/>
                <c:pt idx="0">
                  <c:v>Current Week</c:v>
                </c:pt>
                <c:pt idx="1">
                  <c:v>Previous Week</c:v>
                </c:pt>
              </c:strCache>
            </c:strRef>
          </c:cat>
          <c:val>
            <c:numRef>
              <c:f>Dashboard!$K$24:$K$25</c:f>
              <c:numCache>
                <c:formatCode>0.0%</c:formatCode>
                <c:ptCount val="2"/>
                <c:pt idx="0">
                  <c:v>0.92106692913385835</c:v>
                </c:pt>
                <c:pt idx="1">
                  <c:v>1.4012204724409447</c:v>
                </c:pt>
              </c:numCache>
            </c:numRef>
          </c:val>
          <c:extLst xmlns:c16r2="http://schemas.microsoft.com/office/drawing/2015/06/chart">
            <c:ext xmlns:c16="http://schemas.microsoft.com/office/drawing/2014/chart" uri="{C3380CC4-5D6E-409C-BE32-E72D297353CC}">
              <c16:uniqueId val="{00000002-B0E0-4A71-B92F-BF662FC2B315}"/>
            </c:ext>
          </c:extLst>
        </c:ser>
        <c:dLbls>
          <c:dLblPos val="outEnd"/>
          <c:showLegendKey val="0"/>
          <c:showVal val="1"/>
          <c:showCatName val="0"/>
          <c:showSerName val="0"/>
          <c:showPercent val="0"/>
          <c:showBubbleSize val="0"/>
        </c:dLbls>
        <c:gapWidth val="219"/>
        <c:overlap val="-27"/>
        <c:axId val="2008851104"/>
        <c:axId val="2008857088"/>
      </c:barChart>
      <c:catAx>
        <c:axId val="200885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
          </a:p>
        </c:txPr>
        <c:crossAx val="2008857088"/>
        <c:crosses val="autoZero"/>
        <c:auto val="1"/>
        <c:lblAlgn val="ctr"/>
        <c:lblOffset val="100"/>
        <c:noMultiLvlLbl val="0"/>
      </c:catAx>
      <c:valAx>
        <c:axId val="2008857088"/>
        <c:scaling>
          <c:orientation val="minMax"/>
        </c:scaling>
        <c:delete val="1"/>
        <c:axPos val="l"/>
        <c:numFmt formatCode="0.0%" sourceLinked="1"/>
        <c:majorTickMark val="none"/>
        <c:minorTickMark val="none"/>
        <c:tickLblPos val="nextTo"/>
        <c:crossAx val="20088511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b="0">
                <a:solidFill>
                  <a:srgbClr val="C00000"/>
                </a:solidFill>
                <a:latin typeface="+mn-lt"/>
              </a:rPr>
              <a:t>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
        </a:p>
      </c:txPr>
    </c:title>
    <c:autoTitleDeleted val="0"/>
    <c:plotArea>
      <c:layout>
        <c:manualLayout>
          <c:layoutTarget val="inner"/>
          <c:xMode val="edge"/>
          <c:yMode val="edge"/>
          <c:x val="3.0688404396284178E-2"/>
          <c:y val="0.12504404990726958"/>
          <c:w val="0.87445652746974656"/>
          <c:h val="0.75933995383491237"/>
        </c:manualLayout>
      </c:layout>
      <c:barChart>
        <c:barDir val="col"/>
        <c:grouping val="clustered"/>
        <c:varyColors val="0"/>
        <c:ser>
          <c:idx val="0"/>
          <c:order val="0"/>
          <c:spPr>
            <a:solidFill>
              <a:srgbClr val="C00000"/>
            </a:solidFill>
            <a:ln>
              <a:noFill/>
            </a:ln>
            <a:effectLst/>
          </c:spPr>
          <c:invertIfNegative val="0"/>
          <c:dPt>
            <c:idx val="1"/>
            <c:invertIfNegative val="0"/>
            <c:bubble3D val="0"/>
            <c:spPr>
              <a:solidFill>
                <a:srgbClr val="00B050"/>
              </a:solidFill>
              <a:ln>
                <a:noFill/>
              </a:ln>
              <a:effectLst/>
            </c:spPr>
            <c:extLst xmlns:c16r2="http://schemas.microsoft.com/office/drawing/2015/06/chart">
              <c:ext xmlns:c16="http://schemas.microsoft.com/office/drawing/2014/chart" uri="{C3380CC4-5D6E-409C-BE32-E72D297353CC}">
                <c16:uniqueId val="{00000007-EEE5-4743-9E98-11C26932C6E0}"/>
              </c:ext>
            </c:extLst>
          </c:dPt>
          <c:dPt>
            <c:idx val="2"/>
            <c:invertIfNegative val="0"/>
            <c:bubble3D val="0"/>
            <c:spPr>
              <a:solidFill>
                <a:srgbClr val="002060"/>
              </a:solidFill>
              <a:ln>
                <a:noFill/>
              </a:ln>
              <a:effectLst/>
            </c:spPr>
            <c:extLst xmlns:c16r2="http://schemas.microsoft.com/office/drawing/2015/06/chart">
              <c:ext xmlns:c16="http://schemas.microsoft.com/office/drawing/2014/chart" uri="{C3380CC4-5D6E-409C-BE32-E72D297353CC}">
                <c16:uniqueId val="{00000008-EEE5-4743-9E98-11C26932C6E0}"/>
              </c:ext>
            </c:extLst>
          </c:dPt>
          <c:dPt>
            <c:idx val="3"/>
            <c:invertIfNegative val="0"/>
            <c:bubble3D val="0"/>
            <c:spPr>
              <a:solidFill>
                <a:srgbClr val="FFC000"/>
              </a:solidFill>
              <a:ln>
                <a:noFill/>
              </a:ln>
              <a:effectLst/>
            </c:spPr>
            <c:extLst xmlns:c16r2="http://schemas.microsoft.com/office/drawing/2015/06/chart">
              <c:ext xmlns:c16="http://schemas.microsoft.com/office/drawing/2014/chart" uri="{C3380CC4-5D6E-409C-BE32-E72D297353CC}">
                <c16:uniqueId val="{00000009-EEE5-4743-9E98-11C26932C6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'FEB ORDERvsPRO'!$J$2:$M$2</c:f>
              <c:strCache>
                <c:ptCount val="4"/>
                <c:pt idx="0">
                  <c:v>Total Orders</c:v>
                </c:pt>
                <c:pt idx="1">
                  <c:v>Dispatch</c:v>
                </c:pt>
                <c:pt idx="2">
                  <c:v>Non Processed</c:v>
                </c:pt>
                <c:pt idx="3">
                  <c:v>Returns</c:v>
                </c:pt>
              </c:strCache>
            </c:strRef>
          </c:cat>
          <c:val>
            <c:numRef>
              <c:f>'FEB ORDERvsPRO'!$J$30:$M$30</c:f>
              <c:numCache>
                <c:formatCode>_(* #,##0_);_(* \(#,##0\);_(* "-"??_);_(@_)</c:formatCode>
                <c:ptCount val="4"/>
                <c:pt idx="0">
                  <c:v>637408</c:v>
                </c:pt>
                <c:pt idx="1">
                  <c:v>544078</c:v>
                </c:pt>
                <c:pt idx="2">
                  <c:v>94890</c:v>
                </c:pt>
                <c:pt idx="3">
                  <c:v>36690</c:v>
                </c:pt>
              </c:numCache>
            </c:numRef>
          </c:val>
          <c:extLst xmlns:c16r2="http://schemas.microsoft.com/office/drawing/2015/06/chart">
            <c:ext xmlns:c16="http://schemas.microsoft.com/office/drawing/2014/chart" uri="{C3380CC4-5D6E-409C-BE32-E72D297353CC}">
              <c16:uniqueId val="{00000000-EEE5-4743-9E98-11C26932C6E0}"/>
            </c:ext>
          </c:extLst>
        </c:ser>
        <c:dLbls>
          <c:dLblPos val="outEnd"/>
          <c:showLegendKey val="0"/>
          <c:showVal val="1"/>
          <c:showCatName val="0"/>
          <c:showSerName val="0"/>
          <c:showPercent val="0"/>
          <c:showBubbleSize val="0"/>
        </c:dLbls>
        <c:gapWidth val="219"/>
        <c:overlap val="-27"/>
        <c:axId val="2008850560"/>
        <c:axId val="2008845120"/>
        <c:extLst xmlns:c16r2="http://schemas.microsoft.com/office/drawing/2015/06/chart">
          <c:ext xmlns:c15="http://schemas.microsoft.com/office/drawing/2012/chart" uri="{02D57815-91ED-43cb-92C2-25804820EDAC}">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c:ext uri="{02D57815-91ED-43cb-92C2-25804820EDAC}">
                        <c15:formulaRef>
                          <c15:sqref>'FEB ORDERvsPRO'!$J$2:$M$2</c15:sqref>
                        </c15:formulaRef>
                      </c:ext>
                    </c:extLst>
                    <c:strCache>
                      <c:ptCount val="4"/>
                      <c:pt idx="0">
                        <c:v>Total Orders</c:v>
                      </c:pt>
                      <c:pt idx="1">
                        <c:v>Dispatch</c:v>
                      </c:pt>
                      <c:pt idx="2">
                        <c:v>Non Processed</c:v>
                      </c:pt>
                      <c:pt idx="3">
                        <c:v>Returns</c:v>
                      </c:pt>
                    </c:strCache>
                  </c:strRef>
                </c:cat>
                <c:val>
                  <c:numRef>
                    <c:extLst xmlns:c16r2="http://schemas.microsoft.com/office/drawing/2015/06/chart">
                      <c:ext uri="{02D57815-91ED-43cb-92C2-25804820EDAC}">
                        <c15:formulaRef>
                          <c15:sqref>'FEB ORDERvsPRO'!$J$31:$M$31</c15:sqref>
                        </c15:formulaRef>
                      </c:ext>
                    </c:extLst>
                    <c:numCache>
                      <c:formatCode>General</c:formatCode>
                      <c:ptCount val="4"/>
                    </c:numCache>
                  </c:numRef>
                </c:val>
                <c:extLst xmlns:c16r2="http://schemas.microsoft.com/office/drawing/2015/06/chart">
                  <c:ext xmlns:c16="http://schemas.microsoft.com/office/drawing/2014/chart" uri="{C3380CC4-5D6E-409C-BE32-E72D297353CC}">
                    <c16:uniqueId val="{00000001-EEE5-4743-9E98-11C26932C6E0}"/>
                  </c:ext>
                </c:extLst>
              </c15:ser>
            </c15:filteredBarSeries>
            <c15:filteredBarSeries>
              <c15: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xmlns:c15="http://schemas.microsoft.com/office/drawing/2012/chart">
                      <c:ext xmlns:c15="http://schemas.microsoft.com/office/drawing/2012/chart" uri="{02D57815-91ED-43cb-92C2-25804820EDAC}">
                        <c15:formulaRef>
                          <c15:sqref>'FEB ORDERvsPRO'!$J$2:$M$2</c15:sqref>
                        </c15:formulaRef>
                      </c:ext>
                    </c:extLst>
                    <c:strCache>
                      <c:ptCount val="4"/>
                      <c:pt idx="0">
                        <c:v>Total Orders</c:v>
                      </c:pt>
                      <c:pt idx="1">
                        <c:v>Dispatch</c:v>
                      </c:pt>
                      <c:pt idx="2">
                        <c:v>Non Processed</c:v>
                      </c:pt>
                      <c:pt idx="3">
                        <c:v>Returns</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'FEB ORDERvsPRO'!$J$32:$M$32</c15:sqref>
                        </c15:formulaRef>
                      </c:ext>
                    </c:extLst>
                    <c:numCache>
                      <c:formatCode>General</c:formatCode>
                      <c:ptCount val="4"/>
                    </c:numCache>
                  </c:numRef>
                </c:val>
                <c:extLst xmlns:c16r2="http://schemas.microsoft.com/office/drawing/2015/06/chart" xmlns:c15="http://schemas.microsoft.com/office/drawing/2012/chart">
                  <c:ext xmlns:c16="http://schemas.microsoft.com/office/drawing/2014/chart" uri="{C3380CC4-5D6E-409C-BE32-E72D297353CC}">
                    <c16:uniqueId val="{00000002-EEE5-4743-9E98-11C26932C6E0}"/>
                  </c:ext>
                </c:extLst>
              </c15:ser>
            </c15:filteredBarSeries>
            <c15:filteredBarSeries>
              <c15:ser>
                <c:idx val="3"/>
                <c:order val="3"/>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xmlns:c15="http://schemas.microsoft.com/office/drawing/2012/chart">
                      <c:ext xmlns:c15="http://schemas.microsoft.com/office/drawing/2012/chart" uri="{02D57815-91ED-43cb-92C2-25804820EDAC}">
                        <c15:formulaRef>
                          <c15:sqref>'FEB ORDERvsPRO'!$J$2:$M$2</c15:sqref>
                        </c15:formulaRef>
                      </c:ext>
                    </c:extLst>
                    <c:strCache>
                      <c:ptCount val="4"/>
                      <c:pt idx="0">
                        <c:v>Total Orders</c:v>
                      </c:pt>
                      <c:pt idx="1">
                        <c:v>Dispatch</c:v>
                      </c:pt>
                      <c:pt idx="2">
                        <c:v>Non Processed</c:v>
                      </c:pt>
                      <c:pt idx="3">
                        <c:v>Returns</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'FEB ORDERvsPRO'!$J$33:$M$33</c15:sqref>
                        </c15:formulaRef>
                      </c:ext>
                    </c:extLst>
                    <c:numCache>
                      <c:formatCode>General</c:formatCode>
                      <c:ptCount val="4"/>
                    </c:numCache>
                  </c:numRef>
                </c:val>
                <c:extLst xmlns:c16r2="http://schemas.microsoft.com/office/drawing/2015/06/chart" xmlns:c15="http://schemas.microsoft.com/office/drawing/2012/chart">
                  <c:ext xmlns:c16="http://schemas.microsoft.com/office/drawing/2014/chart" uri="{C3380CC4-5D6E-409C-BE32-E72D297353CC}">
                    <c16:uniqueId val="{00000003-EEE5-4743-9E98-11C26932C6E0}"/>
                  </c:ext>
                </c:extLst>
              </c15:ser>
            </c15:filteredBarSeries>
            <c15:filteredBarSeries>
              <c15:ser>
                <c:idx val="4"/>
                <c:order val="4"/>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xmlns:c15="http://schemas.microsoft.com/office/drawing/2012/chart">
                      <c:ext xmlns:c15="http://schemas.microsoft.com/office/drawing/2012/chart" uri="{02D57815-91ED-43cb-92C2-25804820EDAC}">
                        <c15:formulaRef>
                          <c15:sqref>'FEB ORDERvsPRO'!$J$2:$M$2</c15:sqref>
                        </c15:formulaRef>
                      </c:ext>
                    </c:extLst>
                    <c:strCache>
                      <c:ptCount val="4"/>
                      <c:pt idx="0">
                        <c:v>Total Orders</c:v>
                      </c:pt>
                      <c:pt idx="1">
                        <c:v>Dispatch</c:v>
                      </c:pt>
                      <c:pt idx="2">
                        <c:v>Non Processed</c:v>
                      </c:pt>
                      <c:pt idx="3">
                        <c:v>Returns</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'FEB ORDERvsPRO'!$J$34:$M$34</c15:sqref>
                        </c15:formulaRef>
                      </c:ext>
                    </c:extLst>
                    <c:numCache>
                      <c:formatCode>General</c:formatCode>
                      <c:ptCount val="4"/>
                    </c:numCache>
                  </c:numRef>
                </c:val>
                <c:extLst xmlns:c16r2="http://schemas.microsoft.com/office/drawing/2015/06/chart" xmlns:c15="http://schemas.microsoft.com/office/drawing/2012/chart">
                  <c:ext xmlns:c16="http://schemas.microsoft.com/office/drawing/2014/chart" uri="{C3380CC4-5D6E-409C-BE32-E72D297353CC}">
                    <c16:uniqueId val="{00000004-EEE5-4743-9E98-11C26932C6E0}"/>
                  </c:ext>
                </c:extLst>
              </c15:ser>
            </c15:filteredBarSeries>
            <c15:filteredBarSeries>
              <c15:ser>
                <c:idx val="5"/>
                <c:order val="5"/>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xmlns:c15="http://schemas.microsoft.com/office/drawing/2012/chart">
                      <c:ext xmlns:c15="http://schemas.microsoft.com/office/drawing/2012/chart" uri="{02D57815-91ED-43cb-92C2-25804820EDAC}">
                        <c15:formulaRef>
                          <c15:sqref>'FEB ORDERvsPRO'!$J$2:$M$2</c15:sqref>
                        </c15:formulaRef>
                      </c:ext>
                    </c:extLst>
                    <c:strCache>
                      <c:ptCount val="4"/>
                      <c:pt idx="0">
                        <c:v>Total Orders</c:v>
                      </c:pt>
                      <c:pt idx="1">
                        <c:v>Dispatch</c:v>
                      </c:pt>
                      <c:pt idx="2">
                        <c:v>Non Processed</c:v>
                      </c:pt>
                      <c:pt idx="3">
                        <c:v>Returns</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'FEB ORDERvsPRO'!$J$35:$M$35</c15:sqref>
                        </c15:formulaRef>
                      </c:ext>
                    </c:extLst>
                    <c:numCache>
                      <c:formatCode>General</c:formatCode>
                      <c:ptCount val="4"/>
                    </c:numCache>
                  </c:numRef>
                </c:val>
                <c:extLst xmlns:c16r2="http://schemas.microsoft.com/office/drawing/2015/06/chart" xmlns:c15="http://schemas.microsoft.com/office/drawing/2012/chart">
                  <c:ext xmlns:c16="http://schemas.microsoft.com/office/drawing/2014/chart" uri="{C3380CC4-5D6E-409C-BE32-E72D297353CC}">
                    <c16:uniqueId val="{00000005-EEE5-4743-9E98-11C26932C6E0}"/>
                  </c:ext>
                </c:extLst>
              </c15:ser>
            </c15:filteredBarSeries>
            <c15:filteredBarSeries>
              <c15:ser>
                <c:idx val="6"/>
                <c:order val="6"/>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xmlns:c15="http://schemas.microsoft.com/office/drawing/2012/chart">
                      <c:ext xmlns:c15="http://schemas.microsoft.com/office/drawing/2012/chart" uri="{02D57815-91ED-43cb-92C2-25804820EDAC}">
                        <c15:formulaRef>
                          <c15:sqref>'FEB ORDERvsPRO'!$J$2:$M$2</c15:sqref>
                        </c15:formulaRef>
                      </c:ext>
                    </c:extLst>
                    <c:strCache>
                      <c:ptCount val="4"/>
                      <c:pt idx="0">
                        <c:v>Total Orders</c:v>
                      </c:pt>
                      <c:pt idx="1">
                        <c:v>Dispatch</c:v>
                      </c:pt>
                      <c:pt idx="2">
                        <c:v>Non Processed</c:v>
                      </c:pt>
                      <c:pt idx="3">
                        <c:v>Returns</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'FEB ORDERvsPRO'!$J$36:$M$36</c15:sqref>
                        </c15:formulaRef>
                      </c:ext>
                    </c:extLst>
                    <c:numCache>
                      <c:formatCode>General</c:formatCode>
                      <c:ptCount val="4"/>
                    </c:numCache>
                  </c:numRef>
                </c:val>
                <c:extLst xmlns:c16r2="http://schemas.microsoft.com/office/drawing/2015/06/chart" xmlns:c15="http://schemas.microsoft.com/office/drawing/2012/chart">
                  <c:ext xmlns:c16="http://schemas.microsoft.com/office/drawing/2014/chart" uri="{C3380CC4-5D6E-409C-BE32-E72D297353CC}">
                    <c16:uniqueId val="{00000006-EEE5-4743-9E98-11C26932C6E0}"/>
                  </c:ext>
                </c:extLst>
              </c15:ser>
            </c15:filteredBarSeries>
          </c:ext>
        </c:extLst>
      </c:barChart>
      <c:catAx>
        <c:axId val="200885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crossAx val="2008845120"/>
        <c:crosses val="autoZero"/>
        <c:auto val="1"/>
        <c:lblAlgn val="ctr"/>
        <c:lblOffset val="100"/>
        <c:noMultiLvlLbl val="0"/>
      </c:catAx>
      <c:valAx>
        <c:axId val="2008845120"/>
        <c:scaling>
          <c:orientation val="minMax"/>
        </c:scaling>
        <c:delete val="1"/>
        <c:axPos val="l"/>
        <c:numFmt formatCode="_(* #,##0_);_(* \(#,##0\);_(* &quot;-&quot;??_);_(@_)" sourceLinked="1"/>
        <c:majorTickMark val="none"/>
        <c:minorTickMark val="none"/>
        <c:tickLblPos val="nextTo"/>
        <c:crossAx val="20088505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WOW Perfomance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
        </a:p>
      </c:txPr>
    </c:title>
    <c:autoTitleDeleted val="0"/>
    <c:plotArea>
      <c:layout>
        <c:manualLayout>
          <c:layoutTarget val="inner"/>
          <c:xMode val="edge"/>
          <c:yMode val="edge"/>
          <c:x val="3.0748615431887085E-2"/>
          <c:y val="0.28144800220985572"/>
          <c:w val="0.91440210397422361"/>
          <c:h val="0.48676532368056075"/>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00000"/>
              </a:solidFill>
              <a:ln>
                <a:noFill/>
              </a:ln>
              <a:effectLst/>
            </c:spPr>
            <c:extLst xmlns:c16r2="http://schemas.microsoft.com/office/drawing/2015/06/chart">
              <c:ext xmlns:c16="http://schemas.microsoft.com/office/drawing/2014/chart" uri="{C3380CC4-5D6E-409C-BE32-E72D297353CC}">
                <c16:uniqueId val="{00000003-2F13-4C41-8BDE-C4B7CC89183B}"/>
              </c:ext>
            </c:extLst>
          </c:dPt>
          <c:dPt>
            <c:idx val="1"/>
            <c:invertIfNegative val="0"/>
            <c:bubble3D val="0"/>
            <c:spPr>
              <a:solidFill>
                <a:srgbClr val="0070C0"/>
              </a:solidFill>
              <a:ln>
                <a:noFill/>
              </a:ln>
              <a:effectLst/>
            </c:spPr>
            <c:extLst xmlns:c16r2="http://schemas.microsoft.com/office/drawing/2015/06/chart">
              <c:ext xmlns:c16="http://schemas.microsoft.com/office/drawing/2014/chart" uri="{C3380CC4-5D6E-409C-BE32-E72D297353CC}">
                <c16:uniqueId val="{00000001-2F13-4C41-8BDE-C4B7CC89183B}"/>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Dashboard!$A$24:$A$25</c:f>
              <c:strCache>
                <c:ptCount val="2"/>
                <c:pt idx="0">
                  <c:v>Current Week</c:v>
                </c:pt>
                <c:pt idx="1">
                  <c:v>Previous Week</c:v>
                </c:pt>
              </c:strCache>
            </c:strRef>
          </c:cat>
          <c:val>
            <c:numRef>
              <c:f>Dashboard!$K$24:$K$25</c:f>
              <c:numCache>
                <c:formatCode>0.0%</c:formatCode>
                <c:ptCount val="2"/>
                <c:pt idx="0">
                  <c:v>0.92106692913385835</c:v>
                </c:pt>
                <c:pt idx="1">
                  <c:v>1.4012204724409447</c:v>
                </c:pt>
              </c:numCache>
            </c:numRef>
          </c:val>
          <c:extLst xmlns:c16r2="http://schemas.microsoft.com/office/drawing/2015/06/chart">
            <c:ext xmlns:c16="http://schemas.microsoft.com/office/drawing/2014/chart" uri="{C3380CC4-5D6E-409C-BE32-E72D297353CC}">
              <c16:uniqueId val="{00000002-2F13-4C41-8BDE-C4B7CC89183B}"/>
            </c:ext>
          </c:extLst>
        </c:ser>
        <c:dLbls>
          <c:dLblPos val="outEnd"/>
          <c:showLegendKey val="0"/>
          <c:showVal val="1"/>
          <c:showCatName val="0"/>
          <c:showSerName val="0"/>
          <c:showPercent val="0"/>
          <c:showBubbleSize val="0"/>
        </c:dLbls>
        <c:gapWidth val="219"/>
        <c:overlap val="-27"/>
        <c:axId val="2008842944"/>
        <c:axId val="2008845664"/>
      </c:barChart>
      <c:catAx>
        <c:axId val="20088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2">
                    <a:lumMod val="10000"/>
                  </a:schemeClr>
                </a:solidFill>
                <a:latin typeface="Trebuchet MS" panose="020B0603020202020204" pitchFamily="34" charset="0"/>
                <a:ea typeface="+mn-ea"/>
                <a:cs typeface="+mn-cs"/>
              </a:defRPr>
            </a:pPr>
            <a:endParaRPr lang=""/>
          </a:p>
        </c:txPr>
        <c:crossAx val="2008845664"/>
        <c:crosses val="autoZero"/>
        <c:auto val="1"/>
        <c:lblAlgn val="ctr"/>
        <c:lblOffset val="100"/>
        <c:noMultiLvlLbl val="0"/>
      </c:catAx>
      <c:valAx>
        <c:axId val="2008845664"/>
        <c:scaling>
          <c:orientation val="minMax"/>
        </c:scaling>
        <c:delete val="1"/>
        <c:axPos val="l"/>
        <c:numFmt formatCode="0.0%" sourceLinked="1"/>
        <c:majorTickMark val="none"/>
        <c:minorTickMark val="none"/>
        <c:tickLblPos val="nextTo"/>
        <c:crossAx val="20088429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b="0">
                <a:solidFill>
                  <a:srgbClr val="C00000"/>
                </a:solidFill>
                <a:latin typeface="+mn-lt"/>
              </a:rPr>
              <a:t>Dispatch Vs Retuns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
        </a:p>
      </c:txPr>
    </c:title>
    <c:autoTitleDeleted val="0"/>
    <c:plotArea>
      <c:layout/>
      <c:barChart>
        <c:barDir val="col"/>
        <c:grouping val="clustered"/>
        <c:varyColors val="0"/>
        <c:ser>
          <c:idx val="0"/>
          <c:order val="0"/>
          <c:tx>
            <c:strRef>
              <c:f>Dashboard!$S$48</c:f>
              <c:strCache>
                <c:ptCount val="1"/>
                <c:pt idx="0">
                  <c:v>Dispatch</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Dashboard!$A$49:$A$54</c:f>
              <c:strCache>
                <c:ptCount val="6"/>
                <c:pt idx="0">
                  <c:v>Diana Wairimu</c:v>
                </c:pt>
                <c:pt idx="1">
                  <c:v>Hope Nafula</c:v>
                </c:pt>
                <c:pt idx="2">
                  <c:v>Newton Muthuri</c:v>
                </c:pt>
                <c:pt idx="3">
                  <c:v>Rodgers Omondi</c:v>
                </c:pt>
                <c:pt idx="4">
                  <c:v>Margaret Wanjiku</c:v>
                </c:pt>
                <c:pt idx="5">
                  <c:v>Stacy Adhiambo</c:v>
                </c:pt>
              </c:strCache>
            </c:strRef>
          </c:cat>
          <c:val>
            <c:numRef>
              <c:f>Dashboard!$S$49:$S$54</c:f>
              <c:numCache>
                <c:formatCode>_(* #,##0_);_(* \(#,##0\);_(* "-"??_);_(@_)</c:formatCode>
                <c:ptCount val="6"/>
                <c:pt idx="0">
                  <c:v>15960</c:v>
                </c:pt>
                <c:pt idx="1">
                  <c:v>14005</c:v>
                </c:pt>
                <c:pt idx="2">
                  <c:v>10025</c:v>
                </c:pt>
                <c:pt idx="3">
                  <c:v>13930</c:v>
                </c:pt>
                <c:pt idx="4">
                  <c:v>14945</c:v>
                </c:pt>
                <c:pt idx="5">
                  <c:v>7700</c:v>
                </c:pt>
              </c:numCache>
            </c:numRef>
          </c:val>
          <c:extLst xmlns:c16r2="http://schemas.microsoft.com/office/drawing/2015/06/chart">
            <c:ext xmlns:c16="http://schemas.microsoft.com/office/drawing/2014/chart" uri="{C3380CC4-5D6E-409C-BE32-E72D297353CC}">
              <c16:uniqueId val="{00000000-CC0C-4777-836D-97B502071466}"/>
            </c:ext>
          </c:extLst>
        </c:ser>
        <c:ser>
          <c:idx val="1"/>
          <c:order val="1"/>
          <c:tx>
            <c:strRef>
              <c:f>Dashboard!$T$48</c:f>
              <c:strCache>
                <c:ptCount val="1"/>
                <c:pt idx="0">
                  <c:v>Return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Dashboard!$A$49:$A$54</c:f>
              <c:strCache>
                <c:ptCount val="6"/>
                <c:pt idx="0">
                  <c:v>Diana Wairimu</c:v>
                </c:pt>
                <c:pt idx="1">
                  <c:v>Hope Nafula</c:v>
                </c:pt>
                <c:pt idx="2">
                  <c:v>Newton Muthuri</c:v>
                </c:pt>
                <c:pt idx="3">
                  <c:v>Rodgers Omondi</c:v>
                </c:pt>
                <c:pt idx="4">
                  <c:v>Margaret Wanjiku</c:v>
                </c:pt>
                <c:pt idx="5">
                  <c:v>Stacy Adhiambo</c:v>
                </c:pt>
              </c:strCache>
            </c:strRef>
          </c:cat>
          <c:val>
            <c:numRef>
              <c:f>Dashboard!$T$49:$T$54</c:f>
              <c:numCache>
                <c:formatCode>_(* #,##0_);_(* \(#,##0\);_(* "-"??_);_(@_)</c:formatCode>
                <c:ptCount val="6"/>
                <c:pt idx="0">
                  <c:v>0</c:v>
                </c:pt>
                <c:pt idx="1">
                  <c:v>2780</c:v>
                </c:pt>
                <c:pt idx="2">
                  <c:v>3845</c:v>
                </c:pt>
                <c:pt idx="3">
                  <c:v>1390</c:v>
                </c:pt>
                <c:pt idx="4">
                  <c:v>0</c:v>
                </c:pt>
                <c:pt idx="5">
                  <c:v>2760</c:v>
                </c:pt>
              </c:numCache>
            </c:numRef>
          </c:val>
          <c:extLst xmlns:c16r2="http://schemas.microsoft.com/office/drawing/2015/06/chart">
            <c:ext xmlns:c16="http://schemas.microsoft.com/office/drawing/2014/chart" uri="{C3380CC4-5D6E-409C-BE32-E72D297353CC}">
              <c16:uniqueId val="{00000001-CC0C-4777-836D-97B502071466}"/>
            </c:ext>
          </c:extLst>
        </c:ser>
        <c:dLbls>
          <c:dLblPos val="outEnd"/>
          <c:showLegendKey val="0"/>
          <c:showVal val="1"/>
          <c:showCatName val="0"/>
          <c:showSerName val="0"/>
          <c:showPercent val="0"/>
          <c:showBubbleSize val="0"/>
        </c:dLbls>
        <c:gapWidth val="219"/>
        <c:overlap val="-27"/>
        <c:axId val="2008852736"/>
        <c:axId val="2008847840"/>
      </c:barChart>
      <c:catAx>
        <c:axId val="200885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crossAx val="2008847840"/>
        <c:crosses val="autoZero"/>
        <c:auto val="1"/>
        <c:lblAlgn val="ctr"/>
        <c:lblOffset val="100"/>
        <c:noMultiLvlLbl val="0"/>
      </c:catAx>
      <c:valAx>
        <c:axId val="2008847840"/>
        <c:scaling>
          <c:orientation val="minMax"/>
        </c:scaling>
        <c:delete val="1"/>
        <c:axPos val="l"/>
        <c:numFmt formatCode="_(* #,##0_);_(* \(#,##0\);_(* &quot;-&quot;??_);_(@_)" sourceLinked="1"/>
        <c:majorTickMark val="none"/>
        <c:minorTickMark val="none"/>
        <c:tickLblPos val="nextTo"/>
        <c:crossAx val="200885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2">
                  <a:lumMod val="10000"/>
                </a:schemeClr>
              </a:solidFill>
              <a:latin typeface="Trebuchet MS" panose="020B0603020202020204" pitchFamily="34" charset="0"/>
              <a:ea typeface="+mn-ea"/>
              <a:cs typeface="+mn-cs"/>
            </a:defRPr>
          </a:pPr>
          <a:endParaRPr lang=""/>
        </a:p>
      </c:txPr>
    </c:legend>
    <c:plotVisOnly val="1"/>
    <c:dispBlanksAs val="gap"/>
    <c:showDLblsOverMax val="0"/>
  </c:chart>
  <c:spPr>
    <a:noFill/>
    <a:ln w="9525" cap="flat" cmpd="sng" algn="ctr">
      <a:noFill/>
      <a:round/>
    </a:ln>
    <a:effectLst/>
  </c:spPr>
  <c:txPr>
    <a:bodyPr/>
    <a:lstStyle/>
    <a:p>
      <a:pPr>
        <a:defRPr/>
      </a:pPr>
      <a:endParaRPr la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16</xdr:col>
      <xdr:colOff>900309</xdr:colOff>
      <xdr:row>7</xdr:row>
      <xdr:rowOff>1</xdr:rowOff>
    </xdr:from>
    <xdr:to>
      <xdr:col>22</xdr:col>
      <xdr:colOff>313150</xdr:colOff>
      <xdr:row>14</xdr:row>
      <xdr:rowOff>247911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88727</xdr:colOff>
      <xdr:row>5</xdr:row>
      <xdr:rowOff>156574</xdr:rowOff>
    </xdr:from>
    <xdr:to>
      <xdr:col>17</xdr:col>
      <xdr:colOff>26096</xdr:colOff>
      <xdr:row>13</xdr:row>
      <xdr:rowOff>260958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241300</xdr:colOff>
      <xdr:row>44</xdr:row>
      <xdr:rowOff>177800</xdr:rowOff>
    </xdr:from>
    <xdr:to>
      <xdr:col>29</xdr:col>
      <xdr:colOff>268021</xdr:colOff>
      <xdr:row>60</xdr:row>
      <xdr:rowOff>165099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330200</xdr:colOff>
      <xdr:row>45</xdr:row>
      <xdr:rowOff>12700</xdr:rowOff>
    </xdr:from>
    <xdr:to>
      <xdr:col>39</xdr:col>
      <xdr:colOff>425451</xdr:colOff>
      <xdr:row>59</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781049</xdr:colOff>
      <xdr:row>15</xdr:row>
      <xdr:rowOff>63500</xdr:rowOff>
    </xdr:from>
    <xdr:to>
      <xdr:col>19</xdr:col>
      <xdr:colOff>908049</xdr:colOff>
      <xdr:row>30</xdr:row>
      <xdr:rowOff>139700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204330</xdr:colOff>
      <xdr:row>8</xdr:row>
      <xdr:rowOff>71436</xdr:rowOff>
    </xdr:from>
    <xdr:to>
      <xdr:col>16</xdr:col>
      <xdr:colOff>356731</xdr:colOff>
      <xdr:row>22</xdr:row>
      <xdr:rowOff>152398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7004135</xdr:colOff>
      <xdr:row>15</xdr:row>
      <xdr:rowOff>78288</xdr:rowOff>
    </xdr:from>
    <xdr:to>
      <xdr:col>6</xdr:col>
      <xdr:colOff>1813663</xdr:colOff>
      <xdr:row>29</xdr:row>
      <xdr:rowOff>125521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138112</xdr:colOff>
      <xdr:row>4</xdr:row>
      <xdr:rowOff>157162</xdr:rowOff>
    </xdr:from>
    <xdr:to>
      <xdr:col>9</xdr:col>
      <xdr:colOff>442912</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250664</xdr:colOff>
      <xdr:row>1</xdr:row>
      <xdr:rowOff>62938</xdr:rowOff>
    </xdr:from>
    <xdr:to>
      <xdr:col>20</xdr:col>
      <xdr:colOff>349651</xdr:colOff>
      <xdr:row>10</xdr:row>
      <xdr:rowOff>91579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72341</xdr:colOff>
      <xdr:row>11</xdr:row>
      <xdr:rowOff>114300</xdr:rowOff>
    </xdr:from>
    <xdr:to>
      <xdr:col>2</xdr:col>
      <xdr:colOff>266700</xdr:colOff>
      <xdr:row>13</xdr:row>
      <xdr:rowOff>0</xdr:rowOff>
    </xdr:to>
    <mc:AlternateContent xmlns:mc="http://schemas.openxmlformats.org/markup-compatibility/2006" xmlns:a14="http://schemas.microsoft.com/office/drawing/2010/main">
      <mc:Choice Requires="a14">
        <xdr:graphicFrame macro="">
          <xdr:nvGraphicFramePr>
            <xdr:cNvPr id="3" name="Week"/>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253441" y="2286000"/>
              <a:ext cx="1159559" cy="34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368300</xdr:colOff>
      <xdr:row>11</xdr:row>
      <xdr:rowOff>139700</xdr:rowOff>
    </xdr:from>
    <xdr:to>
      <xdr:col>14</xdr:col>
      <xdr:colOff>469900</xdr:colOff>
      <xdr:row>13</xdr:row>
      <xdr:rowOff>12699</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230100" y="2311400"/>
              <a:ext cx="1193800" cy="33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590793</xdr:colOff>
      <xdr:row>11</xdr:row>
      <xdr:rowOff>101601</xdr:rowOff>
    </xdr:from>
    <xdr:to>
      <xdr:col>6</xdr:col>
      <xdr:colOff>749300</xdr:colOff>
      <xdr:row>12</xdr:row>
      <xdr:rowOff>241301</xdr:rowOff>
    </xdr:to>
    <mc:AlternateContent xmlns:mc="http://schemas.openxmlformats.org/markup-compatibility/2006" xmlns:a14="http://schemas.microsoft.com/office/drawing/2010/main">
      <mc:Choice Requires="a14">
        <xdr:graphicFrame macro="">
          <xdr:nvGraphicFramePr>
            <xdr:cNvPr id="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581893" y="2273301"/>
              <a:ext cx="1022107" cy="33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161313</xdr:colOff>
      <xdr:row>9</xdr:row>
      <xdr:rowOff>127714</xdr:rowOff>
    </xdr:from>
    <xdr:to>
      <xdr:col>6</xdr:col>
      <xdr:colOff>51485</xdr:colOff>
      <xdr:row>24</xdr:row>
      <xdr:rowOff>64359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449038</xdr:colOff>
      <xdr:row>1</xdr:row>
      <xdr:rowOff>12872</xdr:rowOff>
    </xdr:from>
    <xdr:to>
      <xdr:col>7</xdr:col>
      <xdr:colOff>849528</xdr:colOff>
      <xdr:row>8</xdr:row>
      <xdr:rowOff>51487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194378</xdr:colOff>
      <xdr:row>9</xdr:row>
      <xdr:rowOff>126411</xdr:rowOff>
    </xdr:from>
    <xdr:to>
      <xdr:col>19</xdr:col>
      <xdr:colOff>720811</xdr:colOff>
      <xdr:row>26</xdr:row>
      <xdr:rowOff>12872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151150</xdr:colOff>
      <xdr:row>24</xdr:row>
      <xdr:rowOff>118787</xdr:rowOff>
    </xdr:from>
    <xdr:to>
      <xdr:col>6</xdr:col>
      <xdr:colOff>123936</xdr:colOff>
      <xdr:row>40</xdr:row>
      <xdr:rowOff>34571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296047</xdr:colOff>
      <xdr:row>27</xdr:row>
      <xdr:rowOff>154459</xdr:rowOff>
    </xdr:from>
    <xdr:to>
      <xdr:col>12</xdr:col>
      <xdr:colOff>875271</xdr:colOff>
      <xdr:row>44</xdr:row>
      <xdr:rowOff>90102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197857</xdr:colOff>
      <xdr:row>26</xdr:row>
      <xdr:rowOff>98929</xdr:rowOff>
    </xdr:from>
    <xdr:to>
      <xdr:col>19</xdr:col>
      <xdr:colOff>735890</xdr:colOff>
      <xdr:row>40</xdr:row>
      <xdr:rowOff>177703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154460</xdr:colOff>
      <xdr:row>9</xdr:row>
      <xdr:rowOff>141588</xdr:rowOff>
    </xdr:from>
    <xdr:to>
      <xdr:col>13</xdr:col>
      <xdr:colOff>12871</xdr:colOff>
      <xdr:row>27</xdr:row>
      <xdr:rowOff>102973</xdr:rowOff>
    </xdr:to>
    <xdr:sp macro="" textlink="">
      <xdr:nvSpPr>
        <xdr:cNvPr id="9" name="TextBox 8"/>
        <xdr:cNvSpPr txBox="1"/>
      </xdr:nvSpPr>
      <xdr:spPr>
        <a:xfrm>
          <a:off x="5225879" y="1879257"/>
          <a:ext cx="6564526" cy="3436723"/>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95000"/>
                  <a:lumOff val="5000"/>
                </a:schemeClr>
              </a:solidFill>
            </a:rPr>
            <a:t>WEEK</a:t>
          </a:r>
          <a:r>
            <a:rPr lang="en-US" sz="1200" baseline="0">
              <a:solidFill>
                <a:schemeClr val="tx1">
                  <a:lumMod val="95000"/>
                  <a:lumOff val="5000"/>
                </a:schemeClr>
              </a:solidFill>
            </a:rPr>
            <a:t> 5</a:t>
          </a:r>
        </a:p>
        <a:p>
          <a:r>
            <a:rPr lang="en-US" sz="1200" b="1" baseline="0">
              <a:solidFill>
                <a:srgbClr val="C00000"/>
              </a:solidFill>
            </a:rPr>
            <a:t>ORDER</a:t>
          </a:r>
          <a:r>
            <a:rPr lang="en-US" sz="1200" baseline="0">
              <a:solidFill>
                <a:schemeClr val="tx1">
                  <a:lumMod val="95000"/>
                  <a:lumOff val="5000"/>
                </a:schemeClr>
              </a:solidFill>
            </a:rPr>
            <a:t>:	Performed at 42% against the set target. In comparison to the previous week 	achievement, 	we've had a decline of 3.7%.This is due to stock out of our fast moving 	products;</a:t>
          </a:r>
        </a:p>
        <a:p>
          <a:endParaRPr lang="en-US" sz="1200" baseline="0">
            <a:solidFill>
              <a:schemeClr val="tx1">
                <a:lumMod val="95000"/>
                <a:lumOff val="5000"/>
              </a:schemeClr>
            </a:solidFill>
          </a:endParaRPr>
        </a:p>
        <a:p>
          <a:r>
            <a:rPr lang="en-US" sz="1200" baseline="0">
              <a:solidFill>
                <a:schemeClr val="tx1">
                  <a:lumMod val="95000"/>
                  <a:lumOff val="5000"/>
                </a:schemeClr>
              </a:solidFill>
            </a:rPr>
            <a:t>	Out of the total orders sourced, 75% (ksh.478,288) were processed for delivery.</a:t>
          </a:r>
        </a:p>
        <a:p>
          <a:r>
            <a:rPr lang="en-US" sz="1200" baseline="0">
              <a:solidFill>
                <a:schemeClr val="tx1">
                  <a:lumMod val="95000"/>
                  <a:lumOff val="5000"/>
                </a:schemeClr>
              </a:solidFill>
            </a:rPr>
            <a:t>	Out of the dispatch 5.5% were sound returns due to the reasons listed on the chart.</a:t>
          </a:r>
        </a:p>
        <a:p>
          <a:endParaRPr lang="en-US" sz="1200" baseline="0">
            <a:solidFill>
              <a:schemeClr val="tx1">
                <a:lumMod val="95000"/>
                <a:lumOff val="5000"/>
              </a:schemeClr>
            </a:solidFill>
          </a:endParaRPr>
        </a:p>
        <a:p>
          <a:r>
            <a:rPr lang="en-US" sz="1200" b="1" baseline="0">
              <a:solidFill>
                <a:srgbClr val="C00000"/>
              </a:solidFill>
            </a:rPr>
            <a:t>REACH</a:t>
          </a:r>
          <a:r>
            <a:rPr lang="en-US" sz="1200" baseline="0">
              <a:solidFill>
                <a:schemeClr val="tx1">
                  <a:lumMod val="95000"/>
                  <a:lumOff val="5000"/>
                </a:schemeClr>
              </a:solidFill>
            </a:rPr>
            <a:t>:	Perfomed at 55% against the set target. This performance is based on 6 FSA but only 5 	FSAs contributed. This is because the 6th FSA had lost his phone while on duty and 	haven't replaced yet.</a:t>
          </a:r>
        </a:p>
        <a:p>
          <a:endParaRPr lang="en-US" sz="1200" baseline="0">
            <a:solidFill>
              <a:schemeClr val="tx1">
                <a:lumMod val="95000"/>
                <a:lumOff val="5000"/>
              </a:schemeClr>
            </a:solidFill>
          </a:endParaRPr>
        </a:p>
        <a:p>
          <a:r>
            <a:rPr lang="en-US" sz="1200" b="1" baseline="0">
              <a:solidFill>
                <a:srgbClr val="C00000"/>
              </a:solidFill>
            </a:rPr>
            <a:t>CONVERSION</a:t>
          </a:r>
          <a:r>
            <a:rPr lang="en-US" sz="1200" baseline="0">
              <a:solidFill>
                <a:schemeClr val="tx1">
                  <a:lumMod val="95000"/>
                  <a:lumOff val="5000"/>
                </a:schemeClr>
              </a:solidFill>
            </a:rPr>
            <a:t>: Performed at 60% against the set target.</a:t>
          </a:r>
        </a:p>
      </xdr:txBody>
    </xdr:sp>
    <xdr:clientData/>
  </xdr:twoCellAnchor>
  <xdr:twoCellAnchor>
    <xdr:from>
      <xdr:col>8</xdr:col>
      <xdr:colOff>25744</xdr:colOff>
      <xdr:row>0</xdr:row>
      <xdr:rowOff>180204</xdr:rowOff>
    </xdr:from>
    <xdr:to>
      <xdr:col>12</xdr:col>
      <xdr:colOff>888142</xdr:colOff>
      <xdr:row>8</xdr:row>
      <xdr:rowOff>167331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492763</xdr:colOff>
      <xdr:row>19</xdr:row>
      <xdr:rowOff>178583</xdr:rowOff>
    </xdr:from>
    <xdr:to>
      <xdr:col>20</xdr:col>
      <xdr:colOff>187755</xdr:colOff>
      <xdr:row>38</xdr:row>
      <xdr:rowOff>91335</xdr:rowOff>
    </xdr:to>
    <xdr:sp macro="" textlink="">
      <xdr:nvSpPr>
        <xdr:cNvPr id="2" name="TextBox 1"/>
        <xdr:cNvSpPr txBox="1"/>
      </xdr:nvSpPr>
      <xdr:spPr>
        <a:xfrm>
          <a:off x="8347626" y="4027727"/>
          <a:ext cx="8032629" cy="36314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STATUS:</a:t>
          </a:r>
        </a:p>
        <a:p>
          <a:r>
            <a:rPr lang="en-US" sz="1100"/>
            <a:t>Performed</a:t>
          </a:r>
          <a:r>
            <a:rPr lang="en-US" sz="1100" baseline="0"/>
            <a:t> at 15% against the set monthly target. This is  27.3% behind time. </a:t>
          </a:r>
        </a:p>
        <a:p>
          <a:r>
            <a:rPr lang="en-US" sz="1100" baseline="0"/>
            <a:t>We are perfoming at a decreasing exponetial rate with an average </a:t>
          </a:r>
          <a:r>
            <a:rPr lang="en-US" sz="1100" baseline="0">
              <a:solidFill>
                <a:schemeClr val="dk1"/>
              </a:solidFill>
              <a:effectLst/>
              <a:latin typeface="+mn-lt"/>
              <a:ea typeface="+mn-ea"/>
              <a:cs typeface="+mn-cs"/>
            </a:rPr>
            <a:t>drop of </a:t>
          </a:r>
          <a:r>
            <a:rPr lang="en-US" sz="1100" baseline="0"/>
            <a:t> 15.7%.</a:t>
          </a:r>
        </a:p>
        <a:p>
          <a:r>
            <a:rPr lang="en-US" sz="1100" baseline="0"/>
            <a:t>Based on histoical data, stock out contributes 78% of the decline on our perfomance. This can be seen on the net effect on various product category perfomance between Feb (week 1 &amp; week 2) and march(Week 1 &amp; Week 2).</a:t>
          </a:r>
        </a:p>
        <a:p>
          <a:endParaRPr lang="en-US" sz="1100" baseline="0"/>
        </a:p>
        <a:p>
          <a:r>
            <a:rPr lang="en-US" sz="1100" b="1" baseline="0"/>
            <a:t>TAKE OUT:</a:t>
          </a:r>
        </a:p>
        <a:p>
          <a:r>
            <a:rPr lang="en-US" sz="1100" baseline="0"/>
            <a:t>To restock the fast moving product category to steer the perfomance positively.</a:t>
          </a:r>
        </a:p>
        <a:p>
          <a:r>
            <a:rPr lang="en-US" sz="1100" baseline="0"/>
            <a:t>To aim at achieving 0% cancelations on already placed orders.</a:t>
          </a:r>
        </a:p>
        <a:p>
          <a:r>
            <a:rPr lang="en-US" sz="1100" baseline="0"/>
            <a:t> FSAs to be task to meet their set daily order target.</a:t>
          </a:r>
        </a:p>
      </xdr:txBody>
    </xdr:sp>
    <xdr:clientData/>
  </xdr:twoCellAnchor>
  <xdr:twoCellAnchor>
    <xdr:from>
      <xdr:col>7</xdr:col>
      <xdr:colOff>544717</xdr:colOff>
      <xdr:row>1</xdr:row>
      <xdr:rowOff>4603</xdr:rowOff>
    </xdr:from>
    <xdr:to>
      <xdr:col>15</xdr:col>
      <xdr:colOff>565921</xdr:colOff>
      <xdr:row>15</xdr:row>
      <xdr:rowOff>85845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345887</xdr:colOff>
      <xdr:row>1</xdr:row>
      <xdr:rowOff>168839</xdr:rowOff>
    </xdr:from>
    <xdr:to>
      <xdr:col>23</xdr:col>
      <xdr:colOff>211872</xdr:colOff>
      <xdr:row>10</xdr:row>
      <xdr:rowOff>106152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104384</xdr:colOff>
      <xdr:row>58</xdr:row>
      <xdr:rowOff>61851</xdr:rowOff>
    </xdr:from>
    <xdr:to>
      <xdr:col>22</xdr:col>
      <xdr:colOff>52191</xdr:colOff>
      <xdr:row>71</xdr:row>
      <xdr:rowOff>52192</xdr:rowOff>
    </xdr:to>
    <xdr:sp macro="" textlink="">
      <xdr:nvSpPr>
        <xdr:cNvPr id="8" name="TextBox 7"/>
        <xdr:cNvSpPr txBox="1"/>
      </xdr:nvSpPr>
      <xdr:spPr>
        <a:xfrm>
          <a:off x="6837124" y="16606646"/>
          <a:ext cx="8533355" cy="25346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STATUS:</a:t>
          </a:r>
          <a:endParaRPr lang="en-US">
            <a:effectLst/>
          </a:endParaRPr>
        </a:p>
        <a:p>
          <a:r>
            <a:rPr lang="en-US" sz="1100"/>
            <a:t>Performed at 39% against the set target. We are behind by 3.1% against</a:t>
          </a:r>
          <a:r>
            <a:rPr lang="en-US" sz="1100" baseline="0"/>
            <a:t> time gone.</a:t>
          </a:r>
        </a:p>
        <a:p>
          <a:r>
            <a:rPr lang="en-US" sz="1100"/>
            <a:t>However, we</a:t>
          </a:r>
          <a:r>
            <a:rPr lang="en-US" sz="1100" baseline="0"/>
            <a:t> have incresed by 50.2% in comparison to Feb week 2.</a:t>
          </a:r>
        </a:p>
        <a:p>
          <a:r>
            <a:rPr lang="en-US" sz="1100" baseline="0"/>
            <a:t>7% of the outlets visited in march are productive outlets.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Out of the outlets visited on February, only 22% have been revisited.</a:t>
          </a:r>
          <a:endParaRPr lang="en-US">
            <a:effectLst/>
          </a:endParaRPr>
        </a:p>
        <a:p>
          <a:endParaRPr lang="en-US" sz="1100" baseline="0"/>
        </a:p>
        <a:p>
          <a:r>
            <a:rPr lang="en-US" sz="1100" baseline="0"/>
            <a:t>Out of 4,090 outlets visited, we have only serviced 13% (519) of the total outlets. 55% of which have only been visited ones.</a:t>
          </a:r>
        </a:p>
        <a:p>
          <a:r>
            <a:rPr lang="en-US" sz="1100" baseline="0"/>
            <a:t> Only 2% have been visited more than 10 times as shown in the chart above.</a:t>
          </a:r>
        </a:p>
        <a:p>
          <a:endParaRPr lang="en-US" sz="1100" baseline="0"/>
        </a:p>
        <a:p>
          <a:r>
            <a:rPr lang="en-US" sz="1100" b="1" baseline="0"/>
            <a:t>TAKE OUT:</a:t>
          </a:r>
        </a:p>
        <a:p>
          <a:r>
            <a:rPr lang="en-US" sz="1100" baseline="0"/>
            <a:t>The FSAs to Revisit 92% of the productive outlets already mapped.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FSAs to revist 87% unproductive outlets already listed to get orders fom them.</a:t>
          </a:r>
          <a:endParaRPr lang="en-US">
            <a:effectLst/>
          </a:endParaRPr>
        </a:p>
        <a:p>
          <a:r>
            <a:rPr lang="en-US" sz="1100" baseline="0"/>
            <a:t>To make a proper route plan that will focus on recruiting  more productive oulets.</a:t>
          </a:r>
        </a:p>
        <a:p>
          <a:endParaRPr lang="en-US" sz="1100"/>
        </a:p>
      </xdr:txBody>
    </xdr:sp>
    <xdr:clientData/>
  </xdr:twoCellAnchor>
  <xdr:twoCellAnchor>
    <xdr:from>
      <xdr:col>7</xdr:col>
      <xdr:colOff>482435</xdr:colOff>
      <xdr:row>45</xdr:row>
      <xdr:rowOff>0</xdr:rowOff>
    </xdr:from>
    <xdr:to>
      <xdr:col>15</xdr:col>
      <xdr:colOff>37110</xdr:colOff>
      <xdr:row>56</xdr:row>
      <xdr:rowOff>61851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235033</xdr:colOff>
      <xdr:row>43</xdr:row>
      <xdr:rowOff>160812</xdr:rowOff>
    </xdr:from>
    <xdr:to>
      <xdr:col>21</xdr:col>
      <xdr:colOff>284513</xdr:colOff>
      <xdr:row>57</xdr:row>
      <xdr:rowOff>37111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104383</xdr:colOff>
      <xdr:row>79</xdr:row>
      <xdr:rowOff>182671</xdr:rowOff>
    </xdr:from>
    <xdr:to>
      <xdr:col>17</xdr:col>
      <xdr:colOff>300104</xdr:colOff>
      <xdr:row>93</xdr:row>
      <xdr:rowOff>91335</xdr:rowOff>
    </xdr:to>
    <xdr:sp macro="" textlink="">
      <xdr:nvSpPr>
        <xdr:cNvPr id="14" name="TextBox 13"/>
        <xdr:cNvSpPr txBox="1"/>
      </xdr:nvSpPr>
      <xdr:spPr>
        <a:xfrm>
          <a:off x="6837123" y="15527055"/>
          <a:ext cx="5715002" cy="26487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STATUS:</a:t>
          </a:r>
        </a:p>
        <a:p>
          <a:r>
            <a:rPr lang="en-US" sz="1100"/>
            <a:t>Performing</a:t>
          </a:r>
          <a:r>
            <a:rPr lang="en-US" sz="1100" baseline="0"/>
            <a:t> at 33% against the set target. This is 8.9% behind time.</a:t>
          </a:r>
        </a:p>
        <a:p>
          <a:r>
            <a:rPr lang="en-US" sz="1100" baseline="0"/>
            <a:t>However, there is 6.4% increment compared to the previous month's perfomrance in week 2. </a:t>
          </a:r>
        </a:p>
        <a:p>
          <a:r>
            <a:rPr lang="en-US" sz="1100" baseline="0"/>
            <a:t>Out of the listing done this month,only 14%  have placed orders.</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TAKE OUT:</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FSAs to be tasked to add at least 5 unique productive outlets on the universe outlets per week.</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FSA to be tasked to fully maximize on conveting the outlets available in their routes to increase productivety</a:t>
          </a:r>
        </a:p>
      </xdr:txBody>
    </xdr:sp>
    <xdr:clientData/>
  </xdr:twoCellAnchor>
  <xdr:twoCellAnchor>
    <xdr:from>
      <xdr:col>0</xdr:col>
      <xdr:colOff>482773</xdr:colOff>
      <xdr:row>88</xdr:row>
      <xdr:rowOff>39144</xdr:rowOff>
    </xdr:from>
    <xdr:to>
      <xdr:col>6</xdr:col>
      <xdr:colOff>730684</xdr:colOff>
      <xdr:row>100</xdr:row>
      <xdr:rowOff>91336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419100</xdr:colOff>
      <xdr:row>2</xdr:row>
      <xdr:rowOff>44448</xdr:rowOff>
    </xdr:from>
    <xdr:to>
      <xdr:col>9</xdr:col>
      <xdr:colOff>279400</xdr:colOff>
      <xdr:row>14</xdr:row>
      <xdr:rowOff>101599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533400</xdr:colOff>
      <xdr:row>1</xdr:row>
      <xdr:rowOff>76200</xdr:rowOff>
    </xdr:from>
    <xdr:to>
      <xdr:col>17</xdr:col>
      <xdr:colOff>266700</xdr:colOff>
      <xdr:row>13</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330200</xdr:colOff>
      <xdr:row>19</xdr:row>
      <xdr:rowOff>0</xdr:rowOff>
    </xdr:from>
    <xdr:to>
      <xdr:col>18</xdr:col>
      <xdr:colOff>215900</xdr:colOff>
      <xdr:row>51</xdr:row>
      <xdr:rowOff>177800</xdr:rowOff>
    </xdr:to>
    <xdr:sp macro="" textlink="">
      <xdr:nvSpPr>
        <xdr:cNvPr id="5" name="TextBox 4"/>
        <xdr:cNvSpPr txBox="1"/>
      </xdr:nvSpPr>
      <xdr:spPr>
        <a:xfrm>
          <a:off x="8928100" y="3619500"/>
          <a:ext cx="7378700" cy="627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demand of our products in the market</a:t>
          </a:r>
          <a:r>
            <a:rPr lang="en-US" sz="1100" baseline="0"/>
            <a:t> stands at an average of 21.4%.  This is a drop of  57.1% on our growth projections.</a:t>
          </a:r>
        </a:p>
        <a:p>
          <a:r>
            <a:rPr lang="en-US" sz="1100" b="1" baseline="0"/>
            <a:t>Cooking oil</a:t>
          </a:r>
        </a:p>
        <a:p>
          <a:r>
            <a:rPr lang="en-US" sz="1100" baseline="0"/>
            <a:t>Based on the Previous month's data, 55% (783,395) of orders collected were contributed by Cooking oil Category.</a:t>
          </a:r>
        </a:p>
        <a:p>
          <a:r>
            <a:rPr lang="en-US" sz="1100" baseline="0"/>
            <a:t>This month's contribution stands at 2% (21,510).This is a drop by 53% which is attributed to stock outs.</a:t>
          </a:r>
        </a:p>
        <a:p>
          <a:r>
            <a:rPr lang="en-US" sz="1100" b="1" baseline="0"/>
            <a:t>Maize Flour</a:t>
          </a:r>
        </a:p>
        <a:p>
          <a:r>
            <a:rPr lang="en-US" sz="1100"/>
            <a:t>Previous</a:t>
          </a:r>
          <a:r>
            <a:rPr lang="en-US" sz="1100" baseline="0"/>
            <a:t> month contribution: 17.5%(</a:t>
          </a:r>
          <a:r>
            <a:rPr lang="en-US" sz="1100" b="0" i="0" u="none" strike="noStrike" baseline="0">
              <a:solidFill>
                <a:schemeClr val="dk1"/>
              </a:solidFill>
              <a:effectLst/>
              <a:latin typeface="+mn-lt"/>
              <a:ea typeface="+mn-ea"/>
              <a:cs typeface="+mn-cs"/>
            </a:rPr>
            <a:t>ksh.</a:t>
          </a:r>
          <a:r>
            <a:rPr lang="en-US" sz="1100" b="0" i="0" u="none" strike="noStrike">
              <a:solidFill>
                <a:schemeClr val="dk1"/>
              </a:solidFill>
              <a:effectLst/>
              <a:latin typeface="+mn-lt"/>
              <a:ea typeface="+mn-ea"/>
              <a:cs typeface="+mn-cs"/>
            </a:rPr>
            <a:t>249,770 ).</a:t>
          </a:r>
        </a:p>
        <a:p>
          <a:r>
            <a:rPr lang="en-US" sz="1100" b="0" i="0" u="none" strike="noStrike" baseline="0">
              <a:solidFill>
                <a:schemeClr val="dk1"/>
              </a:solidFill>
              <a:effectLst/>
              <a:latin typeface="+mn-lt"/>
              <a:ea typeface="+mn-ea"/>
              <a:cs typeface="+mn-cs"/>
            </a:rPr>
            <a:t>Month to Date  contribution: 28.9% (ksh.</a:t>
          </a:r>
          <a:r>
            <a:rPr lang="en-US" sz="1100" b="0" i="0" u="none" strike="noStrike">
              <a:solidFill>
                <a:schemeClr val="dk1"/>
              </a:solidFill>
              <a:effectLst/>
              <a:latin typeface="+mn-lt"/>
              <a:ea typeface="+mn-ea"/>
              <a:cs typeface="+mn-cs"/>
            </a:rPr>
            <a:t>315,353 )</a:t>
          </a:r>
        </a:p>
        <a:p>
          <a:r>
            <a:rPr lang="en-US" sz="1100" b="0" i="0" u="none" strike="noStrike">
              <a:solidFill>
                <a:schemeClr val="dk1"/>
              </a:solidFill>
              <a:effectLst/>
              <a:latin typeface="+mn-lt"/>
              <a:ea typeface="+mn-ea"/>
              <a:cs typeface="+mn-cs"/>
            </a:rPr>
            <a:t>This</a:t>
          </a:r>
          <a:r>
            <a:rPr lang="en-US" sz="1100" b="0" i="0" u="none" strike="noStrike" baseline="0">
              <a:solidFill>
                <a:schemeClr val="dk1"/>
              </a:solidFill>
              <a:effectLst/>
              <a:latin typeface="+mn-lt"/>
              <a:ea typeface="+mn-ea"/>
              <a:cs typeface="+mn-cs"/>
            </a:rPr>
            <a:t> is a </a:t>
          </a:r>
          <a:r>
            <a:rPr lang="en-US" sz="1100" b="0" i="0" u="none" strike="noStrike">
              <a:solidFill>
                <a:schemeClr val="dk1"/>
              </a:solidFill>
              <a:effectLst/>
              <a:latin typeface="+mn-lt"/>
              <a:ea typeface="+mn-ea"/>
              <a:cs typeface="+mn-cs"/>
            </a:rPr>
            <a:t>growth of 20.8%</a:t>
          </a:r>
          <a:r>
            <a:rPr lang="en-US" sz="1100" b="0" i="0" u="none" strike="noStrike" baseline="0">
              <a:solidFill>
                <a:schemeClr val="dk1"/>
              </a:solidFill>
              <a:effectLst/>
              <a:latin typeface="+mn-lt"/>
              <a:ea typeface="+mn-ea"/>
              <a:cs typeface="+mn-cs"/>
            </a:rPr>
            <a:t> attributed to increase in Pambo &amp; Pembe Sales by ksh.71,090.</a:t>
          </a:r>
        </a:p>
        <a:p>
          <a:r>
            <a:rPr lang="en-US" sz="1100" b="1" i="0" u="none" strike="noStrike" baseline="0">
              <a:solidFill>
                <a:schemeClr val="dk1"/>
              </a:solidFill>
              <a:effectLst/>
              <a:latin typeface="+mn-lt"/>
              <a:ea typeface="+mn-ea"/>
              <a:cs typeface="+mn-cs"/>
            </a:rPr>
            <a:t>Baking Flour</a:t>
          </a:r>
        </a:p>
        <a:p>
          <a:r>
            <a:rPr lang="en-US" sz="1100" b="0" i="0" u="none" strike="noStrike" baseline="0">
              <a:solidFill>
                <a:schemeClr val="dk1"/>
              </a:solidFill>
              <a:effectLst/>
              <a:latin typeface="+mn-lt"/>
              <a:ea typeface="+mn-ea"/>
              <a:cs typeface="+mn-cs"/>
            </a:rPr>
            <a:t>Previous Month: ksh.</a:t>
          </a:r>
          <a:r>
            <a:rPr lang="en-US" sz="1100" b="0" i="0" u="none" strike="noStrike">
              <a:solidFill>
                <a:schemeClr val="dk1"/>
              </a:solidFill>
              <a:effectLst/>
              <a:latin typeface="+mn-lt"/>
              <a:ea typeface="+mn-ea"/>
              <a:cs typeface="+mn-cs"/>
            </a:rPr>
            <a:t>253,240 </a:t>
          </a:r>
        </a:p>
        <a:p>
          <a:r>
            <a:rPr lang="en-US" sz="1100" b="0" i="0" u="none" strike="noStrike" baseline="0">
              <a:solidFill>
                <a:schemeClr val="dk1"/>
              </a:solidFill>
              <a:effectLst/>
              <a:latin typeface="+mn-lt"/>
              <a:ea typeface="+mn-ea"/>
              <a:cs typeface="+mn-cs"/>
            </a:rPr>
            <a:t>Month to Date: ksh.</a:t>
          </a:r>
          <a:r>
            <a:rPr lang="en-US" sz="1100" b="0" i="0" u="none" strike="noStrike">
              <a:solidFill>
                <a:schemeClr val="dk1"/>
              </a:solidFill>
              <a:effectLst/>
              <a:latin typeface="+mn-lt"/>
              <a:ea typeface="+mn-ea"/>
              <a:cs typeface="+mn-cs"/>
            </a:rPr>
            <a:t>181,945 </a:t>
          </a:r>
        </a:p>
        <a:p>
          <a:r>
            <a:rPr lang="en-US" sz="1100" b="0" i="0" u="none" strike="noStrike" baseline="0">
              <a:solidFill>
                <a:schemeClr val="dk1"/>
              </a:solidFill>
              <a:effectLst/>
              <a:latin typeface="+mn-lt"/>
              <a:ea typeface="+mn-ea"/>
              <a:cs typeface="+mn-cs"/>
            </a:rPr>
            <a:t>This is a decline by ksh.71,295 attributed to stock outs of Ajab 2kg baking flour.</a:t>
          </a:r>
        </a:p>
        <a:p>
          <a:r>
            <a:rPr lang="en-US" sz="1100" b="1" i="0" u="none" strike="noStrike" baseline="0">
              <a:solidFill>
                <a:schemeClr val="dk1"/>
              </a:solidFill>
              <a:effectLst/>
              <a:latin typeface="+mn-lt"/>
              <a:ea typeface="+mn-ea"/>
              <a:cs typeface="+mn-cs"/>
            </a:rPr>
            <a:t>Sugar</a:t>
          </a:r>
        </a:p>
        <a:p>
          <a:r>
            <a:rPr lang="en-US" sz="1100" b="0" i="0" u="none" strike="noStrike">
              <a:solidFill>
                <a:schemeClr val="dk1"/>
              </a:solidFill>
              <a:effectLst/>
              <a:latin typeface="+mn-lt"/>
              <a:ea typeface="+mn-ea"/>
              <a:cs typeface="+mn-cs"/>
            </a:rPr>
            <a:t>Previous month: ksh 375,675</a:t>
          </a:r>
        </a:p>
        <a:p>
          <a:r>
            <a:rPr lang="en-US" sz="1100" b="0" i="0" u="none" strike="noStrike" baseline="0">
              <a:solidFill>
                <a:schemeClr val="dk1"/>
              </a:solidFill>
              <a:effectLst/>
              <a:latin typeface="+mn-lt"/>
              <a:ea typeface="+mn-ea"/>
              <a:cs typeface="+mn-cs"/>
            </a:rPr>
            <a:t>Month to date: ksh 162,210</a:t>
          </a:r>
        </a:p>
        <a:p>
          <a:r>
            <a:rPr lang="en-US" sz="1100" b="0" i="0" u="none" strike="noStrike" baseline="0">
              <a:solidFill>
                <a:schemeClr val="dk1"/>
              </a:solidFill>
              <a:effectLst/>
              <a:latin typeface="+mn-lt"/>
              <a:ea typeface="+mn-ea"/>
              <a:cs typeface="+mn-cs"/>
            </a:rPr>
            <a:t>A decline by ksh 71,295 attributed to decline in sugar market pricing. </a:t>
          </a:r>
        </a:p>
        <a:p>
          <a:r>
            <a:rPr lang="en-US" sz="1100" b="1" i="0" u="none" strike="noStrike" baseline="0">
              <a:solidFill>
                <a:schemeClr val="dk1"/>
              </a:solidFill>
              <a:effectLst/>
              <a:latin typeface="+mn-lt"/>
              <a:ea typeface="+mn-ea"/>
              <a:cs typeface="+mn-cs"/>
            </a:rPr>
            <a:t>Rice</a:t>
          </a:r>
        </a:p>
        <a:p>
          <a:r>
            <a:rPr lang="en-US" sz="1100" b="0" i="0" u="none" strike="noStrike">
              <a:solidFill>
                <a:schemeClr val="dk1"/>
              </a:solidFill>
              <a:effectLst/>
              <a:latin typeface="+mn-lt"/>
              <a:ea typeface="+mn-ea"/>
              <a:cs typeface="+mn-cs"/>
            </a:rPr>
            <a:t>Previous month: ksh 306,700</a:t>
          </a:r>
        </a:p>
        <a:p>
          <a:r>
            <a:rPr lang="en-US" sz="1100" b="0" i="0" u="none" strike="noStrike">
              <a:solidFill>
                <a:schemeClr val="dk1"/>
              </a:solidFill>
              <a:effectLst/>
              <a:latin typeface="+mn-lt"/>
              <a:ea typeface="+mn-ea"/>
              <a:cs typeface="+mn-cs"/>
            </a:rPr>
            <a:t>Month to date: ksh 83,850</a:t>
          </a:r>
        </a:p>
        <a:p>
          <a:r>
            <a:rPr lang="en-US" sz="1100" b="0" i="0" u="none" strike="noStrike">
              <a:solidFill>
                <a:schemeClr val="dk1"/>
              </a:solidFill>
              <a:effectLst/>
              <a:latin typeface="+mn-lt"/>
              <a:ea typeface="+mn-ea"/>
              <a:cs typeface="+mn-cs"/>
            </a:rPr>
            <a:t>A decline by ksh 213,465 due</a:t>
          </a:r>
          <a:r>
            <a:rPr lang="en-US" sz="1100" b="0" i="0" u="none" strike="noStrike" baseline="0">
              <a:solidFill>
                <a:schemeClr val="dk1"/>
              </a:solidFill>
              <a:effectLst/>
              <a:latin typeface="+mn-lt"/>
              <a:ea typeface="+mn-ea"/>
              <a:cs typeface="+mn-cs"/>
            </a:rPr>
            <a:t> to stock outs of the most demanded products (Kapunga and Empire rice).</a:t>
          </a:r>
        </a:p>
        <a:p>
          <a:r>
            <a:rPr lang="en-US" sz="1100" b="1" i="0" u="none" strike="noStrike" baseline="0">
              <a:solidFill>
                <a:schemeClr val="dk1"/>
              </a:solidFill>
              <a:effectLst/>
              <a:latin typeface="+mn-lt"/>
              <a:ea typeface="+mn-ea"/>
              <a:cs typeface="+mn-cs"/>
            </a:rPr>
            <a:t>Soaps</a:t>
          </a:r>
        </a:p>
        <a:p>
          <a:r>
            <a:rPr lang="en-US" sz="1100" b="0" i="0" u="none" strike="noStrike" baseline="0">
              <a:solidFill>
                <a:schemeClr val="dk1"/>
              </a:solidFill>
              <a:effectLst/>
              <a:latin typeface="+mn-lt"/>
              <a:ea typeface="+mn-ea"/>
              <a:cs typeface="+mn-cs"/>
            </a:rPr>
            <a:t>Previous month :  ksh 194,180</a:t>
          </a:r>
        </a:p>
        <a:p>
          <a:r>
            <a:rPr lang="en-US" sz="1100" b="0" i="0" u="none" strike="noStrike" baseline="0">
              <a:solidFill>
                <a:schemeClr val="dk1"/>
              </a:solidFill>
              <a:effectLst/>
              <a:latin typeface="+mn-lt"/>
              <a:ea typeface="+mn-ea"/>
              <a:cs typeface="+mn-cs"/>
            </a:rPr>
            <a:t>Month to date: ksh 112,240</a:t>
          </a:r>
        </a:p>
        <a:p>
          <a:r>
            <a:rPr lang="en-US" sz="1100" b="0" i="0" u="none" strike="noStrike" baseline="0">
              <a:solidFill>
                <a:schemeClr val="dk1"/>
              </a:solidFill>
              <a:effectLst/>
              <a:latin typeface="+mn-lt"/>
              <a:ea typeface="+mn-ea"/>
              <a:cs typeface="+mn-cs"/>
            </a:rPr>
            <a:t>A decline by 81,940 attributed to inconistent availability of Menengai and Zenta soap.</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Take out:</a:t>
          </a:r>
        </a:p>
        <a:p>
          <a:r>
            <a:rPr lang="en-US" sz="1100" b="0" i="0" u="none" strike="noStrike" baseline="0">
              <a:solidFill>
                <a:schemeClr val="dk1"/>
              </a:solidFill>
              <a:effectLst/>
              <a:latin typeface="+mn-lt"/>
              <a:ea typeface="+mn-ea"/>
              <a:cs typeface="+mn-cs"/>
            </a:rPr>
            <a:t>1. Product availability plays a major role in order generation thus there is a need to restock the below products;</a:t>
          </a:r>
        </a:p>
        <a:p>
          <a:r>
            <a:rPr lang="en-US" sz="1100" b="0" i="0" u="none" strike="noStrike" baseline="0">
              <a:solidFill>
                <a:schemeClr val="dk1"/>
              </a:solidFill>
              <a:effectLst/>
              <a:latin typeface="+mn-lt"/>
              <a:ea typeface="+mn-ea"/>
              <a:cs typeface="+mn-cs"/>
            </a:rPr>
            <a:t>     a. Halisi 20 litres cooking oil  (lost ksh 677,790)</a:t>
          </a:r>
        </a:p>
        <a:p>
          <a:r>
            <a:rPr lang="en-US" sz="1100" b="0" i="0" u="none" strike="noStrike" baseline="0">
              <a:solidFill>
                <a:schemeClr val="dk1"/>
              </a:solidFill>
              <a:effectLst/>
              <a:latin typeface="+mn-lt"/>
              <a:ea typeface="+mn-ea"/>
              <a:cs typeface="+mn-cs"/>
            </a:rPr>
            <a:t>     b. Postman 20 litres cookiing oil (lost ksh 67,210)</a:t>
          </a:r>
        </a:p>
        <a:p>
          <a:r>
            <a:rPr lang="en-US" sz="1100" b="0" i="0" u="none" strike="noStrike" baseline="0">
              <a:solidFill>
                <a:schemeClr val="dk1"/>
              </a:solidFill>
              <a:effectLst/>
              <a:latin typeface="+mn-lt"/>
              <a:ea typeface="+mn-ea"/>
              <a:cs typeface="+mn-cs"/>
            </a:rPr>
            <a:t>     c. Empire Rice 25kg (lost ksh 107,950)</a:t>
          </a:r>
        </a:p>
        <a:p>
          <a:r>
            <a:rPr lang="en-US" sz="1100" b="0" i="0" u="none" strike="noStrike" baseline="0">
              <a:solidFill>
                <a:schemeClr val="dk1"/>
              </a:solidFill>
              <a:effectLst/>
              <a:latin typeface="+mn-lt"/>
              <a:ea typeface="+mn-ea"/>
              <a:cs typeface="+mn-cs"/>
            </a:rPr>
            <a:t>     d. Kapunga 25kg rice (lost ksh 75,350)</a:t>
          </a:r>
        </a:p>
        <a:p>
          <a:r>
            <a:rPr lang="en-US" sz="1100" b="0" i="0" u="none" strike="noStrike" baseline="0">
              <a:solidFill>
                <a:schemeClr val="dk1"/>
              </a:solidFill>
              <a:effectLst/>
              <a:latin typeface="+mn-lt"/>
              <a:ea typeface="+mn-ea"/>
              <a:cs typeface="+mn-cs"/>
            </a:rPr>
            <a:t>     e. Zenta soap 800g (lost ksh 50,320)</a:t>
          </a:r>
        </a:p>
        <a:p>
          <a:r>
            <a:rPr lang="en-US" sz="1100" b="0" i="0" u="none" strike="noStrike" baseline="0">
              <a:solidFill>
                <a:schemeClr val="dk1"/>
              </a:solidFill>
              <a:effectLst/>
              <a:latin typeface="+mn-lt"/>
              <a:ea typeface="+mn-ea"/>
              <a:cs typeface="+mn-cs"/>
            </a:rPr>
            <a:t>     f. Ajab baking 2kg (lost ksh 138,300)</a:t>
          </a:r>
        </a:p>
        <a:p>
          <a:r>
            <a:rPr lang="en-US" sz="1100" b="0" i="0" u="none" strike="noStrike" baseline="0">
              <a:solidFill>
                <a:schemeClr val="dk1"/>
              </a:solidFill>
              <a:effectLst/>
              <a:latin typeface="+mn-lt"/>
              <a:ea typeface="+mn-ea"/>
              <a:cs typeface="+mn-cs"/>
            </a:rPr>
            <a:t>2. Pricing also play a major role on conversion in the maket thus a need to regulate prices based on the market trend e.g sugar category registered a sales decline by ksh 71,295 .</a:t>
          </a:r>
        </a:p>
        <a:p>
          <a:r>
            <a:rPr lang="en-US" sz="1100" b="0" i="0" u="none" strike="noStrike" baseline="0">
              <a:solidFill>
                <a:schemeClr val="dk1"/>
              </a:solidFill>
              <a:effectLst/>
              <a:latin typeface="+mn-lt"/>
              <a:ea typeface="+mn-ea"/>
              <a:cs typeface="+mn-cs"/>
            </a:rPr>
            <a:t>3. A need to prioritize on listing the products on demand in the market .</a:t>
          </a:r>
        </a:p>
      </xdr:txBody>
    </xdr:sp>
    <xdr:clientData/>
  </xdr:twoCellAnchor>
  <xdr:twoCellAnchor>
    <xdr:from>
      <xdr:col>8</xdr:col>
      <xdr:colOff>539748</xdr:colOff>
      <xdr:row>54</xdr:row>
      <xdr:rowOff>133348</xdr:rowOff>
    </xdr:from>
    <xdr:to>
      <xdr:col>16</xdr:col>
      <xdr:colOff>190499</xdr:colOff>
      <xdr:row>70</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266700</xdr:colOff>
      <xdr:row>8</xdr:row>
      <xdr:rowOff>66675</xdr:rowOff>
    </xdr:from>
    <xdr:to>
      <xdr:col>11</xdr:col>
      <xdr:colOff>266699</xdr:colOff>
      <xdr:row>21</xdr:row>
      <xdr:rowOff>114300</xdr:rowOff>
    </xdr:to>
    <mc:AlternateContent xmlns:mc="http://schemas.openxmlformats.org/markup-compatibility/2006" xmlns:a14="http://schemas.microsoft.com/office/drawing/2010/main">
      <mc:Choice Requires="a14">
        <xdr:graphicFrame macro="">
          <xdr:nvGraphicFramePr>
            <xdr:cNvPr id="2" name="Week 3"/>
            <xdr:cNvGraphicFramePr/>
          </xdr:nvGraphicFramePr>
          <xdr:xfrm>
            <a:off x="0" y="0"/>
            <a:ext cx="0" cy="0"/>
          </xdr:xfrm>
          <a:graphic>
            <a:graphicData uri="http://schemas.microsoft.com/office/drawing/2010/slicer">
              <sle:slicer xmlns:sle="http://schemas.microsoft.com/office/drawing/2010/slicer" name="Week 3"/>
            </a:graphicData>
          </a:graphic>
        </xdr:graphicFrame>
      </mc:Choice>
      <mc:Fallback xmlns="">
        <xdr:sp macro="" textlink="">
          <xdr:nvSpPr>
            <xdr:cNvPr id="0" name=""/>
            <xdr:cNvSpPr>
              <a:spLocks noTextEdit="1"/>
            </xdr:cNvSpPr>
          </xdr:nvSpPr>
          <xdr:spPr>
            <a:xfrm>
              <a:off x="6677025" y="1590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223837</xdr:colOff>
      <xdr:row>3</xdr:row>
      <xdr:rowOff>47625</xdr:rowOff>
    </xdr:from>
    <xdr:to>
      <xdr:col>11</xdr:col>
      <xdr:colOff>492918</xdr:colOff>
      <xdr:row>16</xdr:row>
      <xdr:rowOff>95250</xdr:rowOff>
    </xdr:to>
    <mc:AlternateContent xmlns:mc="http://schemas.openxmlformats.org/markup-compatibility/2006" xmlns:a14="http://schemas.microsoft.com/office/drawing/2010/main">
      <mc:Choice Requires="a14">
        <xdr:graphicFrame macro="">
          <xdr:nvGraphicFramePr>
            <xdr:cNvPr id="2" name="Week 1"/>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7939087"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426244</xdr:colOff>
      <xdr:row>19</xdr:row>
      <xdr:rowOff>95250</xdr:rowOff>
    </xdr:from>
    <xdr:to>
      <xdr:col>11</xdr:col>
      <xdr:colOff>52388</xdr:colOff>
      <xdr:row>32</xdr:row>
      <xdr:rowOff>142875</xdr:rowOff>
    </xdr:to>
    <mc:AlternateContent xmlns:mc="http://schemas.openxmlformats.org/markup-compatibility/2006" xmlns:a14="http://schemas.microsoft.com/office/drawing/2010/main">
      <mc:Choice Requires="a14">
        <xdr:graphicFrame macro="">
          <xdr:nvGraphicFramePr>
            <xdr:cNvPr id="3" name="Week 2"/>
            <xdr:cNvGraphicFramePr/>
          </xdr:nvGraphicFramePr>
          <xdr:xfrm>
            <a:off x="0" y="0"/>
            <a:ext cx="0" cy="0"/>
          </xdr:xfrm>
          <a:graphic>
            <a:graphicData uri="http://schemas.microsoft.com/office/drawing/2010/slicer">
              <sle:slicer xmlns:sle="http://schemas.microsoft.com/office/drawing/2010/slicer" name="Week 2"/>
            </a:graphicData>
          </a:graphic>
        </xdr:graphicFrame>
      </mc:Choice>
      <mc:Fallback xmlns="">
        <xdr:sp macro="" textlink="">
          <xdr:nvSpPr>
            <xdr:cNvPr id="0" name=""/>
            <xdr:cNvSpPr>
              <a:spLocks noTextEdit="1"/>
            </xdr:cNvSpPr>
          </xdr:nvSpPr>
          <xdr:spPr>
            <a:xfrm>
              <a:off x="7498557" y="3714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188118</xdr:colOff>
      <xdr:row>4</xdr:row>
      <xdr:rowOff>173832</xdr:rowOff>
    </xdr:from>
    <xdr:to>
      <xdr:col>21</xdr:col>
      <xdr:colOff>171449</xdr:colOff>
      <xdr:row>18</xdr:row>
      <xdr:rowOff>30957</xdr:rowOff>
    </xdr:to>
    <mc:AlternateContent xmlns:mc="http://schemas.openxmlformats.org/markup-compatibility/2006" xmlns:a14="http://schemas.microsoft.com/office/drawing/2010/main">
      <mc:Choice Requires="a14">
        <xdr:graphicFrame macro="">
          <xdr:nvGraphicFramePr>
            <xdr:cNvPr id="2"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9832181" y="93583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184546</xdr:colOff>
      <xdr:row>6</xdr:row>
      <xdr:rowOff>51196</xdr:rowOff>
    </xdr:from>
    <xdr:to>
      <xdr:col>29</xdr:col>
      <xdr:colOff>267890</xdr:colOff>
      <xdr:row>20</xdr:row>
      <xdr:rowOff>127396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730250</xdr:colOff>
      <xdr:row>9</xdr:row>
      <xdr:rowOff>112101</xdr:rowOff>
    </xdr:from>
    <xdr:to>
      <xdr:col>17</xdr:col>
      <xdr:colOff>97692</xdr:colOff>
      <xdr:row>23</xdr:row>
      <xdr:rowOff>134327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412750</xdr:colOff>
      <xdr:row>25</xdr:row>
      <xdr:rowOff>38834</xdr:rowOff>
    </xdr:from>
    <xdr:to>
      <xdr:col>19</xdr:col>
      <xdr:colOff>283308</xdr:colOff>
      <xdr:row>39</xdr:row>
      <xdr:rowOff>46649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5</xdr:row>
      <xdr:rowOff>0</xdr:rowOff>
    </xdr:from>
    <xdr:to>
      <xdr:col>22</xdr:col>
      <xdr:colOff>264992</xdr:colOff>
      <xdr:row>18</xdr:row>
      <xdr:rowOff>83283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Byrone Elijah" refreshedDate="44638.565416087964" backgroundQuery="1" createdVersion="6" refreshedVersion="6" minRefreshableVersion="3" recordCount="0" supportSubquery="1" supportAdvancedDrill="1">
  <cacheSource type="external" connectionId="1"/>
  <cacheFields count="3">
    <cacheField name="[Table6].[FSRs].[FSRs]" caption="FSRs" numFmtId="0" hierarchy="25" level="1">
      <sharedItems count="6">
        <s v="Diana Wairimu"/>
        <s v="Hope Nafula"/>
        <s v="Margaret Wanjiku"/>
        <s v="Newton Muthuri"/>
        <s v="Rodgers Omondi"/>
        <s v="Stacy Adhiambo"/>
      </sharedItems>
    </cacheField>
    <cacheField name="[Measures].[Distinct Count of Outlet Name]" caption="Distinct Count of Outlet Name" numFmtId="0" hierarchy="46" level="32767"/>
    <cacheField name="[Table6].[Date].[Date]" caption="Date" numFmtId="0" hierarchy="22" level="1">
      <sharedItems containsSemiMixedTypes="0" containsNonDate="0" containsString="0"/>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2" memberValueDatatype="7" unbalanced="0">
      <fieldsUsage count="2">
        <fieldUsage x="-1"/>
        <fieldUsage x="2"/>
      </fieldsUsage>
    </cacheHierarchy>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2" memberValueDatatype="130" unbalanced="0">
      <fieldsUsage count="2">
        <fieldUsage x="-1"/>
        <fieldUsage x="0"/>
      </fieldsUsage>
    </cacheHierarchy>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0"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Byrone Elijah" refreshedDate="44638.565441087965" backgroundQuery="1" createdVersion="6" refreshedVersion="6" minRefreshableVersion="3" recordCount="0" supportSubquery="1" supportAdvancedDrill="1">
  <cacheSource type="external" connectionId="1"/>
  <cacheFields count="6">
    <cacheField name="[Table6].[FSRs].[FSRs]" caption="FSRs" numFmtId="0" hierarchy="25" level="1">
      <sharedItems containsSemiMixedTypes="0" containsNonDate="0" containsString="0"/>
    </cacheField>
    <cacheField name="[Table6].[Week].[Week]" caption="Week" numFmtId="0" hierarchy="31" level="1">
      <sharedItems count="3">
        <s v="Week 1"/>
        <s v="Week 6"/>
        <s v="Week 5" u="1"/>
      </sharedItems>
    </cacheField>
    <cacheField name="[Table6].[Outlet Name].[Outlet Name]" caption="Outlet Name" numFmtId="0" hierarchy="26" level="1">
      <sharedItems count="1">
        <s v="1 Shop"/>
      </sharedItems>
    </cacheField>
    <cacheField name="[Measures].[Sum of Order Total]" caption="Sum of Order Total" numFmtId="0" hierarchy="43" level="32767"/>
    <cacheField name="[Table6].[Catergory].[Catergory]" caption="Catergory" numFmtId="0" hierarchy="28" level="1">
      <sharedItems count="17">
        <s v="BABY CARE"/>
        <s v="Baking Flour"/>
        <s v="BISCUITS"/>
        <s v="BODY JELLY"/>
        <s v="COFFEE, COCOA &amp; TEA"/>
        <s v="Cooking Oil"/>
        <s v="LIGHTERS &amp; MATCHES"/>
        <s v="Maize Flour"/>
        <s v="Rice"/>
        <s v="SALT"/>
        <s v="SANITARY"/>
        <s v="SHAVERS"/>
        <s v="SOAPS"/>
        <s v="SPAGHETTI &amp; NOODLES"/>
        <s v="STATIONERY"/>
        <s v="Sugar"/>
        <s v="TISSUE"/>
      </sharedItems>
    </cacheField>
    <cacheField name="[Table6].[Month].[Month]" caption="Month" numFmtId="0" hierarchy="23" level="1">
      <sharedItems count="2">
        <s v="February"/>
        <s v="March"/>
      </sharedItems>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2" memberValueDatatype="130" unbalanced="0">
      <fieldsUsage count="2">
        <fieldUsage x="-1"/>
        <fieldUsage x="5"/>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2" memberValueDatatype="130" unbalanced="0">
      <fieldsUsage count="2">
        <fieldUsage x="-1"/>
        <fieldUsage x="0"/>
      </fieldsUsage>
    </cacheHierarchy>
    <cacheHierarchy uniqueName="[Table6].[Outlet Name]" caption="Outlet Name" attribute="1" defaultMemberUniqueName="[Table6].[Outlet Name].[All]" allUniqueName="[Table6].[Outlet Name].[All]" dimensionUniqueName="[Table6]" displayFolder="" count="2" memberValueDatatype="130" unbalanced="0">
      <fieldsUsage count="2">
        <fieldUsage x="-1"/>
        <fieldUsage x="2"/>
      </fieldsUsage>
    </cacheHierarchy>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2" memberValueDatatype="130" unbalanced="0">
      <fieldsUsage count="2">
        <fieldUsage x="-1"/>
        <fieldUsage x="4"/>
      </fieldsUsage>
    </cacheHierarchy>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1"/>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oneField="1" hidden="1">
      <fieldsUsage count="1">
        <fieldUsage x="3"/>
      </fieldsUsage>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Byrone Elijah" refreshedDate="44638.565444444444" backgroundQuery="1" createdVersion="6" refreshedVersion="6" minRefreshableVersion="3" recordCount="0" supportSubquery="1" supportAdvancedDrill="1">
  <cacheSource type="external" connectionId="1"/>
  <cacheFields count="4">
    <cacheField name="[Table6].[FSRs].[FSRs]" caption="FSRs" numFmtId="0" hierarchy="25" level="1">
      <sharedItems count="8">
        <s v="Diana Wairimu"/>
        <s v="Hope Nafula"/>
        <s v="Lucas Kimani"/>
        <s v="Margaret Wanjiku"/>
        <s v="Newton Muthuri"/>
        <s v="Rodgers Omondi"/>
        <s v="Sarah Nyambura"/>
        <s v="Stacy Adhiambo"/>
      </sharedItems>
    </cacheField>
    <cacheField name="[Table6].[Week].[Week]" caption="Week" numFmtId="0" hierarchy="31" level="1">
      <sharedItems count="2">
        <s v="Week 1"/>
        <s v="Week 5"/>
      </sharedItems>
    </cacheField>
    <cacheField name="[Measures].[Sum of Order Total]" caption="Sum of Order Total" numFmtId="0" hierarchy="43" level="32767"/>
    <cacheField name="[Table6].[Month].[Month]" caption="Month" numFmtId="0" hierarchy="23" level="1">
      <sharedItems count="2">
        <s v="February"/>
        <s v="March"/>
      </sharedItems>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2" memberValueDatatype="130" unbalanced="0">
      <fieldsUsage count="2">
        <fieldUsage x="-1"/>
        <fieldUsage x="3"/>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2" memberValueDatatype="130" unbalanced="0">
      <fieldsUsage count="2">
        <fieldUsage x="-1"/>
        <fieldUsage x="0"/>
      </fieldsUsage>
    </cacheHierarchy>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1"/>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Byrone Elijah" refreshedDate="44638.565448842593" backgroundQuery="1" createdVersion="6" refreshedVersion="6" minRefreshableVersion="3" recordCount="0" supportSubquery="1" supportAdvancedDrill="1">
  <cacheSource type="external" connectionId="1"/>
  <cacheFields count="6">
    <cacheField name="[Table6].[Order items].[Order items]" caption="Order items" numFmtId="0" hierarchy="27" level="1">
      <sharedItems count="54">
        <s v="Ajab Baking Flour Bale (1Kg X 24)"/>
        <s v="Ajab Baking Flour Bale (2Kg X 12)"/>
        <s v="Arimis Petroleum Jelly Pack 50g"/>
        <s v="Arimis Petroleum Jelly Pack 90g"/>
        <s v="Bic 1 Razor Shaver Ctn 12 X 8 dozen"/>
        <s v="Bic razer 1"/>
        <s v="cooking oil 10 litres"/>
        <s v="Dawaat Green Spaghetti Ctn 400G X 21"/>
        <s v="Empire Rice Bag 25kg"/>
        <s v="Fresh Fri Cooking Oil Ctn 2 Ltrs X 6"/>
        <s v="Fresh Fri Cooking Oil Ctn 250Ml X 24"/>
        <s v="Fresh Fri Cooking Oil Ctn 3 Ltrs X 6"/>
        <s v="Halisi Cooking Oil Jerrycan 20 Ltrs"/>
        <s v="Indomie Noodles Ctn 120G X 20Pkts Chicken Flavor"/>
        <s v="Jumbo Rice Bag 25kg"/>
        <s v="Kabras Sugar Bag 50Kg"/>
        <s v="Kabras Sugar Bale 1Kg X 20 Pkts"/>
        <s v="Kabras Sugar Bale 2Kg X 10 Pkts"/>
        <s v="Kensalt Salt Bale 200G X 30 Sachets"/>
        <s v="Kensalt Salt Bale 500G X 40 Sachets"/>
        <s v="Lemon carton"/>
        <s v="Maccoffee Coffee Ctn 1.6G X 120 Sachets"/>
        <s v="Manji Gingernut Biscuits Ctn 60 Pkts X 3 Pcs"/>
        <s v="Menengai Cream Soap Ctn 800g X 25 Bars"/>
        <s v="Nuvita Vitamilk Biscuits Ctn 60 Pkts X 5 Pcs"/>
        <s v="Pakistan Five Star Rice Bag 25kg"/>
        <s v="Pambo Maize Flour Bale (2Kg X 12)"/>
        <s v="Pembe Baking Flour Bale (1Kg X 24)"/>
        <s v="Pembe Baking Flour Bale (2Kg X 12)"/>
        <s v="Pembe Maize Flour Bale (2Kg X 12)"/>
        <s v="Postman Cooking Oil Jerrycan 10 Ltrs"/>
        <s v="Postman Cooking Oil Jerrycan 20 Ltrs"/>
        <s v="Rhino Safety Matches Big Pack 10 X 10"/>
        <s v="Rosy White Serviette Ctn 18 Pkts"/>
        <s v="Rosy White Tissue Bale 40Pcs"/>
        <s v="Royco Cubes Pack 4G X 40S"/>
        <s v="Salit 5 litres"/>
        <s v="Salit Cooking Oil Jerrycan 20 Litres"/>
        <s v="Softcare Baby Diapers Bale High Count XL  - 6 Packs"/>
        <s v="Softcare Baby Diapers Bale Large High Count"/>
        <s v="Softcare Baby Diapers Bale Low Count Small  - 12 Packs"/>
        <s v="Softcare Baby Diapers Dozen High Count Large"/>
        <s v="Softcare Baby Diapers Dozen High Count XL"/>
        <s v="Softcare Baby Diapers Dozen Low Count Small"/>
        <s v="Softcare Medium"/>
        <s v="Softcare Sanitary Pad Ctn 24 Pkts"/>
        <s v="Softcare Small"/>
        <s v="Softcare Small Outer"/>
        <s v="Soko Maize Flour Bale (2Kg X 12)"/>
        <s v="Star Sugar Bag 1Kg x 20pkts"/>
        <s v="Zenta Cream Soap Ctn 1Kg X 10 Bars"/>
        <s v="Zesta Mixed Fruit Jam Ctn 100G X 12 Tins"/>
        <s v="Zesta Strawberry Jam Ctn 100G X 12 Tins"/>
        <s v="Zesta Strawberry Jam Ctn 200G X 12 Tins"/>
      </sharedItems>
    </cacheField>
    <cacheField name="[Measures].[Sum of Not Dispatch]" caption="Sum of Not Dispatch" numFmtId="0" hierarchy="54" level="32767"/>
    <cacheField name="[Table6].[Catergory].[Catergory]" caption="Catergory" numFmtId="0" hierarchy="28" level="1">
      <sharedItems containsBlank="1" count="15">
        <m/>
        <s v="BABY CARE"/>
        <s v="Baking Flour"/>
        <s v="BISCUITS"/>
        <s v="Cooking Oil"/>
        <s v="JAMS AND JELLIES"/>
        <s v="LIGHTERS &amp; MATCHES"/>
        <s v="Maize Flour"/>
        <s v="Rice"/>
        <s v="SALT"/>
        <s v="SHAVERS"/>
        <s v="SOAPS"/>
        <s v="SPAGHETTI &amp; NOODLES"/>
        <s v="Sugar"/>
        <s v="TISSUE"/>
      </sharedItems>
    </cacheField>
    <cacheField name="[Table6].[Reason for not Dispatch].[Reason for not Dispatch]" caption="Reason for not Dispatch" numFmtId="0" hierarchy="35" level="1">
      <sharedItems containsNonDate="0" containsBlank="1" count="6">
        <s v="Stock outs from the warehouse"/>
        <m/>
        <s v="All had been generated in Uthiru"/>
        <s v="Product wasn’t on the catalogue"/>
        <s v="Customer canceled the order before dispatch"/>
        <s v="Delivered Previous Day"/>
      </sharedItems>
    </cacheField>
    <cacheField name="[Table6].[Month].[Month]" caption="Month" numFmtId="0" hierarchy="23" level="1">
      <sharedItems count="2">
        <s v="February"/>
        <s v="March"/>
      </sharedItems>
    </cacheField>
    <cacheField name="[Table6].[Week].[Week]" caption="Week" numFmtId="0" hierarchy="31" level="1">
      <sharedItems containsSemiMixedTypes="0" containsNonDate="0" containsString="0"/>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2" memberValueDatatype="130" unbalanced="0">
      <fieldsUsage count="2">
        <fieldUsage x="-1"/>
        <fieldUsage x="4"/>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2" memberValueDatatype="130" unbalanced="0">
      <fieldsUsage count="2">
        <fieldUsage x="-1"/>
        <fieldUsage x="0"/>
      </fieldsUsage>
    </cacheHierarchy>
    <cacheHierarchy uniqueName="[Table6].[Catergory]" caption="Catergory" attribute="1" defaultMemberUniqueName="[Table6].[Catergory].[All]" allUniqueName="[Table6].[Catergory].[All]" dimensionUniqueName="[Table6]" displayFolder="" count="2" memberValueDatatype="130" unbalanced="0">
      <fieldsUsage count="2">
        <fieldUsage x="-1"/>
        <fieldUsage x="2"/>
      </fieldsUsage>
    </cacheHierarchy>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5"/>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2" memberValueDatatype="130" unbalanced="0">
      <fieldsUsage count="2">
        <fieldUsage x="-1"/>
        <fieldUsage x="3"/>
      </fieldsUsage>
    </cacheHierarchy>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oneField="1" hidden="1">
      <fieldsUsage count="1">
        <fieldUsage x="1"/>
      </fieldsUsage>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Byrone Elijah" refreshedDate="44638.565452199073" backgroundQuery="1" createdVersion="6" refreshedVersion="6" minRefreshableVersion="3" recordCount="0" supportSubquery="1" supportAdvancedDrill="1">
  <cacheSource type="external" connectionId="1"/>
  <cacheFields count="6">
    <cacheField name="[Table6].[FSRs].[FSRs]" caption="FSRs" numFmtId="0" hierarchy="25" level="1">
      <sharedItems count="7">
        <s v="Diana Wairimu"/>
        <s v="Hope Nafula"/>
        <s v="Lucas Kimani"/>
        <s v="Newton Muthuri"/>
        <s v="Rodgers Omondi"/>
        <s v="Sarah Nyambura"/>
        <s v="Stacy Adhiambo"/>
      </sharedItems>
    </cacheField>
    <cacheField name="[Table6].[Week].[Week]" caption="Week" numFmtId="0" hierarchy="31" level="1">
      <sharedItems containsSemiMixedTypes="0" containsNonDate="0" containsString="0"/>
    </cacheField>
    <cacheField name="[Table6].[Outlet Name].[Outlet Name]" caption="Outlet Name" numFmtId="0" hierarchy="26" level="1">
      <sharedItems count="10">
        <s v="Davis Gen  Shop"/>
        <s v="Duka Moja"/>
        <s v="Fair Price Shop"/>
        <s v="Four Matt"/>
        <s v="Imani Shop"/>
        <s v="Lukumay Shop 2"/>
        <s v="mama kevo"/>
        <s v="Pagil Shop &amp; Cereals"/>
        <s v="Subira Shop"/>
        <s v="wajose shop"/>
      </sharedItems>
    </cacheField>
    <cacheField name="[Measures].[Count of Order Total]" caption="Count of Order Total" numFmtId="0" hierarchy="55" level="32767"/>
    <cacheField name="[Measures].[Distinct Count of Date]" caption="Distinct Count of Date" numFmtId="0" hierarchy="49" level="32767"/>
    <cacheField name="[Measures].[Sum of Order Total]" caption="Sum of Order Total" numFmtId="0" hierarchy="43" level="32767"/>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2" memberValueDatatype="130" unbalanced="0">
      <fieldsUsage count="2">
        <fieldUsage x="-1"/>
        <fieldUsage x="0"/>
      </fieldsUsage>
    </cacheHierarchy>
    <cacheHierarchy uniqueName="[Table6].[Outlet Name]" caption="Outlet Name" attribute="1" defaultMemberUniqueName="[Table6].[Outlet Name].[All]" allUniqueName="[Table6].[Outlet Name].[All]" dimensionUniqueName="[Table6]" displayFolder="" count="2" memberValueDatatype="130" unbalanced="0">
      <fieldsUsage count="2">
        <fieldUsage x="-1"/>
        <fieldUsage x="2"/>
      </fieldsUsage>
    </cacheHierarchy>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1"/>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oneField="1" hidden="1">
      <fieldsUsage count="1">
        <fieldUsage x="5"/>
      </fieldsUsage>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oneField="1" hidden="1">
      <fieldsUsage count="1">
        <fieldUsage x="4"/>
      </fieldsUsage>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Byrone Elijah" refreshedDate="44638.56545509259" backgroundQuery="1" createdVersion="6" refreshedVersion="6" minRefreshableVersion="3" recordCount="0" supportSubquery="1" supportAdvancedDrill="1">
  <cacheSource type="external" connectionId="1"/>
  <cacheFields count="6">
    <cacheField name="[Table6].[Order items].[Order items]" caption="Order items" numFmtId="0" hierarchy="27" level="1">
      <sharedItems containsNonDate="0" count="1">
        <s v="Lemon carton"/>
      </sharedItems>
    </cacheField>
    <cacheField name="[Measures].[Sum of Order Total]" caption="Sum of Order Total" numFmtId="0" hierarchy="43" level="32767"/>
    <cacheField name="[Table6].[Week].[Week]" caption="Week" numFmtId="0" hierarchy="31" level="1">
      <sharedItems containsSemiMixedTypes="0" containsNonDate="0" containsString="0"/>
    </cacheField>
    <cacheField name="[Table6].[Catergory].[Catergory]" caption="Catergory" numFmtId="0" hierarchy="28" level="1">
      <sharedItems containsBlank="1" count="23">
        <m/>
        <s v="BABY CARE"/>
        <s v="Baking Flour"/>
        <s v="Beans"/>
        <s v="BISCUITS"/>
        <s v="BODY JELLY"/>
        <s v="COFFEE, COCOA &amp; TEA"/>
        <s v="Cooking Oil"/>
        <s v="JAMS AND JELLIES"/>
        <s v="LIGHTERS &amp; MATCHES"/>
        <s v="Maize Flour"/>
        <s v="Porridge Flour"/>
        <s v="Rice"/>
        <s v="SALT"/>
        <s v="SANITARY"/>
        <s v="SHAVERS"/>
        <s v="SOAPS"/>
        <s v="SPAGHETTI &amp; NOODLES"/>
        <s v="SPICES"/>
        <s v="STATIONERY"/>
        <s v="Sugar"/>
        <s v="TISSUE"/>
        <s v="TOMATO SAUCE"/>
      </sharedItems>
    </cacheField>
    <cacheField name="[Table6].[Month].[Month]" caption="Month" numFmtId="0" hierarchy="23" level="1">
      <sharedItems count="2">
        <s v="February"/>
        <s v="March"/>
      </sharedItems>
    </cacheField>
    <cacheField name="[Table6].[Date].[Date]" caption="Date" numFmtId="0" hierarchy="22" level="1">
      <sharedItems containsSemiMixedTypes="0" containsNonDate="0" containsString="0"/>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2" memberValueDatatype="7" unbalanced="0">
      <fieldsUsage count="2">
        <fieldUsage x="-1"/>
        <fieldUsage x="5"/>
      </fieldsUsage>
    </cacheHierarchy>
    <cacheHierarchy uniqueName="[Table6].[Month]" caption="Month" attribute="1" defaultMemberUniqueName="[Table6].[Month].[All]" allUniqueName="[Table6].[Month].[All]" dimensionUniqueName="[Table6]" displayFolder="" count="2" memberValueDatatype="130" unbalanced="0">
      <fieldsUsage count="2">
        <fieldUsage x="-1"/>
        <fieldUsage x="4"/>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2" memberValueDatatype="130" unbalanced="0">
      <fieldsUsage count="2">
        <fieldUsage x="-1"/>
        <fieldUsage x="0"/>
      </fieldsUsage>
    </cacheHierarchy>
    <cacheHierarchy uniqueName="[Table6].[Catergory]" caption="Catergory" attribute="1" defaultMemberUniqueName="[Table6].[Catergory].[All]" allUniqueName="[Table6].[Catergory].[All]" dimensionUniqueName="[Table6]" displayFolder="" count="2" memberValueDatatype="130" unbalanced="0">
      <fieldsUsage count="2">
        <fieldUsage x="-1"/>
        <fieldUsage x="3"/>
      </fieldsUsage>
    </cacheHierarchy>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2"/>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Byrone Elijah" refreshedDate="44638.565459143516" backgroundQuery="1" createdVersion="6" refreshedVersion="6" minRefreshableVersion="3" recordCount="0" supportSubquery="1" supportAdvancedDrill="1">
  <cacheSource type="external" connectionId="1"/>
  <cacheFields count="5">
    <cacheField name="[Table6].[Week].[Week]" caption="Week" numFmtId="0" hierarchy="31" level="1">
      <sharedItems containsBlank="1" count="8">
        <m/>
        <s v="Week 1"/>
        <s v="Week 2"/>
        <s v="Week 3"/>
        <s v="Week 4"/>
        <s v="Week 5"/>
        <s v="Week 6"/>
        <s v="Week 7"/>
      </sharedItems>
    </cacheField>
    <cacheField name="[Table6].[Catergory].[Catergory]" caption="Catergory" numFmtId="0" hierarchy="28" level="1">
      <sharedItems count="1">
        <s v="Cooking Oil"/>
      </sharedItems>
    </cacheField>
    <cacheField name="[Table6].[Month].[Month]" caption="Month" numFmtId="0" hierarchy="23" level="1">
      <sharedItems count="2">
        <s v="February"/>
        <s v="March"/>
      </sharedItems>
    </cacheField>
    <cacheField name="[Measures].[Distinct Count of Order items]" caption="Distinct Count of Order items" numFmtId="0" hierarchy="61" level="32767"/>
    <cacheField name="[Table6].[Date].[Date]" caption="Date" numFmtId="0" hierarchy="22" level="1">
      <sharedItems containsSemiMixedTypes="0" containsNonDate="0" containsString="0"/>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2" memberValueDatatype="7" unbalanced="0">
      <fieldsUsage count="2">
        <fieldUsage x="-1"/>
        <fieldUsage x="4"/>
      </fieldsUsage>
    </cacheHierarchy>
    <cacheHierarchy uniqueName="[Table6].[Month]" caption="Month" attribute="1" defaultMemberUniqueName="[Table6].[Month].[All]" allUniqueName="[Table6].[Month].[All]" dimensionUniqueName="[Table6]" displayFolder="" count="2" memberValueDatatype="130" unbalanced="0">
      <fieldsUsage count="2">
        <fieldUsage x="-1"/>
        <fieldUsage x="2"/>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2" memberValueDatatype="130" unbalanced="0">
      <fieldsUsage count="2">
        <fieldUsage x="-1"/>
        <fieldUsage x="1"/>
      </fieldsUsage>
    </cacheHierarchy>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0"/>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oneField="1" hidden="1">
      <fieldsUsage count="1">
        <fieldUsage x="3"/>
      </fieldsUsage>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Byrone Elijah" refreshedDate="44638.56546377315" backgroundQuery="1" createdVersion="6" refreshedVersion="6" minRefreshableVersion="3" recordCount="0" supportSubquery="1" supportAdvancedDrill="1">
  <cacheSource type="external" connectionId="1"/>
  <cacheFields count="5">
    <cacheField name="[Table6].[Week].[Week]" caption="Week" numFmtId="0" hierarchy="31" level="1">
      <sharedItems containsSemiMixedTypes="0" containsNonDate="0" containsString="0"/>
    </cacheField>
    <cacheField name="[Table6].[Catergory].[Catergory]" caption="Catergory" numFmtId="0" hierarchy="28" level="1">
      <sharedItems count="6">
        <s v="BABY CARE"/>
        <s v="Baking Flour"/>
        <s v="Cooking Oil"/>
        <s v="Maize Flour"/>
        <s v="Rice"/>
        <s v="SOAPS"/>
      </sharedItems>
    </cacheField>
    <cacheField name="[Table6].[Month].[Month]" caption="Month" numFmtId="0" hierarchy="23" level="1">
      <sharedItems count="2">
        <s v="February"/>
        <s v="March"/>
      </sharedItems>
    </cacheField>
    <cacheField name="[Measures].[Distinct Count of Order items]" caption="Distinct Count of Order items" numFmtId="0" hierarchy="61" level="32767"/>
    <cacheField name="[Table6].[Date].[Date]" caption="Date" numFmtId="0" hierarchy="22" level="1">
      <sharedItems containsSemiMixedTypes="0" containsNonDate="0" containsString="0"/>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2" memberValueDatatype="7" unbalanced="0">
      <fieldsUsage count="2">
        <fieldUsage x="-1"/>
        <fieldUsage x="4"/>
      </fieldsUsage>
    </cacheHierarchy>
    <cacheHierarchy uniqueName="[Table6].[Month]" caption="Month" attribute="1" defaultMemberUniqueName="[Table6].[Month].[All]" allUniqueName="[Table6].[Month].[All]" dimensionUniqueName="[Table6]" displayFolder="" count="2" memberValueDatatype="130" unbalanced="0">
      <fieldsUsage count="2">
        <fieldUsage x="-1"/>
        <fieldUsage x="2"/>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2" memberValueDatatype="130" unbalanced="0">
      <fieldsUsage count="2">
        <fieldUsage x="-1"/>
        <fieldUsage x="1"/>
      </fieldsUsage>
    </cacheHierarchy>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0"/>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oneField="1" hidden="1">
      <fieldsUsage count="1">
        <fieldUsage x="3"/>
      </fieldsUsage>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Byrone Elijah" refreshedDate="44638.56546597222" backgroundQuery="1" createdVersion="6" refreshedVersion="6" minRefreshableVersion="3" recordCount="0" supportSubquery="1" supportAdvancedDrill="1">
  <cacheSource type="external" connectionId="1"/>
  <cacheFields count="6">
    <cacheField name="[Table6].[Order items].[Order items]" caption="Order items" numFmtId="0" hierarchy="27" level="1">
      <sharedItems containsNonDate="0" count="2">
        <s v="Zesta Tomato Sauce Ctn 250G X 24 Tins"/>
        <s v="Zesta Tomato Sauce Ctn 700G X 12 Tins"/>
      </sharedItems>
    </cacheField>
    <cacheField name="[Table6].[Week].[Week]" caption="Week" numFmtId="0" hierarchy="31" level="1">
      <sharedItems containsSemiMixedTypes="0" containsNonDate="0" containsString="0"/>
    </cacheField>
    <cacheField name="[Table6].[Catergory].[Catergory]" caption="Catergory" numFmtId="0" hierarchy="28" level="1">
      <sharedItems containsBlank="1" count="23">
        <m/>
        <s v="BABY CARE"/>
        <s v="Baking Flour"/>
        <s v="Beans"/>
        <s v="BISCUITS"/>
        <s v="BODY JELLY"/>
        <s v="COFFEE, COCOA &amp; TEA"/>
        <s v="Cooking Oil"/>
        <s v="JAMS AND JELLIES"/>
        <s v="LIGHTERS &amp; MATCHES"/>
        <s v="Maize Flour"/>
        <s v="Porridge Flour"/>
        <s v="Rice"/>
        <s v="SALT"/>
        <s v="SANITARY"/>
        <s v="SHAVERS"/>
        <s v="SOAPS"/>
        <s v="SPAGHETTI &amp; NOODLES"/>
        <s v="SPICES"/>
        <s v="STATIONERY"/>
        <s v="Sugar"/>
        <s v="TISSUE"/>
        <s v="TOMATO SAUCE"/>
      </sharedItems>
    </cacheField>
    <cacheField name="[Table6].[Month].[Month]" caption="Month" numFmtId="0" hierarchy="23" level="1">
      <sharedItems count="2">
        <s v="February"/>
        <s v="March"/>
      </sharedItems>
    </cacheField>
    <cacheField name="[Measures].[Sum of Order Total]" caption="Sum of Order Total" numFmtId="0" hierarchy="43" level="32767"/>
    <cacheField name="[Table6].[Date].[Date]" caption="Date" numFmtId="0" hierarchy="22" level="1">
      <sharedItems containsSemiMixedTypes="0" containsNonDate="0" containsString="0"/>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2" memberValueDatatype="7" unbalanced="0">
      <fieldsUsage count="2">
        <fieldUsage x="-1"/>
        <fieldUsage x="5"/>
      </fieldsUsage>
    </cacheHierarchy>
    <cacheHierarchy uniqueName="[Table6].[Month]" caption="Month" attribute="1" defaultMemberUniqueName="[Table6].[Month].[All]" allUniqueName="[Table6].[Month].[All]" dimensionUniqueName="[Table6]" displayFolder="" count="2" memberValueDatatype="130" unbalanced="0">
      <fieldsUsage count="2">
        <fieldUsage x="-1"/>
        <fieldUsage x="3"/>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2" memberValueDatatype="130" unbalanced="0">
      <fieldsUsage count="2">
        <fieldUsage x="-1"/>
        <fieldUsage x="0"/>
      </fieldsUsage>
    </cacheHierarchy>
    <cacheHierarchy uniqueName="[Table6].[Catergory]" caption="Catergory" attribute="1" defaultMemberUniqueName="[Table6].[Catergory].[All]" allUniqueName="[Table6].[Catergory].[All]" dimensionUniqueName="[Table6]" displayFolder="" count="2" memberValueDatatype="130" unbalanced="0">
      <fieldsUsage count="2">
        <fieldUsage x="-1"/>
        <fieldUsage x="2"/>
      </fieldsUsage>
    </cacheHierarchy>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1"/>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oneField="1" hidden="1">
      <fieldsUsage count="1">
        <fieldUsage x="4"/>
      </fieldsUsage>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Byrone Elijah" refreshedDate="44638.565479050929" backgroundQuery="1" createdVersion="6" refreshedVersion="6" minRefreshableVersion="3" recordCount="0" supportSubquery="1" supportAdvancedDrill="1">
  <cacheSource type="external" connectionId="1"/>
  <cacheFields count="4">
    <cacheField name="[Measures].[Sum of TOTAL VALUE]" caption="Sum of TOTAL VALUE" numFmtId="0" hierarchy="53" level="32767"/>
    <cacheField name="[Table12].[Week].[Week]" caption="Week" numFmtId="0" hierarchy="16" level="1">
      <sharedItems containsSemiMixedTypes="0" containsNonDate="0" containsString="0"/>
    </cacheField>
    <cacheField name="[Table12].[REASON].[REASON]" caption="REASON" numFmtId="0" hierarchy="21" level="1">
      <sharedItems containsBlank="1" count="26">
        <m/>
        <s v="Cancelled due Late Delivery"/>
        <s v="Customer bought from a competitor"/>
        <s v="customer canceled the order"/>
        <s v="Customer canceled the order after dispatch"/>
        <s v="Customer changed his preference"/>
        <s v="Customer claimed they didn’t place any order"/>
        <s v="customer claimed to have ordered 1 instead of 2"/>
        <s v="customer Didn't have sufficient funds"/>
        <s v="Customer had an emergency"/>
        <s v="customer had insufficient funds"/>
        <s v="customer purchased from a competitor"/>
        <s v="Customer was unavailable at the point of delivery"/>
        <s v="Customer's payment transaction delayed to reflect."/>
        <s v="cutomer was unavailable"/>
        <s v="Late Delivery"/>
        <s v="License coverage limited to Nairobi Count(Kiambu Orders)"/>
        <s v="Order placed under a wrong outlet"/>
        <s v="Retailer changed mind to puchase from a competitor"/>
        <s v="Retailer didn't have enough cash"/>
        <s v="Retailer had insufficient funds"/>
        <s v="Shop closed at the point of delivery"/>
        <s v="Shop was closed"/>
        <s v="The customer didn't have sufficient funds thus declined to receive the delivery."/>
        <s v="The shop owner who had placed the order wasn't available at the point of delivery."/>
        <s v="The shop was closed"/>
      </sharedItems>
    </cacheField>
    <cacheField name="[Table12].[Month].[Month]" caption="Month" numFmtId="0" hierarchy="15" level="1">
      <sharedItems containsSemiMixedTypes="0" containsNonDate="0" containsString="0"/>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2" memberValueDatatype="130" unbalanced="0">
      <fieldsUsage count="2">
        <fieldUsage x="-1"/>
        <fieldUsage x="3"/>
      </fieldsUsage>
    </cacheHierarchy>
    <cacheHierarchy uniqueName="[Table12].[Week]" caption="Week" attribute="1" defaultMemberUniqueName="[Table12].[Week].[All]" allUniqueName="[Table12].[Week].[All]" dimensionUniqueName="[Table12]" displayFolder="" count="2" memberValueDatatype="130" unbalanced="0">
      <fieldsUsage count="2">
        <fieldUsage x="-1"/>
        <fieldUsage x="1"/>
      </fieldsUsage>
    </cacheHierarchy>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2" memberValueDatatype="130" unbalanced="0">
      <fieldsUsage count="2">
        <fieldUsage x="-1"/>
        <fieldUsage x="2"/>
      </fieldsUsage>
    </cacheHierarchy>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0"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Byrone Elijah" refreshedDate="44638.565480787038" backgroundQuery="1" createdVersion="6" refreshedVersion="6" minRefreshableVersion="3" recordCount="0" supportSubquery="1" supportAdvancedDrill="1">
  <cacheSource type="external" connectionId="1"/>
  <cacheFields count="2">
    <cacheField name="[Measures].[Sum of TOTAL VALUE]" caption="Sum of TOTAL VALUE" numFmtId="0" hierarchy="53" level="32767"/>
    <cacheField name="[Table12].[Week].[Week]" caption="Week" numFmtId="0" hierarchy="16" level="1">
      <sharedItems count="6">
        <s v="Week 2"/>
        <s v="Week 3"/>
        <s v="Week 4"/>
        <s v="Week 5"/>
        <s v="Week 6"/>
        <s v="Week 7"/>
      </sharedItems>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2" memberValueDatatype="130" unbalanced="0">
      <fieldsUsage count="2">
        <fieldUsage x="-1"/>
        <fieldUsage x="1"/>
      </fieldsUsage>
    </cacheHierarchy>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0"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Byrone Elijah" refreshedDate="44638.565417361111" backgroundQuery="1" createdVersion="6" refreshedVersion="6" minRefreshableVersion="3" recordCount="0" supportSubquery="1" supportAdvancedDrill="1">
  <cacheSource type="external" connectionId="1"/>
  <cacheFields count="2">
    <cacheField name="[Table6].[FSRs].[FSRs]" caption="FSRs" numFmtId="0" hierarchy="25" level="1">
      <sharedItems count="6">
        <s v="Diana Wairimu"/>
        <s v="Hope Nafula"/>
        <s v="Margaret Wanjiku"/>
        <s v="Newton Muthuri"/>
        <s v="Rodgers Omondi"/>
        <s v="Stacy Adhiambo"/>
      </sharedItems>
    </cacheField>
    <cacheField name="[Measures].[Sum of Order Total]" caption="Sum of Order Total" numFmtId="0" hierarchy="43" level="32767"/>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2" memberValueDatatype="130" unbalanced="0">
      <fieldsUsage count="2">
        <fieldUsage x="-1"/>
        <fieldUsage x="0"/>
      </fieldsUsage>
    </cacheHierarchy>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0"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Byrone Elijah" refreshedDate="44638.565489930559" backgroundQuery="1" createdVersion="6" refreshedVersion="6" minRefreshableVersion="3" recordCount="0" supportSubquery="1" supportAdvancedDrill="1">
  <cacheSource type="external" connectionId="1"/>
  <cacheFields count="4">
    <cacheField name="[Table11].[FSRs].[FSRs]" caption="FSRs" numFmtId="0" hierarchy="4" level="1">
      <sharedItems count="6">
        <s v="Diana Wairimu"/>
        <s v="Hope Nafula"/>
        <s v="Margaret Wanjiku"/>
        <s v="Newton Muthuri"/>
        <s v="Rodgers Omondi"/>
        <s v="Stacy Adhiambo"/>
      </sharedItems>
    </cacheField>
    <cacheField name="[Measures].[Sum of Reach]" caption="Sum of Reach" numFmtId="0" hierarchy="56" level="32767"/>
    <cacheField name="[Measures].[Sum of Convertion]" caption="Sum of Convertion" numFmtId="0" hierarchy="57" level="32767"/>
    <cacheField name="[Measures].[Sum of Reach Target]" caption="Sum of Reach Target" numFmtId="0" hierarchy="58" level="32767"/>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2" memberValueDatatype="130" unbalanced="0">
      <fieldsUsage count="2">
        <fieldUsage x="-1"/>
        <fieldUsage x="0"/>
      </fieldsUsage>
    </cacheHierarchy>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0"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oneField="1" hidden="1">
      <fieldsUsage count="1">
        <fieldUsage x="3"/>
      </fieldsUsage>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Byrone Elijah" refreshedDate="44638.572846296294" backgroundQuery="1" createdVersion="6" refreshedVersion="6" minRefreshableVersion="3" recordCount="0" supportSubquery="1" supportAdvancedDrill="1">
  <cacheSource type="external" connectionId="1"/>
  <cacheFields count="4">
    <cacheField name="[Table6].[Week].[Week]" caption="Week" numFmtId="0" hierarchy="31" level="1">
      <sharedItems containsSemiMixedTypes="0" containsNonDate="0" containsString="0"/>
    </cacheField>
    <cacheField name="[Table6].[Catergory].[Catergory]" caption="Catergory" numFmtId="0" hierarchy="28" level="1">
      <sharedItems count="7">
        <s v="BABY CARE"/>
        <s v="Baking Flour"/>
        <s v="Cooking Oil"/>
        <s v="Maize Flour"/>
        <s v="Rice"/>
        <s v="SOAPS"/>
        <s v="Sugar"/>
      </sharedItems>
    </cacheField>
    <cacheField name="[Table6].[Month].[Month]" caption="Month" numFmtId="0" hierarchy="23" level="1">
      <sharedItems count="2">
        <s v="February"/>
        <s v="March"/>
      </sharedItems>
    </cacheField>
    <cacheField name="[Measures].[Sum of Order Total]" caption="Sum of Order Total" numFmtId="0" hierarchy="43" level="32767"/>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2" memberValueDatatype="7" unbalanced="0"/>
    <cacheHierarchy uniqueName="[Table6].[Month]" caption="Month" attribute="1" defaultMemberUniqueName="[Table6].[Month].[All]" allUniqueName="[Table6].[Month].[All]" dimensionUniqueName="[Table6]" displayFolder="" count="2" memberValueDatatype="130" unbalanced="0">
      <fieldsUsage count="2">
        <fieldUsage x="-1"/>
        <fieldUsage x="2"/>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2" memberValueDatatype="130" unbalanced="0">
      <fieldsUsage count="2">
        <fieldUsage x="-1"/>
        <fieldUsage x="1"/>
      </fieldsUsage>
    </cacheHierarchy>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0"/>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oneField="1" hidden="1">
      <fieldsUsage count="1">
        <fieldUsage x="3"/>
      </fieldsUsage>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Byrone Elijah" refreshedDate="44638.602955324073" backgroundQuery="1" createdVersion="6" refreshedVersion="6" minRefreshableVersion="3" recordCount="0" supportSubquery="1" supportAdvancedDrill="1">
  <cacheSource type="external" connectionId="1"/>
  <cacheFields count="5">
    <cacheField name="[Table6].[Order items].[Order items]" caption="Order items" numFmtId="0" hierarchy="27" level="1">
      <sharedItems containsNonDate="0" count="8">
        <s v="Ajab Atta Mark 1 Bale (2Kg X 12)"/>
        <s v="Ajab Baking Flour Bale (1Kg X 24)"/>
        <s v="Ajab Baking Flour Bale (2Kg X 12)"/>
        <s v="EXE All Purpose Baking Flour Bale (2kg x 12)"/>
        <s v="EXE Chapati Baking Flour Bale (2kg x 12)"/>
        <s v="EXE Mandazi Banking Flour Bale(2kg x 12)"/>
        <s v="Pembe Baking Flour Bale (1Kg X 24)"/>
        <s v="Pembe Baking Flour Bale (2Kg X 12)"/>
      </sharedItems>
    </cacheField>
    <cacheField name="[Table6].[Week].[Week]" caption="Week" numFmtId="0" hierarchy="31" level="1">
      <sharedItems containsSemiMixedTypes="0" containsNonDate="0" containsString="0"/>
    </cacheField>
    <cacheField name="[Table6].[Catergory].[Catergory]" caption="Catergory" numFmtId="0" hierarchy="28" level="1">
      <sharedItems containsBlank="1" count="23">
        <m/>
        <s v="BABY CARE"/>
        <s v="Baking Flour"/>
        <s v="Beans"/>
        <s v="BISCUITS"/>
        <s v="BODY JELLY"/>
        <s v="COFFEE, COCOA &amp; TEA"/>
        <s v="Cooking Oil"/>
        <s v="JAMS AND JELLIES"/>
        <s v="LIGHTERS &amp; MATCHES"/>
        <s v="Maize Flour"/>
        <s v="Porridge Flour"/>
        <s v="Rice"/>
        <s v="SALT"/>
        <s v="SANITARY"/>
        <s v="SHAVERS"/>
        <s v="SOAPS"/>
        <s v="SPAGHETTI &amp; NOODLES"/>
        <s v="SPICES"/>
        <s v="STATIONERY"/>
        <s v="Sugar"/>
        <s v="TISSUE"/>
        <s v="TOMATO SAUCE"/>
      </sharedItems>
    </cacheField>
    <cacheField name="[Table6].[Month].[Month]" caption="Month" numFmtId="0" hierarchy="23" level="1">
      <sharedItems count="2">
        <s v="February"/>
        <s v="March"/>
      </sharedItems>
    </cacheField>
    <cacheField name="[Measures].[Sum of Order Total]" caption="Sum of Order Total" numFmtId="0" hierarchy="43" level="32767"/>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2" memberValueDatatype="7" unbalanced="0"/>
    <cacheHierarchy uniqueName="[Table6].[Month]" caption="Month" attribute="1" defaultMemberUniqueName="[Table6].[Month].[All]" allUniqueName="[Table6].[Month].[All]" dimensionUniqueName="[Table6]" displayFolder="" count="2" memberValueDatatype="130" unbalanced="0">
      <fieldsUsage count="2">
        <fieldUsage x="-1"/>
        <fieldUsage x="3"/>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2" memberValueDatatype="130" unbalanced="0">
      <fieldsUsage count="2">
        <fieldUsage x="-1"/>
        <fieldUsage x="0"/>
      </fieldsUsage>
    </cacheHierarchy>
    <cacheHierarchy uniqueName="[Table6].[Catergory]" caption="Catergory" attribute="1" defaultMemberUniqueName="[Table6].[Catergory].[All]" allUniqueName="[Table6].[Catergory].[All]" dimensionUniqueName="[Table6]" displayFolder="" count="2" memberValueDatatype="130" unbalanced="0">
      <fieldsUsage count="2">
        <fieldUsage x="-1"/>
        <fieldUsage x="2"/>
      </fieldsUsage>
    </cacheHierarchy>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1"/>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oneField="1" hidden="1">
      <fieldsUsage count="1">
        <fieldUsage x="4"/>
      </fieldsUsage>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Byrone Elijah" refreshedDate="44638.663295254628" backgroundQuery="1" createdVersion="6" refreshedVersion="6" minRefreshableVersion="3" recordCount="0" supportSubquery="1" supportAdvancedDrill="1">
  <cacheSource type="external" connectionId="1"/>
  <cacheFields count="3">
    <cacheField name="[Table6].[Month].[Month]" caption="Month" numFmtId="0" hierarchy="23" level="1">
      <sharedItems count="2">
        <s v="February"/>
        <s v="March"/>
      </sharedItems>
    </cacheField>
    <cacheField name="[Table6].[FSRs].[FSRs]" caption="FSRs" numFmtId="0" hierarchy="25" level="1">
      <sharedItems count="6">
        <s v="Diana Wairimu"/>
        <s v="Hope Nafula"/>
        <s v="Margaret Wanjiku"/>
        <s v="Newton Muthuri"/>
        <s v="Rodgers Omondi"/>
        <s v="Stacy Adhiambo"/>
      </sharedItems>
    </cacheField>
    <cacheField name="[Measures].[Sum of Order Total]" caption="Sum of Order Total" numFmtId="0" hierarchy="43" level="32767"/>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2" memberValueDatatype="7" unbalanced="0"/>
    <cacheHierarchy uniqueName="[Table6].[Month]" caption="Month" attribute="1" defaultMemberUniqueName="[Table6].[Month].[All]" allUniqueName="[Table6].[Month].[All]" dimensionUniqueName="[Table6]" displayFolder="" count="2" memberValueDatatype="130" unbalanced="0">
      <fieldsUsage count="2">
        <fieldUsage x="-1"/>
        <fieldUsage x="0"/>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2" memberValueDatatype="130" unbalanced="0">
      <fieldsUsage count="2">
        <fieldUsage x="-1"/>
        <fieldUsage x="1"/>
      </fieldsUsage>
    </cacheHierarchy>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2"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Byrone Elijah" refreshedDate="44638.56542407407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346"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Byrone Elijah" refreshedDate="44638.56542835648"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2" memberValueDatatype="130" unbalanced="0"/>
    <cacheHierarchy uniqueName="[Table6].[Year]" caption="Year" attribute="1" defaultMemberUniqueName="[Table6].[Year].[All]" allUniqueName="[Table6].[Year].[All]" dimensionUniqueName="[Table6]" displayFolder="" count="2"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0"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347"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Byrone Elijah" refreshedDate="44638.56543993055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348"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Byrone Elijah" refreshedDate="44638.56544317129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349"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Byrone Elijah" refreshedDate="44638.56544733796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350"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saveData="0" refreshedBy="Byrone Elijah" refreshedDate="44638.56545358796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2"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0"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35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Byrone Elijah" refreshedDate="44638.565419560182" backgroundQuery="1" createdVersion="6" refreshedVersion="6" minRefreshableVersion="3" recordCount="0" supportSubquery="1" supportAdvancedDrill="1">
  <cacheSource type="external" connectionId="1"/>
  <cacheFields count="4">
    <cacheField name="[Table6].[Reason for not Dispatch].[Reason for not Dispatch]" caption="Reason for not Dispatch" numFmtId="0" hierarchy="35" level="1">
      <sharedItems count="5">
        <s v="All had been generated in Uthiru"/>
        <s v="Customer canceled the order before dispatch"/>
        <s v="Delivered Previous Day"/>
        <s v="Product wasn’t on the catalogue"/>
        <s v="Stock outs from the warehouse"/>
      </sharedItems>
    </cacheField>
    <cacheField name="[Measures].[Sum of Not Dispatch]" caption="Sum of Not Dispatch" numFmtId="0" hierarchy="54" level="32767"/>
    <cacheField name="[Table6].[Week].[Week]" caption="Week" numFmtId="0" hierarchy="31" level="1">
      <sharedItems containsSemiMixedTypes="0" containsNonDate="0" containsString="0"/>
    </cacheField>
    <cacheField name="[Table6].[Month].[Month]" caption="Month" numFmtId="0" hierarchy="23" level="1">
      <sharedItems containsSemiMixedTypes="0" containsNonDate="0" containsString="0"/>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2" memberValueDatatype="130" unbalanced="0">
      <fieldsUsage count="2">
        <fieldUsage x="-1"/>
        <fieldUsage x="3"/>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0" memberValueDatatype="130" unbalanced="0"/>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2"/>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2" memberValueDatatype="130" unbalanced="0">
      <fieldsUsage count="2">
        <fieldUsage x="-1"/>
        <fieldUsage x="0"/>
      </fieldsUsage>
    </cacheHierarchy>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oneField="1" hidden="1">
      <fieldsUsage count="1">
        <fieldUsage x="1"/>
      </fieldsUsage>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Byrone Elijah" refreshedDate="44638.565421064814" backgroundQuery="1" createdVersion="6" refreshedVersion="6" minRefreshableVersion="3" recordCount="0" supportSubquery="1" supportAdvancedDrill="1">
  <cacheSource type="external" connectionId="1"/>
  <cacheFields count="3">
    <cacheField name="[Measures].[Distinct Count of Outlet Name]" caption="Distinct Count of Outlet Name" numFmtId="0" hierarchy="46" level="32767"/>
    <cacheField name="[Table6].[FSRs].[FSRs]" caption="FSRs" numFmtId="0" hierarchy="25" level="1">
      <sharedItems containsBlank="1" count="10">
        <m/>
        <s v="Diana Wairimu"/>
        <s v="Hope Nafula"/>
        <s v="Lucas Kimani"/>
        <s v="Margaret Wanjiku"/>
        <s v="Newton Muthuri"/>
        <s v="Rodgers Omondi"/>
        <s v="Sarah Nyambura"/>
        <s v="Simora Bunaka"/>
        <s v="Stacy Adhiambo"/>
      </sharedItems>
    </cacheField>
    <cacheField name="[Table6].[Week].[Week]" caption="Week" numFmtId="0" hierarchy="31" level="1">
      <sharedItems containsSemiMixedTypes="0" containsNonDate="0" containsString="0"/>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2" memberValueDatatype="130" unbalanced="0">
      <fieldsUsage count="2">
        <fieldUsage x="-1"/>
        <fieldUsage x="1"/>
      </fieldsUsage>
    </cacheHierarchy>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2"/>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Byrone Elijah" refreshedDate="44638.565423263892" backgroundQuery="1" createdVersion="6" refreshedVersion="6" minRefreshableVersion="3" recordCount="0" supportSubquery="1" supportAdvancedDrill="1">
  <cacheSource type="external" connectionId="1"/>
  <cacheFields count="6">
    <cacheField name="[Table6].[FSRs].[FSRs]" caption="FSRs" numFmtId="0" hierarchy="25" level="1">
      <sharedItems count="7">
        <s v="Diana Wairimu"/>
        <s v="Hope Nafula"/>
        <s v="Lucas Kimani"/>
        <s v="Newton Muthuri"/>
        <s v="Rodgers Omondi"/>
        <s v="Sarah Nyambura"/>
        <s v="Stacy Adhiambo"/>
      </sharedItems>
    </cacheField>
    <cacheField name="[Table6].[Week].[Week]" caption="Week" numFmtId="0" hierarchy="31" level="1">
      <sharedItems containsSemiMixedTypes="0" containsNonDate="0" containsString="0"/>
    </cacheField>
    <cacheField name="[Table6].[Outlet Name].[Outlet Name]" caption="Outlet Name" numFmtId="0" hierarchy="26" level="1">
      <sharedItems count="10">
        <s v="Davis Gen  Shop"/>
        <s v="Duka Moja"/>
        <s v="Fair Price Shop"/>
        <s v="Imani Shop"/>
        <s v="Maasai Shop"/>
        <s v="mama kevo"/>
        <s v="Mildan Shop"/>
        <s v="Pagil Shop &amp; Cereals"/>
        <s v="Talk Piont Traders"/>
        <s v="wajose shop"/>
      </sharedItems>
    </cacheField>
    <cacheField name="[Measures].[Count of Order Total]" caption="Count of Order Total" numFmtId="0" hierarchy="55" level="32767"/>
    <cacheField name="[Measures].[Distinct Count of Date]" caption="Distinct Count of Date" numFmtId="0" hierarchy="49" level="32767"/>
    <cacheField name="[Measures].[Sum of Order Total]" caption="Sum of Order Total" numFmtId="0" hierarchy="43" level="32767"/>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2" memberValueDatatype="130" unbalanced="0">
      <fieldsUsage count="2">
        <fieldUsage x="-1"/>
        <fieldUsage x="0"/>
      </fieldsUsage>
    </cacheHierarchy>
    <cacheHierarchy uniqueName="[Table6].[Outlet Name]" caption="Outlet Name" attribute="1" defaultMemberUniqueName="[Table6].[Outlet Name].[All]" allUniqueName="[Table6].[Outlet Name].[All]" dimensionUniqueName="[Table6]" displayFolder="" count="2" memberValueDatatype="130" unbalanced="0">
      <fieldsUsage count="2">
        <fieldUsage x="-1"/>
        <fieldUsage x="2"/>
      </fieldsUsage>
    </cacheHierarchy>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1"/>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oneField="1" hidden="1">
      <fieldsUsage count="1">
        <fieldUsage x="5"/>
      </fieldsUsage>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oneField="1" hidden="1">
      <fieldsUsage count="1">
        <fieldUsage x="4"/>
      </fieldsUsage>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Byrone Elijah" refreshedDate="44638.565425347224" backgroundQuery="1" createdVersion="6" refreshedVersion="6" minRefreshableVersion="3" recordCount="0" supportSubquery="1" supportAdvancedDrill="1">
  <cacheSource type="external" connectionId="1"/>
  <cacheFields count="3">
    <cacheField name="[Measures].[Distinct Count of Outlet Name]" caption="Distinct Count of Outlet Name" numFmtId="0" hierarchy="46" level="32767"/>
    <cacheField name="[Table6].[FSRs].[FSRs]" caption="FSRs" numFmtId="0" hierarchy="25" level="1">
      <sharedItems count="7">
        <s v="Diana Wairimu"/>
        <s v="Hope Nafula"/>
        <s v="Newton Muthuri"/>
        <s v="Rodgers Omondi"/>
        <s v="Stacy Adhiambo"/>
        <s v="Sarah Nyambura" u="1"/>
        <s v="Lucas Kimani" u="1"/>
      </sharedItems>
    </cacheField>
    <cacheField name="[Table6].[Week].[Week]" caption="Week" numFmtId="0" hierarchy="31" level="1">
      <sharedItems containsSemiMixedTypes="0" containsNonDate="0" containsString="0"/>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0" memberValueDatatype="130" unbalanced="0"/>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2" memberValueDatatype="130" unbalanced="0">
      <fieldsUsage count="2">
        <fieldUsage x="-1"/>
        <fieldUsage x="1"/>
      </fieldsUsage>
    </cacheHierarchy>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2"/>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Byrone Elijah" refreshedDate="44638.565429861112" backgroundQuery="1" createdVersion="6" refreshedVersion="6" minRefreshableVersion="3" recordCount="0" supportSubquery="1" supportAdvancedDrill="1">
  <cacheSource type="external" connectionId="1"/>
  <cacheFields count="5">
    <cacheField name="[Measures].[Distinct Count of Outlet Name]" caption="Distinct Count of Outlet Name" numFmtId="0" hierarchy="46" level="32767"/>
    <cacheField name="[Table6].[FSRs].[FSRs]" caption="FSRs" numFmtId="0" hierarchy="25" level="1">
      <sharedItems count="7">
        <s v="Diana Wairimu"/>
        <s v="Hope Nafula"/>
        <s v="Newton Muthuri"/>
        <s v="Rodgers Omondi"/>
        <s v="Stacy Adhiambo"/>
        <s v="Lucas Kimani" u="1"/>
        <s v="Sarah Nyambura" u="1"/>
      </sharedItems>
    </cacheField>
    <cacheField name="[Table6].[Week].[Week]" caption="Week" numFmtId="0" hierarchy="31" level="1">
      <sharedItems containsSemiMixedTypes="0" containsNonDate="0" containsString="0"/>
    </cacheField>
    <cacheField name="[Table6].[Month].[Month]" caption="Month" numFmtId="0" hierarchy="23" level="1">
      <sharedItems containsSemiMixedTypes="0" containsNonDate="0" containsString="0"/>
    </cacheField>
    <cacheField name="[Table6].[Year].[Year]" caption="Year" numFmtId="0" hierarchy="24" level="1">
      <sharedItems containsSemiMixedTypes="0" containsNonDate="0" containsString="0"/>
    </cacheField>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2" memberValueDatatype="130" unbalanced="0">
      <fieldsUsage count="2">
        <fieldUsage x="-1"/>
        <fieldUsage x="3"/>
      </fieldsUsage>
    </cacheHierarchy>
    <cacheHierarchy uniqueName="[Table6].[Year]" caption="Year" attribute="1" defaultMemberUniqueName="[Table6].[Year].[All]" allUniqueName="[Table6].[Year].[All]" dimensionUniqueName="[Table6]" displayFolder="" count="2" memberValueDatatype="20" unbalanced="0">
      <fieldsUsage count="2">
        <fieldUsage x="-1"/>
        <fieldUsage x="4"/>
      </fieldsUsage>
    </cacheHierarchy>
    <cacheHierarchy uniqueName="[Table6].[FSRs]" caption="FSRs" attribute="1" defaultMemberUniqueName="[Table6].[FSRs].[All]" allUniqueName="[Table6].[FSRs].[All]" dimensionUniqueName="[Table6]" displayFolder="" count="2" memberValueDatatype="130" unbalanced="0">
      <fieldsUsage count="2">
        <fieldUsage x="-1"/>
        <fieldUsage x="1"/>
      </fieldsUsage>
    </cacheHierarchy>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2"/>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Byrone Elijah" refreshedDate="44638.56543599537" backgroundQuery="1" createdVersion="6" refreshedVersion="6" minRefreshableVersion="3" recordCount="0" supportSubquery="1" supportAdvancedDrill="1">
  <cacheSource type="external" connectionId="1"/>
  <cacheFields count="4">
    <cacheField name="[Table6].[FSRs].[FSRs]" caption="FSRs" numFmtId="0" hierarchy="25" level="1">
      <sharedItems count="7">
        <s v="Diana Wairimu"/>
        <s v="Hope Nafula"/>
        <s v="Lucas Kimani"/>
        <s v="Newton Muthuri"/>
        <s v="Rodgers Omondi"/>
        <s v="Sarah Nyambura"/>
        <s v="Stacy Adhiambo"/>
      </sharedItems>
    </cacheField>
    <cacheField name="[Table6].[Week].[Week]" caption="Week" numFmtId="0" hierarchy="31" level="1">
      <sharedItems containsSemiMixedTypes="0" containsNonDate="0" containsString="0"/>
    </cacheField>
    <cacheField name="[Table6].[Month].[Month]" caption="Month" numFmtId="0" hierarchy="23" level="1">
      <sharedItems containsBlank="1" count="3">
        <m/>
        <s v="February"/>
        <s v="March"/>
      </sharedItems>
    </cacheField>
    <cacheField name="[Measures].[Distinct Count of Outlet Name]" caption="Distinct Count of Outlet Name" numFmtId="0" hierarchy="46" level="32767"/>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2" memberValueDatatype="130" unbalanced="0">
      <fieldsUsage count="2">
        <fieldUsage x="-1"/>
        <fieldUsage x="2"/>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2" memberValueDatatype="130" unbalanced="0">
      <fieldsUsage count="2">
        <fieldUsage x="-1"/>
        <fieldUsage x="0"/>
      </fieldsUsage>
    </cacheHierarchy>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2" memberValueDatatype="130" unbalanced="0">
      <fieldsUsage count="2">
        <fieldUsage x="-1"/>
        <fieldUsage x="1"/>
      </fieldsUsage>
    </cacheHierarchy>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Byrone Elijah" refreshedDate="44638.565438425925" backgroundQuery="1" createdVersion="6" refreshedVersion="6" minRefreshableVersion="3" recordCount="0" supportSubquery="1" supportAdvancedDrill="1">
  <cacheSource type="external" connectionId="1"/>
  <cacheFields count="3">
    <cacheField name="[Table6].[FSRs].[FSRs]" caption="FSRs" numFmtId="0" hierarchy="25" level="1">
      <sharedItems count="7">
        <s v="Diana Wairimu"/>
        <s v="Hope Nafula"/>
        <s v="Lucas Kimani"/>
        <s v="Newton Muthuri"/>
        <s v="Rodgers Omondi"/>
        <s v="Sarah Nyambura"/>
        <s v="Stacy Adhiambo"/>
      </sharedItems>
    </cacheField>
    <cacheField name="[Table6].[Month].[Month]" caption="Month" numFmtId="0" hierarchy="23" level="1">
      <sharedItems count="2">
        <s v="February"/>
        <s v="March"/>
      </sharedItems>
    </cacheField>
    <cacheField name="[Measures].[Distinct Count of Outlet Name]" caption="Distinct Count of Outlet Name" numFmtId="0" hierarchy="46" level="32767"/>
  </cacheFields>
  <cacheHierarchies count="62">
    <cacheHierarchy uniqueName="[Table11].[Date]" caption="Date" attribute="1" time="1" defaultMemberUniqueName="[Table11].[Date].[All]" allUniqueName="[Table11].[Date].[All]" dimensionUniqueName="[Table11]" displayFolder="" count="0" memberValueDatatype="7" unbalanced="0"/>
    <cacheHierarchy uniqueName="[Table11].[Month]" caption="Month" attribute="1" defaultMemberUniqueName="[Table11].[Month].[All]" allUniqueName="[Table11].[Month].[All]" dimensionUniqueName="[Table11]" displayFolder="" count="0" memberValueDatatype="130" unbalanced="0"/>
    <cacheHierarchy uniqueName="[Table11].[Year]" caption="Year" attribute="1" defaultMemberUniqueName="[Table11].[Year].[All]" allUniqueName="[Table11].[Year].[All]" dimensionUniqueName="[Table11]" displayFolder="" count="0" memberValueDatatype="20" unbalanced="0"/>
    <cacheHierarchy uniqueName="[Table11].[Column1]" caption="Column1" attribute="1" defaultMemberUniqueName="[Table11].[Column1].[All]" allUniqueName="[Table11].[Column1].[All]" dimensionUniqueName="[Table11]" displayFolder="" count="0" memberValueDatatype="130" unbalanced="0"/>
    <cacheHierarchy uniqueName="[Table11].[FSRs]" caption="FSRs" attribute="1" defaultMemberUniqueName="[Table11].[FSRs].[All]" allUniqueName="[Table11].[FSRs].[All]" dimensionUniqueName="[Table11]" displayFolder="" count="0" memberValueDatatype="130" unbalanced="0"/>
    <cacheHierarchy uniqueName="[Table11].[Reach Target]" caption="Reach Target" attribute="1" defaultMemberUniqueName="[Table11].[Reach Target].[All]" allUniqueName="[Table11].[Reach Target].[All]" dimensionUniqueName="[Table11]" displayFolder="" count="0" memberValueDatatype="20" unbalanced="0"/>
    <cacheHierarchy uniqueName="[Table11].[Target convertion]" caption="Target convertion" attribute="1" defaultMemberUniqueName="[Table11].[Target convertion].[All]" allUniqueName="[Table11].[Target convertion].[All]" dimensionUniqueName="[Table11]" displayFolder="" count="0" memberValueDatatype="20" unbalanced="0"/>
    <cacheHierarchy uniqueName="[Table11].[Reach]" caption="Reach" attribute="1" defaultMemberUniqueName="[Table11].[Reach].[All]" allUniqueName="[Table11].[Reach].[All]" dimensionUniqueName="[Table11]" displayFolder="" count="0" memberValueDatatype="20" unbalanced="0"/>
    <cacheHierarchy uniqueName="[Table11].[Convertion]" caption="Convertion" attribute="1" defaultMemberUniqueName="[Table11].[Convertion].[All]" allUniqueName="[Table11].[Convertion].[All]" dimensionUniqueName="[Table11]" displayFolder="" count="0" memberValueDatatype="20" unbalanced="0"/>
    <cacheHierarchy uniqueName="[Table11].[% Reach Perf]" caption="% Reach Perf" attribute="1" defaultMemberUniqueName="[Table11].[% Reach Perf].[All]" allUniqueName="[Table11].[% Reach Perf].[All]" dimensionUniqueName="[Table11]" displayFolder="" count="0" memberValueDatatype="5" unbalanced="0"/>
    <cacheHierarchy uniqueName="[Table11].[% Conversion Perf]" caption="% Conversion Perf" attribute="1" defaultMemberUniqueName="[Table11].[% Conversion Perf].[All]" allUniqueName="[Table11].[% Conversion Perf].[All]" dimensionUniqueName="[Table11]" displayFolder="" count="0" memberValueDatatype="5" unbalanced="0"/>
    <cacheHierarchy uniqueName="[Table11].[Column2]" caption="Column2" attribute="1" defaultMemberUniqueName="[Table11].[Column2].[All]" allUniqueName="[Table11].[Column2].[All]" dimensionUniqueName="[Table11]" displayFolder="" count="0" memberValueDatatype="130" unbalanced="0"/>
    <cacheHierarchy uniqueName="[Table12].[Order Date]" caption="Order Date" attribute="1" time="1" defaultMemberUniqueName="[Table12].[Order Date].[All]" allUniqueName="[Table12].[Order Date].[All]" dimensionUniqueName="[Table12]" displayFolder="" count="0" memberValueDatatype="7" unbalanced="0"/>
    <cacheHierarchy uniqueName="[Table12].[Delivery Date]" caption="Delivery Date" attribute="1" time="1" defaultMemberUniqueName="[Table12].[Delivery Date].[All]" allUniqueName="[Table12].[Delivery Date].[All]" dimensionUniqueName="[Table12]" displayFolder="" count="0" memberValueDatatype="7" unbalanced="0"/>
    <cacheHierarchy uniqueName="[Table12].[Year]" caption="Year" attribute="1" defaultMemberUniqueName="[Table12].[Year].[All]" allUniqueName="[Table12].[Year].[All]" dimensionUniqueName="[Table12]" displayFolder="" count="0" memberValueDatatype="20" unbalanced="0"/>
    <cacheHierarchy uniqueName="[Table12].[Month]" caption="Month" attribute="1" defaultMemberUniqueName="[Table12].[Month].[All]" allUniqueName="[Table12].[Month].[All]" dimensionUniqueName="[Table12]" displayFolder="" count="0" memberValueDatatype="130" unbalanced="0"/>
    <cacheHierarchy uniqueName="[Table12].[Week]" caption="Week" attribute="1" defaultMemberUniqueName="[Table12].[Week].[All]" allUniqueName="[Table12].[Week].[All]" dimensionUniqueName="[Table12]" displayFolder="" count="0" memberValueDatatype="130" unbalanced="0"/>
    <cacheHierarchy uniqueName="[Table12].[FSA]" caption="FSA" attribute="1" defaultMemberUniqueName="[Table12].[FSA].[All]" allUniqueName="[Table12].[FSA].[All]" dimensionUniqueName="[Table12]" displayFolder="" count="0" memberValueDatatype="130" unbalanced="0"/>
    <cacheHierarchy uniqueName="[Table12].[PRODUCT]" caption="PRODUCT" attribute="1" defaultMemberUniqueName="[Table12].[PRODUCT].[All]" allUniqueName="[Table12].[PRODUCT].[All]" dimensionUniqueName="[Table12]" displayFolder="" count="0" memberValueDatatype="130" unbalanced="0"/>
    <cacheHierarchy uniqueName="[Table12].[QUANTITY]" caption="QUANTITY" attribute="1" defaultMemberUniqueName="[Table12].[QUANTITY].[All]" allUniqueName="[Table12].[QUANTITY].[All]" dimensionUniqueName="[Table12]" displayFolder="" count="0" memberValueDatatype="130" unbalanced="0"/>
    <cacheHierarchy uniqueName="[Table12].[TOTAL VALUE]" caption="TOTAL VALUE" attribute="1" defaultMemberUniqueName="[Table12].[TOTAL VALUE].[All]" allUniqueName="[Table12].[TOTAL VALUE].[All]" dimensionUniqueName="[Table12]" displayFolder="" count="0" memberValueDatatype="20" unbalanced="0"/>
    <cacheHierarchy uniqueName="[Table12].[REASON]" caption="REASON" attribute="1" defaultMemberUniqueName="[Table12].[REASON].[All]" allUniqueName="[Table12].[REASON].[All]" dimensionUniqueName="[Table12]"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Month]" caption="Month" attribute="1" defaultMemberUniqueName="[Table6].[Month].[All]" allUniqueName="[Table6].[Month].[All]" dimensionUniqueName="[Table6]" displayFolder="" count="2" memberValueDatatype="130" unbalanced="0">
      <fieldsUsage count="2">
        <fieldUsage x="-1"/>
        <fieldUsage x="1"/>
      </fieldsUsage>
    </cacheHierarchy>
    <cacheHierarchy uniqueName="[Table6].[Year]" caption="Year" attribute="1" defaultMemberUniqueName="[Table6].[Year].[All]" allUniqueName="[Table6].[Year].[All]" dimensionUniqueName="[Table6]" displayFolder="" count="0" memberValueDatatype="20" unbalanced="0"/>
    <cacheHierarchy uniqueName="[Table6].[FSRs]" caption="FSRs" attribute="1" defaultMemberUniqueName="[Table6].[FSRs].[All]" allUniqueName="[Table6].[FSRs].[All]" dimensionUniqueName="[Table6]" displayFolder="" count="2" memberValueDatatype="130" unbalanced="0">
      <fieldsUsage count="2">
        <fieldUsage x="-1"/>
        <fieldUsage x="0"/>
      </fieldsUsage>
    </cacheHierarchy>
    <cacheHierarchy uniqueName="[Table6].[Outlet Name]" caption="Outlet Name" attribute="1" defaultMemberUniqueName="[Table6].[Outlet Name].[All]" allUniqueName="[Table6].[Outlet Name].[All]" dimensionUniqueName="[Table6]" displayFolder="" count="0" memberValueDatatype="130" unbalanced="0"/>
    <cacheHierarchy uniqueName="[Table6].[Order items]" caption="Order items" attribute="1" defaultMemberUniqueName="[Table6].[Order items].[All]" allUniqueName="[Table6].[Order items].[All]" dimensionUniqueName="[Table6]" displayFolder="" count="0" memberValueDatatype="130" unbalanced="0"/>
    <cacheHierarchy uniqueName="[Table6].[Catergory]" caption="Catergory" attribute="1" defaultMemberUniqueName="[Table6].[Catergory].[All]" allUniqueName="[Table6].[Catergory].[All]" dimensionUniqueName="[Table6]" displayFolder="" count="0" memberValueDatatype="130" unbalanced="0"/>
    <cacheHierarchy uniqueName="[Table6].[Quantity]" caption="Quantity" attribute="1" defaultMemberUniqueName="[Table6].[Quantity].[All]" allUniqueName="[Table6].[Quantity].[All]" dimensionUniqueName="[Table6]" displayFolder="" count="0" memberValueDatatype="20" unbalanced="0"/>
    <cacheHierarchy uniqueName="[Table6].[Order Total]" caption="Order Total" attribute="1" defaultMemberUniqueName="[Table6].[Order Total].[All]" allUniqueName="[Table6].[Order Total].[All]" dimensionUniqueName="[Table6]" displayFolder="" count="0" memberValueDatatype="20" unbalanced="0"/>
    <cacheHierarchy uniqueName="[Table6].[Week]" caption="Week" attribute="1" defaultMemberUniqueName="[Table6].[Week].[All]" allUniqueName="[Table6].[Week].[All]" dimensionUniqueName="[Table6]" displayFolder="" count="0" memberValueDatatype="130" unbalanced="0"/>
    <cacheHierarchy uniqueName="[Table6].[Dispach]" caption="Dispach" attribute="1" defaultMemberUniqueName="[Table6].[Dispach].[All]" allUniqueName="[Table6].[Dispach].[All]" dimensionUniqueName="[Table6]" displayFolder="" count="0" memberValueDatatype="20" unbalanced="0"/>
    <cacheHierarchy uniqueName="[Table6].[Not Dispatch]" caption="Not Dispatch" attribute="1" defaultMemberUniqueName="[Table6].[Not Dispatch].[All]" allUniqueName="[Table6].[Not Dispatch].[All]" dimensionUniqueName="[Table6]" displayFolder="" count="0" memberValueDatatype="20" unbalanced="0"/>
    <cacheHierarchy uniqueName="[Table6].[Returned]" caption="Returned" attribute="1" defaultMemberUniqueName="[Table6].[Returned].[All]" allUniqueName="[Table6].[Returned].[All]" dimensionUniqueName="[Table6]" displayFolder="" count="0" memberValueDatatype="20" unbalanced="0"/>
    <cacheHierarchy uniqueName="[Table6].[Reason for not Dispatch]" caption="Reason for not Dispatch" attribute="1" defaultMemberUniqueName="[Table6].[Reason for not Dispatch].[All]" allUniqueName="[Table6].[Reason for not Dispatch].[All]" dimensionUniqueName="[Table6]" displayFolder="" count="0" memberValueDatatype="130" unbalanced="0"/>
    <cacheHierarchy uniqueName="[Table6].[Reason for return]" caption="Reason for return" attribute="1" defaultMemberUniqueName="[Table6].[Reason for return].[All]" allUniqueName="[Table6].[Reason for return].[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6]" caption="__XL_Count Table6" measure="1" displayFolder="" measureGroup="Table6" count="0" hidden="1"/>
    <cacheHierarchy uniqueName="[Measures].[__XL_Count Table12]" caption="__XL_Count Table12" measure="1" displayFolder="" measureGroup="Table12" count="0" hidden="1"/>
    <cacheHierarchy uniqueName="[Measures].[__XL_Count Table11]" caption="__XL_Count Table11" measure="1" displayFolder="" measureGroup="Table11" count="0" hidden="1"/>
    <cacheHierarchy uniqueName="[Measures].[__No measures defined]" caption="__No measures defined" measure="1" displayFolder="" count="0" hidden="1"/>
    <cacheHierarchy uniqueName="[Measures].[Sum of Order Total]" caption="Sum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utlet Name]" caption="Count of Outlet Name" measure="1" displayFolder="" measureGroup="Table6" count="0" hidden="1">
      <extLst>
        <ext xmlns:x15="http://schemas.microsoft.com/office/spreadsheetml/2010/11/main" uri="{B97F6D7D-B522-45F9-BDA1-12C45D357490}">
          <x15:cacheHierarchy aggregatedColumn="26"/>
        </ext>
      </extLst>
    </cacheHierarchy>
    <cacheHierarchy uniqueName="[Measures].[Count of FSRs]" caption="Count of FSRs" measure="1" displayFolder="" measureGroup="Table6" count="0" hidden="1">
      <extLst>
        <ext xmlns:x15="http://schemas.microsoft.com/office/spreadsheetml/2010/11/main" uri="{B97F6D7D-B522-45F9-BDA1-12C45D357490}">
          <x15:cacheHierarchy aggregatedColumn="25"/>
        </ext>
      </extLst>
    </cacheHierarchy>
    <cacheHierarchy uniqueName="[Measures].[Distinct Count of Outlet Name]" caption="Distinct Count of Outlet Name" measure="1" displayFolder="" measureGroup="Table6"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Quantity]" caption="Sum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6" count="0" hidden="1">
      <extLst>
        <ext xmlns:x15="http://schemas.microsoft.com/office/spreadsheetml/2010/11/main" uri="{B97F6D7D-B522-45F9-BDA1-12C45D357490}">
          <x15:cacheHierarchy aggregatedColumn="22"/>
        </ext>
      </extLst>
    </cacheHierarchy>
    <cacheHierarchy uniqueName="[Measures].[Distinct Count of Quantity]" caption="Distinct Count of Quantity" measure="1" displayFolder="" measureGroup="Table6" count="0" hidden="1">
      <extLst>
        <ext xmlns:x15="http://schemas.microsoft.com/office/spreadsheetml/2010/11/main" uri="{B97F6D7D-B522-45F9-BDA1-12C45D357490}">
          <x15:cacheHierarchy aggregatedColumn="29"/>
        </ext>
      </extLst>
    </cacheHierarchy>
    <cacheHierarchy uniqueName="[Measures].[Count of TOTAL VALUE]" caption="Count of TOTAL VALUE" measure="1" displayFolder="" measureGroup="Table12"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Table12" count="0" hidden="1">
      <extLst>
        <ext xmlns:x15="http://schemas.microsoft.com/office/spreadsheetml/2010/11/main" uri="{B97F6D7D-B522-45F9-BDA1-12C45D357490}">
          <x15:cacheHierarchy aggregatedColumn="19"/>
        </ext>
      </extLst>
    </cacheHierarchy>
    <cacheHierarchy uniqueName="[Measures].[Sum of TOTAL VALUE]" caption="Sum of TOTAL VALUE" measure="1" displayFolder="" measureGroup="Table12" count="0" hidden="1">
      <extLst>
        <ext xmlns:x15="http://schemas.microsoft.com/office/spreadsheetml/2010/11/main" uri="{B97F6D7D-B522-45F9-BDA1-12C45D357490}">
          <x15:cacheHierarchy aggregatedColumn="20"/>
        </ext>
      </extLst>
    </cacheHierarchy>
    <cacheHierarchy uniqueName="[Measures].[Sum of Not Dispatch]" caption="Sum of Not Dispatch" measure="1" displayFolder="" measureGroup="Table6" count="0" hidden="1">
      <extLst>
        <ext xmlns:x15="http://schemas.microsoft.com/office/spreadsheetml/2010/11/main" uri="{B97F6D7D-B522-45F9-BDA1-12C45D357490}">
          <x15:cacheHierarchy aggregatedColumn="33"/>
        </ext>
      </extLst>
    </cacheHierarchy>
    <cacheHierarchy uniqueName="[Measures].[Count of Order Total]" caption="Count of Order Total" measure="1" displayFolder="" measureGroup="Table6" count="0" hidden="1">
      <extLst>
        <ext xmlns:x15="http://schemas.microsoft.com/office/spreadsheetml/2010/11/main" uri="{B97F6D7D-B522-45F9-BDA1-12C45D357490}">
          <x15:cacheHierarchy aggregatedColumn="30"/>
        </ext>
      </extLst>
    </cacheHierarchy>
    <cacheHierarchy uniqueName="[Measures].[Sum of Reach]" caption="Sum of Reach" measure="1" displayFolder="" measureGroup="Table11" count="0" hidden="1">
      <extLst>
        <ext xmlns:x15="http://schemas.microsoft.com/office/spreadsheetml/2010/11/main" uri="{B97F6D7D-B522-45F9-BDA1-12C45D357490}">
          <x15:cacheHierarchy aggregatedColumn="7"/>
        </ext>
      </extLst>
    </cacheHierarchy>
    <cacheHierarchy uniqueName="[Measures].[Sum of Convertion]" caption="Sum of Convertion" measure="1" displayFolder="" measureGroup="Table11" count="0" hidden="1">
      <extLst>
        <ext xmlns:x15="http://schemas.microsoft.com/office/spreadsheetml/2010/11/main" uri="{B97F6D7D-B522-45F9-BDA1-12C45D357490}">
          <x15:cacheHierarchy aggregatedColumn="8"/>
        </ext>
      </extLst>
    </cacheHierarchy>
    <cacheHierarchy uniqueName="[Measures].[Sum of Reach Target]" caption="Sum of Reach Target" measure="1" displayFolder="" measureGroup="Table11" count="0" hidden="1">
      <extLst>
        <ext xmlns:x15="http://schemas.microsoft.com/office/spreadsheetml/2010/11/main" uri="{B97F6D7D-B522-45F9-BDA1-12C45D357490}">
          <x15:cacheHierarchy aggregatedColumn="5"/>
        </ext>
      </extLst>
    </cacheHierarchy>
    <cacheHierarchy uniqueName="[Measures].[Average of Order Total]" caption="Average of Order Total" measure="1" displayFolder="" measureGroup="Table6" count="0" hidden="1">
      <extLst>
        <ext xmlns:x15="http://schemas.microsoft.com/office/spreadsheetml/2010/11/main" uri="{B97F6D7D-B522-45F9-BDA1-12C45D357490}">
          <x15:cacheHierarchy aggregatedColumn="30"/>
        </ext>
      </extLst>
    </cacheHierarchy>
    <cacheHierarchy uniqueName="[Measures].[Count of Order items]" caption="Count of Order items" measure="1" displayFolder="" measureGroup="Table6" count="0" hidden="1">
      <extLst>
        <ext xmlns:x15="http://schemas.microsoft.com/office/spreadsheetml/2010/11/main" uri="{B97F6D7D-B522-45F9-BDA1-12C45D357490}">
          <x15:cacheHierarchy aggregatedColumn="27"/>
        </ext>
      </extLst>
    </cacheHierarchy>
    <cacheHierarchy uniqueName="[Measures].[Distinct Count of Order items]" caption="Distinct Count of Order items" measure="1" displayFolder="" measureGroup="Table6"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1" uniqueName="[Table11]" caption="Table11"/>
    <dimension name="Table12" uniqueName="[Table12]" caption="Table12"/>
    <dimension name="Table6" uniqueName="[Table6]" caption="Table6"/>
  </dimensions>
  <measureGroups count="3">
    <measureGroup name="Table11" caption="Table11"/>
    <measureGroup name="Table12" caption="Table12"/>
    <measureGroup name="Table6" caption="Table6"/>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1" cacheId="65"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chartFormat="1" rowHeaderCaption="Product SKUs">
  <location ref="B110:F135" firstHeaderRow="1" firstDataRow="2" firstDataCol="2" rowPageCount="1" colPageCount="1"/>
  <pivotFields count="6">
    <pivotField axis="axisRow" compact="0" allDrilled="1" outline="0" showAll="0" defaultAttributeDrillState="1">
      <items count="3">
        <item x="0"/>
        <item x="1"/>
        <item t="default"/>
      </items>
    </pivotField>
    <pivotField axis="axisPage" compact="0" allDrilled="1" outline="0" showAll="0" dataSourceSort="1" defaultAttributeDrillState="1">
      <items count="1">
        <item t="default"/>
      </items>
    </pivotField>
    <pivotField axis="axisRow" compact="0" allDrilled="1" outline="0" showAll="0" sortType="descending">
      <items count="24">
        <item x="0" e="0"/>
        <item x="1" e="0"/>
        <item x="2" e="0"/>
        <item x="3" e="0"/>
        <item x="4" e="0"/>
        <item x="5" e="0"/>
        <item x="6" e="0"/>
        <item x="7" e="0"/>
        <item x="8" e="0"/>
        <item x="9" e="0"/>
        <item x="10" e="0"/>
        <item x="11" e="0"/>
        <item x="12" e="0"/>
        <item x="13" e="0"/>
        <item x="14" e="0"/>
        <item x="15" e="0"/>
        <item x="16" e="0"/>
        <item x="17" e="0"/>
        <item x="18" e="0"/>
        <item x="19" e="0"/>
        <item x="20" e="0"/>
        <item x="21" e="0"/>
        <item x="22" e="0"/>
        <item t="default"/>
      </items>
      <autoSortScope>
        <pivotArea dataOnly="0" outline="0" fieldPosition="0">
          <references count="1">
            <reference field="4294967294" count="1" selected="0">
              <x v="0"/>
            </reference>
          </references>
        </pivotArea>
      </autoSortScope>
    </pivotField>
    <pivotField axis="axisCol" compact="0" allDrilled="1" outline="0" showAll="0" dataSourceSort="1" defaultAttributeDrillState="1">
      <items count="3">
        <item x="0"/>
        <item x="1"/>
        <item t="default"/>
      </items>
    </pivotField>
    <pivotField dataField="1" compact="0" outline="0" showAll="0"/>
    <pivotField compact="0" allDrilled="1" outline="0" showAll="0" dataSourceSort="1" defaultAttributeDrillState="1"/>
  </pivotFields>
  <rowFields count="2">
    <field x="2"/>
    <field x="0"/>
  </rowFields>
  <rowItems count="24">
    <i>
      <x v="7"/>
    </i>
    <i>
      <x v="10"/>
    </i>
    <i>
      <x v="20"/>
    </i>
    <i>
      <x v="2"/>
    </i>
    <i>
      <x v="12"/>
    </i>
    <i>
      <x v="16"/>
    </i>
    <i>
      <x v="1"/>
    </i>
    <i>
      <x v="17"/>
    </i>
    <i>
      <x v="5"/>
    </i>
    <i>
      <x v="11"/>
    </i>
    <i>
      <x v="6"/>
    </i>
    <i>
      <x v="14"/>
    </i>
    <i>
      <x v="4"/>
    </i>
    <i>
      <x v="21"/>
    </i>
    <i>
      <x v="13"/>
    </i>
    <i>
      <x v="15"/>
    </i>
    <i>
      <x v="9"/>
    </i>
    <i>
      <x v="8"/>
    </i>
    <i>
      <x v="22"/>
    </i>
    <i>
      <x v="3"/>
    </i>
    <i>
      <x v="18"/>
    </i>
    <i>
      <x v="19"/>
    </i>
    <i>
      <x/>
    </i>
    <i t="grand">
      <x/>
    </i>
  </rowItems>
  <colFields count="1">
    <field x="3"/>
  </colFields>
  <colItems count="3">
    <i>
      <x/>
    </i>
    <i>
      <x v="1"/>
    </i>
    <i t="grand">
      <x/>
    </i>
  </colItems>
  <pageFields count="1">
    <pageField fld="1" hier="31" name="[Table6].[Week].&amp;[Week 1]" cap="Week 1"/>
  </pageFields>
  <dataFields count="1">
    <dataField name="Sum of Order Total" fld="4" baseField="2" baseItem="12"/>
  </dataFields>
  <formats count="3">
    <format dxfId="142">
      <pivotArea outline="0" collapsedLevelsAreSubtotals="1" fieldPosition="0"/>
    </format>
    <format dxfId="141">
      <pivotArea outline="0" collapsedLevelsAreSubtotals="1" fieldPosition="0"/>
    </format>
    <format dxfId="140">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Table6].[Week].&amp;[Week 1]"/>
        <member name="[Table6].[Week].&amp;[Week 2]"/>
        <member name="[Table6].[Week].&amp;[Week 3]"/>
        <member name="[Table6].[Week].&amp;[Week 5]"/>
        <member name="[Table6].[Week].&amp;[Week 6]"/>
        <member name="[Table6].[Week].&amp;[Week 7]"/>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Order Total"/>
    <pivotHierarchy dragToData="1"/>
    <pivotHierarchy dragToData="1"/>
    <pivotHierarchy dragToData="1"/>
    <pivotHierarchy dragToData="1" caption="Volume Quantity"/>
    <pivotHierarchy dragToData="1"/>
    <pivotHierarchy dragToData="1" caption="Distinct Count of Date"/>
    <pivotHierarchy dragToData="1" caption="Distinct Count of Quantity"/>
    <pivotHierarchy dragToData="1"/>
    <pivotHierarchy dragToData="1"/>
    <pivotHierarchy dragToData="1"/>
    <pivotHierarchy dragToData="1"/>
    <pivotHierarchy dragToData="1"/>
    <pivotHierarchy dragToData="1"/>
    <pivotHierarchy dragToData="1"/>
    <pivotHierarchy dragToData="1"/>
    <pivotHierarchy dragToData="1" caption="Average of Order Total"/>
    <pivotHierarchy dragToData="1"/>
    <pivotHierarchy dragToData="1"/>
  </pivotHierarchies>
  <pivotTableStyleInfo name="PivotStyleLight16" showRowHeaders="1" showColHeaders="1" showRowStripes="0" showColStripes="0" showLastColumn="1"/>
  <rowHierarchiesUsage count="2">
    <rowHierarchyUsage hierarchyUsage="28"/>
    <rowHierarchyUsage hierarchyUsage="27"/>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10.xml><?xml version="1.0" encoding="utf-8"?>
<pivotTableDefinition xmlns="http://schemas.openxmlformats.org/spreadsheetml/2006/main" name="PivotTable2" cacheId="5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2:E12" firstHeaderRow="1" firstDataRow="2" firstDataCol="1"/>
  <pivotFields count="4">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items count="3">
        <item n="Week 1 February" s="1" x="0"/>
        <item n=" Week 1 March" s="1" x="1"/>
        <item t="default"/>
      </items>
    </pivotField>
    <pivotField dataField="1" showAll="0"/>
    <pivotField axis="axisCol" allDrilled="1" showAll="0" dataSourceSort="1" defaultAttributeDrillState="1">
      <items count="3">
        <item x="0"/>
        <item x="1"/>
        <item t="default"/>
      </items>
    </pivotField>
  </pivotFields>
  <rowFields count="1">
    <field x="0"/>
  </rowFields>
  <rowItems count="9">
    <i>
      <x v="1"/>
    </i>
    <i>
      <x/>
    </i>
    <i>
      <x v="4"/>
    </i>
    <i>
      <x v="7"/>
    </i>
    <i>
      <x v="5"/>
    </i>
    <i>
      <x v="3"/>
    </i>
    <i>
      <x v="6"/>
    </i>
    <i>
      <x v="2"/>
    </i>
    <i t="grand">
      <x/>
    </i>
  </rowItems>
  <colFields count="1">
    <field x="3"/>
  </colFields>
  <colItems count="3">
    <i>
      <x/>
    </i>
    <i>
      <x v="1"/>
    </i>
    <i t="grand">
      <x/>
    </i>
  </colItems>
  <dataFields count="1">
    <dataField name="Sum of Order Total" fld="2" baseField="0" baseItem="0" numFmtId="166"/>
  </dataFields>
  <formats count="3">
    <format dxfId="108">
      <pivotArea outline="0" collapsedLevelsAreSubtotals="1" fieldPosition="0"/>
    </format>
    <format dxfId="107">
      <pivotArea outline="0" collapsedLevelsAreSubtotals="1" fieldPosition="0"/>
    </format>
    <format dxfId="106">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4" level="1">
        <member name=""/>
        <member name="[Table6].[Week].&amp;[Week 2]"/>
        <member name=""/>
        <member name="[Table6].[Week].&amp;[Week 6]"/>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utlet Name"/>
    <pivotHierarchy dragToData="1"/>
    <pivotHierarchy dragToData="1"/>
    <pivotHierarchy dragToData="1" caption="Distinct Count of Date"/>
    <pivotHierarchy dragToData="1"/>
    <pivotHierarchy dragToData="1"/>
    <pivotHierarchy dragToData="1"/>
    <pivotHierarchy dragToData="1"/>
    <pivotHierarchy dragToData="1"/>
    <pivotHierarchy dragToData="1" caption="Count of Order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11.xml><?xml version="1.0" encoding="utf-8"?>
<pivotTableDefinition xmlns="http://schemas.openxmlformats.org/spreadsheetml/2006/main" name="PivotTable1" cacheId="62"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chartFormat="1" rowHeaderCaption="Product SKUs">
  <location ref="A3:E28" firstHeaderRow="1" firstDataRow="2" firstDataCol="2" rowPageCount="1" colPageCount="1"/>
  <pivotFields count="6">
    <pivotField axis="axisRow" compact="0" allDrilled="1" outline="0" showAll="0" defaultAttributeDrillState="1">
      <items count="2">
        <item x="0"/>
        <item t="default"/>
      </items>
    </pivotField>
    <pivotField dataField="1" compact="0" outline="0" showAll="0"/>
    <pivotField axis="axisPage" compact="0" allDrilled="1" outline="0" showAll="0" dataSourceSort="1" defaultAttributeDrillState="1">
      <items count="1">
        <item t="default"/>
      </items>
    </pivotField>
    <pivotField axis="axisRow" compact="0" allDrilled="1" outline="0" showAll="0" sortType="descending">
      <items count="24">
        <item x="0" e="0"/>
        <item x="1" e="0"/>
        <item x="2" e="0"/>
        <item x="3" e="0"/>
        <item x="4" e="0"/>
        <item x="5" e="0"/>
        <item x="6" e="0"/>
        <item x="7" e="0"/>
        <item x="8" e="0"/>
        <item x="9" e="0"/>
        <item x="10" e="0"/>
        <item x="11" e="0"/>
        <item x="12" e="0"/>
        <item x="13" e="0"/>
        <item x="14" e="0"/>
        <item x="15" e="0"/>
        <item x="16" e="0"/>
        <item x="17" e="0"/>
        <item x="18" e="0"/>
        <item x="19" e="0"/>
        <item x="20" e="0"/>
        <item x="21" e="0"/>
        <item x="22" e="0"/>
        <item t="default"/>
      </items>
      <autoSortScope>
        <pivotArea dataOnly="0" outline="0" fieldPosition="0">
          <references count="1">
            <reference field="4294967294" count="1" selected="0">
              <x v="0"/>
            </reference>
          </references>
        </pivotArea>
      </autoSortScope>
    </pivotField>
    <pivotField axis="axisCol" compact="0" allDrilled="1" outline="0" showAll="0" dataSourceSort="1" defaultAttributeDrillState="1">
      <items count="3">
        <item x="0"/>
        <item x="1"/>
        <item t="default"/>
      </items>
    </pivotField>
    <pivotField compact="0" allDrilled="1" outline="0" showAll="0" dataSourceSort="1" defaultAttributeDrillState="1"/>
  </pivotFields>
  <rowFields count="2">
    <field x="3"/>
    <field x="0"/>
  </rowFields>
  <rowItems count="24">
    <i>
      <x v="7"/>
    </i>
    <i>
      <x v="10"/>
    </i>
    <i>
      <x v="20"/>
    </i>
    <i>
      <x v="2"/>
    </i>
    <i>
      <x v="12"/>
    </i>
    <i>
      <x v="16"/>
    </i>
    <i>
      <x v="1"/>
    </i>
    <i>
      <x v="17"/>
    </i>
    <i>
      <x v="5"/>
    </i>
    <i>
      <x v="11"/>
    </i>
    <i>
      <x v="6"/>
    </i>
    <i>
      <x v="14"/>
    </i>
    <i>
      <x v="4"/>
    </i>
    <i>
      <x v="21"/>
    </i>
    <i>
      <x v="13"/>
    </i>
    <i>
      <x v="15"/>
    </i>
    <i>
      <x v="9"/>
    </i>
    <i>
      <x v="8"/>
    </i>
    <i>
      <x v="22"/>
    </i>
    <i>
      <x v="3"/>
    </i>
    <i>
      <x v="18"/>
    </i>
    <i>
      <x v="19"/>
    </i>
    <i>
      <x/>
    </i>
    <i t="grand">
      <x/>
    </i>
  </rowItems>
  <colFields count="1">
    <field x="4"/>
  </colFields>
  <colItems count="3">
    <i>
      <x/>
    </i>
    <i>
      <x v="1"/>
    </i>
    <i t="grand">
      <x/>
    </i>
  </colItems>
  <pageFields count="1">
    <pageField fld="2" hier="31" name="[Table6].[Week].&amp;[Week 1]" cap="Week 1"/>
  </pageFields>
  <dataFields count="1">
    <dataField name="Sum of Order Total" fld="1" baseField="0" baseItem="0"/>
  </dataFields>
  <formats count="3">
    <format dxfId="90">
      <pivotArea outline="0" collapsedLevelsAreSubtotals="1" fieldPosition="0"/>
    </format>
    <format dxfId="89">
      <pivotArea outline="0" collapsedLevelsAreSubtotals="1" fieldPosition="0"/>
    </format>
    <format dxfId="88">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0" format="4" series="1">
      <pivotArea type="data" outline="0" fieldPosition="0">
        <references count="2">
          <reference field="4294967294" count="1" selected="0">
            <x v="0"/>
          </reference>
          <reference field="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Table6].[Week].&amp;[Week 1]"/>
        <member name="[Table6].[Week].&amp;[Week 2]"/>
        <member name="[Table6].[Week].&amp;[Week 3]"/>
        <member name="[Table6].[Week].&amp;[Week 5]"/>
        <member name="[Table6].[Week].&amp;[Week 6]"/>
        <member name="[Table6].[Week].&amp;[Week 7]"/>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Volume Quantity"/>
    <pivotHierarchy dragToData="1"/>
    <pivotHierarchy dragToData="1" caption="Distinct Count of Date"/>
    <pivotHierarchy dragToData="1" caption="Distinct 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8"/>
    <rowHierarchyUsage hierarchyUsage="27"/>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12.xml><?xml version="1.0" encoding="utf-8"?>
<pivotTableDefinition xmlns="http://schemas.openxmlformats.org/spreadsheetml/2006/main" name="PivotTable17" cacheId="5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G31:H34" firstHeaderRow="1" firstDataRow="1" firstDataCol="1"/>
  <pivotFields count="3">
    <pivotField allDrilled="1" showAll="0" dataSourceSort="1" defaultAttributeDrillState="1">
      <items count="8">
        <item s="1" x="0"/>
        <item s="1" x="1"/>
        <item s="1" x="2"/>
        <item s="1" x="3"/>
        <item s="1" x="4"/>
        <item s="1" x="5"/>
        <item s="1" x="6"/>
        <item t="default"/>
      </items>
    </pivotField>
    <pivotField axis="axisRow" allDrilled="1" showAll="0" dataSourceSort="1" defaultAttributeDrillState="1">
      <items count="3">
        <item s="1" x="0"/>
        <item s="1" x="1"/>
        <item t="default"/>
      </items>
    </pivotField>
    <pivotField dataField="1" showAll="0"/>
  </pivotFields>
  <rowFields count="1">
    <field x="1"/>
  </rowFields>
  <rowItems count="3">
    <i>
      <x/>
    </i>
    <i>
      <x v="1"/>
    </i>
    <i t="grand">
      <x/>
    </i>
  </rowItems>
  <colItems count="1">
    <i/>
  </colItems>
  <dataFields count="1">
    <dataField name="Distinct Count of Outlet Name" fld="2" subtotal="count" baseField="2" baseItem="0">
      <extLst>
        <ext xmlns:x15="http://schemas.microsoft.com/office/spreadsheetml/2010/11/main" uri="{FABC7310-3BB5-11E1-824E-6D434824019B}">
          <x15:dataField isCountDistinct="1"/>
        </ext>
      </extLst>
    </dataField>
  </dataFields>
  <formats count="3">
    <format dxfId="78">
      <pivotArea outline="0" collapsedLevelsAreSubtotals="1" fieldPosition="0"/>
    </format>
    <format dxfId="77">
      <pivotArea outline="0" collapsedLevelsAreSubtotals="1" fieldPosition="0"/>
    </format>
    <format dxfId="76">
      <pivotArea outline="0" fieldPosition="0">
        <references count="1">
          <reference field="4294967294" count="1">
            <x v="0"/>
          </reference>
        </references>
      </pivotArea>
    </format>
  </formats>
  <chartFormats count="6">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utlet Name"/>
    <pivotHierarchy dragToData="1"/>
    <pivotHierarchy dragToData="1"/>
    <pivotHierarchy dragToData="1" caption="Distinct Count of Date"/>
    <pivotHierarchy dragToData="1"/>
    <pivotHierarchy dragToData="1"/>
    <pivotHierarchy dragToData="1"/>
    <pivotHierarchy dragToData="1"/>
    <pivotHierarchy dragToData="1"/>
    <pivotHierarchy dragToData="1" caption="Count of Order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13.xml><?xml version="1.0" encoding="utf-8"?>
<pivotTableDefinition xmlns="http://schemas.openxmlformats.org/spreadsheetml/2006/main" name="PivotTable16" cacheId="5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L4:M8" firstHeaderRow="1" firstDataRow="1" firstDataCol="1"/>
  <pivotFields count="4">
    <pivotField allDrilled="1" showAll="0" dataSourceSort="1" defaultAttributeDrillState="1">
      <items count="8">
        <item s="1" x="0"/>
        <item s="1" x="1"/>
        <item s="1" x="2"/>
        <item s="1" x="3"/>
        <item s="1" x="4"/>
        <item s="1" x="5"/>
        <item s="1" x="6"/>
        <item t="default"/>
      </items>
    </pivotField>
    <pivotField allDrilled="1" showAll="0" dataSourceSort="1" defaultAttributeDrillState="1"/>
    <pivotField axis="axisRow" allDrilled="1" showAll="0" dataSourceSort="1" defaultAttributeDrillState="1">
      <items count="4">
        <item x="0"/>
        <item x="1"/>
        <item x="2"/>
        <item t="default"/>
      </items>
    </pivotField>
    <pivotField dataField="1" showAll="0"/>
  </pivotFields>
  <rowFields count="1">
    <field x="2"/>
  </rowFields>
  <rowItems count="4">
    <i>
      <x/>
    </i>
    <i>
      <x v="1"/>
    </i>
    <i>
      <x v="2"/>
    </i>
    <i t="grand">
      <x/>
    </i>
  </rowItems>
  <colItems count="1">
    <i/>
  </colItems>
  <dataFields count="1">
    <dataField name="Distinct Count of Outlet Name" fld="3" subtotal="count" showDataAs="percentOfTotal" baseField="2" baseItem="0" numFmtId="9">
      <extLst>
        <ext xmlns:x15="http://schemas.microsoft.com/office/spreadsheetml/2010/11/main" uri="{FABC7310-3BB5-11E1-824E-6D434824019B}">
          <x15:dataField isCountDistinct="1"/>
        </ext>
      </extLst>
    </dataField>
  </dataFields>
  <formats count="2">
    <format dxfId="80">
      <pivotArea outline="0" collapsedLevelsAreSubtotals="1" fieldPosition="0"/>
    </format>
    <format dxfId="79">
      <pivotArea outline="0" collapsedLevelsAreSubtotals="1" fieldPosition="0"/>
    </format>
  </formats>
  <chartFormats count="8">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 chart="5" format="9">
      <pivotArea type="data" outline="0" fieldPosition="0">
        <references count="2">
          <reference field="4294967294" count="1" selected="0">
            <x v="0"/>
          </reference>
          <reference field="2" count="1" selected="0">
            <x v="0"/>
          </reference>
        </references>
      </pivotArea>
    </chartFormat>
    <chartFormat chart="8" format="9">
      <pivotArea type="data" outline="0" fieldPosition="0">
        <references count="2">
          <reference field="4294967294" count="1" selected="0">
            <x v="0"/>
          </reference>
          <reference field="2"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6].[Week].&amp;[Week 3]"/>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utlet Name"/>
    <pivotHierarchy dragToData="1"/>
    <pivotHierarchy dragToData="1"/>
    <pivotHierarchy dragToData="1" caption="Distinct Count of Date"/>
    <pivotHierarchy dragToData="1"/>
    <pivotHierarchy dragToData="1"/>
    <pivotHierarchy dragToData="1"/>
    <pivotHierarchy dragToData="1"/>
    <pivotHierarchy dragToData="1"/>
    <pivotHierarchy dragToData="1" caption="Count of Order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14.xml><?xml version="1.0" encoding="utf-8"?>
<pivotTableDefinition xmlns="http://schemas.openxmlformats.org/spreadsheetml/2006/main" name="Monthly" cacheId="5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D4:E10" firstHeaderRow="1" firstDataRow="1" firstDataCol="1"/>
  <pivotFields count="5">
    <pivotField dataField="1" showAll="0"/>
    <pivotField axis="axisRow" allDrilled="1" showAll="0" dataSourceSort="1" defaultAttributeDrillState="1">
      <items count="8">
        <item s="1" x="0"/>
        <item s="1" x="1"/>
        <item s="1" x="2"/>
        <item s="1" x="3"/>
        <item s="1" x="4"/>
        <item s="1" x="5"/>
        <item s="1" x="6"/>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6">
    <i>
      <x/>
    </i>
    <i>
      <x v="1"/>
    </i>
    <i>
      <x v="2"/>
    </i>
    <i>
      <x v="3"/>
    </i>
    <i>
      <x v="4"/>
    </i>
    <i t="grand">
      <x/>
    </i>
  </rowItems>
  <colItems count="1">
    <i/>
  </colItems>
  <dataFields count="1">
    <dataField name="Distinct Count of Outlet Name" fld="0" subtotal="count" baseField="0" baseItem="0">
      <extLst>
        <ext xmlns:x15="http://schemas.microsoft.com/office/spreadsheetml/2010/11/main" uri="{FABC7310-3BB5-11E1-824E-6D434824019B}">
          <x15:dataField isCountDistinct="1"/>
        </ext>
      </extLst>
    </dataField>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6].[Month].&amp;[March]"/>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6].[Week].&amp;[Week 3]"/>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utlet 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15.xml><?xml version="1.0" encoding="utf-8"?>
<pivotTableDefinition xmlns="http://schemas.openxmlformats.org/spreadsheetml/2006/main" name="weekly" cacheId="5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4:B10" firstHeaderRow="1" firstDataRow="1" firstDataCol="1"/>
  <pivotFields count="3">
    <pivotField dataField="1" showAll="0"/>
    <pivotField axis="axisRow" allDrilled="1" showAll="0" dataSourceSort="1" defaultAttributeDrillState="1">
      <items count="8">
        <item s="1" x="0"/>
        <item s="1" x="1"/>
        <item s="1" x="2"/>
        <item s="1" x="3"/>
        <item s="1" x="4"/>
        <item s="1" x="5"/>
        <item s="1" x="6"/>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Distinct Count of Outlet Name" fld="0" subtotal="count" baseField="0" baseItem="0">
      <extLst>
        <ext xmlns:x15="http://schemas.microsoft.com/office/spreadsheetml/2010/11/main" uri="{FABC7310-3BB5-11E1-824E-6D434824019B}">
          <x15:dataField isCountDistinct="1"/>
        </ext>
      </extLst>
    </dataField>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6].[Week].&amp;[Week 5]"/>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utlet 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16.xml><?xml version="1.0" encoding="utf-8"?>
<pivotTableDefinition xmlns="http://schemas.openxmlformats.org/spreadsheetml/2006/main" name="PivotTable1" cacheId="5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7:D28" firstHeaderRow="0" firstDataRow="1" firstDataCol="1"/>
  <pivotFields count="6">
    <pivotField allDrilled="1" showAll="0" dataSourceSort="1" defaultAttributeDrillState="1">
      <items count="8">
        <item s="1" x="0"/>
        <item s="1" x="1"/>
        <item s="1" x="2"/>
        <item s="1" x="3"/>
        <item s="1" x="4"/>
        <item s="1" x="5"/>
        <item s="1" x="6"/>
        <item t="default"/>
      </items>
    </pivotField>
    <pivotField allDrilled="1" showAll="0" dataSourceSort="1" defaultAttributeDrillState="1"/>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2"/>
  </rowFields>
  <rowItems count="11">
    <i>
      <x v="5"/>
    </i>
    <i>
      <x/>
    </i>
    <i>
      <x v="3"/>
    </i>
    <i>
      <x v="2"/>
    </i>
    <i>
      <x v="1"/>
    </i>
    <i>
      <x v="8"/>
    </i>
    <i>
      <x v="6"/>
    </i>
    <i>
      <x v="9"/>
    </i>
    <i>
      <x v="7"/>
    </i>
    <i>
      <x v="4"/>
    </i>
    <i t="grand">
      <x/>
    </i>
  </rowItems>
  <colFields count="1">
    <field x="-2"/>
  </colFields>
  <colItems count="3">
    <i>
      <x/>
    </i>
    <i i="1">
      <x v="1"/>
    </i>
    <i i="2">
      <x v="2"/>
    </i>
  </colItems>
  <dataFields count="3">
    <dataField name="Count of Order Total" fld="3" subtotal="count" baseField="2" baseItem="0"/>
    <dataField name="Sum of Order Total" fld="5" baseField="0" baseItem="0"/>
    <dataField name="Distinct Count of Date" fld="4" subtotal="count" baseField="2" baseItem="121">
      <extLst>
        <ext xmlns:x15="http://schemas.microsoft.com/office/spreadsheetml/2010/11/main" uri="{FABC7310-3BB5-11E1-824E-6D434824019B}">
          <x15:dataField isCountDistinct="1"/>
        </ext>
      </extLst>
    </dataField>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6].[Week].&amp;[Week 3]"/>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utlet Name"/>
    <pivotHierarchy dragToData="1"/>
    <pivotHierarchy dragToData="1"/>
    <pivotHierarchy dragToData="1" caption="Distinct Count of Date"/>
    <pivotHierarchy dragToData="1"/>
    <pivotHierarchy dragToData="1"/>
    <pivotHierarchy dragToData="1"/>
    <pivotHierarchy dragToData="1"/>
    <pivotHierarchy dragToData="1"/>
    <pivotHierarchy dragToData="1" caption="Count of Order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9">
      <autoFilter ref="A1">
        <filterColumn colId="0">
          <top10 val="10" filterVal="10"/>
        </filterColumn>
      </autoFilter>
    </filter>
  </filters>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17.xml><?xml version="1.0" encoding="utf-8"?>
<pivotTableDefinition xmlns="http://schemas.openxmlformats.org/spreadsheetml/2006/main" name="Yearly" cacheId="5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G4:H15" firstHeaderRow="1" firstDataRow="1" firstDataCol="1"/>
  <pivotFields count="3">
    <pivotField dataField="1" showAll="0"/>
    <pivotField axis="axisRow"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11">
    <i>
      <x v="6"/>
    </i>
    <i>
      <x v="4"/>
    </i>
    <i>
      <x v="9"/>
    </i>
    <i>
      <x v="5"/>
    </i>
    <i>
      <x v="1"/>
    </i>
    <i>
      <x v="2"/>
    </i>
    <i>
      <x v="7"/>
    </i>
    <i>
      <x v="3"/>
    </i>
    <i>
      <x v="8"/>
    </i>
    <i>
      <x/>
    </i>
    <i t="grand">
      <x/>
    </i>
  </rowItems>
  <colItems count="1">
    <i/>
  </colItems>
  <dataFields count="1">
    <dataField name="Distinct Count of Outlet Name" fld="0" subtotal="count" showDataAs="percentOfTotal" baseField="0" baseItem="0" numFmtId="9">
      <extLst>
        <ext xmlns:x15="http://schemas.microsoft.com/office/spreadsheetml/2010/11/main" uri="{FABC7310-3BB5-11E1-824E-6D434824019B}">
          <x15:dataField isCountDistinct="1"/>
        </ext>
      </extLst>
    </dataField>
  </dataFields>
  <formats count="7">
    <format dxfId="87">
      <pivotArea collapsedLevelsAreSubtotals="1" fieldPosition="0">
        <references count="1">
          <reference field="1" count="1">
            <x v="5"/>
          </reference>
        </references>
      </pivotArea>
    </format>
    <format dxfId="86">
      <pivotArea outline="0" collapsedLevelsAreSubtotals="1" fieldPosition="0"/>
    </format>
    <format dxfId="85">
      <pivotArea outline="0" collapsedLevelsAreSubtotals="1" fieldPosition="0"/>
    </format>
    <format dxfId="84">
      <pivotArea outline="0" fieldPosition="0">
        <references count="1">
          <reference field="4294967294" count="1">
            <x v="0"/>
          </reference>
        </references>
      </pivotArea>
    </format>
    <format dxfId="83">
      <pivotArea outline="0" fieldPosition="0">
        <references count="1">
          <reference field="4294967294" count="1">
            <x v="0"/>
          </reference>
        </references>
      </pivotArea>
    </format>
    <format dxfId="82">
      <pivotArea outline="0" collapsedLevelsAreSubtotals="1" fieldPosition="0"/>
    </format>
    <format dxfId="8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6].[Week].&amp;[Week 3]"/>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utlet 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18.xml><?xml version="1.0" encoding="utf-8"?>
<pivotTableDefinition xmlns="http://schemas.openxmlformats.org/spreadsheetml/2006/main" name="PivotTable3" cacheId="6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D5:E32" firstHeaderRow="1" firstDataRow="1" firstDataCol="1" rowPageCount="2" colPageCount="1"/>
  <pivotFields count="4">
    <pivotField dataField="1" showAll="0"/>
    <pivotField axis="axisPage" allDrilled="1" showAll="0" dataSourceSort="1" defaultAttributeDrillState="1">
      <items count="1">
        <item t="default"/>
      </items>
    </pivotField>
    <pivotField axis="axisRow" allDrilled="1" showAll="0" sortType="descending" defaultAttributeDrillState="1">
      <items count="27">
        <item x="0"/>
        <item x="1"/>
        <item x="2"/>
        <item x="3"/>
        <item x="4"/>
        <item x="5"/>
        <item x="6"/>
        <item x="7"/>
        <item x="8"/>
        <item x="9"/>
        <item x="10"/>
        <item x="11"/>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s>
  <rowFields count="1">
    <field x="2"/>
  </rowFields>
  <rowItems count="27">
    <i>
      <x v="15"/>
    </i>
    <i>
      <x v="18"/>
    </i>
    <i>
      <x v="25"/>
    </i>
    <i>
      <x v="19"/>
    </i>
    <i>
      <x v="8"/>
    </i>
    <i>
      <x v="16"/>
    </i>
    <i>
      <x v="23"/>
    </i>
    <i>
      <x/>
    </i>
    <i>
      <x v="6"/>
    </i>
    <i>
      <x v="12"/>
    </i>
    <i>
      <x v="21"/>
    </i>
    <i>
      <x v="22"/>
    </i>
    <i>
      <x v="3"/>
    </i>
    <i>
      <x v="7"/>
    </i>
    <i>
      <x v="4"/>
    </i>
    <i>
      <x v="13"/>
    </i>
    <i>
      <x v="9"/>
    </i>
    <i>
      <x v="10"/>
    </i>
    <i>
      <x v="17"/>
    </i>
    <i>
      <x v="1"/>
    </i>
    <i>
      <x v="14"/>
    </i>
    <i>
      <x v="5"/>
    </i>
    <i>
      <x v="2"/>
    </i>
    <i>
      <x v="11"/>
    </i>
    <i>
      <x v="24"/>
    </i>
    <i>
      <x v="20"/>
    </i>
    <i t="grand">
      <x/>
    </i>
  </rowItems>
  <colItems count="1">
    <i/>
  </colItems>
  <pageFields count="2">
    <pageField fld="1" hier="16" name="[Table12].[Week].[All]" cap="All"/>
    <pageField fld="3" hier="15" name="[Table12].[Month].[All]" cap="All"/>
  </pageFields>
  <dataFields count="1">
    <dataField name="Sum of TOTAL VALUE" fld="0" showDataAs="percentOfTotal" baseField="1" baseItem="0" numFmtId="9"/>
  </dataFields>
  <formats count="2">
    <format dxfId="75">
      <pivotArea outline="0" collapsedLevelsAreSubtotals="1" fieldPosition="0"/>
    </format>
    <format dxfId="7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VAL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12">
        <x15:activeTabTopLevelEntity name="[Table12]"/>
      </x15:pivotTableUISettings>
    </ext>
  </extLst>
</pivotTableDefinition>
</file>

<file path=xl/pivotTables/pivotTable19.xml><?xml version="1.0" encoding="utf-8"?>
<pivotTableDefinition xmlns="http://schemas.openxmlformats.org/spreadsheetml/2006/main" name="PivotTable2" cacheId="6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B10" firstHeaderRow="1" firstDataRow="1" firstDataCol="1"/>
  <pivotFields count="2">
    <pivotField dataField="1" showAl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TOTAL VALUE" fld="0" baseField="1"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VAL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12">
        <x15:activeTabTopLevelEntity name="[Table12]"/>
      </x15:pivotTableUISettings>
    </ext>
  </extLst>
</pivotTableDefinition>
</file>

<file path=xl/pivotTables/pivotTable2.xml><?xml version="1.0" encoding="utf-8"?>
<pivotTableDefinition xmlns="http://schemas.openxmlformats.org/spreadsheetml/2006/main" name="PivotTable15" cacheId="6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Outlet name">
  <location ref="B60:E71" firstHeaderRow="0" firstDataRow="1" firstDataCol="1"/>
  <pivotFields count="6">
    <pivotField allDrilled="1" showAll="0" dataSourceSort="1" defaultAttributeDrillState="1">
      <items count="8">
        <item s="1" x="0"/>
        <item s="1" x="1"/>
        <item s="1" x="2"/>
        <item s="1" x="3"/>
        <item s="1" x="4"/>
        <item s="1" x="5"/>
        <item s="1" x="6"/>
        <item t="default"/>
      </items>
    </pivotField>
    <pivotField allDrilled="1" showAll="0" dataSourceSort="1" defaultAttributeDrillState="1"/>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2"/>
  </rowFields>
  <rowItems count="11">
    <i>
      <x v="6"/>
    </i>
    <i>
      <x/>
    </i>
    <i>
      <x v="4"/>
    </i>
    <i>
      <x v="1"/>
    </i>
    <i>
      <x v="2"/>
    </i>
    <i>
      <x v="9"/>
    </i>
    <i>
      <x v="7"/>
    </i>
    <i>
      <x v="3"/>
    </i>
    <i>
      <x v="5"/>
    </i>
    <i>
      <x v="8"/>
    </i>
    <i t="grand">
      <x/>
    </i>
  </rowItems>
  <colFields count="1">
    <field x="-2"/>
  </colFields>
  <colItems count="3">
    <i>
      <x/>
    </i>
    <i i="1">
      <x v="1"/>
    </i>
    <i i="2">
      <x v="2"/>
    </i>
  </colItems>
  <dataFields count="3">
    <dataField name=" Order Placed" fld="3" subtotal="count" baseField="2" baseItem="0"/>
    <dataField name="Order Amount" fld="5" baseField="0" baseItem="0" numFmtId="166"/>
    <dataField name="No. of times Visited" fld="4" subtotal="count" baseField="2" baseItem="121">
      <extLst>
        <ext xmlns:x15="http://schemas.microsoft.com/office/spreadsheetml/2010/11/main" uri="{FABC7310-3BB5-11E1-824E-6D434824019B}">
          <x15:dataField isCountDistinct="1"/>
        </ext>
      </extLst>
    </dataField>
  </dataFields>
  <formats count="3">
    <format dxfId="145">
      <pivotArea outline="0" collapsedLevelsAreSubtotals="1" fieldPosition="0">
        <references count="1">
          <reference field="4294967294" count="1" selected="0">
            <x v="1"/>
          </reference>
        </references>
      </pivotArea>
    </format>
    <format dxfId="144">
      <pivotArea outline="0" collapsedLevelsAreSubtotals="1" fieldPosition="0">
        <references count="1">
          <reference field="4294967294" count="1" selected="0">
            <x v="1"/>
          </reference>
        </references>
      </pivotArea>
    </format>
    <format dxfId="143">
      <pivotArea outline="0" collapsedLevelsAreSubtotals="1" fieldPosition="0">
        <references count="1">
          <reference field="4294967294" count="1" selected="0">
            <x v="1"/>
          </reference>
        </references>
      </pivotArea>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6].[Week].&amp;[Week 3]"/>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Amount"/>
    <pivotHierarchy dragToData="1"/>
    <pivotHierarchy dragToData="1"/>
    <pivotHierarchy dragToData="1" caption="Distinct Count of Outlet Name"/>
    <pivotHierarchy dragToData="1"/>
    <pivotHierarchy dragToData="1"/>
    <pivotHierarchy dragToData="1" caption="No. of times Visited"/>
    <pivotHierarchy dragToData="1"/>
    <pivotHierarchy dragToData="1"/>
    <pivotHierarchy dragToData="1"/>
    <pivotHierarchy dragToData="1"/>
    <pivotHierarchy dragToData="1"/>
    <pivotHierarchy dragToData="1" caption=" Order Place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5">
      <autoFilter ref="A1">
        <filterColumn colId="0">
          <top10 val="10" filterVal="10"/>
        </filterColumn>
      </autoFilter>
    </filter>
  </filters>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20.xml><?xml version="1.0" encoding="utf-8"?>
<pivotTableDefinition xmlns="http://schemas.openxmlformats.org/spreadsheetml/2006/main" name="PivotTable17" cacheId="5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A4:B10" firstHeaderRow="1" firstDataRow="1" firstDataCol="1" rowPageCount="2" colPageCount="1"/>
  <pivotFields count="4">
    <pivotField axis="axisRow" allDrilled="1" showAll="0" sortType="descending" defaultAttributeDrillState="1">
      <items count="6">
        <item s="1" x="0"/>
        <item s="1" x="1"/>
        <item s="1" x="2"/>
        <item s="1" x="3"/>
        <item s="1" x="4"/>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0"/>
  </rowFields>
  <rowItems count="6">
    <i>
      <x v="4"/>
    </i>
    <i>
      <x v="2"/>
    </i>
    <i>
      <x/>
    </i>
    <i>
      <x v="1"/>
    </i>
    <i>
      <x v="3"/>
    </i>
    <i t="grand">
      <x/>
    </i>
  </rowItems>
  <colItems count="1">
    <i/>
  </colItems>
  <pageFields count="2">
    <pageField fld="2" hier="31" name="[Table6].[Week].[All]" cap="All"/>
    <pageField fld="3" hier="23" name="[Table6].[Month].[All]" cap="All"/>
  </pageFields>
  <dataFields count="1">
    <dataField name="Sum of Not Dispatch" fld="1" showDataAs="percentOfTotal" baseField="0" baseItem="0" numFmtId="9"/>
  </dataFields>
  <formats count="2">
    <format dxfId="66">
      <pivotArea outline="0" collapsedLevelsAreSubtotals="1" fieldPosition="0"/>
    </format>
    <format dxfId="6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21.xml><?xml version="1.0" encoding="utf-8"?>
<pivotTableDefinition xmlns="http://schemas.openxmlformats.org/spreadsheetml/2006/main" name="PivotTable4" cacheId="6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D10" firstHeaderRow="0" firstDataRow="1" firstDataCol="1"/>
  <pivotFields count="4">
    <pivotField axis="axisRow" allDrilled="1" showAll="0" dataSourceSort="1" defaultAttributeDrillState="1">
      <items count="7">
        <item s="1" x="0"/>
        <item s="1" x="1"/>
        <item s="1" x="2"/>
        <item s="1" x="3"/>
        <item s="1" x="4"/>
        <item s="1" x="5"/>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Reach Target" fld="3" baseField="0" baseItem="0"/>
    <dataField name="Sum of Reach" fld="1" baseField="0" baseItem="0"/>
    <dataField name="Sum of Convertion" fld="2"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11">
        <x15:activeTabTopLevelEntity name="[Table11]"/>
      </x15:pivotTableUISettings>
    </ext>
  </extLst>
</pivotTableDefinition>
</file>

<file path=xl/pivotTables/pivotTable22.xml><?xml version="1.0" encoding="utf-8"?>
<pivotTableDefinition xmlns="http://schemas.openxmlformats.org/spreadsheetml/2006/main" name="PivotTable5" cacheId="5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6:B23" firstHeaderRow="1" firstDataRow="1" firstDataCol="1"/>
  <pivotFields count="2">
    <pivotField axis="axisRow" allDrilled="1" showAll="0" dataSourceSort="1" defaultAttributeDrillState="1">
      <items count="7">
        <item s="1" x="0"/>
        <item s="1" x="1"/>
        <item s="1" x="2"/>
        <item s="1" x="3"/>
        <item s="1" x="4"/>
        <item s="1" x="5"/>
        <item t="default"/>
      </items>
    </pivotField>
    <pivotField dataField="1" showAll="0"/>
  </pivotFields>
  <rowFields count="1">
    <field x="0"/>
  </rowFields>
  <rowItems count="7">
    <i>
      <x/>
    </i>
    <i>
      <x v="1"/>
    </i>
    <i>
      <x v="2"/>
    </i>
    <i>
      <x v="3"/>
    </i>
    <i>
      <x v="4"/>
    </i>
    <i>
      <x v="5"/>
    </i>
    <i t="grand">
      <x/>
    </i>
  </rowItems>
  <colItems count="1">
    <i/>
  </colItems>
  <dataFields count="1">
    <dataField name="Sum of Order Total" fld="1" baseField="0" baseItem="0" numFmtId="166"/>
  </dataFields>
  <formats count="3">
    <format dxfId="56">
      <pivotArea outline="0" collapsedLevelsAreSubtotals="1" fieldPosition="0"/>
    </format>
    <format dxfId="55">
      <pivotArea outline="0" collapsedLevelsAreSubtotals="1" fieldPosition="0"/>
    </format>
    <format dxfId="54">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23.xml><?xml version="1.0" encoding="utf-8"?>
<pivotTableDefinition xmlns="http://schemas.openxmlformats.org/spreadsheetml/2006/main" name="PivotTable1" cacheId="4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B10" firstHeaderRow="1" firstDataRow="1" firstDataCol="1" rowPageCount="1" colPageCount="1"/>
  <pivotFields count="3">
    <pivotField axis="axisRow" allDrilled="1" showAll="0" dataSourceSort="1" defaultAttributeDrillState="1">
      <items count="7">
        <item x="0"/>
        <item x="1"/>
        <item x="2"/>
        <item x="3"/>
        <item x="4"/>
        <item x="5"/>
        <item t="default"/>
      </items>
    </pivotField>
    <pivotField dataField="1" showAll="0"/>
    <pivotField axis="axisPage" allDrilled="1" showAll="0" dataSourceSort="1" defaultAttributeDrillState="1">
      <items count="1">
        <item t="default"/>
      </items>
    </pivotField>
  </pivotFields>
  <rowFields count="1">
    <field x="0"/>
  </rowFields>
  <rowItems count="7">
    <i>
      <x/>
    </i>
    <i>
      <x v="1"/>
    </i>
    <i>
      <x v="2"/>
    </i>
    <i>
      <x v="3"/>
    </i>
    <i>
      <x v="4"/>
    </i>
    <i>
      <x v="5"/>
    </i>
    <i t="grand">
      <x/>
    </i>
  </rowItems>
  <colItems count="1">
    <i/>
  </colItems>
  <pageFields count="1">
    <pageField fld="2" hier="22" name="[Table6].[Date].&amp;[2022-03-14T00:00:00]" cap="3/14/2022"/>
  </pageFields>
  <dataFields count="1">
    <dataField name="Distinct Count of Outlet Name" fld="1" subtotal="count" baseField="0" baseItem="0">
      <extLst>
        <ext xmlns:x15="http://schemas.microsoft.com/office/spreadsheetml/2010/11/main" uri="{FABC7310-3BB5-11E1-824E-6D434824019B}">
          <x15:dataField isCountDistinct="1"/>
        </ext>
      </extLst>
    </dataField>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Date].&amp;[2022-03-14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utlet 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3.xml><?xml version="1.0" encoding="utf-8"?>
<pivotTableDefinition xmlns="http://schemas.openxmlformats.org/spreadsheetml/2006/main" name="PivotTable2" cacheId="63"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chartFormat="2" rowHeaderCaption="Product SKUs">
  <location ref="Z36:AA45" firstHeaderRow="1" firstDataRow="1" firstDataCol="1"/>
  <pivotFields count="5">
    <pivotField axis="axisRow" compact="0" allDrilled="1" outline="0" showAll="0" dataSourceSort="1" defaultAttributeDrillState="1">
      <items count="9">
        <item x="0"/>
        <item x="1"/>
        <item x="2"/>
        <item x="3"/>
        <item x="4"/>
        <item x="5"/>
        <item x="6"/>
        <item x="7"/>
        <item t="default"/>
      </items>
    </pivotField>
    <pivotField compact="0" allDrilled="1" outline="0" showAll="0" sortType="descending" defaultAttributeDrillState="1">
      <items count="2">
        <item x="0"/>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items count="3">
        <item s="1" x="0"/>
        <item s="1" x="1"/>
        <item t="default"/>
      </items>
    </pivotField>
    <pivotField dataField="1" compact="0" outline="0" showAll="0"/>
    <pivotField compact="0" allDrilled="1" outline="0" showAll="0" dataSourceSort="1" defaultAttributeDrillState="1"/>
  </pivotFields>
  <rowFields count="1">
    <field x="0"/>
  </rowFields>
  <rowItems count="9">
    <i>
      <x/>
    </i>
    <i>
      <x v="1"/>
    </i>
    <i>
      <x v="2"/>
    </i>
    <i>
      <x v="3"/>
    </i>
    <i>
      <x v="4"/>
    </i>
    <i>
      <x v="5"/>
    </i>
    <i>
      <x v="6"/>
    </i>
    <i>
      <x v="7"/>
    </i>
    <i t="grand">
      <x/>
    </i>
  </rowItems>
  <colItems count="1">
    <i/>
  </colItems>
  <dataFields count="1">
    <dataField name="Distinct Count of Order items" fld="3" subtotal="count" baseField="2" baseItem="4">
      <extLst>
        <ext xmlns:x15="http://schemas.microsoft.com/office/spreadsheetml/2010/11/main" uri="{FABC7310-3BB5-11E1-824E-6D434824019B}">
          <x15:dataField isCountDistinct="1"/>
        </ext>
      </extLst>
    </dataField>
  </dataFields>
  <formats count="3">
    <format dxfId="111">
      <pivotArea outline="0" collapsedLevelsAreSubtotals="1" fieldPosition="0"/>
    </format>
    <format dxfId="110">
      <pivotArea outline="0" collapsedLevelsAreSubtotals="1" fieldPosition="0"/>
    </format>
    <format dxfId="109">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Order Total"/>
    <pivotHierarchy dragToData="1"/>
    <pivotHierarchy dragToData="1"/>
    <pivotHierarchy dragToData="1"/>
    <pivotHierarchy dragToData="1" caption="Volume Quantity"/>
    <pivotHierarchy dragToData="1"/>
    <pivotHierarchy dragToData="1" caption="Distinct Count of Date"/>
    <pivotHierarchy dragToData="1" caption="Distinct Count of Quantity"/>
    <pivotHierarchy dragToData="1"/>
    <pivotHierarchy dragToData="1"/>
    <pivotHierarchy dragToData="1"/>
    <pivotHierarchy dragToData="1"/>
    <pivotHierarchy dragToData="1"/>
    <pivotHierarchy dragToData="1"/>
    <pivotHierarchy dragToData="1"/>
    <pivotHierarchy dragToData="1"/>
    <pivotHierarchy dragToData="1" caption="Average of Order Total"/>
    <pivotHierarchy dragToData="1"/>
    <pivotHierarchy dragToData="1" caption="Distinct Count of Order items"/>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4.xml><?xml version="1.0" encoding="utf-8"?>
<pivotTableDefinition xmlns="http://schemas.openxmlformats.org/spreadsheetml/2006/main" name="PivotTable1" cacheId="70"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chartFormat="1" rowHeaderCaption="Product SKUs">
  <location ref="B52:F77" firstHeaderRow="1" firstDataRow="2" firstDataCol="2" rowPageCount="1" colPageCount="1"/>
  <pivotFields count="5">
    <pivotField axis="axisRow" compact="0" allDrilled="1" outline="0" showAll="0" defaultAttributeDrillState="1">
      <items count="9">
        <item x="0"/>
        <item x="1"/>
        <item x="2"/>
        <item x="3"/>
        <item x="4"/>
        <item x="5"/>
        <item x="6"/>
        <item x="7"/>
        <item t="default"/>
      </items>
    </pivotField>
    <pivotField axis="axisPage" compact="0" allDrilled="1" outline="0" showAll="0" dataSourceSort="1" defaultAttributeDrillState="1">
      <items count="1">
        <item t="default"/>
      </items>
    </pivotField>
    <pivotField axis="axisRow" compact="0" allDrilled="1" outline="0" showAll="0" sortType="descending">
      <items count="24">
        <item x="0" e="0"/>
        <item x="1" e="0"/>
        <item x="2" e="0"/>
        <item x="3" e="0"/>
        <item x="4" e="0"/>
        <item x="5" e="0"/>
        <item x="6" e="0"/>
        <item x="7" e="0"/>
        <item x="8" e="0"/>
        <item x="9" e="0"/>
        <item x="10" e="0"/>
        <item x="11" e="0"/>
        <item x="12" e="0"/>
        <item x="13" e="0"/>
        <item x="14" e="0"/>
        <item x="15" e="0"/>
        <item x="16" e="0"/>
        <item x="17" e="0"/>
        <item x="18" e="0"/>
        <item x="19" e="0"/>
        <item x="20" e="0"/>
        <item x="21" e="0"/>
        <item x="22" e="0"/>
        <item t="default"/>
      </items>
      <autoSortScope>
        <pivotArea dataOnly="0" outline="0" fieldPosition="0">
          <references count="1">
            <reference field="4294967294" count="1" selected="0">
              <x v="0"/>
            </reference>
          </references>
        </pivotArea>
      </autoSortScope>
    </pivotField>
    <pivotField axis="axisCol" compact="0" allDrilled="1" outline="0" showAll="0" dataSourceSort="1" defaultAttributeDrillState="1">
      <items count="3">
        <item x="0"/>
        <item x="1"/>
        <item t="default"/>
      </items>
    </pivotField>
    <pivotField dataField="1" compact="0" outline="0" showAll="0"/>
  </pivotFields>
  <rowFields count="2">
    <field x="2"/>
    <field x="0"/>
  </rowFields>
  <rowItems count="24">
    <i>
      <x v="7"/>
    </i>
    <i>
      <x v="10"/>
    </i>
    <i>
      <x v="20"/>
    </i>
    <i>
      <x v="2"/>
    </i>
    <i>
      <x v="12"/>
    </i>
    <i>
      <x v="16"/>
    </i>
    <i>
      <x v="1"/>
    </i>
    <i>
      <x v="17"/>
    </i>
    <i>
      <x v="5"/>
    </i>
    <i>
      <x v="11"/>
    </i>
    <i>
      <x v="6"/>
    </i>
    <i>
      <x v="14"/>
    </i>
    <i>
      <x v="4"/>
    </i>
    <i>
      <x v="21"/>
    </i>
    <i>
      <x v="13"/>
    </i>
    <i>
      <x v="15"/>
    </i>
    <i>
      <x v="9"/>
    </i>
    <i>
      <x v="8"/>
    </i>
    <i>
      <x v="22"/>
    </i>
    <i>
      <x v="3"/>
    </i>
    <i>
      <x v="18"/>
    </i>
    <i>
      <x v="19"/>
    </i>
    <i>
      <x/>
    </i>
    <i t="grand">
      <x/>
    </i>
  </rowItems>
  <colFields count="1">
    <field x="3"/>
  </colFields>
  <colItems count="3">
    <i>
      <x/>
    </i>
    <i>
      <x v="1"/>
    </i>
    <i t="grand">
      <x/>
    </i>
  </colItems>
  <pageFields count="1">
    <pageField fld="1" hier="31" name="[Table6].[Week].&amp;[Week 1]" cap="Week 1"/>
  </pageFields>
  <dataFields count="1">
    <dataField name="Sum of Order Total" fld="4" baseField="2" baseItem="20"/>
  </dataFields>
  <formats count="3">
    <format dxfId="114">
      <pivotArea outline="0" collapsedLevelsAreSubtotals="1" fieldPosition="0"/>
    </format>
    <format dxfId="113">
      <pivotArea outline="0" collapsedLevelsAreSubtotals="1" fieldPosition="0"/>
    </format>
    <format dxfId="112">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Table6].[Week].&amp;[Week 1]"/>
        <member name="[Table6].[Week].&amp;[Week 2]"/>
        <member name="[Table6].[Week].&amp;[Week 3]"/>
        <member name="[Table6].[Week].&amp;[Week 5]"/>
        <member name="[Table6].[Week].&amp;[Week 6]"/>
        <member name="[Table6].[Week].&amp;[Week 7]"/>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Order Total"/>
    <pivotHierarchy dragToData="1"/>
    <pivotHierarchy dragToData="1"/>
    <pivotHierarchy dragToData="1"/>
    <pivotHierarchy dragToData="1" caption="Volume Quantity"/>
    <pivotHierarchy dragToData="1"/>
    <pivotHierarchy dragToData="1" caption="Distinct Count of Date"/>
    <pivotHierarchy dragToData="1" caption="Distinct Count of Quantity"/>
    <pivotHierarchy dragToData="1"/>
    <pivotHierarchy dragToData="1"/>
    <pivotHierarchy dragToData="1"/>
    <pivotHierarchy dragToData="1"/>
    <pivotHierarchy dragToData="1"/>
    <pivotHierarchy dragToData="1"/>
    <pivotHierarchy dragToData="1"/>
    <pivotHierarchy dragToData="1"/>
    <pivotHierarchy dragToData="1" caption="Average of Order Total"/>
    <pivotHierarchy dragToData="1"/>
    <pivotHierarchy dragToData="1"/>
  </pivotHierarchies>
  <pivotTableStyleInfo name="PivotStyleLight16" showRowHeaders="1" showColHeaders="1" showRowStripes="0" showColStripes="0" showLastColumn="1"/>
  <rowHierarchiesUsage count="2">
    <rowHierarchyUsage hierarchyUsage="28"/>
    <rowHierarchyUsage hierarchyUsage="27"/>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5.xml><?xml version="1.0" encoding="utf-8"?>
<pivotTableDefinition xmlns="http://schemas.openxmlformats.org/spreadsheetml/2006/main" name="PivotTable5" cacheId="71"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chartFormat="3" rowHeaderCaption="Product SKUs">
  <location ref="Z49:AC57" firstHeaderRow="1" firstDataRow="2" firstDataCol="1"/>
  <pivotFields count="3">
    <pivotField axis="axisCol" compact="0" allDrilled="1" outline="0" showAll="0" dataSourceSort="1" defaultAttributeDrillState="1">
      <items count="3">
        <item s="1" x="0"/>
        <item s="1" x="1"/>
        <item t="default"/>
      </items>
    </pivotField>
    <pivotField axis="axisRow" compact="0" allDrilled="1" outline="0" showAll="0" dataSourceSort="1" defaultAttributeDrillState="1">
      <items count="7">
        <item s="1" x="0"/>
        <item s="1" x="1"/>
        <item s="1" x="2"/>
        <item s="1" x="3"/>
        <item s="1" x="4"/>
        <item s="1" x="5"/>
        <item t="default"/>
      </items>
    </pivotField>
    <pivotField dataField="1" compact="0" outline="0" showAll="0"/>
  </pivotFields>
  <rowFields count="1">
    <field x="1"/>
  </rowFields>
  <rowItems count="7">
    <i>
      <x/>
    </i>
    <i>
      <x v="1"/>
    </i>
    <i>
      <x v="2"/>
    </i>
    <i>
      <x v="3"/>
    </i>
    <i>
      <x v="4"/>
    </i>
    <i>
      <x v="5"/>
    </i>
    <i t="grand">
      <x/>
    </i>
  </rowItems>
  <colFields count="1">
    <field x="0"/>
  </colFields>
  <colItems count="3">
    <i>
      <x/>
    </i>
    <i>
      <x v="1"/>
    </i>
    <i t="grand">
      <x/>
    </i>
  </colItems>
  <dataFields count="1">
    <dataField name="Sum of Order Total" fld="2" baseField="0" baseItem="0"/>
  </dataFields>
  <formats count="8">
    <format dxfId="122">
      <pivotArea outline="0" collapsedLevelsAreSubtotals="1" fieldPosition="0"/>
    </format>
    <format dxfId="121">
      <pivotArea outline="0" collapsedLevelsAreSubtotals="1" fieldPosition="0"/>
    </format>
    <format dxfId="120">
      <pivotArea outline="0" collapsedLevelsAreSubtotals="1" fieldPosition="0"/>
    </format>
    <format dxfId="119">
      <pivotArea outline="0" fieldPosition="0">
        <references count="1">
          <reference field="4294967294" count="1">
            <x v="0"/>
          </reference>
        </references>
      </pivotArea>
    </format>
    <format dxfId="118">
      <pivotArea outline="0" fieldPosition="0">
        <references count="1">
          <reference field="4294967294" count="1">
            <x v="0"/>
          </reference>
        </references>
      </pivotArea>
    </format>
    <format dxfId="117">
      <pivotArea outline="0" fieldPosition="0">
        <references count="1">
          <reference field="1" count="0" selected="0"/>
        </references>
      </pivotArea>
    </format>
    <format dxfId="116">
      <pivotArea outline="0" fieldPosition="0">
        <references count="1">
          <reference field="1" count="0" selected="0"/>
        </references>
      </pivotArea>
    </format>
    <format dxfId="115">
      <pivotArea outline="0" fieldPosition="0">
        <references count="1">
          <reference field="1" count="0" selected="0"/>
        </references>
      </pivotArea>
    </format>
  </formats>
  <chartFormats count="2">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Order Total"/>
    <pivotHierarchy dragToData="1"/>
    <pivotHierarchy dragToData="1"/>
    <pivotHierarchy dragToData="1"/>
    <pivotHierarchy dragToData="1" caption="Volume Quantity"/>
    <pivotHierarchy dragToData="1"/>
    <pivotHierarchy dragToData="1" caption="Distinct Count of Date"/>
    <pivotHierarchy dragToData="1" caption="Distinct Count of Quantity"/>
    <pivotHierarchy dragToData="1"/>
    <pivotHierarchy dragToData="1"/>
    <pivotHierarchy dragToData="1"/>
    <pivotHierarchy dragToData="1"/>
    <pivotHierarchy dragToData="1"/>
    <pivotHierarchy dragToData="1"/>
    <pivotHierarchy dragToData="1"/>
    <pivotHierarchy dragToData="1"/>
    <pivotHierarchy dragToData="1" caption="Average of Order Total"/>
    <pivotHierarchy dragToData="1"/>
    <pivotHierarchy dragToData="1" caption="Distinct Count of Order items"/>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6.xml><?xml version="1.0" encoding="utf-8"?>
<pivotTableDefinition xmlns="http://schemas.openxmlformats.org/spreadsheetml/2006/main" name="PivotTable4" cacheId="64"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chartFormat="3" rowHeaderCaption="Product SKUs">
  <location ref="W23:Z31" firstHeaderRow="1" firstDataRow="2" firstDataCol="1" rowPageCount="1" colPageCount="1"/>
  <pivotFields count="5">
    <pivotField axis="axisPage" compact="0" allDrilled="1" outline="0" showAll="0" dataSourceSort="1" defaultAttributeDrillState="1">
      <items count="1">
        <item t="default"/>
      </items>
    </pivotField>
    <pivotField axis="axisRow" compact="0" allDrilled="1" outline="0" showAll="0" sortType="descending" defaultAttributeDrillState="1">
      <items count="7">
        <item s="1" x="0"/>
        <item s="1" x="1"/>
        <item s="1" x="2"/>
        <item s="1" x="3"/>
        <item s="1" x="4"/>
        <item s="1" x="5"/>
        <item t="default"/>
      </items>
      <autoSortScope>
        <pivotArea dataOnly="0" outline="0" fieldPosition="0">
          <references count="1">
            <reference field="4294967294" count="1" selected="0">
              <x v="0"/>
            </reference>
          </references>
        </pivotArea>
      </autoSortScope>
    </pivotField>
    <pivotField axis="axisCol" compact="0" allDrilled="1" outline="0" showAll="0" dataSourceSort="1" defaultAttributeDrillState="1">
      <items count="3">
        <item s="1" x="0"/>
        <item s="1" x="1"/>
        <item t="default"/>
      </items>
    </pivotField>
    <pivotField dataField="1" compact="0" outline="0" showAll="0"/>
    <pivotField compact="0" allDrilled="1" outline="0" showAll="0" dataSourceSort="1" defaultAttributeDrillState="1"/>
  </pivotFields>
  <rowFields count="1">
    <field x="1"/>
  </rowFields>
  <rowItems count="7">
    <i>
      <x/>
    </i>
    <i>
      <x v="2"/>
    </i>
    <i>
      <x v="1"/>
    </i>
    <i>
      <x v="4"/>
    </i>
    <i>
      <x v="5"/>
    </i>
    <i>
      <x v="3"/>
    </i>
    <i t="grand">
      <x/>
    </i>
  </rowItems>
  <colFields count="1">
    <field x="2"/>
  </colFields>
  <colItems count="3">
    <i>
      <x/>
    </i>
    <i>
      <x v="1"/>
    </i>
    <i t="grand">
      <x/>
    </i>
  </colItems>
  <pageFields count="1">
    <pageField fld="0" hier="31" name="[Table6].[Week].[All]" cap="All"/>
  </pageFields>
  <dataFields count="1">
    <dataField name="Distinct Count of Order items" fld="3" subtotal="count" showDataAs="percentOfTotal" baseField="2" baseItem="4" numFmtId="10">
      <extLst>
        <ext xmlns:x15="http://schemas.microsoft.com/office/spreadsheetml/2010/11/main" uri="{FABC7310-3BB5-11E1-824E-6D434824019B}">
          <x15:dataField isCountDistinct="1"/>
        </ext>
      </extLst>
    </dataField>
  </dataFields>
  <formats count="6">
    <format dxfId="128">
      <pivotArea outline="0" collapsedLevelsAreSubtotals="1" fieldPosition="0"/>
    </format>
    <format dxfId="127">
      <pivotArea outline="0" collapsedLevelsAreSubtotals="1" fieldPosition="0"/>
    </format>
    <format dxfId="126">
      <pivotArea outline="0" collapsedLevelsAreSubtotals="1" fieldPosition="0"/>
    </format>
    <format dxfId="125">
      <pivotArea outline="0" fieldPosition="0">
        <references count="1">
          <reference field="4294967294" count="1">
            <x v="0"/>
          </reference>
        </references>
      </pivotArea>
    </format>
    <format dxfId="124">
      <pivotArea outline="0" fieldPosition="0">
        <references count="1">
          <reference field="1" count="0" selected="0"/>
        </references>
      </pivotArea>
    </format>
    <format dxfId="123">
      <pivotArea outline="0" fieldPosition="0">
        <references count="1">
          <reference field="1" count="0" selected="0"/>
        </references>
      </pivotArea>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Order Total"/>
    <pivotHierarchy dragToData="1"/>
    <pivotHierarchy dragToData="1"/>
    <pivotHierarchy dragToData="1"/>
    <pivotHierarchy dragToData="1" caption="Volume Quantity"/>
    <pivotHierarchy dragToData="1"/>
    <pivotHierarchy dragToData="1" caption="Distinct Count of Date"/>
    <pivotHierarchy dragToData="1" caption="Distinct Count of Quantity"/>
    <pivotHierarchy dragToData="1"/>
    <pivotHierarchy dragToData="1"/>
    <pivotHierarchy dragToData="1"/>
    <pivotHierarchy dragToData="1"/>
    <pivotHierarchy dragToData="1"/>
    <pivotHierarchy dragToData="1"/>
    <pivotHierarchy dragToData="1"/>
    <pivotHierarchy dragToData="1"/>
    <pivotHierarchy dragToData="1" caption="Average of Order Total"/>
    <pivotHierarchy dragToData="1"/>
    <pivotHierarchy dragToData="1" caption="Distinct Count of Order items"/>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7.xml><?xml version="1.0" encoding="utf-8"?>
<pivotTableDefinition xmlns="http://schemas.openxmlformats.org/spreadsheetml/2006/main" name="PivotTable3" cacheId="69"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chartFormat="3" rowHeaderCaption="Product SKUs">
  <location ref="AD38:AG47" firstHeaderRow="1" firstDataRow="2" firstDataCol="1" rowPageCount="1" colPageCount="1"/>
  <pivotFields count="4">
    <pivotField axis="axisPage" compact="0" allDrilled="1" outline="0" showAll="0" dataSourceSort="1" defaultAttributeDrillState="1">
      <items count="1">
        <item t="default"/>
      </items>
    </pivotField>
    <pivotField axis="axisRow" compact="0" allDrilled="1" outline="0" showAll="0" sortType="descending" defaultAttributeDrillState="1">
      <items count="8">
        <item s="1" x="0"/>
        <item s="1" x="1"/>
        <item s="1" x="2"/>
        <item s="1" x="3"/>
        <item s="1" x="4"/>
        <item s="1" x="5"/>
        <item s="1" x="6"/>
        <item t="default"/>
      </items>
      <autoSortScope>
        <pivotArea dataOnly="0" outline="0" fieldPosition="0">
          <references count="1">
            <reference field="4294967294" count="1" selected="0">
              <x v="0"/>
            </reference>
          </references>
        </pivotArea>
      </autoSortScope>
    </pivotField>
    <pivotField axis="axisCol" compact="0" allDrilled="1" outline="0" showAll="0" dataSourceSort="1" defaultAttributeDrillState="1">
      <items count="3">
        <item s="1" x="0"/>
        <item s="1" x="1"/>
        <item t="default"/>
      </items>
    </pivotField>
    <pivotField dataField="1" compact="0" outline="0" showAll="0"/>
  </pivotFields>
  <rowFields count="1">
    <field x="1"/>
  </rowFields>
  <rowItems count="8">
    <i>
      <x v="2"/>
    </i>
    <i>
      <x v="3"/>
    </i>
    <i>
      <x v="6"/>
    </i>
    <i>
      <x v="1"/>
    </i>
    <i>
      <x v="4"/>
    </i>
    <i>
      <x v="5"/>
    </i>
    <i>
      <x/>
    </i>
    <i t="grand">
      <x/>
    </i>
  </rowItems>
  <colFields count="1">
    <field x="2"/>
  </colFields>
  <colItems count="3">
    <i>
      <x/>
    </i>
    <i>
      <x v="1"/>
    </i>
    <i t="grand">
      <x/>
    </i>
  </colItems>
  <pageFields count="1">
    <pageField fld="0" hier="31" name="[Table6].[Week].[All]" cap="All"/>
  </pageFields>
  <dataFields count="1">
    <dataField name="Sum of Order Total" fld="3" showDataAs="percentOfTotal" baseField="0" baseItem="0" numFmtId="10"/>
  </dataFields>
  <formats count="11">
    <format dxfId="139">
      <pivotArea outline="0" collapsedLevelsAreSubtotals="1" fieldPosition="0"/>
    </format>
    <format dxfId="138">
      <pivotArea outline="0" collapsedLevelsAreSubtotals="1" fieldPosition="0"/>
    </format>
    <format dxfId="137">
      <pivotArea outline="0" collapsedLevelsAreSubtotals="1" fieldPosition="0"/>
    </format>
    <format dxfId="136">
      <pivotArea outline="0" fieldPosition="0">
        <references count="1">
          <reference field="1" count="0" selected="0"/>
        </references>
      </pivotArea>
    </format>
    <format dxfId="135">
      <pivotArea outline="0" fieldPosition="0">
        <references count="1">
          <reference field="1" count="0" selected="0"/>
        </references>
      </pivotArea>
    </format>
    <format dxfId="134">
      <pivotArea outline="0" fieldPosition="0">
        <references count="1">
          <reference field="1" count="0" selected="0"/>
        </references>
      </pivotArea>
    </format>
    <format dxfId="133">
      <pivotArea outline="0" fieldPosition="0">
        <references count="1">
          <reference field="1" count="0" selected="0"/>
        </references>
      </pivotArea>
    </format>
    <format dxfId="132">
      <pivotArea outline="0" fieldPosition="0">
        <references count="1">
          <reference field="1" count="0" selected="0"/>
        </references>
      </pivotArea>
    </format>
    <format dxfId="131">
      <pivotArea outline="0" fieldPosition="0">
        <references count="1">
          <reference field="4294967294" count="1">
            <x v="0"/>
          </reference>
        </references>
      </pivotArea>
    </format>
    <format dxfId="130">
      <pivotArea outline="0" fieldPosition="0">
        <references count="1">
          <reference field="1" count="0" selected="0"/>
        </references>
      </pivotArea>
    </format>
    <format dxfId="129">
      <pivotArea outline="0" fieldPosition="0">
        <references count="1">
          <reference field="1" count="0" selected="0"/>
        </references>
      </pivotArea>
    </format>
  </formats>
  <chartFormats count="2">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Order Total"/>
    <pivotHierarchy dragToData="1"/>
    <pivotHierarchy dragToData="1"/>
    <pivotHierarchy dragToData="1"/>
    <pivotHierarchy dragToData="1" caption="Volume Quantity"/>
    <pivotHierarchy dragToData="1"/>
    <pivotHierarchy dragToData="1" caption="Distinct Count of Date"/>
    <pivotHierarchy dragToData="1" caption="Distinct Count of Quantity"/>
    <pivotHierarchy dragToData="1"/>
    <pivotHierarchy dragToData="1"/>
    <pivotHierarchy dragToData="1"/>
    <pivotHierarchy dragToData="1"/>
    <pivotHierarchy dragToData="1"/>
    <pivotHierarchy dragToData="1"/>
    <pivotHierarchy dragToData="1"/>
    <pivotHierarchy dragToData="1"/>
    <pivotHierarchy dragToData="1" caption="Average of Order Total"/>
    <pivotHierarchy dragToData="1"/>
    <pivotHierarchy dragToData="1" caption="Distinct Count of Order items"/>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8.xml><?xml version="1.0" encoding="utf-8"?>
<pivotTableDefinition xmlns="http://schemas.openxmlformats.org/spreadsheetml/2006/main" name="PivotTable1" cacheId="6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D20" firstHeaderRow="1" firstDataRow="2" firstDataCol="1"/>
  <pivotFields count="6">
    <pivotField allDrilled="1" showAll="0" sortType="descending"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items count="16">
        <item x="0" e="0"/>
        <item x="1" e="0"/>
        <item x="2" e="0"/>
        <item x="3" e="0"/>
        <item x="4" e="0"/>
        <item x="5" e="0"/>
        <item x="6" e="0"/>
        <item x="7" e="0"/>
        <item x="8" e="0"/>
        <item x="9" e="0"/>
        <item x="10" e="0"/>
        <item x="11" e="0"/>
        <item x="12" e="0"/>
        <item x="13" e="0"/>
        <item x="14" e="0"/>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3">
        <item x="0"/>
        <item x="1"/>
        <item t="default"/>
      </items>
    </pivotField>
    <pivotField allDrilled="1" showAll="0" dataSourceSort="1" defaultAttributeDrillState="1"/>
  </pivotFields>
  <rowFields count="2">
    <field x="2"/>
    <field x="3"/>
  </rowFields>
  <rowItems count="16">
    <i>
      <x v="4"/>
    </i>
    <i>
      <x v="11"/>
    </i>
    <i>
      <x v="2"/>
    </i>
    <i>
      <x v="1"/>
    </i>
    <i>
      <x v="7"/>
    </i>
    <i>
      <x v="8"/>
    </i>
    <i>
      <x v="13"/>
    </i>
    <i>
      <x v="14"/>
    </i>
    <i>
      <x v="3"/>
    </i>
    <i>
      <x v="5"/>
    </i>
    <i>
      <x v="6"/>
    </i>
    <i>
      <x v="9"/>
    </i>
    <i>
      <x v="10"/>
    </i>
    <i>
      <x v="12"/>
    </i>
    <i>
      <x/>
    </i>
    <i t="grand">
      <x/>
    </i>
  </rowItems>
  <colFields count="1">
    <field x="4"/>
  </colFields>
  <colItems count="3">
    <i>
      <x/>
    </i>
    <i>
      <x v="1"/>
    </i>
    <i t="grand">
      <x/>
    </i>
  </colItems>
  <dataFields count="1">
    <dataField name="Sum of Not Dispatch" fld="1"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le6].[Week].&amp;[Week 1]"/>
        <member name="[Table6].[Week].&amp;[Week 2]"/>
        <member name="[Table6].[Week].&amp;[Week 5]"/>
        <member name="[Table6].[Week].&amp;[Week 6]"/>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8"/>
    <rowHierarchyUsage hierarchyUsage="35"/>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pivotTables/pivotTable9.xml><?xml version="1.0" encoding="utf-8"?>
<pivotTableDefinition xmlns="http://schemas.openxmlformats.org/spreadsheetml/2006/main" name="PivotTable3" cacheId="5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16:E35" firstHeaderRow="1" firstDataRow="2" firstDataCol="1" rowPageCount="1" colPageCount="1"/>
  <pivotFields count="6">
    <pivotField axis="axisPage" allDrilled="1" showAll="0" sortType="descending" defaultAttributeDrillState="1">
      <items count="1">
        <item t="default"/>
      </items>
      <autoSortScope>
        <pivotArea dataOnly="0" outline="0" fieldPosition="0">
          <references count="1">
            <reference field="4294967294" count="1" selected="0">
              <x v="0"/>
            </reference>
          </references>
        </pivotArea>
      </autoSortScope>
    </pivotField>
    <pivotField allDrilled="1" showAll="0" dataSourceSort="1" defaultAttributeDrillState="1">
      <items count="4">
        <item n="Week 1 February" s="1" x="0"/>
        <item s="1" x="1"/>
        <item n=" Week 1 March" s="1" x="2"/>
        <item t="default"/>
      </items>
    </pivotField>
    <pivotField allDrilled="1" showAll="0" defaultAttributeDrillState="1">
      <items count="2">
        <item s="1" x="0"/>
        <item t="default"/>
      </items>
    </pivotField>
    <pivotField dataField="1" showAll="0"/>
    <pivotField axis="axisRow" allDrilled="1" showAll="0" sortType="descending" defaultAttributeDrillState="1">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3">
        <item x="0"/>
        <item x="1"/>
        <item t="default"/>
      </items>
    </pivotField>
  </pivotFields>
  <rowFields count="1">
    <field x="4"/>
  </rowFields>
  <rowItems count="18">
    <i>
      <x v="12"/>
    </i>
    <i>
      <x v="7"/>
    </i>
    <i>
      <x v="15"/>
    </i>
    <i>
      <x v="5"/>
    </i>
    <i>
      <x v="1"/>
    </i>
    <i>
      <x/>
    </i>
    <i>
      <x v="13"/>
    </i>
    <i>
      <x v="8"/>
    </i>
    <i>
      <x v="3"/>
    </i>
    <i>
      <x v="16"/>
    </i>
    <i>
      <x v="4"/>
    </i>
    <i>
      <x v="10"/>
    </i>
    <i>
      <x v="6"/>
    </i>
    <i>
      <x v="11"/>
    </i>
    <i>
      <x v="2"/>
    </i>
    <i>
      <x v="9"/>
    </i>
    <i>
      <x v="14"/>
    </i>
    <i t="grand">
      <x/>
    </i>
  </rowItems>
  <colFields count="1">
    <field x="5"/>
  </colFields>
  <colItems count="3">
    <i>
      <x/>
    </i>
    <i>
      <x v="1"/>
    </i>
    <i t="grand">
      <x/>
    </i>
  </colItems>
  <pageFields count="1">
    <pageField fld="0" hier="25" name="[Table6].[FSRs].&amp;[Diana Wairimu]" cap="Diana Wairimu"/>
  </pageFields>
  <dataFields count="1">
    <dataField name="Sum of Order Total" fld="3" baseField="0" baseItem="0" numFmtId="166"/>
  </dataFields>
  <formats count="3">
    <format dxfId="105">
      <pivotArea outline="0" collapsedLevelsAreSubtotals="1" fieldPosition="0"/>
    </format>
    <format dxfId="104">
      <pivotArea outline="0" collapsedLevelsAreSubtotals="1" fieldPosition="0"/>
    </format>
    <format dxfId="103">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6].[FSRs].&amp;[Diana Wairimu]"/>
      </members>
    </pivotHierarchy>
    <pivotHierarchy dragToData="1"/>
    <pivotHierarchy dragToData="1"/>
    <pivotHierarchy dragToData="1"/>
    <pivotHierarchy dragToData="1"/>
    <pivotHierarchy dragToData="1"/>
    <pivotHierarchy multipleItemSelectionAllowed="1" dragToData="1">
      <members count="4" level="1">
        <member name=""/>
        <member name="[Table6].[Week].&amp;[Week 2]"/>
        <member nam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utlet Name"/>
    <pivotHierarchy dragToData="1"/>
    <pivotHierarchy dragToData="1"/>
    <pivotHierarchy dragToData="1" caption="Distinct Count of Date"/>
    <pivotHierarchy dragToData="1"/>
    <pivotHierarchy dragToData="1"/>
    <pivotHierarchy dragToData="1"/>
    <pivotHierarchy dragToData="1"/>
    <pivotHierarchy dragToData="1"/>
    <pivotHierarchy dragToData="1" caption="Count of Order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llSide Data.xlsx!Table6">
        <x15:activeTabTopLevelEntity name="[Table6]"/>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Table6].[Date]">
  <pivotTables>
    <pivotTable tabId="18" name="PivotTable1"/>
    <pivotTable tabId="34" name="PivotTable1"/>
    <pivotTable tabId="39" name="PivotTable1"/>
    <pivotTable tabId="39" name="PivotTable2"/>
    <pivotTable tabId="39" name="PivotTable3"/>
    <pivotTable tabId="39" name="PivotTable4"/>
    <pivotTable tabId="39" name="PivotTable5"/>
  </pivotTables>
  <data>
    <olap pivotCacheId="351">
      <levels count="2">
        <level uniqueName="[Table6].[Date].[(All)]" sourceCaption="(All)" count="0"/>
        <level uniqueName="[Table6].[Date].[Date]" sourceCaption="Date" count="45">
          <ranges>
            <range startItem="0">
              <i n="[Table6].[Date].&amp;[2022-02-01T00:00:00]" c="2/1/2022"/>
              <i n="[Table6].[Date].&amp;[2022-02-02T00:00:00]" c="2/2/2022"/>
              <i n="[Table6].[Date].&amp;[2022-02-03T00:00:00]" c="2/3/2022"/>
              <i n="[Table6].[Date].&amp;[2022-02-04T00:00:00]" c="2/4/2022"/>
              <i n="[Table6].[Date].&amp;[2022-02-05T00:00:00]" c="2/5/2022"/>
              <i n="[Table6].[Date].&amp;[2022-02-06T00:00:00]" c="2/6/2022"/>
              <i n="[Table6].[Date].&amp;[2022-02-07T00:00:00]" c="2/7/2022"/>
              <i n="[Table6].[Date].&amp;[2022-02-08T00:00:00]" c="2/8/2022"/>
              <i n="[Table6].[Date].&amp;[2022-02-09T00:00:00]" c="2/9/2022"/>
              <i n="[Table6].[Date].&amp;[2022-02-10T00:00:00]" c="2/10/2022"/>
              <i n="[Table6].[Date].&amp;[2022-02-11T00:00:00]" c="2/11/2022"/>
              <i n="[Table6].[Date].&amp;[2022-02-12T00:00:00]" c="2/12/2022"/>
              <i n="[Table6].[Date].&amp;[2022-02-13T00:00:00]" c="2/13/2022"/>
              <i n="[Table6].[Date].&amp;[2022-02-14T00:00:00]" c="2/14/2022"/>
              <i n="[Table6].[Date].&amp;[2022-02-15T00:00:00]" c="2/15/2022"/>
              <i n="[Table6].[Date].&amp;[2022-02-16T00:00:00]" c="2/16/2022"/>
              <i n="[Table6].[Date].&amp;[2022-02-17T00:00:00]" c="2/17/2022"/>
              <i n="[Table6].[Date].&amp;[2022-02-18T00:00:00]" c="2/18/2022"/>
              <i n="[Table6].[Date].&amp;[2022-02-19T00:00:00]" c="2/19/2022"/>
              <i n="[Table6].[Date].&amp;[2022-02-20T00:00:00]" c="2/20/2022"/>
              <i n="[Table6].[Date].&amp;[2022-02-28T00:00:00]" c="2/28/2022"/>
              <i n="[Table6].[Date].&amp;[2022-03-01T00:00:00]" c="3/1/2022"/>
              <i n="[Table6].[Date].&amp;[2022-03-02T00:00:00]" c="3/2/2022"/>
              <i n="[Table6].[Date].&amp;[2022-03-03T00:00:00]" c="3/3/2022"/>
              <i n="[Table6].[Date].&amp;[2022-03-04T00:00:00]" c="3/4/2022"/>
              <i n="[Table6].[Date].&amp;[2022-03-05T00:00:00]" c="3/5/2022"/>
              <i n="[Table6].[Date].&amp;[2022-03-06T00:00:00]" c="3/6/2022"/>
              <i n="[Table6].[Date].&amp;[2022-03-07T00:00:00]" c="3/7/2022"/>
              <i n="[Table6].[Date].&amp;[2022-03-08T00:00:00]" c="3/8/2022"/>
              <i n="[Table6].[Date].&amp;[2022-03-09T00:00:00]" c="3/9/2022"/>
              <i n="[Table6].[Date].&amp;[2022-03-10T00:00:00]" c="3/10/2022"/>
              <i n="[Table6].[Date].&amp;[2022-03-11T00:00:00]" c="3/11/2022"/>
              <i n="[Table6].[Date].&amp;[2022-03-12T00:00:00]" c="3/12/2022"/>
              <i n="[Table6].[Date].&amp;[2022-03-13T00:00:00]" c="3/13/2022"/>
              <i n="[Table6].[Date].&amp;[2022-03-14T00:00:00]" c="3/14/2022"/>
              <i n="[Table6].[Date].&amp;[2022-03-15T00:00:00]" c="3/15/2022"/>
              <i n="[Table6].[Date].&amp;[2022-03-16T00:00:00]" c="3/16/2022"/>
              <i n="[Table6].[Date].&amp;" c="(blank)"/>
              <i n="[Table6].[Date].&amp;[2022-02-21T00:00:00]" c="2/21/2022"/>
              <i n="[Table6].[Date].&amp;[2022-02-22T00:00:00]" c="2/22/2022"/>
              <i n="[Table6].[Date].&amp;[2022-02-23T00:00:00]" c="2/23/2022"/>
              <i n="[Table6].[Date].&amp;[2022-02-24T00:00:00]" c="2/24/2022"/>
              <i n="[Table6].[Date].&amp;[2022-02-25T00:00:00]" c="2/25/2022"/>
              <i n="[Table6].[Date].&amp;[2022-02-26T00:00:00]" c="2/26/2022"/>
              <i n="[Table6].[Date].&amp;[2022-02-27T00:00:00]" c="2/27/2022"/>
            </range>
          </ranges>
        </level>
      </levels>
      <selections count="1">
        <selection n="[Table6].[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eek" sourceName="[Table6].[Week]">
  <pivotTables>
    <pivotTable tabId="19" name="weekly"/>
  </pivotTables>
  <data>
    <olap pivotCacheId="346">
      <levels count="2">
        <level uniqueName="[Table6].[Week].[(All)]" sourceCaption="(All)" count="0"/>
        <level uniqueName="[Table6].[Week].[Week]" sourceCaption="Week" count="8">
          <ranges>
            <range startItem="0">
              <i n="[Table6].[Week].&amp;[Week 1]" c="Week 1"/>
              <i n="[Table6].[Week].&amp;[Week 2]" c="Week 2"/>
              <i n="[Table6].[Week].&amp;[Week 3]" c="Week 3"/>
              <i n="[Table6].[Week].&amp;[Week 4]" c="Week 4"/>
              <i n="[Table6].[Week].&amp;[Week 5]" c="Week 5"/>
              <i n="[Table6].[Week].&amp;[Week 6]" c="Week 6"/>
              <i n="[Table6].[Week].&amp;[Week 7]" c="Week 7"/>
              <i n="[Table6].[Week].&amp;" c="(blank)" nd="1"/>
            </range>
          </ranges>
        </level>
      </levels>
      <selections count="1">
        <selection n="[Table6].[Week].&amp;[Week 5]"/>
      </selections>
    </olap>
  </data>
  <extLst>
    <x:ext xmlns:x15="http://schemas.microsoft.com/office/spreadsheetml/2010/11/main" uri="{470722E0-AACD-4C17-9CDC-17EF765DBC7E}">
      <x15:slicerCacheHideItemsWithNoData count="1">
        <x15:slicerCacheOlapLevelName uniqueName="[Table6].[Week].[Week]"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Table6].[Year]">
  <pivotTables>
    <pivotTable tabId="19" name="Monthly"/>
  </pivotTables>
  <data>
    <olap pivotCacheId="347">
      <levels count="2">
        <level uniqueName="[Table6].[Year].[(All)]" sourceCaption="(All)" count="0"/>
        <level uniqueName="[Table6].[Year].[Year]" sourceCaption="Year" count="2">
          <ranges>
            <range startItem="0">
              <i n="[Table6].[Year].&amp;" c="(blank)"/>
              <i n="[Table6].[Year].&amp;[2022]" c="2022"/>
            </range>
          </ranges>
        </level>
      </levels>
      <selections count="1">
        <selection n="[Table6].[Year].[All]"/>
      </selections>
    </olap>
  </data>
  <extLst>
    <x:ext xmlns:x15="http://schemas.microsoft.com/office/spreadsheetml/2010/11/main" uri="{470722E0-AACD-4C17-9CDC-17EF765DBC7E}">
      <x15:slicerCacheHideItemsWithNoData count="1">
        <x15:slicerCacheOlapLevelName uniqueName="[Table6].[Year].[Year]"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Table6].[Month]">
  <pivotTables>
    <pivotTable tabId="19" name="Monthly"/>
  </pivotTables>
  <data>
    <olap pivotCacheId="347">
      <levels count="2">
        <level uniqueName="[Table6].[Month].[(All)]" sourceCaption="(All)" count="0"/>
        <level uniqueName="[Table6].[Month].[Month]" sourceCaption="Month" count="3">
          <ranges>
            <range startItem="0">
              <i n="[Table6].[Month].&amp;[February]" c="February"/>
              <i n="[Table6].[Month].&amp;[March]" c="March"/>
              <i n="[Table6].[Month].&amp;" c="(blank)" nd="1"/>
            </range>
          </ranges>
        </level>
      </levels>
      <selections count="1">
        <selection n="[Table6].[Month].&amp;[March]"/>
      </selections>
    </olap>
  </data>
  <extLst>
    <x:ext xmlns:x15="http://schemas.microsoft.com/office/spreadsheetml/2010/11/main" uri="{470722E0-AACD-4C17-9CDC-17EF765DBC7E}">
      <x15:slicerCacheHideItemsWithNoData count="1">
        <x15:slicerCacheOlapLevelName uniqueName="[Table6].[Month].[Month]" count="1"/>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Week1" sourceName="[Table6].[Week]">
  <pivotTables>
    <pivotTable tabId="35" name="PivotTable2"/>
  </pivotTables>
  <data>
    <olap pivotCacheId="349">
      <levels count="2">
        <level uniqueName="[Table6].[Week].[(All)]" sourceCaption="(All)" count="0"/>
        <level uniqueName="[Table6].[Week].[Week]" sourceCaption="Week" count="8">
          <ranges>
            <range startItem="0">
              <i n="[Table6].[Week].&amp;[Week 1]" c="Week 1"/>
              <i n="[Table6].[Week].&amp;[Week 2]" c="Week 2"/>
              <i n="[Table6].[Week].&amp;[Week 3]" c="Week 3"/>
              <i n="[Table6].[Week].&amp;[Week 4]" c="Week 4"/>
              <i n="[Table6].[Week].&amp;[Week 5]" c="Week 5"/>
              <i n="[Table6].[Week].&amp;[Week 6]" c="Week 6"/>
              <i n="[Table6].[Week].&amp;[Week 7]" c="Week 7"/>
              <i n="[Table6].[Week].&amp;" c="(blank)" nd="1"/>
            </range>
          </ranges>
        </level>
      </levels>
      <selections count="4">
        <selection n="[Table6].[Week].&amp;[Week 1]"/>
        <selection n="[Table6].[Week].&amp;[Week 2]"/>
        <selection n="[Table6].[Week].&amp;[Week 5]"/>
        <selection n="[Table6].[Week].&amp;[Week 6]"/>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Week2" sourceName="[Table6].[Week]">
  <pivotTables>
    <pivotTable tabId="35" name="PivotTable3"/>
  </pivotTables>
  <data>
    <olap pivotCacheId="348">
      <levels count="2">
        <level uniqueName="[Table6].[Week].[(All)]" sourceCaption="(All)" count="0"/>
        <level uniqueName="[Table6].[Week].[Week]" sourceCaption="Week" count="8">
          <ranges>
            <range startItem="0">
              <i n="[Table6].[Week].&amp;[Week 1]" c="Week 1"/>
              <i n="[Table6].[Week].&amp;[Week 2]" c="Week 2"/>
              <i n="[Table6].[Week].&amp;[Week 3]" c="Week 3"/>
              <i n="[Table6].[Week].&amp;[Week 4]" c="Week 4"/>
              <i n="[Table6].[Week].&amp;[Week 5]" c="Week 5"/>
              <i n="[Table6].[Week].&amp;[Week 6]" c="Week 6"/>
              <i n="[Table6].[Week].&amp;[Week 7]" c="Week 7"/>
              <i n="[Table6].[Week].&amp;" c="(blank)" nd="1"/>
            </range>
          </ranges>
        </level>
      </levels>
      <selections count="4">
        <selection n="[Table6].[Week].&amp;[Week 1]"/>
        <selection n="[Table6].[Week].&amp;[Week 2]"/>
        <selection n="[Table6].[Week].&amp;[Week 5]"/>
        <selection n="[Table6].[Week].&amp;[Week 6]"/>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Week3" sourceName="[Table6].[Week]">
  <pivotTables>
    <pivotTable tabId="37" name="PivotTable1"/>
  </pivotTables>
  <data>
    <olap pivotCacheId="350">
      <levels count="2">
        <level uniqueName="[Table6].[Week].[(All)]" sourceCaption="(All)" count="0"/>
        <level uniqueName="[Table6].[Week].[Week]" sourceCaption="Week" count="8">
          <ranges>
            <range startItem="0">
              <i n="[Table6].[Week].&amp;[Week 1]" c="Week 1"/>
              <i n="[Table6].[Week].&amp;[Week 2]" c="Week 2"/>
              <i n="[Table6].[Week].&amp;[Week 3]" c="Week 3"/>
              <i n="[Table6].[Week].&amp;[Week 4]" c="Week 4"/>
              <i n="[Table6].[Week].&amp;[Week 5]" c="Week 5"/>
              <i n="[Table6].[Week].&amp;[Week 6]" c="Week 6"/>
              <i n="[Table6].[Week].&amp;[Week 7]" c="Week 7"/>
              <i n="[Table6].[Week].&amp;" c="(blank)" nd="1"/>
            </range>
          </ranges>
        </level>
      </levels>
      <selections count="4">
        <selection n="[Table6].[Week].&amp;[Week 1]"/>
        <selection n="[Table6].[Week].&amp;[Week 2]"/>
        <selection n="[Table6].[Week].&amp;[Week 5]"/>
        <selection n="[Table6].[Week].&amp;[Week 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eek" cache="Slicer_Week" caption="Week" startItem="4" showCaption="0" level="1" style="Slicer Style 1" rowHeight="241300"/>
  <slicer name="Year" cache="Slicer_Year" caption="Year" showCaption="0" level="1" style="Slicer Style 1" rowHeight="241300"/>
  <slicer name="Month" cache="Slicer_Month" caption="Month" startItem="1" showCaption="0"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Week 3" cache="Slicer_Week3" caption="Week"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Week 1" cache="Slicer_Week1" caption="Week" level="1" rowHeight="241300"/>
  <slicer name="Week 2" cache="Slicer_Week2" caption="Week"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Date" cache="Slicer_Date" caption="Date" startItem="8" level="1" rowHeight="241300"/>
</slicers>
</file>

<file path=xl/tables/table1.xml><?xml version="1.0" encoding="utf-8"?>
<table xmlns="http://schemas.openxmlformats.org/spreadsheetml/2006/main" id="1" name="Table1" displayName="Table1" ref="B2:K9" totalsRowCount="1" headerRowDxfId="356" totalsRowDxfId="355">
  <tableColumns count="10">
    <tableColumn id="1" name="Target Order" totalsRowFunction="sum" dataDxfId="354" totalsRowDxfId="353"/>
    <tableColumn id="10" name="Target Reach" totalsRowFunction="sum" dataDxfId="352" totalsRowDxfId="351" dataCellStyle="Comma"/>
    <tableColumn id="11" name="Target Conversion" dataDxfId="350" totalsRowDxfId="349" dataCellStyle="Comma"/>
    <tableColumn id="2" name="TDRs" totalsRowFunction="average" dataDxfId="348" totalsRowDxfId="347"/>
    <tableColumn id="3" name="Outlets Visited" totalsRowFunction="sum" dataDxfId="346" totalsRowDxfId="345"/>
    <tableColumn id="5" name="Outlets with Order" totalsRowFunction="sum" dataDxfId="344" totalsRowDxfId="343"/>
    <tableColumn id="4" name="Order" totalsRowFunction="sum" dataDxfId="342" totalsRowDxfId="341"/>
    <tableColumn id="6" name="Delivery" totalsRowFunction="sum" dataDxfId="340" totalsRowDxfId="339"/>
    <tableColumn id="7" name="Non- Delivered" totalsRowFunction="sum" dataDxfId="338" totalsRowDxfId="337">
      <calculatedColumnFormula>Table1[[#This Row],[Order]]-Table1[[#This Row],[Delivery]]</calculatedColumnFormula>
    </tableColumn>
    <tableColumn id="8" name="Conversion" dataDxfId="336" totalsRowDxfId="335"/>
  </tableColumns>
  <tableStyleInfo showFirstColumn="0" showLastColumn="0" showRowStripes="1" showColumnStripes="0"/>
</table>
</file>

<file path=xl/tables/table10.xml><?xml version="1.0" encoding="utf-8"?>
<table xmlns="http://schemas.openxmlformats.org/spreadsheetml/2006/main" id="12" name="Table12" displayName="Table12" ref="B3:K275" totalsRowShown="0" headerRowDxfId="73">
  <autoFilter ref="B3:K275"/>
  <tableColumns count="10">
    <tableColumn id="1" name="Order Date" dataDxfId="72"/>
    <tableColumn id="2" name="Delivery Date" dataDxfId="71"/>
    <tableColumn id="10" name="Year" dataDxfId="70"/>
    <tableColumn id="3" name="Month" dataDxfId="69"/>
    <tableColumn id="4" name="Week" dataDxfId="68"/>
    <tableColumn id="5" name="FSA"/>
    <tableColumn id="6" name="PRODUCT"/>
    <tableColumn id="7" name="QUANTITY"/>
    <tableColumn id="8" name="TOTAL VALUE" dataDxfId="67" dataCellStyle="Comma"/>
    <tableColumn id="9" name="REASON"/>
  </tableColumns>
  <tableStyleInfo name="TableStyleMedium2" showFirstColumn="0" showLastColumn="0" showRowStripes="1" showColumnStripes="0"/>
</table>
</file>

<file path=xl/tables/table11.xml><?xml version="1.0" encoding="utf-8"?>
<table xmlns="http://schemas.openxmlformats.org/spreadsheetml/2006/main" id="6" name="DATA" displayName="DATA" ref="B1:P1848" totalsRowShown="0" headerRowDxfId="64">
  <autoFilter ref="B1:P1848"/>
  <tableColumns count="15">
    <tableColumn id="1" name="Date" dataDxfId="63"/>
    <tableColumn id="7" name="Month" dataDxfId="62"/>
    <tableColumn id="8" name="Year" dataDxfId="61"/>
    <tableColumn id="2" name="FSRs"/>
    <tableColumn id="3" name="Outlet Name"/>
    <tableColumn id="4" name="Order items"/>
    <tableColumn id="15" name="Catergory" dataDxfId="60"/>
    <tableColumn id="11" name="Quantity"/>
    <tableColumn id="6" name="Order Total" dataDxfId="59" dataCellStyle="Comma"/>
    <tableColumn id="5" name="Week"/>
    <tableColumn id="13" name="Dispach" dataDxfId="58" dataCellStyle="Comma"/>
    <tableColumn id="9" name="Not Dispatch" dataDxfId="57" dataCellStyle="Comma"/>
    <tableColumn id="14" name="Returned"/>
    <tableColumn id="12" name="Reason for not Dispatch"/>
    <tableColumn id="10" name="Reason for return"/>
  </tableColumns>
  <tableStyleInfo name="TableStyleMedium2" showFirstColumn="0" showLastColumn="0" showRowStripes="1" showColumnStripes="0"/>
</table>
</file>

<file path=xl/tables/table12.xml><?xml version="1.0" encoding="utf-8"?>
<table xmlns="http://schemas.openxmlformats.org/spreadsheetml/2006/main" id="11" name="Table11" displayName="Table11" ref="B1:M281" totalsRowShown="0" headerRowDxfId="53">
  <autoFilter ref="B1:M281"/>
  <tableColumns count="12">
    <tableColumn id="1" name="Date"/>
    <tableColumn id="2" name="Month"/>
    <tableColumn id="3" name="Year" dataDxfId="52"/>
    <tableColumn id="13" name="Column1" dataDxfId="51"/>
    <tableColumn id="4" name="FSRs"/>
    <tableColumn id="5" name="Reach Target" dataDxfId="50" dataCellStyle="Comma"/>
    <tableColumn id="6" name="Target convertion" dataDxfId="49" dataCellStyle="Comma"/>
    <tableColumn id="7" name="Reach" dataDxfId="48" dataCellStyle="Comma"/>
    <tableColumn id="8" name="Convertion" dataDxfId="47" dataCellStyle="Comma"/>
    <tableColumn id="9" name="% Reach Perf" dataDxfId="46" dataCellStyle="Percent">
      <calculatedColumnFormula>IFERROR(I2/G2,"")</calculatedColumnFormula>
    </tableColumn>
    <tableColumn id="10" name="% Conversion Perf" dataDxfId="45" dataCellStyle="Percent">
      <calculatedColumnFormula>IFERROR(J2/H2,"")</calculatedColumnFormula>
    </tableColumn>
    <tableColumn id="12" name="Column2" dataDxfId="44"/>
  </tableColumns>
  <tableStyleInfo name="TableStyleMedium2" showFirstColumn="0" showLastColumn="0" showRowStripes="1" showColumnStripes="0"/>
</table>
</file>

<file path=xl/tables/table13.xml><?xml version="1.0" encoding="utf-8"?>
<table xmlns="http://schemas.openxmlformats.org/spreadsheetml/2006/main" id="4" name="Table145" displayName="Table145" ref="B15:K23" totalsRowCount="1" headerRowDxfId="43" totalsRowDxfId="42">
  <tableColumns count="10">
    <tableColumn id="1" name="Days worked" totalsRowFunction="average" dataDxfId="41" totalsRowDxfId="40" dataCellStyle="Comma"/>
    <tableColumn id="10" name="Target Reach" totalsRowFunction="sum" dataDxfId="39" totalsRowDxfId="38" dataCellStyle="Comma">
      <calculatedColumnFormula>Table145[[#This Row],[Days worked]]*$C$20</calculatedColumnFormula>
    </tableColumn>
    <tableColumn id="11" name="Target Conversion" totalsRowFunction="sum" dataDxfId="37" totalsRowDxfId="36" dataCellStyle="Comma">
      <calculatedColumnFormula>Table145[[#This Row],[Days worked]]*$C$21</calculatedColumnFormula>
    </tableColumn>
    <tableColumn id="2" name="Target Order" totalsRowFunction="sum" dataDxfId="35" totalsRowDxfId="34">
      <calculatedColumnFormula>$C$22*Table145[[#This Row],[Days worked]]</calculatedColumnFormula>
    </tableColumn>
    <tableColumn id="3" name="Outlets Visited" totalsRowFunction="sum" dataDxfId="33" totalsRowDxfId="32"/>
    <tableColumn id="5" name="Outlets with Order" totalsRowFunction="sum" dataDxfId="31" totalsRowDxfId="30"/>
    <tableColumn id="4" name="Order" totalsRowFunction="sum" dataDxfId="29" totalsRowDxfId="28"/>
    <tableColumn id="6" name="Delivery" totalsRowFunction="sum" dataDxfId="27" totalsRowDxfId="26"/>
    <tableColumn id="7" name="Non- Delivered" totalsRowFunction="sum" dataDxfId="25" totalsRowDxfId="24"/>
    <tableColumn id="8" name="Conversion" dataDxfId="23" totalsRowDxfId="22"/>
  </tableColumns>
  <tableStyleInfo showFirstColumn="0" showLastColumn="0" showRowStripes="1" showColumnStripes="0"/>
</table>
</file>

<file path=xl/tables/table14.xml><?xml version="1.0" encoding="utf-8"?>
<table xmlns="http://schemas.openxmlformats.org/spreadsheetml/2006/main" id="5" name="Table1456" displayName="Table1456" ref="B2:K10" totalsRowCount="1" headerRowDxfId="21" totalsRowDxfId="20">
  <tableColumns count="10">
    <tableColumn id="1" name="Days worked" totalsRowFunction="average" dataDxfId="19" totalsRowDxfId="18" dataCellStyle="Comma"/>
    <tableColumn id="10" name="Target Reach" totalsRowFunction="sum" dataDxfId="17" totalsRowDxfId="16" dataCellStyle="Comma">
      <calculatedColumnFormula>Table1456[[#This Row],[Days worked]]*$C$20</calculatedColumnFormula>
    </tableColumn>
    <tableColumn id="11" name="Target Conversion" totalsRowFunction="sum" dataDxfId="15" totalsRowDxfId="14" dataCellStyle="Comma">
      <calculatedColumnFormula>Table1456[[#This Row],[Days worked]]*$C$21</calculatedColumnFormula>
    </tableColumn>
    <tableColumn id="2" name="Target Order" totalsRowFunction="sum" dataDxfId="13" totalsRowDxfId="12">
      <calculatedColumnFormula>$C$22*Table1456[[#This Row],[Days worked]]</calculatedColumnFormula>
    </tableColumn>
    <tableColumn id="3" name="Outlets Visited" totalsRowFunction="sum" dataDxfId="11" totalsRowDxfId="10"/>
    <tableColumn id="5" name="Outlets with Order" totalsRowFunction="sum" dataDxfId="9" totalsRowDxfId="8"/>
    <tableColumn id="4" name="Order" totalsRowFunction="sum" dataDxfId="7" totalsRowDxfId="6"/>
    <tableColumn id="6" name="Delivery" totalsRowFunction="sum" dataDxfId="5" totalsRowDxfId="4"/>
    <tableColumn id="7" name="Non- Delivered" totalsRowFunction="sum" dataDxfId="3" totalsRowDxfId="2"/>
    <tableColumn id="8" name="Conversion" dataDxfId="1" totalsRowDxfId="0"/>
  </tableColumns>
  <tableStyleInfo showFirstColumn="0" showLastColumn="0" showRowStripes="1" showColumnStripes="0"/>
</table>
</file>

<file path=xl/tables/table2.xml><?xml version="1.0" encoding="utf-8"?>
<table xmlns="http://schemas.openxmlformats.org/spreadsheetml/2006/main" id="3" name="Table14" displayName="Table14" ref="B15:K23" totalsRowCount="1" headerRowDxfId="334" totalsRowDxfId="333">
  <tableColumns count="10">
    <tableColumn id="1" name="Days worked" totalsRowFunction="average" dataDxfId="332" totalsRowDxfId="331" dataCellStyle="Comma"/>
    <tableColumn id="10" name="Target Reach" totalsRowFunction="sum" dataDxfId="330" totalsRowDxfId="329" dataCellStyle="Comma">
      <calculatedColumnFormula>Table14[[#This Row],[Days worked]]*$C$11</calculatedColumnFormula>
    </tableColumn>
    <tableColumn id="11" name="Target Conversion" totalsRowFunction="sum" dataDxfId="328" totalsRowDxfId="327" dataCellStyle="Comma">
      <calculatedColumnFormula>Table14[[#This Row],[Days worked]]*$C$12</calculatedColumnFormula>
    </tableColumn>
    <tableColumn id="2" name="Target Order" totalsRowFunction="sum" dataDxfId="326" totalsRowDxfId="325">
      <calculatedColumnFormula>$C$13*Table14[[#This Row],[Days worked]]</calculatedColumnFormula>
    </tableColumn>
    <tableColumn id="3" name="Outlets Visited" totalsRowFunction="sum" dataDxfId="324" totalsRowDxfId="323"/>
    <tableColumn id="5" name="Outlets with Order" totalsRowFunction="sum" dataDxfId="322" totalsRowDxfId="321"/>
    <tableColumn id="4" name="Order" totalsRowFunction="sum" dataDxfId="320" totalsRowDxfId="319"/>
    <tableColumn id="6" name="Delivery" totalsRowFunction="sum" dataDxfId="318" totalsRowDxfId="317"/>
    <tableColumn id="7" name="Non- Delivered" totalsRowFunction="sum" dataDxfId="316" totalsRowDxfId="315"/>
    <tableColumn id="8" name="Conversion" dataDxfId="314" totalsRowDxfId="313"/>
  </tableColumns>
  <tableStyleInfo showFirstColumn="0" showLastColumn="0" showRowStripes="1" showColumnStripes="0"/>
</table>
</file>

<file path=xl/tables/table3.xml><?xml version="1.0" encoding="utf-8"?>
<table xmlns="http://schemas.openxmlformats.org/spreadsheetml/2006/main" id="9" name="Table110" displayName="Table110" ref="N2:X10" totalsRowCount="1" headerRowDxfId="312" totalsRowDxfId="311">
  <tableColumns count="11">
    <tableColumn id="9" name="Days worked" dataDxfId="310" totalsRowDxfId="309" dataCellStyle="Comma"/>
    <tableColumn id="1" name="Target Order" totalsRowFunction="sum" dataDxfId="308" totalsRowDxfId="307"/>
    <tableColumn id="10" name="Target Reach" totalsRowFunction="sum" dataDxfId="306" totalsRowDxfId="305" dataCellStyle="Comma"/>
    <tableColumn id="11" name="Target Conversion" dataDxfId="304" totalsRowDxfId="303" dataCellStyle="Comma"/>
    <tableColumn id="2" name="TDRs" totalsRowFunction="average" dataDxfId="302" totalsRowDxfId="301"/>
    <tableColumn id="3" name="Outlets Visited" totalsRowFunction="sum" dataDxfId="300" totalsRowDxfId="299" dataCellStyle="Comma"/>
    <tableColumn id="5" name="Outlets with Order" totalsRowFunction="sum" dataDxfId="298" totalsRowDxfId="297" dataCellStyle="Comma"/>
    <tableColumn id="4" name="Order" totalsRowFunction="sum" dataDxfId="296" totalsRowDxfId="295" dataCellStyle="Comma"/>
    <tableColumn id="6" name="Delivery" totalsRowFunction="sum" dataDxfId="294" totalsRowDxfId="293"/>
    <tableColumn id="7" name="Non- Delivered" totalsRowFunction="sum" dataDxfId="292" totalsRowDxfId="291"/>
    <tableColumn id="8" name="Conversion" dataDxfId="290" totalsRowDxfId="289"/>
  </tableColumns>
  <tableStyleInfo showFirstColumn="0" showLastColumn="0" showRowStripes="1" showColumnStripes="0"/>
</table>
</file>

<file path=xl/tables/table4.xml><?xml version="1.0" encoding="utf-8"?>
<table xmlns="http://schemas.openxmlformats.org/spreadsheetml/2006/main" id="8" name="Table149" displayName="Table149" ref="B17:N24" totalsRowCount="1" totalsRowDxfId="288">
  <tableColumns count="13">
    <tableColumn id="1" name="Column1" totalsRowFunction="sum" dataDxfId="287" totalsRowDxfId="286" dataCellStyle="Comma">
      <calculatedColumnFormula>SUMIFS(Data!$J:$J,Data!$E:$E,Dashboard!$A18,Data!$K:$K,Dashboard!$A$7,Data!$D:$D,Dashboard!$B$6,Data!$B:$B,Dashboard!B$16)</calculatedColumnFormula>
    </tableColumn>
    <tableColumn id="10" name="Column2" totalsRowFunction="sum" dataDxfId="285" totalsRowDxfId="284" dataCellStyle="Comma">
      <calculatedColumnFormula>SUMIFS(Data!$J:$J,Data!$E:$E,Dashboard!$A18,Data!$K:$K,Dashboard!$A$7,Data!$D:$D,Dashboard!$B$6,Data!$B:$B,Dashboard!C$16)</calculatedColumnFormula>
    </tableColumn>
    <tableColumn id="11" name="Column3" totalsRowFunction="sum" dataDxfId="283" totalsRowDxfId="282" dataCellStyle="Comma">
      <calculatedColumnFormula>SUMIFS(Data!$J:$J,Data!$E:$E,Dashboard!$A18,Data!$K:$K,Dashboard!$A$7,Data!$D:$D,Dashboard!$B$6,Data!$B:$B,Dashboard!D$16)</calculatedColumnFormula>
    </tableColumn>
    <tableColumn id="2" name="Column4" totalsRowFunction="sum" dataDxfId="281" totalsRowDxfId="280">
      <calculatedColumnFormula>SUMIFS(Data!$J:$J,Data!$E:$E,Dashboard!$A18,Data!$K:$K,Dashboard!$A$7,Data!$D:$D,Dashboard!$B$6,Data!$B:$B,Dashboard!E$16)</calculatedColumnFormula>
    </tableColumn>
    <tableColumn id="3" name="Column5" totalsRowFunction="sum" dataDxfId="279" totalsRowDxfId="278">
      <calculatedColumnFormula>SUMIFS(Data!$J:$J,Data!$E:$E,Dashboard!$A18,Data!$K:$K,Dashboard!$A$7,Data!$D:$D,Dashboard!$B$6,Data!$B:$B,Dashboard!F$16)</calculatedColumnFormula>
    </tableColumn>
    <tableColumn id="5" name="Column6" totalsRowFunction="sum" dataDxfId="277" totalsRowDxfId="276">
      <calculatedColumnFormula>SUMIFS(Data!$J:$J,Data!$E:$E,Dashboard!$A18,Data!$K:$K,Dashboard!$A$7,Data!$D:$D,Dashboard!$B$6,Data!$B:$B,Dashboard!G$16)</calculatedColumnFormula>
    </tableColumn>
    <tableColumn id="4" name="Column7" totalsRowFunction="sum" dataDxfId="275" totalsRowDxfId="274">
      <calculatedColumnFormula>SUMIFS(Data!$J:$J,Data!$E:$E,Dashboard!$A18,Data!$K:$K,Dashboard!$A$7,Data!$D:$D,Dashboard!$B$6,Data!$B:$B,Dashboard!H$16)</calculatedColumnFormula>
    </tableColumn>
    <tableColumn id="6" name="Column8" totalsRowFunction="sum" dataDxfId="273" totalsRowDxfId="272" dataCellStyle="Comma">
      <calculatedColumnFormula>$B$5/6</calculatedColumnFormula>
    </tableColumn>
    <tableColumn id="7" name="Column9" totalsRowFunction="sum" dataDxfId="271" totalsRowDxfId="270">
      <calculatedColumnFormula>SUMIFS(Data!$J:$J,Data!$E:$E,Dashboard!$A18,Data!$K:$K,Dashboard!$A$7,Data!$D:$D,Dashboard!$B$6)</calculatedColumnFormula>
    </tableColumn>
    <tableColumn id="8" name="Column10" totalsRowFunction="average" dataDxfId="269" totalsRowDxfId="268">
      <calculatedColumnFormula>Table149[[#This Row],[Column9]]/Table149[[#This Row],[Column8]]</calculatedColumnFormula>
    </tableColumn>
    <tableColumn id="9" name="Column11" totalsRowFunction="sum" dataDxfId="267" totalsRowDxfId="266" dataCellStyle="Comma">
      <calculatedColumnFormula>$B$5*$E$6</calculatedColumnFormula>
    </tableColumn>
    <tableColumn id="12" name="Column12" totalsRowFunction="sum" dataDxfId="265" totalsRowDxfId="264" dataCellStyle="Comma">
      <calculatedColumnFormula>SUMIFS(Data!$J:$J,Data!$E:$E,Dashboard!$A18,Data!$C:$C,Dashboard!$D$6,Data!$D:$D,Dashboard!$B$6)</calculatedColumnFormula>
    </tableColumn>
    <tableColumn id="13" name="Column102" totalsRowFunction="average" dataDxfId="263" totalsRowDxfId="262" dataCellStyle="Percent">
      <calculatedColumnFormula>Table149[[#This Row],[Column12]]/Table149[[#This Row],[Column11]]</calculatedColumnFormula>
    </tableColumn>
  </tableColumns>
  <tableStyleInfo showFirstColumn="0" showLastColumn="0" showRowStripes="1" showColumnStripes="0"/>
</table>
</file>

<file path=xl/tables/table5.xml><?xml version="1.0" encoding="utf-8"?>
<table xmlns="http://schemas.openxmlformats.org/spreadsheetml/2006/main" id="7" name="Table148" displayName="Table148" ref="AA3:AJ12" totalsRowCount="1" headerRowDxfId="261" totalsRowDxfId="260">
  <tableColumns count="10">
    <tableColumn id="1" name="Days worked" totalsRowFunction="average" dataDxfId="259" totalsRowDxfId="258" dataCellStyle="Comma"/>
    <tableColumn id="10" name="Target Reach" totalsRowFunction="sum" dataDxfId="257" totalsRowDxfId="256" dataCellStyle="Comma">
      <calculatedColumnFormula>Table148[[#This Row],[Days worked]]*$C$12</calculatedColumnFormula>
    </tableColumn>
    <tableColumn id="11" name="Target Conversion" totalsRowFunction="sum" dataDxfId="255" totalsRowDxfId="254" dataCellStyle="Comma">
      <calculatedColumnFormula>Table148[[#This Row],[Days worked]]*$C$13</calculatedColumnFormula>
    </tableColumn>
    <tableColumn id="2" name="Target Order" totalsRowFunction="sum" dataDxfId="253" totalsRowDxfId="252">
      <calculatedColumnFormula>$C$14*Table148[[#This Row],[Days worked]]</calculatedColumnFormula>
    </tableColumn>
    <tableColumn id="3" name="Outlets Visited" totalsRowFunction="sum" dataDxfId="251" totalsRowDxfId="250"/>
    <tableColumn id="5" name="Outlets with Order" totalsRowFunction="sum" dataDxfId="249" totalsRowDxfId="248"/>
    <tableColumn id="4" name="Order" totalsRowFunction="sum" dataDxfId="247" totalsRowDxfId="246"/>
    <tableColumn id="6" name="Delivery" totalsRowFunction="sum" dataDxfId="245" totalsRowDxfId="244"/>
    <tableColumn id="7" name="Non- Delivered" totalsRowFunction="sum" dataDxfId="243" totalsRowDxfId="242"/>
    <tableColumn id="8" name="Conversion" dataDxfId="241" totalsRowDxfId="240"/>
  </tableColumns>
  <tableStyleInfo showFirstColumn="0" showLastColumn="0" showRowStripes="1" showColumnStripes="0"/>
</table>
</file>

<file path=xl/tables/table6.xml><?xml version="1.0" encoding="utf-8"?>
<table xmlns="http://schemas.openxmlformats.org/spreadsheetml/2006/main" id="10" name="Table11011" displayName="Table11011" ref="B34:U41" totalsRowCount="1" headerRowDxfId="239" totalsRowDxfId="238">
  <tableColumns count="20">
    <tableColumn id="9" name="Reach" totalsRowFunction="sum" dataDxfId="237" totalsRowDxfId="236" dataCellStyle="Comma">
      <calculatedColumnFormula>SUMIFS('Reach Data'!$I:$I,'Reach Data'!$E:$E,Dashboard!$A$7,'Reach Data'!$D:$D,Dashboard!$B$6,'Reach Data'!$F:$F,Dashboard!$A35,'Reach Data'!$B:$B,Dashboard!B$33)</calculatedColumnFormula>
    </tableColumn>
    <tableColumn id="1" name="Conversion" totalsRowFunction="sum" dataDxfId="235" totalsRowDxfId="234" dataCellStyle="Comma">
      <calculatedColumnFormula>SUMIFS('Reach Data'!$J:$J,'Reach Data'!$E:$E,Dashboard!$A$7,'Reach Data'!$D:$D,Dashboard!$B$6,'Reach Data'!$F:$F,Dashboard!$A35,'Reach Data'!$B:$B,Dashboard!B$33)</calculatedColumnFormula>
    </tableColumn>
    <tableColumn id="10" name="Reach2" totalsRowFunction="sum" dataDxfId="233" totalsRowDxfId="232" dataCellStyle="Comma">
      <calculatedColumnFormula>SUMIFS('Reach Data'!$I:$I,'Reach Data'!$E:$E,Dashboard!$A$7,'Reach Data'!$D:$D,Dashboard!$B$6,'Reach Data'!$F:$F,Dashboard!$A35,'Reach Data'!$B:$B,Dashboard!D$33)</calculatedColumnFormula>
    </tableColumn>
    <tableColumn id="11" name="Conversion2" totalsRowFunction="sum" dataDxfId="231" totalsRowDxfId="230" dataCellStyle="Comma">
      <calculatedColumnFormula>SUMIFS('Reach Data'!$J:$J,'Reach Data'!$E:$E,Dashboard!$A$7,'Reach Data'!$D:$D,Dashboard!$B$6,'Reach Data'!$F:$F,Dashboard!$A35,'Reach Data'!$B:$B,Dashboard!D$33)</calculatedColumnFormula>
    </tableColumn>
    <tableColumn id="2" name="Reach3" totalsRowFunction="sum" dataDxfId="229" totalsRowDxfId="228" dataCellStyle="Comma">
      <calculatedColumnFormula>SUMIFS('Reach Data'!$I:$I,'Reach Data'!$E:$E,Dashboard!$A$7,'Reach Data'!$D:$D,Dashboard!$B$6,'Reach Data'!$F:$F,Dashboard!$A35,'Reach Data'!$B:$B,Dashboard!F$33)</calculatedColumnFormula>
    </tableColumn>
    <tableColumn id="3" name="Conversion3" totalsRowFunction="sum" dataDxfId="227" totalsRowDxfId="226" dataCellStyle="Comma">
      <calculatedColumnFormula>SUMIFS('Reach Data'!$J:$J,'Reach Data'!$E:$E,Dashboard!$A$7,'Reach Data'!$D:$D,Dashboard!$B$6,'Reach Data'!$F:$F,Dashboard!$A35,'Reach Data'!$B:$B,Dashboard!F$33)</calculatedColumnFormula>
    </tableColumn>
    <tableColumn id="5" name="Reach4" totalsRowFunction="sum" dataDxfId="225" totalsRowDxfId="224" dataCellStyle="Comma">
      <calculatedColumnFormula>SUMIFS('Reach Data'!$I:$I,'Reach Data'!$E:$E,Dashboard!$A$7,'Reach Data'!$D:$D,Dashboard!$B$6,'Reach Data'!$F:$F,Dashboard!$A35,'Reach Data'!$B:$B,Dashboard!H$33)</calculatedColumnFormula>
    </tableColumn>
    <tableColumn id="4" name="Conversion4" totalsRowFunction="sum" dataDxfId="223" totalsRowDxfId="222" dataCellStyle="Comma">
      <calculatedColumnFormula>SUMIFS('Reach Data'!$J:$J,'Reach Data'!$E:$E,Dashboard!$A$7,'Reach Data'!$D:$D,Dashboard!$B$6,'Reach Data'!$F:$F,Dashboard!$A35,'Reach Data'!$B:$B,Dashboard!H$33)</calculatedColumnFormula>
    </tableColumn>
    <tableColumn id="6" name="Reach5" totalsRowFunction="sum" dataDxfId="221" totalsRowDxfId="220" dataCellStyle="Comma">
      <calculatedColumnFormula>SUMIFS('Reach Data'!$I:$I,'Reach Data'!$E:$E,Dashboard!$A$7,'Reach Data'!$D:$D,Dashboard!$B$6,'Reach Data'!$F:$F,Dashboard!$A35,'Reach Data'!$B:$B,Dashboard!J$33)</calculatedColumnFormula>
    </tableColumn>
    <tableColumn id="7" name="Conversion5" totalsRowFunction="sum" dataDxfId="219" totalsRowDxfId="218" dataCellStyle="Comma">
      <calculatedColumnFormula>SUMIFS('Reach Data'!$J:$J,'Reach Data'!$E:$E,Dashboard!$A$7,'Reach Data'!$D:$D,Dashboard!$B$6,'Reach Data'!$F:$F,Dashboard!$A35,'Reach Data'!$B:$B,Dashboard!J$33)</calculatedColumnFormula>
    </tableColumn>
    <tableColumn id="8" name="Reach6" totalsRowFunction="sum" dataDxfId="217" totalsRowDxfId="216" dataCellStyle="Comma">
      <calculatedColumnFormula>SUMIFS('Reach Data'!$I:$I,'Reach Data'!$E:$E,Dashboard!$A$7,'Reach Data'!$D:$D,Dashboard!$B$6,'Reach Data'!$F:$F,Dashboard!$A35,'Reach Data'!$B:$B,Dashboard!L$33)</calculatedColumnFormula>
    </tableColumn>
    <tableColumn id="12" name="Conversion6" totalsRowFunction="sum" dataDxfId="215" totalsRowDxfId="214" dataCellStyle="Comma">
      <calculatedColumnFormula>SUMIFS('Reach Data'!$J:$J,'Reach Data'!$E:$E,Dashboard!$A$7,'Reach Data'!$D:$D,Dashboard!$B$6,'Reach Data'!$F:$F,Dashboard!$A35,'Reach Data'!$B:$B,Dashboard!L$33)</calculatedColumnFormula>
    </tableColumn>
    <tableColumn id="13" name="Reach7" totalsRowFunction="sum" dataDxfId="213" totalsRowDxfId="212" dataCellStyle="Comma">
      <calculatedColumnFormula>SUMIFS('Reach Data'!$I:$I,'Reach Data'!$E:$E,Dashboard!$A$7,'Reach Data'!$D:$D,Dashboard!$B$6,'Reach Data'!$F:$F,Dashboard!$A35,'Reach Data'!$B:$B,Dashboard!N$33)</calculatedColumnFormula>
    </tableColumn>
    <tableColumn id="14" name="Conversion7" totalsRowFunction="sum" dataDxfId="211" totalsRowDxfId="210" dataCellStyle="Comma">
      <calculatedColumnFormula>SUMIFS('Reach Data'!$J:$J,'Reach Data'!$E:$E,Dashboard!$A$7,'Reach Data'!$D:$D,Dashboard!$B$6,'Reach Data'!$F:$F,Dashboard!$A35,'Reach Data'!$B:$B,Dashboard!N$33)</calculatedColumnFormula>
    </tableColumn>
    <tableColumn id="15" name="Reach Target" totalsRowFunction="sum" dataDxfId="209" totalsRowDxfId="208">
      <calculatedColumnFormula>$D$5*6</calculatedColumnFormula>
    </tableColumn>
    <tableColumn id="16" name="Total Reach" totalsRowFunction="sum" dataDxfId="207" totalsRowDxfId="206">
      <calculatedColumnFormula>SUMIFS('Reach Data'!$I:$I,'Reach Data'!$E:$E,Dashboard!$A$7,'Reach Data'!$D:$D,Dashboard!$B$6,'Reach Data'!$F:$F,Dashboard!$A35)</calculatedColumnFormula>
    </tableColumn>
    <tableColumn id="20" name="%Perf Reach" totalsRowFunction="average" dataDxfId="205" totalsRowDxfId="204" dataCellStyle="Percent">
      <calculatedColumnFormula>IFERROR(Table11011[[#This Row],[Total Reach]]/Table11011[[#This Row],[Reach Target]],"")</calculatedColumnFormula>
    </tableColumn>
    <tableColumn id="19" name="Conversion Target2" totalsRowFunction="sum" dataDxfId="203" totalsRowDxfId="202">
      <calculatedColumnFormula>$F$5*6</calculatedColumnFormula>
    </tableColumn>
    <tableColumn id="17" name="Total Conversion" totalsRowFunction="sum" dataDxfId="201" totalsRowDxfId="200">
      <calculatedColumnFormula>SUMIFS('Reach Data'!$J:$J,'Reach Data'!$E:$E,Dashboard!$A$7,'Reach Data'!$D:$D,Dashboard!$B$6,'Reach Data'!$F:$F,Dashboard!$A35)</calculatedColumnFormula>
    </tableColumn>
    <tableColumn id="18" name="%Perf Conversion" totalsRowFunction="average" dataDxfId="199" totalsRowDxfId="198" dataCellStyle="Percent">
      <calculatedColumnFormula>Table11011[[#This Row],[Total Conversion]]/Table11011[[#This Row],[Conversion Target2]]</calculatedColumnFormula>
    </tableColumn>
  </tableColumns>
  <tableStyleInfo showFirstColumn="0" showLastColumn="0" showRowStripes="1" showColumnStripes="0"/>
</table>
</file>

<file path=xl/tables/table7.xml><?xml version="1.0" encoding="utf-8"?>
<table xmlns="http://schemas.openxmlformats.org/spreadsheetml/2006/main" id="13" name="Table1101114" displayName="Table1101114" ref="B48:U55" totalsRowCount="1" headerRowDxfId="197" totalsRowDxfId="196">
  <tableColumns count="20">
    <tableColumn id="9" name="Orders" totalsRowFunction="sum" dataDxfId="195" totalsRowDxfId="194" dataCellStyle="Comma">
      <calculatedColumnFormula>SUMIFS(Data!$J:$J,Data!$E:$E,Dashboard!$A49,Data!$K:$K,Dashboard!$A$7,Data!$D:$D,Dashboard!$B$6,Data!$B:$B,Dashboard!B$47)</calculatedColumnFormula>
    </tableColumn>
    <tableColumn id="1" name="Not Dispatch" totalsRowFunction="sum" dataDxfId="193" totalsRowDxfId="192" dataCellStyle="Comma">
      <calculatedColumnFormula>SUMIFS(Data!$M:$M,Data!$E:$E,Dashboard!$A49,Data!$K:$K,Dashboard!$A$7,Data!$D:$D,Dashboard!$B$6,Data!$B:$B,Dashboard!B$47)</calculatedColumnFormula>
    </tableColumn>
    <tableColumn id="10" name="Orders2" totalsRowFunction="sum" dataDxfId="191" totalsRowDxfId="190" dataCellStyle="Comma">
      <calculatedColumnFormula>SUMIFS(Data!$J:$J,Data!$E:$E,Dashboard!$A49,Data!$K:$K,Dashboard!$A$7,Data!$D:$D,Dashboard!$B$6,Data!$B:$B,Dashboard!D$47)</calculatedColumnFormula>
    </tableColumn>
    <tableColumn id="11" name="Not Dispatch2" totalsRowFunction="sum" dataDxfId="189" totalsRowDxfId="188" dataCellStyle="Comma">
      <calculatedColumnFormula>SUMIFS(Data!$M:$M,Data!$E:$E,Dashboard!$A49,Data!$K:$K,Dashboard!$A$7,Data!$D:$D,Dashboard!$B$6,Data!$B:$B,Dashboard!D$47)</calculatedColumnFormula>
    </tableColumn>
    <tableColumn id="2" name="Orders3" totalsRowFunction="sum" dataDxfId="187" totalsRowDxfId="186" dataCellStyle="Comma">
      <calculatedColumnFormula>SUMIFS(Data!$J:$J,Data!$E:$E,Dashboard!$A49,Data!$K:$K,Dashboard!$A$7,Data!$D:$D,Dashboard!$B$6,Data!$B:$B,Dashboard!F$47)</calculatedColumnFormula>
    </tableColumn>
    <tableColumn id="3" name="Not Dispatch3" totalsRowFunction="sum" dataDxfId="185" totalsRowDxfId="184" dataCellStyle="Comma">
      <calculatedColumnFormula>SUMIFS(Data!$M:$M,Data!$E:$E,Dashboard!$A49,Data!$K:$K,Dashboard!$A$7,Data!$D:$D,Dashboard!$B$6,Data!$B:$B,Dashboard!F$47)</calculatedColumnFormula>
    </tableColumn>
    <tableColumn id="5" name="Orders4" totalsRowFunction="sum" dataDxfId="183" totalsRowDxfId="182" dataCellStyle="Comma">
      <calculatedColumnFormula>SUMIFS(Data!$J:$J,Data!$E:$E,Dashboard!$A49,Data!$K:$K,Dashboard!$A$7,Data!$D:$D,Dashboard!$B$6,Data!$B:$B,Dashboard!H$47)</calculatedColumnFormula>
    </tableColumn>
    <tableColumn id="4" name="Not Dispatch4" totalsRowFunction="sum" dataDxfId="181" totalsRowDxfId="180" dataCellStyle="Comma">
      <calculatedColumnFormula>SUMIFS(Data!$M:$M,Data!$E:$E,Dashboard!$A49,Data!$K:$K,Dashboard!$A$7,Data!$D:$D,Dashboard!$B$6,Data!$B:$B,Dashboard!H$47)</calculatedColumnFormula>
    </tableColumn>
    <tableColumn id="6" name="Orders5" totalsRowFunction="sum" dataDxfId="179" totalsRowDxfId="178" dataCellStyle="Comma">
      <calculatedColumnFormula>SUMIFS(Data!$J:$J,Data!$E:$E,Dashboard!$A49,Data!$K:$K,Dashboard!$A$7,Data!$D:$D,Dashboard!$B$6,Data!$B:$B,Dashboard!J$47)</calculatedColumnFormula>
    </tableColumn>
    <tableColumn id="7" name="Not Dispatch5" totalsRowFunction="sum" dataDxfId="177" totalsRowDxfId="176" dataCellStyle="Comma">
      <calculatedColumnFormula>SUMIFS(Data!$M:$M,Data!$E:$E,Dashboard!$A49,Data!$K:$K,Dashboard!$A$7,Data!$D:$D,Dashboard!$B$6,Data!$B:$B,Dashboard!J$47)</calculatedColumnFormula>
    </tableColumn>
    <tableColumn id="8" name="Orders6" totalsRowFunction="sum" dataDxfId="175" totalsRowDxfId="174" dataCellStyle="Comma">
      <calculatedColumnFormula>SUMIFS(Data!$J:$J,Data!$E:$E,Dashboard!$A49,Data!$K:$K,Dashboard!$A$7,Data!$D:$D,Dashboard!$B$6,Data!$B:$B,Dashboard!L$47)</calculatedColumnFormula>
    </tableColumn>
    <tableColumn id="12" name="Not Dispatch6" totalsRowFunction="sum" dataDxfId="173" totalsRowDxfId="172" dataCellStyle="Comma">
      <calculatedColumnFormula>SUMIFS(Data!$M:$M,Data!$E:$E,Dashboard!$A49,Data!$K:$K,Dashboard!$A$7,Data!$D:$D,Dashboard!$B$6,Data!$B:$B,Dashboard!L$47)</calculatedColumnFormula>
    </tableColumn>
    <tableColumn id="13" name="Orders7" totalsRowFunction="sum" dataDxfId="171" totalsRowDxfId="170" dataCellStyle="Comma">
      <calculatedColumnFormula>SUMIFS(Data!$J:$J,Data!$E:$E,Dashboard!$A49,Data!$K:$K,Dashboard!$A$7,Data!$D:$D,Dashboard!$B$6,Data!$B:$B,Dashboard!N$47)</calculatedColumnFormula>
    </tableColumn>
    <tableColumn id="14" name="Not Dispatch7" totalsRowFunction="sum" dataDxfId="169" totalsRowDxfId="168" dataCellStyle="Comma">
      <calculatedColumnFormula>SUMIFS(Data!$M:$M,Data!$E:$E,Dashboard!$A49,Data!$K:$K,Dashboard!$A$7,Data!$D:$D,Dashboard!$B$6,Data!$B:$B,Dashboard!N$47)</calculatedColumnFormula>
    </tableColumn>
    <tableColumn id="15" name="Total Orders" totalsRowFunction="sum" dataDxfId="167" totalsRowDxfId="166" dataCellStyle="Comma">
      <calculatedColumnFormula>SUMIFS(Data!$J:$J,Data!$E:$E,Dashboard!$A49,Data!$K:$K,Dashboard!$A$7,Data!$D:$D,Dashboard!$B$6)</calculatedColumnFormula>
    </tableColumn>
    <tableColumn id="16" name="Total Not Dispatch" totalsRowFunction="sum" dataDxfId="165" totalsRowDxfId="164" dataCellStyle="Comma">
      <calculatedColumnFormula>SUMIFS(Data!$M:$M,Data!$E:$E,Dashboard!$A49,Data!$K:$K,Dashboard!$A$7,Data!$D:$D,Dashboard!$B$6)</calculatedColumnFormula>
    </tableColumn>
    <tableColumn id="20" name="% Dispatch" totalsRowFunction="custom" dataDxfId="163" totalsRowDxfId="162" dataCellStyle="Percent">
      <calculatedColumnFormula>(Table1101114[[#This Row],[Total Orders]]-Table1101114[[#This Row],[Total Not Dispatch]])/Table1101114[[#This Row],[Total Orders]]</calculatedColumnFormula>
      <totalsRowFormula>Table1101114[[#Totals],[Total Not Dispatch]]/Table1101114[[#Totals],[Total Orders]]</totalsRowFormula>
    </tableColumn>
    <tableColumn id="19" name="Dispatch" totalsRowFunction="sum" dataDxfId="161" totalsRowDxfId="160" dataCellStyle="Comma">
      <calculatedColumnFormula>SUMIFS(Data!$L:$L,Data!$E:$E,Dashboard!$A49,Data!$K:$K,Dashboard!$A$7,Data!$D:$D,Dashboard!$B$6)</calculatedColumnFormula>
    </tableColumn>
    <tableColumn id="17" name="Return" totalsRowFunction="sum" dataDxfId="159" totalsRowDxfId="158" dataCellStyle="Comma">
      <calculatedColumnFormula>SUMIFS('Returns Data'!$J:$J,'Returns Data'!$G:$G,Dashboard!$A49,'Returns Data'!$F:$F,Dashboard!$A$7,'Returns Data'!$D:$D,Dashboard!$B$6)</calculatedColumnFormula>
    </tableColumn>
    <tableColumn id="18" name="Sales" totalsRowFunction="sum" dataDxfId="157" totalsRowDxfId="156" dataCellStyle="Comma">
      <calculatedColumnFormula>Table1101114[[#This Row],[Dispatch]]-Table1101114[[#This Row],[Return]]</calculatedColumnFormula>
    </tableColumn>
  </tableColumns>
  <tableStyleInfo showFirstColumn="0" showLastColumn="0" showRowStripes="1" showColumnStripes="0"/>
</table>
</file>

<file path=xl/tables/table8.xml><?xml version="1.0" encoding="utf-8"?>
<table xmlns="http://schemas.openxmlformats.org/spreadsheetml/2006/main" id="14" name="Table1415" displayName="Table1415" ref="K37:N42" totalsRowCount="1" headerRowDxfId="155" totalsRowDxfId="154">
  <tableColumns count="4">
    <tableColumn id="1" name="Orders" totalsRowFunction="sum" dataDxfId="153" totalsRowDxfId="152" dataCellStyle="Comma">
      <calculatedColumnFormula>B28</calculatedColumnFormula>
    </tableColumn>
    <tableColumn id="10" name="Processed" totalsRowFunction="sum" dataDxfId="151" totalsRowDxfId="150" dataCellStyle="Comma">
      <calculatedColumnFormula>L29</calculatedColumnFormula>
    </tableColumn>
    <tableColumn id="11" name="Non Processed" totalsRowFunction="sum" dataDxfId="149" totalsRowDxfId="148" dataCellStyle="Comma">
      <calculatedColumnFormula>Table1415[[#This Row],[Orders]]-Table1415[[#This Row],[Processed]]</calculatedColumnFormula>
    </tableColumn>
    <tableColumn id="2" name="% Non Processed" totalsRowFunction="average" dataDxfId="147" totalsRowDxfId="146" dataCellStyle="Percent">
      <calculatedColumnFormula>Table1415[[#This Row],[Non Processed]]/Table1415[[#This Row],[Orders]]</calculatedColumnFormula>
    </tableColumn>
  </tableColumns>
  <tableStyleInfo showFirstColumn="0" showLastColumn="0" showRowStripes="1" showColumnStripes="0"/>
</table>
</file>

<file path=xl/tables/table9.xml><?xml version="1.0" encoding="utf-8"?>
<table xmlns="http://schemas.openxmlformats.org/spreadsheetml/2006/main" id="15" name="Table141516" displayName="Table141516" ref="E2:I500" totalsRowCount="1" headerRowDxfId="102" totalsRowDxfId="101">
  <tableColumns count="5">
    <tableColumn id="1" name="Orders" totalsRowFunction="sum" dataDxfId="100" totalsRowDxfId="99" dataCellStyle="Comma">
      <calculatedColumnFormula>SUMIF(Data!$B:$B,'FEB ORDERvsPRO'!C3,Data!$J:$J)</calculatedColumnFormula>
    </tableColumn>
    <tableColumn id="10" name="Processed" totalsRowFunction="sum" dataDxfId="98" totalsRowDxfId="97" dataCellStyle="Comma">
      <calculatedColumnFormula>SUMIF(Data!$B:$B,'FEB ORDERvsPRO'!C3,Data!$L:$L)</calculatedColumnFormula>
    </tableColumn>
    <tableColumn id="11" name="Non Processed" totalsRowFunction="sum" dataDxfId="96" totalsRowDxfId="95" dataCellStyle="Comma">
      <calculatedColumnFormula>Table141516[[#This Row],[Orders]]-Table141516[[#This Row],[Processed]]</calculatedColumnFormula>
    </tableColumn>
    <tableColumn id="3" name="Returns" dataDxfId="94" totalsRowDxfId="93" dataCellStyle="Comma">
      <calculatedColumnFormula>SUMIF('Returns Data'!$B:$B,'FEB ORDERvsPRO'!$C3,'Returns Data'!$J:$J)</calculatedColumnFormula>
    </tableColumn>
    <tableColumn id="2" name="% Non Processed" totalsRowFunction="average" dataDxfId="92" totalsRowDxfId="91" dataCellStyle="Percent">
      <calculatedColumnFormula>IFERROR(Table141516[[#This Row],[Non Processed]]/Table141516[[#This Row],[Orders]],"")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3.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11.xml"/><Relationship Id="rId4" Type="http://schemas.microsoft.com/office/2007/relationships/slicer" Target="../slicers/slicer4.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openxmlformats.org/officeDocument/2006/relationships/drawing" Target="../drawings/drawing9.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0.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pivotTable" Target="../pivotTables/pivotTable22.xml"/><Relationship Id="rId1" Type="http://schemas.openxmlformats.org/officeDocument/2006/relationships/pivotTable" Target="../pivotTables/pivotTable2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23.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rinterSettings" Target="../printerSettings/printerSettings6.bin"/><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23"/>
  <sheetViews>
    <sheetView zoomScale="80" zoomScaleNormal="80" workbookViewId="0">
      <selection activeCell="N18" sqref="N18"/>
    </sheetView>
  </sheetViews>
  <sheetFormatPr defaultRowHeight="15" x14ac:dyDescent="0.25"/>
  <cols>
    <col min="1" max="1" width="15.85546875" bestFit="1" customWidth="1"/>
    <col min="2" max="2" width="11.5703125" bestFit="1" customWidth="1"/>
    <col min="3" max="3" width="11.5703125" customWidth="1"/>
    <col min="4" max="4" width="14.7109375" customWidth="1"/>
    <col min="5" max="5" width="12.140625" bestFit="1" customWidth="1"/>
    <col min="6" max="6" width="13.85546875" bestFit="1" customWidth="1"/>
    <col min="7" max="7" width="18.7109375" bestFit="1" customWidth="1"/>
    <col min="8" max="8" width="9.5703125" bestFit="1" customWidth="1"/>
    <col min="9" max="9" width="10.5703125" bestFit="1" customWidth="1"/>
    <col min="10" max="10" width="14.28515625" bestFit="1" customWidth="1"/>
    <col min="11" max="11" width="11" bestFit="1" customWidth="1"/>
    <col min="14" max="15" width="12.140625" bestFit="1" customWidth="1"/>
    <col min="18" max="18" width="11.5703125" bestFit="1" customWidth="1"/>
    <col min="19" max="19" width="11.140625" customWidth="1"/>
    <col min="21" max="22" width="9.5703125" bestFit="1" customWidth="1"/>
  </cols>
  <sheetData>
    <row r="1" spans="1:26" x14ac:dyDescent="0.25">
      <c r="B1" s="2" t="s">
        <v>75</v>
      </c>
      <c r="C1" s="2"/>
      <c r="D1" s="2"/>
    </row>
    <row r="2" spans="1:26" x14ac:dyDescent="0.25">
      <c r="A2" s="4" t="s">
        <v>79</v>
      </c>
      <c r="B2" s="4" t="s">
        <v>115</v>
      </c>
      <c r="C2" s="4" t="s">
        <v>113</v>
      </c>
      <c r="D2" s="4" t="s">
        <v>114</v>
      </c>
      <c r="E2" s="4" t="s">
        <v>73</v>
      </c>
      <c r="F2" s="4" t="s">
        <v>70</v>
      </c>
      <c r="G2" s="4" t="s">
        <v>80</v>
      </c>
      <c r="H2" s="4" t="s">
        <v>71</v>
      </c>
      <c r="I2" s="4" t="s">
        <v>72</v>
      </c>
      <c r="J2" s="4" t="s">
        <v>81</v>
      </c>
      <c r="K2" s="4" t="s">
        <v>112</v>
      </c>
      <c r="M2" s="4" t="s">
        <v>79</v>
      </c>
      <c r="N2" s="4" t="s">
        <v>116</v>
      </c>
      <c r="O2" s="4" t="s">
        <v>115</v>
      </c>
      <c r="P2" s="4" t="s">
        <v>113</v>
      </c>
      <c r="Q2" s="4" t="s">
        <v>114</v>
      </c>
      <c r="R2" s="4" t="s">
        <v>73</v>
      </c>
      <c r="S2" s="4" t="s">
        <v>70</v>
      </c>
      <c r="T2" s="4" t="s">
        <v>80</v>
      </c>
      <c r="U2" s="4" t="s">
        <v>71</v>
      </c>
      <c r="V2" s="4" t="s">
        <v>72</v>
      </c>
      <c r="W2" s="4" t="s">
        <v>81</v>
      </c>
      <c r="X2" s="4" t="s">
        <v>112</v>
      </c>
    </row>
    <row r="3" spans="1:26" x14ac:dyDescent="0.25">
      <c r="A3" t="s">
        <v>67</v>
      </c>
      <c r="B3" s="6">
        <v>230000</v>
      </c>
      <c r="C3" s="15">
        <v>30</v>
      </c>
      <c r="D3" s="6"/>
      <c r="E3" s="19">
        <v>6</v>
      </c>
      <c r="F3" s="19">
        <v>79</v>
      </c>
      <c r="G3" s="19">
        <v>11</v>
      </c>
      <c r="H3" s="7">
        <v>44230</v>
      </c>
      <c r="I3" s="7">
        <v>23410</v>
      </c>
      <c r="J3" s="7">
        <f>Table1[[#This Row],[Order]]-Table1[[#This Row],[Delivery]]</f>
        <v>20820</v>
      </c>
      <c r="K3" s="7"/>
      <c r="M3" s="5">
        <v>44599</v>
      </c>
      <c r="N3" s="15">
        <v>3</v>
      </c>
      <c r="O3" s="6">
        <v>230000</v>
      </c>
      <c r="P3" s="15">
        <v>30</v>
      </c>
      <c r="Q3" s="6"/>
      <c r="R3" s="19">
        <v>6</v>
      </c>
      <c r="S3" s="67"/>
      <c r="T3" s="67"/>
      <c r="U3" s="6">
        <v>135680</v>
      </c>
      <c r="V3" s="7">
        <v>135680</v>
      </c>
      <c r="W3" s="7"/>
      <c r="X3" s="7"/>
    </row>
    <row r="4" spans="1:26" x14ac:dyDescent="0.25">
      <c r="A4" t="s">
        <v>68</v>
      </c>
      <c r="B4" s="6">
        <v>230000</v>
      </c>
      <c r="C4" s="15">
        <v>30</v>
      </c>
      <c r="D4" s="6"/>
      <c r="E4" s="19">
        <v>6</v>
      </c>
      <c r="F4" s="19">
        <v>73</v>
      </c>
      <c r="G4" s="19">
        <v>15</v>
      </c>
      <c r="H4" s="7">
        <v>32500</v>
      </c>
      <c r="I4" s="7">
        <v>32270</v>
      </c>
      <c r="J4" s="7">
        <f>Table1[[#This Row],[Order]]-Table1[[#This Row],[Delivery]]</f>
        <v>230</v>
      </c>
      <c r="K4" s="7"/>
      <c r="M4" s="5">
        <v>44600</v>
      </c>
      <c r="N4" s="15">
        <v>3</v>
      </c>
      <c r="O4" s="6">
        <v>230000</v>
      </c>
      <c r="P4" s="15">
        <v>30</v>
      </c>
      <c r="Q4" s="6"/>
      <c r="R4" s="19">
        <v>6</v>
      </c>
      <c r="S4" s="67"/>
      <c r="T4" s="67"/>
      <c r="U4" s="6">
        <v>228600</v>
      </c>
      <c r="V4" s="7">
        <v>167640</v>
      </c>
      <c r="W4" s="7">
        <v>60960</v>
      </c>
      <c r="X4" s="7"/>
    </row>
    <row r="5" spans="1:26" x14ac:dyDescent="0.25">
      <c r="A5" t="s">
        <v>69</v>
      </c>
      <c r="B5" s="6">
        <v>230000</v>
      </c>
      <c r="C5" s="15">
        <v>30</v>
      </c>
      <c r="D5" s="6"/>
      <c r="E5" s="19">
        <v>6</v>
      </c>
      <c r="F5" s="19">
        <v>90</v>
      </c>
      <c r="G5" s="19">
        <v>20</v>
      </c>
      <c r="H5" s="7">
        <v>75878</v>
      </c>
      <c r="I5" s="6">
        <v>66295</v>
      </c>
      <c r="J5" s="7">
        <f>Table1[[#This Row],[Order]]-Table1[[#This Row],[Delivery]]</f>
        <v>9583</v>
      </c>
      <c r="K5" s="7"/>
      <c r="M5" s="5">
        <v>44601</v>
      </c>
      <c r="N5" s="15">
        <v>3</v>
      </c>
      <c r="O5" s="6">
        <v>230000</v>
      </c>
      <c r="P5" s="15">
        <v>30</v>
      </c>
      <c r="Q5" s="6"/>
      <c r="R5" s="19">
        <v>6</v>
      </c>
      <c r="S5" s="67"/>
      <c r="T5" s="67"/>
      <c r="U5" s="6">
        <v>133825</v>
      </c>
      <c r="V5" s="6"/>
      <c r="W5" s="7"/>
      <c r="X5" s="7"/>
    </row>
    <row r="6" spans="1:26" x14ac:dyDescent="0.25">
      <c r="A6" t="s">
        <v>74</v>
      </c>
      <c r="B6" s="6">
        <v>230000</v>
      </c>
      <c r="C6" s="15">
        <v>30</v>
      </c>
      <c r="D6" s="6"/>
      <c r="E6" s="19">
        <v>6</v>
      </c>
      <c r="F6" s="19">
        <v>87</v>
      </c>
      <c r="G6" s="19">
        <v>26</v>
      </c>
      <c r="H6" s="7">
        <v>145080</v>
      </c>
      <c r="I6" s="14">
        <v>174665</v>
      </c>
      <c r="J6" s="7">
        <f>Table1[[#This Row],[Order]]-Table1[[#This Row],[Delivery]]</f>
        <v>-29585</v>
      </c>
      <c r="K6" s="7"/>
      <c r="M6" s="5">
        <v>44602</v>
      </c>
      <c r="N6" s="15">
        <v>3</v>
      </c>
      <c r="O6" s="6">
        <v>230000</v>
      </c>
      <c r="P6" s="15">
        <v>30</v>
      </c>
      <c r="Q6" s="6"/>
      <c r="R6" s="19">
        <v>6</v>
      </c>
      <c r="S6" s="67"/>
      <c r="T6" s="67"/>
      <c r="U6" s="6">
        <v>128495</v>
      </c>
      <c r="V6" s="14"/>
      <c r="W6" s="7"/>
      <c r="X6" s="7"/>
    </row>
    <row r="7" spans="1:26" x14ac:dyDescent="0.25">
      <c r="A7" t="s">
        <v>76</v>
      </c>
      <c r="B7" s="6">
        <v>230000</v>
      </c>
      <c r="C7" s="15">
        <v>30</v>
      </c>
      <c r="D7" s="6"/>
      <c r="E7" s="19">
        <v>6</v>
      </c>
      <c r="F7" s="19">
        <v>80</v>
      </c>
      <c r="G7" s="19">
        <v>20</v>
      </c>
      <c r="H7" s="7">
        <v>123210</v>
      </c>
      <c r="I7" s="9">
        <v>123650</v>
      </c>
      <c r="J7" s="7">
        <f>Table1[[#This Row],[Order]]-Table1[[#This Row],[Delivery]]</f>
        <v>-440</v>
      </c>
      <c r="K7" s="7"/>
      <c r="M7" s="5">
        <v>44603</v>
      </c>
      <c r="N7" s="15">
        <v>3</v>
      </c>
      <c r="O7" s="6">
        <v>230000</v>
      </c>
      <c r="P7" s="15">
        <v>30</v>
      </c>
      <c r="Q7" s="6"/>
      <c r="R7" s="19">
        <v>6</v>
      </c>
      <c r="S7" s="67"/>
      <c r="T7" s="67"/>
      <c r="U7" s="6"/>
      <c r="V7" s="9"/>
      <c r="W7" s="7"/>
      <c r="X7" s="7"/>
    </row>
    <row r="8" spans="1:26" x14ac:dyDescent="0.25">
      <c r="A8" t="s">
        <v>749</v>
      </c>
      <c r="B8" s="9"/>
      <c r="C8" s="15">
        <v>30</v>
      </c>
      <c r="D8" s="9"/>
      <c r="E8" s="19"/>
      <c r="F8" s="19"/>
      <c r="G8" s="19"/>
      <c r="H8" s="7">
        <v>21780</v>
      </c>
      <c r="I8" s="9"/>
      <c r="J8" s="7">
        <f>Table1[[#This Row],[Order]]-Table1[[#This Row],[Delivery]]</f>
        <v>21780</v>
      </c>
      <c r="K8" s="7"/>
      <c r="M8" s="5">
        <v>44604</v>
      </c>
      <c r="N8" s="15">
        <v>3</v>
      </c>
      <c r="O8" s="9"/>
      <c r="P8" s="15">
        <v>30</v>
      </c>
      <c r="Q8" s="9"/>
      <c r="R8" s="19"/>
      <c r="S8" s="67"/>
      <c r="T8" s="67"/>
      <c r="U8" s="6"/>
      <c r="V8" s="9"/>
      <c r="W8" s="7"/>
      <c r="X8" s="7"/>
    </row>
    <row r="9" spans="1:26" x14ac:dyDescent="0.25">
      <c r="B9" s="11">
        <f>SUBTOTAL(109,Table1[Target Order])</f>
        <v>1150000</v>
      </c>
      <c r="C9" s="17">
        <f>SUBTOTAL(109,Table1[Target Reach])</f>
        <v>180</v>
      </c>
      <c r="D9" s="11"/>
      <c r="E9" s="17">
        <f>SUBTOTAL(101,Table1[TDRs])</f>
        <v>6</v>
      </c>
      <c r="F9" s="17">
        <f>SUBTOTAL(109,Table1[Outlets Visited])</f>
        <v>409</v>
      </c>
      <c r="G9" s="17">
        <f>SUBTOTAL(109,Table1[Outlets with Order])</f>
        <v>92</v>
      </c>
      <c r="H9" s="12">
        <f>SUBTOTAL(109,Table1[Order])</f>
        <v>442678</v>
      </c>
      <c r="I9" s="12">
        <f>SUBTOTAL(109,Table1[Delivery])</f>
        <v>420290</v>
      </c>
      <c r="J9" s="12">
        <f>SUBTOTAL(109,Table1[Non- Delivered])</f>
        <v>22388</v>
      </c>
      <c r="K9" s="13"/>
      <c r="M9" s="5">
        <v>44605</v>
      </c>
      <c r="N9" s="15">
        <v>3</v>
      </c>
      <c r="O9" s="9"/>
      <c r="P9" s="15"/>
      <c r="Q9" s="6"/>
      <c r="R9" s="19"/>
      <c r="S9" s="67"/>
      <c r="T9" s="67"/>
      <c r="U9" s="6"/>
      <c r="V9" s="9"/>
      <c r="W9" s="9"/>
      <c r="X9" s="7"/>
    </row>
    <row r="10" spans="1:26" x14ac:dyDescent="0.25">
      <c r="N10" s="87"/>
      <c r="O10" s="28">
        <f>SUBTOTAL(109,Table110[Target Order])</f>
        <v>1150000</v>
      </c>
      <c r="P10" s="27">
        <f>SUBTOTAL(109,Table110[Target Reach])</f>
        <v>180</v>
      </c>
      <c r="Q10" s="28"/>
      <c r="R10" s="27">
        <f>SUBTOTAL(101,Table110[TDRs])</f>
        <v>6</v>
      </c>
      <c r="S10" s="88">
        <f>SUBTOTAL(109,Table110[Outlets Visited])</f>
        <v>0</v>
      </c>
      <c r="T10" s="88">
        <f>SUBTOTAL(109,Table110[Outlets with Order])</f>
        <v>0</v>
      </c>
      <c r="U10" s="28">
        <f>SUBTOTAL(109,Table110[Order])</f>
        <v>626600</v>
      </c>
      <c r="V10" s="29">
        <f>SUBTOTAL(109,Table110[Delivery])</f>
        <v>303320</v>
      </c>
      <c r="W10" s="29">
        <f>SUBTOTAL(109,Table110[Non- Delivered])</f>
        <v>60960</v>
      </c>
      <c r="X10" s="30"/>
      <c r="Z10" s="10"/>
    </row>
    <row r="11" spans="1:26" x14ac:dyDescent="0.25">
      <c r="B11" t="s">
        <v>117</v>
      </c>
      <c r="C11" s="19">
        <v>30</v>
      </c>
    </row>
    <row r="12" spans="1:26" x14ac:dyDescent="0.25">
      <c r="B12" t="s">
        <v>118</v>
      </c>
      <c r="C12" s="19">
        <v>9</v>
      </c>
      <c r="F12" s="10"/>
    </row>
    <row r="13" spans="1:26" x14ac:dyDescent="0.25">
      <c r="B13" t="s">
        <v>119</v>
      </c>
      <c r="C13" s="20">
        <v>38350</v>
      </c>
      <c r="F13" s="10"/>
      <c r="T13" t="s">
        <v>300</v>
      </c>
    </row>
    <row r="14" spans="1:26" x14ac:dyDescent="0.25">
      <c r="A14" t="s">
        <v>75</v>
      </c>
    </row>
    <row r="15" spans="1:26" x14ac:dyDescent="0.25">
      <c r="A15" s="4" t="s">
        <v>110</v>
      </c>
      <c r="B15" s="4" t="s">
        <v>116</v>
      </c>
      <c r="C15" s="4" t="s">
        <v>113</v>
      </c>
      <c r="D15" s="4" t="s">
        <v>114</v>
      </c>
      <c r="E15" s="4" t="s">
        <v>115</v>
      </c>
      <c r="F15" s="4" t="s">
        <v>70</v>
      </c>
      <c r="G15" s="4" t="s">
        <v>80</v>
      </c>
      <c r="H15" s="4" t="s">
        <v>71</v>
      </c>
      <c r="I15" s="4" t="s">
        <v>72</v>
      </c>
      <c r="J15" s="4" t="s">
        <v>81</v>
      </c>
      <c r="K15" s="4" t="s">
        <v>112</v>
      </c>
    </row>
    <row r="16" spans="1:26" x14ac:dyDescent="0.25">
      <c r="A16" t="s">
        <v>22</v>
      </c>
      <c r="B16" s="15">
        <v>5</v>
      </c>
      <c r="C16" s="15">
        <f>Table14[[#This Row],[Days worked]]*$C$11</f>
        <v>150</v>
      </c>
      <c r="D16" s="15">
        <f>Table14[[#This Row],[Days worked]]*$C$12</f>
        <v>45</v>
      </c>
      <c r="E16" s="7">
        <f>$C$13*Table14[[#This Row],[Days worked]]</f>
        <v>191750</v>
      </c>
      <c r="F16" s="19">
        <v>86</v>
      </c>
      <c r="G16" s="19">
        <v>25</v>
      </c>
      <c r="H16" s="7"/>
      <c r="I16" s="7"/>
      <c r="J16" s="7"/>
      <c r="K16" s="7"/>
    </row>
    <row r="17" spans="1:11" x14ac:dyDescent="0.25">
      <c r="A17" t="s">
        <v>1</v>
      </c>
      <c r="B17" s="15">
        <v>5</v>
      </c>
      <c r="C17" s="15">
        <f>Table14[[#This Row],[Days worked]]*$C$11</f>
        <v>150</v>
      </c>
      <c r="D17" s="15">
        <f>Table14[[#This Row],[Days worked]]*$C$12</f>
        <v>45</v>
      </c>
      <c r="E17" s="7">
        <f>$C$13*Table14[[#This Row],[Days worked]]</f>
        <v>191750</v>
      </c>
      <c r="F17" s="19">
        <v>44</v>
      </c>
      <c r="G17" s="19">
        <v>34</v>
      </c>
      <c r="H17" s="7"/>
      <c r="I17" s="7"/>
      <c r="J17" s="8"/>
      <c r="K17" s="7"/>
    </row>
    <row r="18" spans="1:11" x14ac:dyDescent="0.25">
      <c r="A18" t="s">
        <v>15</v>
      </c>
      <c r="B18" s="15">
        <v>3</v>
      </c>
      <c r="C18" s="15">
        <f>Table14[[#This Row],[Days worked]]*$C$11</f>
        <v>90</v>
      </c>
      <c r="D18" s="15">
        <f>Table14[[#This Row],[Days worked]]*$C$12</f>
        <v>27</v>
      </c>
      <c r="E18" s="7">
        <f>$C$13*Table14[[#This Row],[Days worked]]</f>
        <v>115050</v>
      </c>
      <c r="F18" s="19">
        <v>64</v>
      </c>
      <c r="G18" s="19">
        <v>9</v>
      </c>
      <c r="H18" s="7"/>
      <c r="I18" s="6"/>
      <c r="J18" s="6"/>
      <c r="K18" s="7"/>
    </row>
    <row r="19" spans="1:11" x14ac:dyDescent="0.25">
      <c r="A19" t="s">
        <v>19</v>
      </c>
      <c r="B19" s="15">
        <v>5</v>
      </c>
      <c r="C19" s="15">
        <f>Table14[[#This Row],[Days worked]]*$C$11</f>
        <v>150</v>
      </c>
      <c r="D19" s="15">
        <f>Table14[[#This Row],[Days worked]]*$C$12</f>
        <v>45</v>
      </c>
      <c r="E19" s="7">
        <f>$C$13*Table14[[#This Row],[Days worked]]</f>
        <v>191750</v>
      </c>
      <c r="F19" s="19">
        <v>163</v>
      </c>
      <c r="G19" s="19">
        <v>26</v>
      </c>
      <c r="H19" s="7"/>
      <c r="I19" s="18"/>
      <c r="J19" s="14"/>
      <c r="K19" s="7"/>
    </row>
    <row r="20" spans="1:11" x14ac:dyDescent="0.25">
      <c r="A20" t="s">
        <v>11</v>
      </c>
      <c r="B20" s="15">
        <v>5</v>
      </c>
      <c r="C20" s="15">
        <f>Table14[[#This Row],[Days worked]]*$C$11</f>
        <v>150</v>
      </c>
      <c r="D20" s="15">
        <f>Table14[[#This Row],[Days worked]]*$C$12</f>
        <v>45</v>
      </c>
      <c r="E20" s="7">
        <f>$C$13*Table14[[#This Row],[Days worked]]</f>
        <v>191750</v>
      </c>
      <c r="F20" s="19">
        <v>32</v>
      </c>
      <c r="G20" s="19">
        <v>19</v>
      </c>
      <c r="H20" s="7"/>
      <c r="I20" s="9"/>
      <c r="J20" s="14"/>
      <c r="K20" s="7"/>
    </row>
    <row r="21" spans="1:11" x14ac:dyDescent="0.25">
      <c r="A21" t="s">
        <v>16</v>
      </c>
      <c r="B21" s="15">
        <v>5</v>
      </c>
      <c r="C21" s="15">
        <f>Table14[[#This Row],[Days worked]]*$C$11</f>
        <v>150</v>
      </c>
      <c r="D21" s="15">
        <f>Table14[[#This Row],[Days worked]]*$C$12</f>
        <v>45</v>
      </c>
      <c r="E21" s="7">
        <f>$C$13*Table14[[#This Row],[Days worked]]</f>
        <v>191750</v>
      </c>
      <c r="F21" s="19"/>
      <c r="G21" s="19">
        <v>13</v>
      </c>
      <c r="H21" s="7"/>
      <c r="I21" s="9"/>
      <c r="J21" s="14"/>
      <c r="K21" s="7"/>
    </row>
    <row r="22" spans="1:11" x14ac:dyDescent="0.25">
      <c r="A22" t="s">
        <v>111</v>
      </c>
      <c r="B22" s="19">
        <v>2</v>
      </c>
      <c r="C22" s="15">
        <f>Table14[[#This Row],[Days worked]]*$C$11</f>
        <v>60</v>
      </c>
      <c r="D22" s="15">
        <f>Table14[[#This Row],[Days worked]]*$C$12</f>
        <v>18</v>
      </c>
      <c r="E22" s="7">
        <f>$C$13*Table14[[#This Row],[Days worked]]</f>
        <v>76700</v>
      </c>
      <c r="F22" s="19">
        <v>34</v>
      </c>
      <c r="G22" s="19">
        <v>12</v>
      </c>
      <c r="H22" s="7"/>
      <c r="I22" s="9"/>
      <c r="J22" s="9"/>
      <c r="K22" s="7"/>
    </row>
    <row r="23" spans="1:11" x14ac:dyDescent="0.25">
      <c r="B23" s="26">
        <f>SUBTOTAL(101,Table14[Days worked])</f>
        <v>4.2857142857142856</v>
      </c>
      <c r="C23" s="27">
        <f>SUBTOTAL(109,Table14[Target Reach])</f>
        <v>900</v>
      </c>
      <c r="D23" s="27">
        <f>SUBTOTAL(109,Table14[Target Conversion])</f>
        <v>270</v>
      </c>
      <c r="E23" s="28">
        <f>SUBTOTAL(109,Table14[Target Order])</f>
        <v>1150500</v>
      </c>
      <c r="F23" s="27">
        <f>SUBTOTAL(109,Table14[Outlets Visited])</f>
        <v>423</v>
      </c>
      <c r="G23" s="27">
        <f>SUBTOTAL(109,Table14[Outlets with Order])</f>
        <v>138</v>
      </c>
      <c r="H23" s="29">
        <f>SUBTOTAL(109,Table14[Order])</f>
        <v>0</v>
      </c>
      <c r="I23" s="29">
        <f>SUBTOTAL(109,Table14[Delivery])</f>
        <v>0</v>
      </c>
      <c r="J23" s="29">
        <f>SUBTOTAL(109,Table14[Non- Delivered])</f>
        <v>0</v>
      </c>
      <c r="K23" s="30"/>
    </row>
  </sheetData>
  <pageMargins left="0.7" right="0.7" top="0.75" bottom="0.75" header="0.3" footer="0.3"/>
  <pageSetup orientation="portrait" horizontalDpi="360" verticalDpi="360"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G100"/>
  <sheetViews>
    <sheetView zoomScale="80" zoomScaleNormal="80" workbookViewId="0">
      <selection activeCell="F4" sqref="F4"/>
    </sheetView>
  </sheetViews>
  <sheetFormatPr defaultRowHeight="15" x14ac:dyDescent="0.25"/>
  <cols>
    <col min="2" max="2" width="18.85546875" customWidth="1"/>
    <col min="3" max="3" width="16.7109375" customWidth="1"/>
    <col min="4" max="4" width="9.5703125" customWidth="1"/>
    <col min="5" max="5" width="11.5703125" customWidth="1"/>
    <col min="6" max="6" width="12.28515625" bestFit="1" customWidth="1"/>
    <col min="7" max="7" width="11.7109375" bestFit="1" customWidth="1"/>
    <col min="8" max="8" width="11.5703125" customWidth="1"/>
    <col min="9" max="9" width="9.5703125" bestFit="1" customWidth="1"/>
    <col min="10" max="10" width="11.7109375" bestFit="1" customWidth="1"/>
    <col min="11" max="11" width="11.5703125" bestFit="1" customWidth="1"/>
  </cols>
  <sheetData>
    <row r="2" spans="2:6" x14ac:dyDescent="0.25">
      <c r="B2" s="91" t="s">
        <v>759</v>
      </c>
      <c r="C2" s="91" t="s">
        <v>961</v>
      </c>
    </row>
    <row r="3" spans="2:6" x14ac:dyDescent="0.25">
      <c r="B3" s="91" t="s">
        <v>541</v>
      </c>
      <c r="C3" t="s">
        <v>177</v>
      </c>
      <c r="D3" t="s">
        <v>784</v>
      </c>
      <c r="E3" t="s">
        <v>407</v>
      </c>
      <c r="F3" t="s">
        <v>962</v>
      </c>
    </row>
    <row r="4" spans="2:6" x14ac:dyDescent="0.25">
      <c r="B4" s="92" t="s">
        <v>1</v>
      </c>
      <c r="C4" s="113">
        <v>559613</v>
      </c>
      <c r="D4" s="113">
        <v>196850</v>
      </c>
      <c r="E4" s="113">
        <v>756463</v>
      </c>
      <c r="F4" s="187">
        <f>IFERROR((D4-C4)/D4,"")</f>
        <v>-1.8428397256794513</v>
      </c>
    </row>
    <row r="5" spans="2:6" x14ac:dyDescent="0.25">
      <c r="B5" s="92" t="s">
        <v>22</v>
      </c>
      <c r="C5" s="113">
        <v>275150</v>
      </c>
      <c r="D5" s="113">
        <v>153775</v>
      </c>
      <c r="E5" s="113">
        <v>428925</v>
      </c>
      <c r="F5" s="187">
        <f t="shared" ref="F5:F8" si="0">IFERROR((D5-C5)/D5,"")</f>
        <v>-0.78930255243049907</v>
      </c>
    </row>
    <row r="6" spans="2:6" x14ac:dyDescent="0.25">
      <c r="B6" s="92" t="s">
        <v>19</v>
      </c>
      <c r="C6" s="113">
        <v>180400</v>
      </c>
      <c r="D6" s="113">
        <v>131633</v>
      </c>
      <c r="E6" s="113">
        <v>312033</v>
      </c>
      <c r="F6" s="187">
        <f t="shared" si="0"/>
        <v>-0.37047700804509509</v>
      </c>
    </row>
    <row r="7" spans="2:6" x14ac:dyDescent="0.25">
      <c r="B7" s="92" t="s">
        <v>111</v>
      </c>
      <c r="C7" s="113">
        <v>171870</v>
      </c>
      <c r="D7" s="113">
        <v>97935</v>
      </c>
      <c r="E7" s="113">
        <v>269805</v>
      </c>
      <c r="F7" s="187">
        <f t="shared" si="0"/>
        <v>-0.75493950068923266</v>
      </c>
    </row>
    <row r="8" spans="2:6" x14ac:dyDescent="0.25">
      <c r="B8" s="92" t="s">
        <v>11</v>
      </c>
      <c r="C8" s="113">
        <v>129015</v>
      </c>
      <c r="D8" s="113">
        <v>108295</v>
      </c>
      <c r="E8" s="113">
        <v>237310</v>
      </c>
      <c r="F8" s="187">
        <f t="shared" si="0"/>
        <v>-0.19132923957708112</v>
      </c>
    </row>
    <row r="9" spans="2:6" x14ac:dyDescent="0.25">
      <c r="B9" s="92" t="s">
        <v>599</v>
      </c>
      <c r="C9" s="113">
        <v>33865</v>
      </c>
      <c r="D9" s="113">
        <v>169765</v>
      </c>
      <c r="E9" s="113">
        <v>203630</v>
      </c>
      <c r="F9" s="187">
        <f>IFERROR((D9-C9)/D9,"")</f>
        <v>0.8005183636202986</v>
      </c>
    </row>
    <row r="10" spans="2:6" x14ac:dyDescent="0.25">
      <c r="B10" s="92" t="s">
        <v>16</v>
      </c>
      <c r="C10" s="113">
        <v>203005</v>
      </c>
      <c r="D10" s="113"/>
      <c r="E10" s="113">
        <v>203005</v>
      </c>
      <c r="F10" s="187" t="str">
        <f t="shared" ref="F10:F13" si="1">IFERROR((D10-C10)/D10,"")</f>
        <v/>
      </c>
    </row>
    <row r="11" spans="2:6" x14ac:dyDescent="0.25">
      <c r="B11" s="92" t="s">
        <v>15</v>
      </c>
      <c r="C11" s="113">
        <v>6985</v>
      </c>
      <c r="D11" s="113"/>
      <c r="E11" s="113">
        <v>6985</v>
      </c>
      <c r="F11" s="187" t="str">
        <f t="shared" si="1"/>
        <v/>
      </c>
    </row>
    <row r="12" spans="2:6" x14ac:dyDescent="0.25">
      <c r="B12" s="92" t="s">
        <v>407</v>
      </c>
      <c r="C12" s="113">
        <v>1559903</v>
      </c>
      <c r="D12" s="113">
        <v>858253</v>
      </c>
      <c r="E12" s="113">
        <v>2418156</v>
      </c>
      <c r="F12" s="187">
        <f t="shared" si="1"/>
        <v>-0.81753282540229977</v>
      </c>
    </row>
    <row r="13" spans="2:6" x14ac:dyDescent="0.25">
      <c r="F13" s="187" t="str">
        <f t="shared" si="1"/>
        <v/>
      </c>
    </row>
    <row r="14" spans="2:6" x14ac:dyDescent="0.25">
      <c r="B14" s="91" t="s">
        <v>0</v>
      </c>
      <c r="C14" t="s" vm="5">
        <v>22</v>
      </c>
    </row>
    <row r="16" spans="2:6" x14ac:dyDescent="0.25">
      <c r="B16" s="91" t="s">
        <v>759</v>
      </c>
      <c r="C16" s="91" t="s">
        <v>961</v>
      </c>
    </row>
    <row r="17" spans="2:7" x14ac:dyDescent="0.25">
      <c r="B17" s="91" t="s">
        <v>541</v>
      </c>
      <c r="C17" t="s">
        <v>177</v>
      </c>
      <c r="D17" t="s">
        <v>784</v>
      </c>
      <c r="E17" t="s">
        <v>407</v>
      </c>
      <c r="F17" t="s">
        <v>962</v>
      </c>
      <c r="G17" t="s">
        <v>963</v>
      </c>
    </row>
    <row r="18" spans="2:7" x14ac:dyDescent="0.25">
      <c r="B18" s="92" t="s">
        <v>976</v>
      </c>
      <c r="C18" s="113">
        <v>81580</v>
      </c>
      <c r="D18" s="113">
        <v>19295</v>
      </c>
      <c r="E18" s="113">
        <v>100875</v>
      </c>
      <c r="F18" s="187">
        <f>IFERROR((D18-C18)/D18,"")</f>
        <v>-3.2280383519046385</v>
      </c>
      <c r="G18" s="194" t="str">
        <f>IFERROR(D18/$D$39,"")</f>
        <v/>
      </c>
    </row>
    <row r="19" spans="2:7" x14ac:dyDescent="0.25">
      <c r="B19" s="92" t="s">
        <v>965</v>
      </c>
      <c r="C19" s="113">
        <v>25840</v>
      </c>
      <c r="D19" s="113">
        <v>50780</v>
      </c>
      <c r="E19" s="113">
        <v>76620</v>
      </c>
      <c r="F19" s="187">
        <f t="shared" ref="F19:F82" si="2">IFERROR((D19-C19)/D19,"")</f>
        <v>0.49113824340291451</v>
      </c>
      <c r="G19" s="194" t="str">
        <f t="shared" ref="G19:G38" si="3">IFERROR(D19/$D$39,"")</f>
        <v/>
      </c>
    </row>
    <row r="20" spans="2:7" x14ac:dyDescent="0.25">
      <c r="B20" s="92" t="s">
        <v>969</v>
      </c>
      <c r="C20" s="113">
        <v>29640</v>
      </c>
      <c r="D20" s="113">
        <v>39420</v>
      </c>
      <c r="E20" s="113">
        <v>69060</v>
      </c>
      <c r="F20" s="187">
        <f t="shared" si="2"/>
        <v>0.24809741248097411</v>
      </c>
      <c r="G20" s="194" t="str">
        <f t="shared" si="3"/>
        <v/>
      </c>
    </row>
    <row r="21" spans="2:7" x14ac:dyDescent="0.25">
      <c r="B21" s="92" t="s">
        <v>968</v>
      </c>
      <c r="C21" s="113">
        <v>51365</v>
      </c>
      <c r="D21" s="113"/>
      <c r="E21" s="113">
        <v>51365</v>
      </c>
      <c r="F21" s="187" t="str">
        <f t="shared" si="2"/>
        <v/>
      </c>
      <c r="G21" s="194" t="str">
        <f t="shared" si="3"/>
        <v/>
      </c>
    </row>
    <row r="22" spans="2:7" x14ac:dyDescent="0.25">
      <c r="B22" s="92" t="s">
        <v>966</v>
      </c>
      <c r="C22" s="113">
        <v>29180</v>
      </c>
      <c r="D22" s="113">
        <v>11030</v>
      </c>
      <c r="E22" s="113">
        <v>40210</v>
      </c>
      <c r="F22" s="187">
        <f t="shared" si="2"/>
        <v>-1.6455122393472348</v>
      </c>
      <c r="G22" s="194" t="str">
        <f t="shared" si="3"/>
        <v/>
      </c>
    </row>
    <row r="23" spans="2:7" x14ac:dyDescent="0.25">
      <c r="B23" s="92" t="s">
        <v>977</v>
      </c>
      <c r="C23" s="113">
        <v>22450</v>
      </c>
      <c r="D23" s="113">
        <v>7450</v>
      </c>
      <c r="E23" s="113">
        <v>29900</v>
      </c>
      <c r="F23" s="187">
        <f t="shared" si="2"/>
        <v>-2.0134228187919465</v>
      </c>
      <c r="G23" s="194" t="str">
        <f t="shared" si="3"/>
        <v/>
      </c>
    </row>
    <row r="24" spans="2:7" x14ac:dyDescent="0.25">
      <c r="B24" s="92" t="s">
        <v>972</v>
      </c>
      <c r="C24" s="113">
        <v>8655</v>
      </c>
      <c r="D24" s="113">
        <v>5160</v>
      </c>
      <c r="E24" s="113">
        <v>13815</v>
      </c>
      <c r="F24" s="187">
        <f t="shared" si="2"/>
        <v>-0.67732558139534882</v>
      </c>
      <c r="G24" s="194" t="str">
        <f t="shared" si="3"/>
        <v/>
      </c>
    </row>
    <row r="25" spans="2:7" x14ac:dyDescent="0.25">
      <c r="B25" s="92" t="s">
        <v>967</v>
      </c>
      <c r="C25" s="113">
        <v>9200</v>
      </c>
      <c r="D25" s="113">
        <v>2550</v>
      </c>
      <c r="E25" s="113">
        <v>11750</v>
      </c>
      <c r="F25" s="187">
        <f>IFERROR((D25-C25)/D25,"")</f>
        <v>-2.607843137254902</v>
      </c>
      <c r="G25" s="194" t="str">
        <f t="shared" si="3"/>
        <v/>
      </c>
    </row>
    <row r="26" spans="2:7" x14ac:dyDescent="0.25">
      <c r="B26" s="92" t="s">
        <v>983</v>
      </c>
      <c r="C26" s="113"/>
      <c r="D26" s="113">
        <v>9195</v>
      </c>
      <c r="E26" s="113">
        <v>9195</v>
      </c>
      <c r="F26" s="187">
        <f t="shared" si="2"/>
        <v>1</v>
      </c>
      <c r="G26" s="194" t="str">
        <f t="shared" si="3"/>
        <v/>
      </c>
    </row>
    <row r="27" spans="2:7" x14ac:dyDescent="0.25">
      <c r="B27" s="92" t="s">
        <v>978</v>
      </c>
      <c r="C27" s="113">
        <v>8010</v>
      </c>
      <c r="D27" s="113"/>
      <c r="E27" s="113">
        <v>8010</v>
      </c>
      <c r="F27" s="187" t="str">
        <f t="shared" si="2"/>
        <v/>
      </c>
      <c r="G27" s="194" t="str">
        <f t="shared" si="3"/>
        <v/>
      </c>
    </row>
    <row r="28" spans="2:7" x14ac:dyDescent="0.25">
      <c r="B28" s="92" t="s">
        <v>971</v>
      </c>
      <c r="C28" s="113">
        <v>2550</v>
      </c>
      <c r="D28" s="113">
        <v>3060</v>
      </c>
      <c r="E28" s="113">
        <v>5610</v>
      </c>
      <c r="F28" s="187">
        <f t="shared" si="2"/>
        <v>0.16666666666666666</v>
      </c>
      <c r="G28" s="194" t="str">
        <f t="shared" si="3"/>
        <v/>
      </c>
    </row>
    <row r="29" spans="2:7" x14ac:dyDescent="0.25">
      <c r="B29" s="92" t="s">
        <v>984</v>
      </c>
      <c r="C29" s="113">
        <v>4750</v>
      </c>
      <c r="D29" s="113"/>
      <c r="E29" s="113">
        <v>4750</v>
      </c>
      <c r="F29" s="187" t="str">
        <f t="shared" si="2"/>
        <v/>
      </c>
      <c r="G29" s="194" t="str">
        <f t="shared" si="3"/>
        <v/>
      </c>
    </row>
    <row r="30" spans="2:7" x14ac:dyDescent="0.25">
      <c r="B30" s="92" t="s">
        <v>981</v>
      </c>
      <c r="C30" s="113">
        <v>310</v>
      </c>
      <c r="D30" s="113">
        <v>3720</v>
      </c>
      <c r="E30" s="113">
        <v>4030</v>
      </c>
      <c r="F30" s="187">
        <f t="shared" si="2"/>
        <v>0.91666666666666663</v>
      </c>
      <c r="G30" s="194" t="str">
        <f t="shared" si="3"/>
        <v/>
      </c>
    </row>
    <row r="31" spans="2:7" x14ac:dyDescent="0.25">
      <c r="B31" s="92" t="s">
        <v>980</v>
      </c>
      <c r="C31" s="113">
        <v>840</v>
      </c>
      <c r="D31" s="113">
        <v>650</v>
      </c>
      <c r="E31" s="113">
        <v>1490</v>
      </c>
      <c r="F31" s="187">
        <f t="shared" si="2"/>
        <v>-0.29230769230769232</v>
      </c>
      <c r="G31" s="194" t="str">
        <f t="shared" si="3"/>
        <v/>
      </c>
    </row>
    <row r="32" spans="2:7" x14ac:dyDescent="0.25">
      <c r="B32" s="92" t="s">
        <v>973</v>
      </c>
      <c r="C32" s="113">
        <v>780</v>
      </c>
      <c r="D32" s="113">
        <v>520</v>
      </c>
      <c r="E32" s="113">
        <v>1300</v>
      </c>
      <c r="F32" s="187">
        <f t="shared" si="2"/>
        <v>-0.5</v>
      </c>
      <c r="G32" s="194" t="str">
        <f t="shared" si="3"/>
        <v/>
      </c>
    </row>
    <row r="33" spans="2:7" x14ac:dyDescent="0.25">
      <c r="B33" s="92" t="s">
        <v>982</v>
      </c>
      <c r="C33" s="113"/>
      <c r="D33" s="113">
        <v>625</v>
      </c>
      <c r="E33" s="113">
        <v>625</v>
      </c>
      <c r="F33" s="187">
        <f t="shared" si="2"/>
        <v>1</v>
      </c>
      <c r="G33" s="194" t="str">
        <f t="shared" si="3"/>
        <v/>
      </c>
    </row>
    <row r="34" spans="2:7" x14ac:dyDescent="0.25">
      <c r="B34" s="92" t="s">
        <v>979</v>
      </c>
      <c r="C34" s="113"/>
      <c r="D34" s="113">
        <v>320</v>
      </c>
      <c r="E34" s="113">
        <v>320</v>
      </c>
      <c r="F34" s="187">
        <f t="shared" si="2"/>
        <v>1</v>
      </c>
      <c r="G34" s="194" t="str">
        <f t="shared" si="3"/>
        <v/>
      </c>
    </row>
    <row r="35" spans="2:7" x14ac:dyDescent="0.25">
      <c r="B35" s="92" t="s">
        <v>407</v>
      </c>
      <c r="C35" s="113">
        <v>275150</v>
      </c>
      <c r="D35" s="113">
        <v>153775</v>
      </c>
      <c r="E35" s="113">
        <v>428925</v>
      </c>
      <c r="F35" s="187"/>
      <c r="G35" s="194" t="str">
        <f t="shared" si="3"/>
        <v/>
      </c>
    </row>
    <row r="36" spans="2:7" x14ac:dyDescent="0.25">
      <c r="F36" s="187" t="str">
        <f t="shared" si="2"/>
        <v/>
      </c>
      <c r="G36" s="194" t="str">
        <f t="shared" si="3"/>
        <v/>
      </c>
    </row>
    <row r="37" spans="2:7" x14ac:dyDescent="0.25">
      <c r="F37" s="187" t="str">
        <f t="shared" si="2"/>
        <v/>
      </c>
      <c r="G37" s="194" t="str">
        <f t="shared" si="3"/>
        <v/>
      </c>
    </row>
    <row r="38" spans="2:7" x14ac:dyDescent="0.25">
      <c r="F38" s="187" t="str">
        <f t="shared" si="2"/>
        <v/>
      </c>
      <c r="G38" s="194" t="str">
        <f t="shared" si="3"/>
        <v/>
      </c>
    </row>
    <row r="39" spans="2:7" x14ac:dyDescent="0.25">
      <c r="F39" s="187" t="str">
        <f t="shared" si="2"/>
        <v/>
      </c>
      <c r="G39" s="194" t="str">
        <f t="shared" ref="G39:G82" si="4">IFERROR(D39/$D$100,"")</f>
        <v/>
      </c>
    </row>
    <row r="40" spans="2:7" x14ac:dyDescent="0.25">
      <c r="F40" s="187" t="str">
        <f>IFERROR((D40-C40)/D40,"")</f>
        <v/>
      </c>
      <c r="G40" s="194" t="str">
        <f t="shared" si="4"/>
        <v/>
      </c>
    </row>
    <row r="41" spans="2:7" x14ac:dyDescent="0.25">
      <c r="F41" s="187" t="str">
        <f t="shared" si="2"/>
        <v/>
      </c>
      <c r="G41" s="194" t="str">
        <f t="shared" si="4"/>
        <v/>
      </c>
    </row>
    <row r="42" spans="2:7" x14ac:dyDescent="0.25">
      <c r="F42" s="187" t="str">
        <f t="shared" si="2"/>
        <v/>
      </c>
      <c r="G42" s="194" t="str">
        <f t="shared" si="4"/>
        <v/>
      </c>
    </row>
    <row r="43" spans="2:7" x14ac:dyDescent="0.25">
      <c r="F43" s="187" t="str">
        <f t="shared" si="2"/>
        <v/>
      </c>
      <c r="G43" s="194" t="str">
        <f t="shared" si="4"/>
        <v/>
      </c>
    </row>
    <row r="44" spans="2:7" x14ac:dyDescent="0.25">
      <c r="F44" s="187" t="str">
        <f t="shared" si="2"/>
        <v/>
      </c>
      <c r="G44" s="194" t="str">
        <f t="shared" si="4"/>
        <v/>
      </c>
    </row>
    <row r="45" spans="2:7" x14ac:dyDescent="0.25">
      <c r="F45" s="187" t="str">
        <f t="shared" si="2"/>
        <v/>
      </c>
      <c r="G45" s="194" t="str">
        <f t="shared" si="4"/>
        <v/>
      </c>
    </row>
    <row r="46" spans="2:7" x14ac:dyDescent="0.25">
      <c r="F46" s="187" t="str">
        <f t="shared" si="2"/>
        <v/>
      </c>
      <c r="G46" s="194" t="str">
        <f t="shared" si="4"/>
        <v/>
      </c>
    </row>
    <row r="47" spans="2:7" x14ac:dyDescent="0.25">
      <c r="F47" s="187" t="str">
        <f t="shared" si="2"/>
        <v/>
      </c>
      <c r="G47" s="194" t="str">
        <f t="shared" si="4"/>
        <v/>
      </c>
    </row>
    <row r="48" spans="2:7" x14ac:dyDescent="0.25">
      <c r="F48" s="187" t="str">
        <f t="shared" si="2"/>
        <v/>
      </c>
      <c r="G48" s="194" t="str">
        <f t="shared" si="4"/>
        <v/>
      </c>
    </row>
    <row r="49" spans="6:7" x14ac:dyDescent="0.25">
      <c r="F49" s="187" t="str">
        <f t="shared" si="2"/>
        <v/>
      </c>
      <c r="G49" s="194" t="str">
        <f t="shared" si="4"/>
        <v/>
      </c>
    </row>
    <row r="50" spans="6:7" x14ac:dyDescent="0.25">
      <c r="F50" s="187" t="str">
        <f t="shared" si="2"/>
        <v/>
      </c>
      <c r="G50" s="194" t="str">
        <f t="shared" si="4"/>
        <v/>
      </c>
    </row>
    <row r="51" spans="6:7" x14ac:dyDescent="0.25">
      <c r="F51" s="187" t="str">
        <f t="shared" si="2"/>
        <v/>
      </c>
      <c r="G51" s="194" t="str">
        <f t="shared" si="4"/>
        <v/>
      </c>
    </row>
    <row r="52" spans="6:7" x14ac:dyDescent="0.25">
      <c r="F52" s="187" t="str">
        <f t="shared" si="2"/>
        <v/>
      </c>
      <c r="G52" s="194" t="str">
        <f t="shared" si="4"/>
        <v/>
      </c>
    </row>
    <row r="53" spans="6:7" x14ac:dyDescent="0.25">
      <c r="F53" s="187" t="str">
        <f t="shared" si="2"/>
        <v/>
      </c>
      <c r="G53" s="194" t="str">
        <f t="shared" si="4"/>
        <v/>
      </c>
    </row>
    <row r="54" spans="6:7" x14ac:dyDescent="0.25">
      <c r="F54" s="187" t="str">
        <f t="shared" si="2"/>
        <v/>
      </c>
      <c r="G54" s="194" t="str">
        <f t="shared" si="4"/>
        <v/>
      </c>
    </row>
    <row r="55" spans="6:7" x14ac:dyDescent="0.25">
      <c r="F55" s="187" t="str">
        <f t="shared" si="2"/>
        <v/>
      </c>
      <c r="G55" s="194" t="str">
        <f t="shared" si="4"/>
        <v/>
      </c>
    </row>
    <row r="56" spans="6:7" x14ac:dyDescent="0.25">
      <c r="F56" s="187" t="str">
        <f t="shared" si="2"/>
        <v/>
      </c>
      <c r="G56" s="194" t="str">
        <f t="shared" si="4"/>
        <v/>
      </c>
    </row>
    <row r="57" spans="6:7" x14ac:dyDescent="0.25">
      <c r="F57" s="187" t="str">
        <f t="shared" si="2"/>
        <v/>
      </c>
      <c r="G57" s="194" t="str">
        <f t="shared" si="4"/>
        <v/>
      </c>
    </row>
    <row r="58" spans="6:7" x14ac:dyDescent="0.25">
      <c r="F58" s="187" t="str">
        <f t="shared" si="2"/>
        <v/>
      </c>
      <c r="G58" s="194" t="str">
        <f t="shared" si="4"/>
        <v/>
      </c>
    </row>
    <row r="59" spans="6:7" x14ac:dyDescent="0.25">
      <c r="F59" s="187" t="str">
        <f t="shared" si="2"/>
        <v/>
      </c>
      <c r="G59" s="194" t="str">
        <f t="shared" si="4"/>
        <v/>
      </c>
    </row>
    <row r="60" spans="6:7" x14ac:dyDescent="0.25">
      <c r="F60" s="187" t="str">
        <f t="shared" si="2"/>
        <v/>
      </c>
      <c r="G60" s="194" t="str">
        <f t="shared" si="4"/>
        <v/>
      </c>
    </row>
    <row r="61" spans="6:7" x14ac:dyDescent="0.25">
      <c r="F61" s="187" t="str">
        <f t="shared" si="2"/>
        <v/>
      </c>
      <c r="G61" s="194" t="str">
        <f t="shared" si="4"/>
        <v/>
      </c>
    </row>
    <row r="62" spans="6:7" x14ac:dyDescent="0.25">
      <c r="F62" s="187" t="str">
        <f t="shared" si="2"/>
        <v/>
      </c>
      <c r="G62" s="194" t="str">
        <f t="shared" si="4"/>
        <v/>
      </c>
    </row>
    <row r="63" spans="6:7" x14ac:dyDescent="0.25">
      <c r="F63" s="187" t="str">
        <f t="shared" si="2"/>
        <v/>
      </c>
      <c r="G63" s="194" t="str">
        <f t="shared" si="4"/>
        <v/>
      </c>
    </row>
    <row r="64" spans="6:7" x14ac:dyDescent="0.25">
      <c r="F64" s="187" t="str">
        <f t="shared" si="2"/>
        <v/>
      </c>
      <c r="G64" s="194" t="str">
        <f t="shared" si="4"/>
        <v/>
      </c>
    </row>
    <row r="65" spans="6:7" x14ac:dyDescent="0.25">
      <c r="F65" s="187" t="str">
        <f t="shared" si="2"/>
        <v/>
      </c>
      <c r="G65" s="194" t="str">
        <f t="shared" si="4"/>
        <v/>
      </c>
    </row>
    <row r="66" spans="6:7" x14ac:dyDescent="0.25">
      <c r="F66" s="187" t="str">
        <f t="shared" si="2"/>
        <v/>
      </c>
      <c r="G66" s="194" t="str">
        <f t="shared" si="4"/>
        <v/>
      </c>
    </row>
    <row r="67" spans="6:7" x14ac:dyDescent="0.25">
      <c r="F67" s="187" t="str">
        <f t="shared" si="2"/>
        <v/>
      </c>
      <c r="G67" s="194" t="str">
        <f t="shared" si="4"/>
        <v/>
      </c>
    </row>
    <row r="68" spans="6:7" x14ac:dyDescent="0.25">
      <c r="F68" s="187" t="str">
        <f t="shared" si="2"/>
        <v/>
      </c>
      <c r="G68" s="194" t="str">
        <f t="shared" si="4"/>
        <v/>
      </c>
    </row>
    <row r="69" spans="6:7" x14ac:dyDescent="0.25">
      <c r="F69" s="187" t="str">
        <f t="shared" si="2"/>
        <v/>
      </c>
      <c r="G69" s="194" t="str">
        <f t="shared" si="4"/>
        <v/>
      </c>
    </row>
    <row r="70" spans="6:7" x14ac:dyDescent="0.25">
      <c r="F70" s="187" t="str">
        <f t="shared" si="2"/>
        <v/>
      </c>
      <c r="G70" s="194" t="str">
        <f t="shared" si="4"/>
        <v/>
      </c>
    </row>
    <row r="71" spans="6:7" x14ac:dyDescent="0.25">
      <c r="F71" s="187" t="str">
        <f t="shared" si="2"/>
        <v/>
      </c>
      <c r="G71" s="194" t="str">
        <f t="shared" si="4"/>
        <v/>
      </c>
    </row>
    <row r="72" spans="6:7" x14ac:dyDescent="0.25">
      <c r="F72" s="187" t="str">
        <f>IFERROR((D72-C72)/D72,"")</f>
        <v/>
      </c>
      <c r="G72" s="194" t="str">
        <f t="shared" si="4"/>
        <v/>
      </c>
    </row>
    <row r="73" spans="6:7" x14ac:dyDescent="0.25">
      <c r="F73" s="187" t="str">
        <f t="shared" si="2"/>
        <v/>
      </c>
      <c r="G73" s="194" t="str">
        <f t="shared" si="4"/>
        <v/>
      </c>
    </row>
    <row r="74" spans="6:7" x14ac:dyDescent="0.25">
      <c r="F74" s="187" t="str">
        <f t="shared" si="2"/>
        <v/>
      </c>
      <c r="G74" s="194" t="str">
        <f t="shared" si="4"/>
        <v/>
      </c>
    </row>
    <row r="75" spans="6:7" x14ac:dyDescent="0.25">
      <c r="F75" s="187" t="str">
        <f t="shared" si="2"/>
        <v/>
      </c>
      <c r="G75" s="194" t="str">
        <f t="shared" si="4"/>
        <v/>
      </c>
    </row>
    <row r="76" spans="6:7" x14ac:dyDescent="0.25">
      <c r="F76" s="187" t="str">
        <f t="shared" si="2"/>
        <v/>
      </c>
      <c r="G76" s="194" t="str">
        <f t="shared" si="4"/>
        <v/>
      </c>
    </row>
    <row r="77" spans="6:7" x14ac:dyDescent="0.25">
      <c r="F77" s="187" t="str">
        <f t="shared" si="2"/>
        <v/>
      </c>
      <c r="G77" s="194" t="str">
        <f t="shared" si="4"/>
        <v/>
      </c>
    </row>
    <row r="78" spans="6:7" x14ac:dyDescent="0.25">
      <c r="F78" s="187" t="str">
        <f t="shared" si="2"/>
        <v/>
      </c>
      <c r="G78" s="194" t="str">
        <f t="shared" si="4"/>
        <v/>
      </c>
    </row>
    <row r="79" spans="6:7" x14ac:dyDescent="0.25">
      <c r="F79" s="187" t="str">
        <f t="shared" si="2"/>
        <v/>
      </c>
      <c r="G79" s="194" t="str">
        <f t="shared" si="4"/>
        <v/>
      </c>
    </row>
    <row r="80" spans="6:7" x14ac:dyDescent="0.25">
      <c r="F80" s="187" t="str">
        <f t="shared" si="2"/>
        <v/>
      </c>
      <c r="G80" s="194" t="str">
        <f t="shared" si="4"/>
        <v/>
      </c>
    </row>
    <row r="81" spans="6:7" x14ac:dyDescent="0.25">
      <c r="F81" s="187" t="str">
        <f t="shared" si="2"/>
        <v/>
      </c>
      <c r="G81" s="194" t="str">
        <f t="shared" si="4"/>
        <v/>
      </c>
    </row>
    <row r="82" spans="6:7" x14ac:dyDescent="0.25">
      <c r="F82" s="187" t="str">
        <f t="shared" si="2"/>
        <v/>
      </c>
      <c r="G82" s="194" t="str">
        <f t="shared" si="4"/>
        <v/>
      </c>
    </row>
    <row r="83" spans="6:7" x14ac:dyDescent="0.25">
      <c r="F83" s="187" t="str">
        <f t="shared" ref="F83:F100" si="5">IFERROR((D83-C83)/D83,"")</f>
        <v/>
      </c>
      <c r="G83" s="194" t="str">
        <f t="shared" ref="G83:G98" si="6">IFERROR(D83/$D$100,"")</f>
        <v/>
      </c>
    </row>
    <row r="84" spans="6:7" x14ac:dyDescent="0.25">
      <c r="F84" s="187" t="str">
        <f t="shared" si="5"/>
        <v/>
      </c>
      <c r="G84" s="194" t="str">
        <f t="shared" si="6"/>
        <v/>
      </c>
    </row>
    <row r="85" spans="6:7" x14ac:dyDescent="0.25">
      <c r="F85" s="187" t="str">
        <f t="shared" si="5"/>
        <v/>
      </c>
      <c r="G85" s="194" t="str">
        <f t="shared" si="6"/>
        <v/>
      </c>
    </row>
    <row r="86" spans="6:7" x14ac:dyDescent="0.25">
      <c r="F86" s="187" t="str">
        <f t="shared" si="5"/>
        <v/>
      </c>
      <c r="G86" s="194" t="str">
        <f t="shared" si="6"/>
        <v/>
      </c>
    </row>
    <row r="87" spans="6:7" x14ac:dyDescent="0.25">
      <c r="F87" s="187" t="str">
        <f t="shared" si="5"/>
        <v/>
      </c>
      <c r="G87" s="194" t="str">
        <f t="shared" si="6"/>
        <v/>
      </c>
    </row>
    <row r="88" spans="6:7" x14ac:dyDescent="0.25">
      <c r="F88" s="187" t="str">
        <f t="shared" si="5"/>
        <v/>
      </c>
      <c r="G88" s="194" t="str">
        <f t="shared" si="6"/>
        <v/>
      </c>
    </row>
    <row r="89" spans="6:7" x14ac:dyDescent="0.25">
      <c r="F89" s="187" t="str">
        <f t="shared" si="5"/>
        <v/>
      </c>
      <c r="G89" s="194" t="str">
        <f t="shared" si="6"/>
        <v/>
      </c>
    </row>
    <row r="90" spans="6:7" x14ac:dyDescent="0.25">
      <c r="F90" s="187" t="str">
        <f t="shared" si="5"/>
        <v/>
      </c>
      <c r="G90" s="194" t="str">
        <f t="shared" si="6"/>
        <v/>
      </c>
    </row>
    <row r="91" spans="6:7" x14ac:dyDescent="0.25">
      <c r="F91" s="187" t="str">
        <f t="shared" si="5"/>
        <v/>
      </c>
      <c r="G91" s="194" t="str">
        <f t="shared" si="6"/>
        <v/>
      </c>
    </row>
    <row r="92" spans="6:7" x14ac:dyDescent="0.25">
      <c r="F92" s="187" t="str">
        <f t="shared" si="5"/>
        <v/>
      </c>
      <c r="G92" s="194" t="str">
        <f t="shared" si="6"/>
        <v/>
      </c>
    </row>
    <row r="93" spans="6:7" x14ac:dyDescent="0.25">
      <c r="F93" s="187" t="str">
        <f t="shared" si="5"/>
        <v/>
      </c>
      <c r="G93" s="194" t="str">
        <f t="shared" si="6"/>
        <v/>
      </c>
    </row>
    <row r="94" spans="6:7" x14ac:dyDescent="0.25">
      <c r="F94" s="187" t="str">
        <f t="shared" si="5"/>
        <v/>
      </c>
      <c r="G94" s="194" t="str">
        <f t="shared" si="6"/>
        <v/>
      </c>
    </row>
    <row r="95" spans="6:7" x14ac:dyDescent="0.25">
      <c r="F95" s="187" t="str">
        <f t="shared" si="5"/>
        <v/>
      </c>
      <c r="G95" s="194" t="str">
        <f t="shared" si="6"/>
        <v/>
      </c>
    </row>
    <row r="96" spans="6:7" x14ac:dyDescent="0.25">
      <c r="F96" s="187" t="str">
        <f t="shared" si="5"/>
        <v/>
      </c>
      <c r="G96" s="194" t="str">
        <f t="shared" si="6"/>
        <v/>
      </c>
    </row>
    <row r="97" spans="6:7" x14ac:dyDescent="0.25">
      <c r="F97" s="187" t="str">
        <f t="shared" si="5"/>
        <v/>
      </c>
      <c r="G97" s="194" t="str">
        <f t="shared" si="6"/>
        <v/>
      </c>
    </row>
    <row r="98" spans="6:7" x14ac:dyDescent="0.25">
      <c r="F98" s="187" t="str">
        <f t="shared" si="5"/>
        <v/>
      </c>
      <c r="G98" s="194" t="str">
        <f t="shared" si="6"/>
        <v/>
      </c>
    </row>
    <row r="99" spans="6:7" x14ac:dyDescent="0.25">
      <c r="F99" s="187" t="str">
        <f t="shared" si="5"/>
        <v/>
      </c>
      <c r="G99" s="194" t="str">
        <f>IFERROR(D99/$D$100,"")</f>
        <v/>
      </c>
    </row>
    <row r="100" spans="6:7" x14ac:dyDescent="0.25">
      <c r="F100" s="187" t="str">
        <f t="shared" si="5"/>
        <v/>
      </c>
      <c r="G100" s="194"/>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500"/>
  <sheetViews>
    <sheetView showGridLines="0" zoomScale="75" zoomScaleNormal="75" workbookViewId="0">
      <pane xSplit="4" ySplit="2" topLeftCell="E37" activePane="bottomRight" state="frozen"/>
      <selection pane="topRight" activeCell="E1" sqref="E1"/>
      <selection pane="bottomLeft" activeCell="A3" sqref="A3"/>
      <selection pane="bottomRight" activeCell="L57" sqref="L57"/>
    </sheetView>
  </sheetViews>
  <sheetFormatPr defaultRowHeight="15" x14ac:dyDescent="0.25"/>
  <cols>
    <col min="4" max="4" width="14.85546875" bestFit="1" customWidth="1"/>
    <col min="5" max="6" width="11.5703125" bestFit="1" customWidth="1"/>
    <col min="7" max="7" width="14.28515625" bestFit="1" customWidth="1"/>
    <col min="8" max="8" width="14.28515625" customWidth="1"/>
    <col min="9" max="9" width="16.28515625" style="2" bestFit="1" customWidth="1"/>
    <col min="10" max="10" width="12.28515625" style="163" bestFit="1" customWidth="1"/>
    <col min="11" max="11" width="9.85546875" bestFit="1" customWidth="1"/>
    <col min="12" max="12" width="14.5703125" bestFit="1" customWidth="1"/>
    <col min="13" max="13" width="9.85546875" bestFit="1" customWidth="1"/>
    <col min="14" max="14" width="10.140625" customWidth="1"/>
  </cols>
  <sheetData>
    <row r="1" spans="1:17" x14ac:dyDescent="0.25">
      <c r="Q1" s="215" t="s">
        <v>535</v>
      </c>
    </row>
    <row r="2" spans="1:17" x14ac:dyDescent="0.25">
      <c r="B2" s="135" t="s">
        <v>223</v>
      </c>
      <c r="C2" s="135" t="s">
        <v>624</v>
      </c>
      <c r="D2" s="135" t="s">
        <v>758</v>
      </c>
      <c r="E2" s="160" t="s">
        <v>77</v>
      </c>
      <c r="F2" s="160" t="s">
        <v>490</v>
      </c>
      <c r="G2" s="160" t="s">
        <v>741</v>
      </c>
      <c r="H2" s="160" t="s">
        <v>922</v>
      </c>
      <c r="I2" s="185" t="s">
        <v>752</v>
      </c>
      <c r="J2" s="160" t="s">
        <v>78</v>
      </c>
      <c r="K2" s="160" t="s">
        <v>908</v>
      </c>
      <c r="L2" s="160" t="s">
        <v>741</v>
      </c>
      <c r="M2" s="160" t="s">
        <v>922</v>
      </c>
      <c r="N2" s="202" t="s">
        <v>1055</v>
      </c>
    </row>
    <row r="3" spans="1:17" x14ac:dyDescent="0.25">
      <c r="A3" s="263" t="s">
        <v>177</v>
      </c>
      <c r="B3" s="253" t="s">
        <v>75</v>
      </c>
      <c r="C3" s="171">
        <v>44593</v>
      </c>
      <c r="D3" s="171">
        <v>44594</v>
      </c>
      <c r="E3" s="174">
        <f>SUMIF(Data!$B:$B,'FEB ORDERvsPRO'!C3,Data!$J:$J)</f>
        <v>41570</v>
      </c>
      <c r="F3" s="175">
        <v>23410</v>
      </c>
      <c r="G3" s="172">
        <f>Table141516[[#This Row],[Orders]]-Table141516[[#This Row],[Processed]]</f>
        <v>18160</v>
      </c>
      <c r="H3" s="172">
        <f>SUMIF('Returns Data'!$B:$B,'FEB ORDERvsPRO'!$C3,'Returns Data'!$J:$J)</f>
        <v>0</v>
      </c>
      <c r="I3" s="173">
        <f>IFERROR(Table141516[[#This Row],[Non Processed]]/Table141516[[#This Row],[Orders]],"")</f>
        <v>0.43685350012027907</v>
      </c>
      <c r="J3" s="254">
        <f>SUM(E3:E8)</f>
        <v>440018</v>
      </c>
      <c r="K3" s="254">
        <f>SUM(F3:F8)</f>
        <v>435170</v>
      </c>
      <c r="L3" s="254">
        <f>SUM(G3:G8)</f>
        <v>4848</v>
      </c>
      <c r="M3" s="254">
        <f>SUM(H3:H8)</f>
        <v>0</v>
      </c>
      <c r="N3" s="255">
        <f>K3-M3</f>
        <v>435170</v>
      </c>
    </row>
    <row r="4" spans="1:17" x14ac:dyDescent="0.25">
      <c r="A4" s="263"/>
      <c r="B4" s="253"/>
      <c r="C4" s="171">
        <v>44594</v>
      </c>
      <c r="D4" s="171">
        <v>44595</v>
      </c>
      <c r="E4" s="174">
        <f>SUMIF(Data!$B:$B,'FEB ORDERvsPRO'!C4,Data!$J:$J)</f>
        <v>32500</v>
      </c>
      <c r="F4" s="175">
        <v>25915</v>
      </c>
      <c r="G4" s="172">
        <f>Table141516[[#This Row],[Orders]]-Table141516[[#This Row],[Processed]]</f>
        <v>6585</v>
      </c>
      <c r="H4" s="172">
        <f>SUMIF('Returns Data'!$B:$B,'FEB ORDERvsPRO'!$C4,'Returns Data'!$J:$J)</f>
        <v>0</v>
      </c>
      <c r="I4" s="173">
        <f>IFERROR(Table141516[[#This Row],[Non Processed]]/Table141516[[#This Row],[Orders]],"")</f>
        <v>0.20261538461538461</v>
      </c>
      <c r="J4" s="253"/>
      <c r="K4" s="253"/>
      <c r="L4" s="253"/>
      <c r="M4" s="253"/>
      <c r="N4" s="256"/>
    </row>
    <row r="5" spans="1:17" x14ac:dyDescent="0.25">
      <c r="A5" s="263"/>
      <c r="B5" s="253"/>
      <c r="C5" s="171">
        <v>44595</v>
      </c>
      <c r="D5" s="171">
        <v>44596</v>
      </c>
      <c r="E5" s="174">
        <f>SUMIF(Data!$B:$B,'FEB ORDERvsPRO'!C5,Data!$J:$J)</f>
        <v>75878</v>
      </c>
      <c r="F5" s="176">
        <v>66295</v>
      </c>
      <c r="G5" s="172">
        <f>Table141516[[#This Row],[Orders]]-Table141516[[#This Row],[Processed]]</f>
        <v>9583</v>
      </c>
      <c r="H5" s="172">
        <f>SUMIF('Returns Data'!$B:$B,'FEB ORDERvsPRO'!$C5,'Returns Data'!$J:$J)</f>
        <v>0</v>
      </c>
      <c r="I5" s="173">
        <f>IFERROR(Table141516[[#This Row],[Non Processed]]/Table141516[[#This Row],[Orders]],"")</f>
        <v>0.12629484171960251</v>
      </c>
      <c r="J5" s="253"/>
      <c r="K5" s="253"/>
      <c r="L5" s="253"/>
      <c r="M5" s="253"/>
      <c r="N5" s="256"/>
    </row>
    <row r="6" spans="1:17" x14ac:dyDescent="0.25">
      <c r="A6" s="263"/>
      <c r="B6" s="253"/>
      <c r="C6" s="171">
        <v>44596</v>
      </c>
      <c r="D6" s="171">
        <v>44597</v>
      </c>
      <c r="E6" s="174">
        <f>SUMIF(Data!$B:$B,'FEB ORDERvsPRO'!C6,Data!$J:$J)</f>
        <v>145080</v>
      </c>
      <c r="F6" s="177">
        <v>174665</v>
      </c>
      <c r="G6" s="172">
        <f>Table141516[[#This Row],[Orders]]-Table141516[[#This Row],[Processed]]</f>
        <v>-29585</v>
      </c>
      <c r="H6" s="172">
        <f>SUMIF('Returns Data'!$B:$B,'FEB ORDERvsPRO'!$C6,'Returns Data'!$J:$J)</f>
        <v>0</v>
      </c>
      <c r="I6" s="173">
        <f>IFERROR(Table141516[[#This Row],[Non Processed]]/Table141516[[#This Row],[Orders]],"")</f>
        <v>-0.2039219740832644</v>
      </c>
      <c r="J6" s="253"/>
      <c r="K6" s="253"/>
      <c r="L6" s="253"/>
      <c r="M6" s="253"/>
      <c r="N6" s="256"/>
    </row>
    <row r="7" spans="1:17" x14ac:dyDescent="0.25">
      <c r="A7" s="263"/>
      <c r="B7" s="253"/>
      <c r="C7" s="171">
        <v>44597</v>
      </c>
      <c r="D7" s="171">
        <v>44599</v>
      </c>
      <c r="E7" s="174">
        <f>SUMIF(Data!$B:$B,'FEB ORDERvsPRO'!C7,Data!$J:$J)</f>
        <v>123210</v>
      </c>
      <c r="F7" s="172">
        <v>144885</v>
      </c>
      <c r="G7" s="172">
        <f>Table141516[[#This Row],[Orders]]-Table141516[[#This Row],[Processed]]</f>
        <v>-21675</v>
      </c>
      <c r="H7" s="172">
        <f>SUMIF('Returns Data'!$B:$B,'FEB ORDERvsPRO'!$C7,'Returns Data'!$J:$J)</f>
        <v>0</v>
      </c>
      <c r="I7" s="173">
        <f>IFERROR(Table141516[[#This Row],[Non Processed]]/Table141516[[#This Row],[Orders]],"")</f>
        <v>-0.17591916240564889</v>
      </c>
      <c r="J7" s="253"/>
      <c r="K7" s="253"/>
      <c r="L7" s="253"/>
      <c r="M7" s="253"/>
      <c r="N7" s="256"/>
    </row>
    <row r="8" spans="1:17" x14ac:dyDescent="0.25">
      <c r="A8" s="263"/>
      <c r="B8" s="253"/>
      <c r="C8" s="171">
        <v>44598</v>
      </c>
      <c r="D8" s="171">
        <v>44599</v>
      </c>
      <c r="E8" s="174">
        <f>SUMIF(Data!$B:$B,'FEB ORDERvsPRO'!C8,Data!$J:$J)</f>
        <v>21780</v>
      </c>
      <c r="F8" s="172">
        <f>SUMIF(Data!$B:$B,'FEB ORDERvsPRO'!C8,Data!$L:$L)</f>
        <v>0</v>
      </c>
      <c r="G8" s="172">
        <f>Table141516[[#This Row],[Orders]]-Table141516[[#This Row],[Processed]]</f>
        <v>21780</v>
      </c>
      <c r="H8" s="172">
        <f>SUMIF('Returns Data'!$B:$B,'FEB ORDERvsPRO'!$C8,'Returns Data'!$J:$J)</f>
        <v>0</v>
      </c>
      <c r="I8" s="173">
        <f>IFERROR(Table141516[[#This Row],[Non Processed]]/Table141516[[#This Row],[Orders]],"")</f>
        <v>1</v>
      </c>
      <c r="J8" s="253"/>
      <c r="K8" s="253"/>
      <c r="L8" s="253"/>
      <c r="M8" s="253"/>
      <c r="N8" s="256"/>
    </row>
    <row r="9" spans="1:17" x14ac:dyDescent="0.25">
      <c r="A9" s="263"/>
      <c r="B9" s="260" t="s">
        <v>222</v>
      </c>
      <c r="C9" s="167">
        <v>44599</v>
      </c>
      <c r="D9" s="167">
        <v>44600</v>
      </c>
      <c r="E9" s="168">
        <f>SUMIF(Data!$B:$B,'FEB ORDERvsPRO'!C9,Data!$J:$J)</f>
        <v>135680</v>
      </c>
      <c r="F9" s="169">
        <v>121180</v>
      </c>
      <c r="G9" s="169">
        <f>Table141516[[#This Row],[Orders]]-Table141516[[#This Row],[Processed]]</f>
        <v>14500</v>
      </c>
      <c r="H9" s="169">
        <f>SUMIF('Returns Data'!$B:$B,'FEB ORDERvsPRO'!$C9,'Returns Data'!$J:$J)</f>
        <v>5310</v>
      </c>
      <c r="I9" s="170">
        <f>IFERROR(Table141516[[#This Row],[Non Processed]]/Table141516[[#This Row],[Orders]],"")</f>
        <v>0.10686910377358491</v>
      </c>
      <c r="J9" s="259">
        <f>SUM(E9:E15)</f>
        <v>984820</v>
      </c>
      <c r="K9" s="259">
        <f>SUM(F9:F15)</f>
        <v>782157</v>
      </c>
      <c r="L9" s="259">
        <f t="shared" ref="L9:M9" si="0">SUM(G9:G15)</f>
        <v>202663</v>
      </c>
      <c r="M9" s="259">
        <f t="shared" si="0"/>
        <v>83130</v>
      </c>
      <c r="N9" s="255">
        <f>K9-M9</f>
        <v>699027</v>
      </c>
    </row>
    <row r="10" spans="1:17" x14ac:dyDescent="0.25">
      <c r="A10" s="263"/>
      <c r="B10" s="260"/>
      <c r="C10" s="167">
        <v>44600</v>
      </c>
      <c r="D10" s="167">
        <v>44601</v>
      </c>
      <c r="E10" s="169">
        <f>SUMIF(Data!$B:$B,'FEB ORDERvsPRO'!C10,Data!$J:$J)</f>
        <v>228600</v>
      </c>
      <c r="F10" s="169">
        <v>143107</v>
      </c>
      <c r="G10" s="169">
        <f>Table141516[[#This Row],[Orders]]-Table141516[[#This Row],[Processed]]</f>
        <v>85493</v>
      </c>
      <c r="H10" s="169">
        <f>SUMIF('Returns Data'!$B:$B,'FEB ORDERvsPRO'!$C10,'Returns Data'!$J:$J)</f>
        <v>60960</v>
      </c>
      <c r="I10" s="170">
        <f>IFERROR(Table141516[[#This Row],[Non Processed]]/Table141516[[#This Row],[Orders]],"")</f>
        <v>0.37398512685914259</v>
      </c>
      <c r="J10" s="260"/>
      <c r="K10" s="260"/>
      <c r="L10" s="260"/>
      <c r="M10" s="260"/>
      <c r="N10" s="256"/>
    </row>
    <row r="11" spans="1:17" x14ac:dyDescent="0.25">
      <c r="A11" s="263"/>
      <c r="B11" s="260"/>
      <c r="C11" s="167">
        <v>44601</v>
      </c>
      <c r="D11" s="167">
        <v>44602</v>
      </c>
      <c r="E11" s="169">
        <f>SUMIF(Data!$B:$B,'FEB ORDERvsPRO'!C11,Data!$J:$J)</f>
        <v>133825</v>
      </c>
      <c r="F11" s="169">
        <v>99645</v>
      </c>
      <c r="G11" s="169">
        <f>Table141516[[#This Row],[Orders]]-Table141516[[#This Row],[Processed]]</f>
        <v>34180</v>
      </c>
      <c r="H11" s="169">
        <f>SUMIF('Returns Data'!$B:$B,'FEB ORDERvsPRO'!$C11,'Returns Data'!$J:$J)</f>
        <v>0</v>
      </c>
      <c r="I11" s="170">
        <f>IFERROR(Table141516[[#This Row],[Non Processed]]/Table141516[[#This Row],[Orders]],"")</f>
        <v>0.25540818232766671</v>
      </c>
      <c r="J11" s="260"/>
      <c r="K11" s="260"/>
      <c r="L11" s="260"/>
      <c r="M11" s="260"/>
      <c r="N11" s="256"/>
    </row>
    <row r="12" spans="1:17" x14ac:dyDescent="0.25">
      <c r="A12" s="263"/>
      <c r="B12" s="260"/>
      <c r="C12" s="167">
        <v>44602</v>
      </c>
      <c r="D12" s="167">
        <v>44603</v>
      </c>
      <c r="E12" s="169">
        <f>SUMIF(Data!$B:$B,'FEB ORDERvsPRO'!C12,Data!$J:$J)</f>
        <v>128495</v>
      </c>
      <c r="F12" s="169">
        <v>116445</v>
      </c>
      <c r="G12" s="169">
        <f>Table141516[[#This Row],[Orders]]-Table141516[[#This Row],[Processed]]</f>
        <v>12050</v>
      </c>
      <c r="H12" s="169">
        <f>SUMIF('Returns Data'!$B:$B,'FEB ORDERvsPRO'!$C12,'Returns Data'!$J:$J)</f>
        <v>0</v>
      </c>
      <c r="I12" s="170">
        <f>IFERROR(Table141516[[#This Row],[Non Processed]]/Table141516[[#This Row],[Orders]],"")</f>
        <v>9.3777968014319618E-2</v>
      </c>
      <c r="J12" s="260"/>
      <c r="K12" s="260"/>
      <c r="L12" s="260"/>
      <c r="M12" s="260"/>
      <c r="N12" s="256"/>
    </row>
    <row r="13" spans="1:17" x14ac:dyDescent="0.25">
      <c r="A13" s="263"/>
      <c r="B13" s="260"/>
      <c r="C13" s="167">
        <v>44603</v>
      </c>
      <c r="D13" s="167">
        <v>44604</v>
      </c>
      <c r="E13" s="169">
        <f>SUMIF(Data!$B:$B,'FEB ORDERvsPRO'!C13,Data!$J:$J)</f>
        <v>201515</v>
      </c>
      <c r="F13" s="169">
        <f>SUMIF(Data!$B:$B,'FEB ORDERvsPRO'!$C13,Data!$L:$L)</f>
        <v>150535</v>
      </c>
      <c r="G13" s="169">
        <f>Table141516[[#This Row],[Orders]]-Table141516[[#This Row],[Processed]]</f>
        <v>50980</v>
      </c>
      <c r="H13" s="169">
        <f>SUMIF('Returns Data'!$B:$B,'FEB ORDERvsPRO'!$C13,'Returns Data'!$J:$J)</f>
        <v>10480</v>
      </c>
      <c r="I13" s="170">
        <f>IFERROR(Table141516[[#This Row],[Non Processed]]/Table141516[[#This Row],[Orders]],"")</f>
        <v>0.25298364885988633</v>
      </c>
      <c r="J13" s="260"/>
      <c r="K13" s="260"/>
      <c r="L13" s="260"/>
      <c r="M13" s="260"/>
      <c r="N13" s="256"/>
    </row>
    <row r="14" spans="1:17" x14ac:dyDescent="0.25">
      <c r="A14" s="263"/>
      <c r="B14" s="260"/>
      <c r="C14" s="167">
        <v>44604</v>
      </c>
      <c r="D14" s="167">
        <v>44606</v>
      </c>
      <c r="E14" s="169">
        <f>SUMIF(Data!$B:$B,'FEB ORDERvsPRO'!C14,Data!$J:$J)</f>
        <v>136565</v>
      </c>
      <c r="F14" s="169">
        <f>SUMIF(Data!$B:$B,'FEB ORDERvsPRO'!$C14,Data!$L:$L)</f>
        <v>131105</v>
      </c>
      <c r="G14" s="169">
        <f>Table141516[[#This Row],[Orders]]-Table141516[[#This Row],[Processed]]</f>
        <v>5460</v>
      </c>
      <c r="H14" s="169">
        <f>SUMIF('Returns Data'!$B:$B,'FEB ORDERvsPRO'!$C14,'Returns Data'!$J:$J)</f>
        <v>6380</v>
      </c>
      <c r="I14" s="170">
        <f>IFERROR(Table141516[[#This Row],[Non Processed]]/Table141516[[#This Row],[Orders]],"")</f>
        <v>3.998096144693003E-2</v>
      </c>
      <c r="J14" s="260"/>
      <c r="K14" s="260"/>
      <c r="L14" s="260"/>
      <c r="M14" s="260"/>
      <c r="N14" s="256"/>
    </row>
    <row r="15" spans="1:17" x14ac:dyDescent="0.25">
      <c r="A15" s="263"/>
      <c r="B15" s="260"/>
      <c r="C15" s="167">
        <v>44605</v>
      </c>
      <c r="D15" s="167">
        <v>44606</v>
      </c>
      <c r="E15" s="169">
        <f>SUMIF(Data!$B:$B,'FEB ORDERvsPRO'!C15,Data!$J:$J)</f>
        <v>20140</v>
      </c>
      <c r="F15" s="169">
        <f>SUMIF(Data!$B:$B,'FEB ORDERvsPRO'!$C15,Data!$L:$L)</f>
        <v>20140</v>
      </c>
      <c r="G15" s="169">
        <f>Table141516[[#This Row],[Orders]]-Table141516[[#This Row],[Processed]]</f>
        <v>0</v>
      </c>
      <c r="H15" s="169">
        <f>SUMIF('Returns Data'!$B:$B,'FEB ORDERvsPRO'!$C15,'Returns Data'!$J:$J)</f>
        <v>0</v>
      </c>
      <c r="I15" s="170">
        <f>IFERROR(Table141516[[#This Row],[Non Processed]]/Table141516[[#This Row],[Orders]],"")</f>
        <v>0</v>
      </c>
      <c r="J15" s="260"/>
      <c r="K15" s="260"/>
      <c r="L15" s="260"/>
      <c r="M15" s="260"/>
      <c r="N15" s="256"/>
    </row>
    <row r="16" spans="1:17" x14ac:dyDescent="0.25">
      <c r="A16" s="263"/>
      <c r="B16" s="253" t="s">
        <v>397</v>
      </c>
      <c r="C16" s="171">
        <v>44606</v>
      </c>
      <c r="D16" s="171">
        <v>44607</v>
      </c>
      <c r="E16" s="172">
        <f>SUMIF(Data!$B:$B,'FEB ORDERvsPRO'!C16,Data!$J:$J)</f>
        <v>139535</v>
      </c>
      <c r="F16" s="172">
        <f>SUMIF(Data!$B:$B,'FEB ORDERvsPRO'!$C16,Data!$L:$L)</f>
        <v>138615</v>
      </c>
      <c r="G16" s="172">
        <f>Table141516[[#This Row],[Orders]]-Table141516[[#This Row],[Processed]]</f>
        <v>920</v>
      </c>
      <c r="H16" s="172">
        <f>SUMIF('Returns Data'!$B:$B,'FEB ORDERvsPRO'!$C16,'Returns Data'!$J:$J)</f>
        <v>920</v>
      </c>
      <c r="I16" s="173">
        <f>IFERROR(Table141516[[#This Row],[Non Processed]]/Table141516[[#This Row],[Orders]],"")</f>
        <v>6.5933278388934672E-3</v>
      </c>
      <c r="J16" s="254">
        <f>SUM(E16:E22)</f>
        <v>929660</v>
      </c>
      <c r="K16" s="254">
        <f t="shared" ref="K16:M16" si="1">SUM(F16:F22)</f>
        <v>858970</v>
      </c>
      <c r="L16" s="254">
        <f t="shared" si="1"/>
        <v>70690</v>
      </c>
      <c r="M16" s="254">
        <f t="shared" si="1"/>
        <v>33950</v>
      </c>
      <c r="N16" s="255">
        <f>K16-M16</f>
        <v>825020</v>
      </c>
    </row>
    <row r="17" spans="1:14" x14ac:dyDescent="0.25">
      <c r="A17" s="263"/>
      <c r="B17" s="253"/>
      <c r="C17" s="171">
        <v>44607</v>
      </c>
      <c r="D17" s="171">
        <v>44608</v>
      </c>
      <c r="E17" s="172">
        <f>SUMIF(Data!$B:$B,'FEB ORDERvsPRO'!C17,Data!$J:$J)</f>
        <v>236825</v>
      </c>
      <c r="F17" s="172">
        <f>SUMIF(Data!$B:$B,'FEB ORDERvsPRO'!$C17,Data!$L:$L)</f>
        <v>235875</v>
      </c>
      <c r="G17" s="172">
        <f>Table141516[[#This Row],[Orders]]-Table141516[[#This Row],[Processed]]</f>
        <v>950</v>
      </c>
      <c r="H17" s="172">
        <f>SUMIF('Returns Data'!$B:$B,'FEB ORDERvsPRO'!$C17,'Returns Data'!$J:$J)</f>
        <v>950</v>
      </c>
      <c r="I17" s="173">
        <f>IFERROR(Table141516[[#This Row],[Non Processed]]/Table141516[[#This Row],[Orders]],"")</f>
        <v>4.0114008233928002E-3</v>
      </c>
      <c r="J17" s="253"/>
      <c r="K17" s="253"/>
      <c r="L17" s="253"/>
      <c r="M17" s="253"/>
      <c r="N17" s="256"/>
    </row>
    <row r="18" spans="1:14" x14ac:dyDescent="0.25">
      <c r="A18" s="263"/>
      <c r="B18" s="253"/>
      <c r="C18" s="171">
        <v>44608</v>
      </c>
      <c r="D18" s="171">
        <v>44609</v>
      </c>
      <c r="E18" s="172">
        <f>SUMIF(Data!$B:$B,'FEB ORDERvsPRO'!C18,Data!$J:$J)</f>
        <v>128515</v>
      </c>
      <c r="F18" s="172">
        <f>SUMIF(Data!$B:$B,'FEB ORDERvsPRO'!$C18,Data!$L:$L)</f>
        <v>98560</v>
      </c>
      <c r="G18" s="172">
        <f>Table141516[[#This Row],[Orders]]-Table141516[[#This Row],[Processed]]</f>
        <v>29955</v>
      </c>
      <c r="H18" s="172">
        <f>SUMIF('Returns Data'!$B:$B,'FEB ORDERvsPRO'!$C18,'Returns Data'!$J:$J)</f>
        <v>17730</v>
      </c>
      <c r="I18" s="173">
        <f>IFERROR(Table141516[[#This Row],[Non Processed]]/Table141516[[#This Row],[Orders]],"")</f>
        <v>0.2330856320273898</v>
      </c>
      <c r="J18" s="253"/>
      <c r="K18" s="253"/>
      <c r="L18" s="253"/>
      <c r="M18" s="253"/>
      <c r="N18" s="256"/>
    </row>
    <row r="19" spans="1:14" x14ac:dyDescent="0.25">
      <c r="A19" s="263"/>
      <c r="B19" s="253"/>
      <c r="C19" s="171">
        <v>44609</v>
      </c>
      <c r="D19" s="171">
        <v>44610</v>
      </c>
      <c r="E19" s="172">
        <f>SUMIF(Data!$B:$B,'FEB ORDERvsPRO'!C19,Data!$J:$J)</f>
        <v>132010</v>
      </c>
      <c r="F19" s="172">
        <f>SUMIF(Data!$B:$B,'FEB ORDERvsPRO'!$C19,Data!$L:$L)</f>
        <v>128815</v>
      </c>
      <c r="G19" s="172">
        <f>Table141516[[#This Row],[Orders]]-Table141516[[#This Row],[Processed]]</f>
        <v>3195</v>
      </c>
      <c r="H19" s="172">
        <f>SUMIF('Returns Data'!$B:$B,'FEB ORDERvsPRO'!$C19,'Returns Data'!$J:$J)</f>
        <v>14350</v>
      </c>
      <c r="I19" s="173">
        <f>IFERROR(Table141516[[#This Row],[Non Processed]]/Table141516[[#This Row],[Orders]],"")</f>
        <v>2.4202711915763956E-2</v>
      </c>
      <c r="J19" s="253"/>
      <c r="K19" s="253"/>
      <c r="L19" s="253"/>
      <c r="M19" s="253"/>
      <c r="N19" s="256"/>
    </row>
    <row r="20" spans="1:14" x14ac:dyDescent="0.25">
      <c r="A20" s="263"/>
      <c r="B20" s="253"/>
      <c r="C20" s="171">
        <v>44610</v>
      </c>
      <c r="D20" s="171">
        <v>44611</v>
      </c>
      <c r="E20" s="172">
        <f>SUMIF(Data!$B:$B,'FEB ORDERvsPRO'!C20,Data!$J:$J)</f>
        <v>152370</v>
      </c>
      <c r="F20" s="172">
        <f>SUMIF(Data!$B:$B,'FEB ORDERvsPRO'!$C20,Data!$L:$L)</f>
        <v>149230</v>
      </c>
      <c r="G20" s="172">
        <f>Table141516[[#This Row],[Orders]]-Table141516[[#This Row],[Processed]]</f>
        <v>3140</v>
      </c>
      <c r="H20" s="172">
        <f>SUMIF('Returns Data'!$B:$B,'FEB ORDERvsPRO'!$C20,'Returns Data'!$J:$J)</f>
        <v>0</v>
      </c>
      <c r="I20" s="173">
        <f>IFERROR(Table141516[[#This Row],[Non Processed]]/Table141516[[#This Row],[Orders]],"")</f>
        <v>2.0607731180678612E-2</v>
      </c>
      <c r="J20" s="253"/>
      <c r="K20" s="253"/>
      <c r="L20" s="253"/>
      <c r="M20" s="253"/>
      <c r="N20" s="256"/>
    </row>
    <row r="21" spans="1:14" x14ac:dyDescent="0.25">
      <c r="A21" s="263"/>
      <c r="B21" s="253"/>
      <c r="C21" s="171">
        <v>44611</v>
      </c>
      <c r="D21" s="171">
        <v>44613</v>
      </c>
      <c r="E21" s="172">
        <f>SUMIF(Data!$B:$B,'FEB ORDERvsPRO'!C21,Data!$J:$J)</f>
        <v>119535</v>
      </c>
      <c r="F21" s="172">
        <f>SUMIF(Data!$B:$B,'FEB ORDERvsPRO'!$C21,Data!$L:$L)</f>
        <v>88805</v>
      </c>
      <c r="G21" s="172">
        <f>Table141516[[#This Row],[Orders]]-Table141516[[#This Row],[Processed]]</f>
        <v>30730</v>
      </c>
      <c r="H21" s="172">
        <f>SUMIF('Returns Data'!$B:$B,'FEB ORDERvsPRO'!$C21,'Returns Data'!$J:$J)</f>
        <v>0</v>
      </c>
      <c r="I21" s="173">
        <f>IFERROR(Table141516[[#This Row],[Non Processed]]/Table141516[[#This Row],[Orders]],"")</f>
        <v>0.25707951645961435</v>
      </c>
      <c r="J21" s="253"/>
      <c r="K21" s="253"/>
      <c r="L21" s="253"/>
      <c r="M21" s="253"/>
      <c r="N21" s="256"/>
    </row>
    <row r="22" spans="1:14" x14ac:dyDescent="0.25">
      <c r="A22" s="263"/>
      <c r="B22" s="253"/>
      <c r="C22" s="171">
        <v>44612</v>
      </c>
      <c r="D22" s="171">
        <v>44613</v>
      </c>
      <c r="E22" s="172">
        <f>SUMIF(Data!$B:$B,'FEB ORDERvsPRO'!C22,Data!$J:$J)</f>
        <v>20870</v>
      </c>
      <c r="F22" s="172">
        <f>SUMIF(Data!$B:$B,'FEB ORDERvsPRO'!$C22,Data!$L:$L)</f>
        <v>19070</v>
      </c>
      <c r="G22" s="172">
        <f>Table141516[[#This Row],[Orders]]-Table141516[[#This Row],[Processed]]</f>
        <v>1800</v>
      </c>
      <c r="H22" s="172">
        <f>SUMIF('Returns Data'!$B:$B,'FEB ORDERvsPRO'!$C22,'Returns Data'!$J:$J)</f>
        <v>0</v>
      </c>
      <c r="I22" s="173">
        <f>IFERROR(Table141516[[#This Row],[Non Processed]]/Table141516[[#This Row],[Orders]],"")</f>
        <v>8.6248203162434117E-2</v>
      </c>
      <c r="J22" s="253"/>
      <c r="K22" s="253"/>
      <c r="L22" s="253"/>
      <c r="M22" s="253"/>
      <c r="N22" s="256"/>
    </row>
    <row r="23" spans="1:14" x14ac:dyDescent="0.25">
      <c r="A23" s="263"/>
      <c r="B23" s="257" t="s">
        <v>545</v>
      </c>
      <c r="C23" s="164">
        <v>44613</v>
      </c>
      <c r="D23" s="164">
        <v>44614</v>
      </c>
      <c r="E23" s="165">
        <f>SUMIF(Data!$B:$B,'FEB ORDERvsPRO'!C23,Data!$J:$J)</f>
        <v>137625</v>
      </c>
      <c r="F23" s="165">
        <f>SUMIF(Data!$B:$B,'FEB ORDERvsPRO'!$C23,Data!$L:$L)</f>
        <v>131415</v>
      </c>
      <c r="G23" s="165">
        <f>Table141516[[#This Row],[Orders]]-Table141516[[#This Row],[Processed]]</f>
        <v>6210</v>
      </c>
      <c r="H23" s="165">
        <f>SUMIF('Returns Data'!$B:$B,'FEB ORDERvsPRO'!$C23,'Returns Data'!$J:$J)</f>
        <v>0</v>
      </c>
      <c r="I23" s="166">
        <f>IFERROR(Table141516[[#This Row],[Non Processed]]/Table141516[[#This Row],[Orders]],"")</f>
        <v>4.5122615803814714E-2</v>
      </c>
      <c r="J23" s="258">
        <f>SUM(E23:E29)</f>
        <v>976914</v>
      </c>
      <c r="K23" s="258">
        <f t="shared" ref="K23:M23" si="2">SUM(F23:F29)</f>
        <v>800844</v>
      </c>
      <c r="L23" s="258">
        <f t="shared" si="2"/>
        <v>176070</v>
      </c>
      <c r="M23" s="258">
        <f t="shared" si="2"/>
        <v>45680</v>
      </c>
      <c r="N23" s="255">
        <f>K23-M23</f>
        <v>755164</v>
      </c>
    </row>
    <row r="24" spans="1:14" x14ac:dyDescent="0.25">
      <c r="A24" s="263"/>
      <c r="B24" s="257"/>
      <c r="C24" s="164">
        <v>44614</v>
      </c>
      <c r="D24" s="164">
        <v>44615</v>
      </c>
      <c r="E24" s="165">
        <f>SUMIF(Data!$B:$B,'FEB ORDERvsPRO'!C24,Data!$J:$J)</f>
        <v>119790</v>
      </c>
      <c r="F24" s="165">
        <f>SUMIF(Data!$B:$B,'FEB ORDERvsPRO'!$C24,Data!$L:$L)</f>
        <v>108350</v>
      </c>
      <c r="G24" s="165">
        <f>Table141516[[#This Row],[Orders]]-Table141516[[#This Row],[Processed]]</f>
        <v>11440</v>
      </c>
      <c r="H24" s="165">
        <f>SUMIF('Returns Data'!$B:$B,'FEB ORDERvsPRO'!$C24,'Returns Data'!$J:$J)</f>
        <v>18330</v>
      </c>
      <c r="I24" s="166">
        <f>IFERROR(Table141516[[#This Row],[Non Processed]]/Table141516[[#This Row],[Orders]],"")</f>
        <v>9.5500459136822771E-2</v>
      </c>
      <c r="J24" s="258"/>
      <c r="K24" s="258"/>
      <c r="L24" s="258"/>
      <c r="M24" s="258"/>
      <c r="N24" s="256"/>
    </row>
    <row r="25" spans="1:14" x14ac:dyDescent="0.25">
      <c r="A25" s="263"/>
      <c r="B25" s="257"/>
      <c r="C25" s="164">
        <v>44615</v>
      </c>
      <c r="D25" s="164">
        <v>44616</v>
      </c>
      <c r="E25" s="165">
        <f>SUMIF(Data!$B:$B,'FEB ORDERvsPRO'!C25,Data!$J:$J)</f>
        <v>182450</v>
      </c>
      <c r="F25" s="165">
        <f>SUMIF(Data!$B:$B,'FEB ORDERvsPRO'!$C25,Data!$L:$L)</f>
        <v>177465</v>
      </c>
      <c r="G25" s="165">
        <f>Table141516[[#This Row],[Orders]]-Table141516[[#This Row],[Processed]]</f>
        <v>4985</v>
      </c>
      <c r="H25" s="165">
        <f>SUMIF('Returns Data'!$B:$B,'FEB ORDERvsPRO'!$C25,'Returns Data'!$J:$J)</f>
        <v>27350</v>
      </c>
      <c r="I25" s="166">
        <f>IFERROR(Table141516[[#This Row],[Non Processed]]/Table141516[[#This Row],[Orders]],"")</f>
        <v>2.7322554124417649E-2</v>
      </c>
      <c r="J25" s="258"/>
      <c r="K25" s="258"/>
      <c r="L25" s="258"/>
      <c r="M25" s="258"/>
      <c r="N25" s="256"/>
    </row>
    <row r="26" spans="1:14" x14ac:dyDescent="0.25">
      <c r="A26" s="263"/>
      <c r="B26" s="257"/>
      <c r="C26" s="164">
        <v>44616</v>
      </c>
      <c r="D26" s="164">
        <v>44617</v>
      </c>
      <c r="E26" s="165">
        <f>SUMIF(Data!$B:$B,'FEB ORDERvsPRO'!C26,Data!$J:$J)</f>
        <v>179214</v>
      </c>
      <c r="F26" s="165">
        <f>SUMIF(Data!$B:$B,'FEB ORDERvsPRO'!$C26,Data!$L:$L)</f>
        <v>150219</v>
      </c>
      <c r="G26" s="165">
        <f>Table141516[[#This Row],[Orders]]-Table141516[[#This Row],[Processed]]</f>
        <v>28995</v>
      </c>
      <c r="H26" s="165">
        <f>SUMIF('Returns Data'!$B:$B,'FEB ORDERvsPRO'!$C26,'Returns Data'!$J:$J)</f>
        <v>0</v>
      </c>
      <c r="I26" s="166">
        <f>IFERROR(Table141516[[#This Row],[Non Processed]]/Table141516[[#This Row],[Orders]],"")</f>
        <v>0.16178981552780475</v>
      </c>
      <c r="J26" s="258"/>
      <c r="K26" s="258"/>
      <c r="L26" s="258"/>
      <c r="M26" s="258"/>
      <c r="N26" s="256"/>
    </row>
    <row r="27" spans="1:14" x14ac:dyDescent="0.25">
      <c r="A27" s="263"/>
      <c r="B27" s="257"/>
      <c r="C27" s="164">
        <v>44617</v>
      </c>
      <c r="D27" s="164">
        <v>44618</v>
      </c>
      <c r="E27" s="165">
        <f>SUMIF(Data!$B:$B,'FEB ORDERvsPRO'!C27,Data!$J:$J)</f>
        <v>142700</v>
      </c>
      <c r="F27" s="165">
        <f>SUMIF(Data!$B:$B,'FEB ORDERvsPRO'!$C27,Data!$L:$L)</f>
        <v>118970</v>
      </c>
      <c r="G27" s="165">
        <f>Table141516[[#This Row],[Orders]]-Table141516[[#This Row],[Processed]]</f>
        <v>23730</v>
      </c>
      <c r="H27" s="165">
        <f>SUMIF('Returns Data'!$B:$B,'FEB ORDERvsPRO'!$C27,'Returns Data'!$J:$J)</f>
        <v>0</v>
      </c>
      <c r="I27" s="166">
        <f>IFERROR(Table141516[[#This Row],[Non Processed]]/Table141516[[#This Row],[Orders]],"")</f>
        <v>0.16629292221443587</v>
      </c>
      <c r="J27" s="258"/>
      <c r="K27" s="258"/>
      <c r="L27" s="258"/>
      <c r="M27" s="258"/>
      <c r="N27" s="256"/>
    </row>
    <row r="28" spans="1:14" x14ac:dyDescent="0.25">
      <c r="A28" s="263"/>
      <c r="B28" s="257"/>
      <c r="C28" s="164">
        <v>44618</v>
      </c>
      <c r="D28" s="164">
        <v>44620</v>
      </c>
      <c r="E28" s="165">
        <f>SUMIF(Data!$B:$B,'FEB ORDERvsPRO'!C28,Data!$J:$J)</f>
        <v>192370</v>
      </c>
      <c r="F28" s="165">
        <f>SUMIF(Data!$B:$B,'FEB ORDERvsPRO'!$C28,Data!$L:$L)</f>
        <v>104165</v>
      </c>
      <c r="G28" s="165">
        <f>Table141516[[#This Row],[Orders]]-Table141516[[#This Row],[Processed]]</f>
        <v>88205</v>
      </c>
      <c r="H28" s="165">
        <f>SUMIF('Returns Data'!$B:$B,'FEB ORDERvsPRO'!$C28,'Returns Data'!$J:$J)</f>
        <v>0</v>
      </c>
      <c r="I28" s="166">
        <f>IFERROR(Table141516[[#This Row],[Non Processed]]/Table141516[[#This Row],[Orders]],"")</f>
        <v>0.45851744034932684</v>
      </c>
      <c r="J28" s="258"/>
      <c r="K28" s="258"/>
      <c r="L28" s="258"/>
      <c r="M28" s="258"/>
      <c r="N28" s="256"/>
    </row>
    <row r="29" spans="1:14" x14ac:dyDescent="0.25">
      <c r="A29" s="263"/>
      <c r="B29" s="257"/>
      <c r="C29" s="164">
        <v>44619</v>
      </c>
      <c r="D29" s="164">
        <v>44620</v>
      </c>
      <c r="E29" s="165">
        <f>SUMIF(Data!$B:$B,'FEB ORDERvsPRO'!C29,Data!$J:$J)</f>
        <v>22765</v>
      </c>
      <c r="F29" s="165">
        <f>SUMIF(Data!$B:$B,'FEB ORDERvsPRO'!$C29,Data!$L:$L)</f>
        <v>10260</v>
      </c>
      <c r="G29" s="165">
        <f>Table141516[[#This Row],[Orders]]-Table141516[[#This Row],[Processed]]</f>
        <v>12505</v>
      </c>
      <c r="H29" s="165">
        <f>SUMIF('Returns Data'!$B:$B,'FEB ORDERvsPRO'!$C29,'Returns Data'!$J:$J)</f>
        <v>0</v>
      </c>
      <c r="I29" s="166">
        <f>IFERROR(Table141516[[#This Row],[Non Processed]]/Table141516[[#This Row],[Orders]],"")</f>
        <v>0.54930814847353393</v>
      </c>
      <c r="J29" s="258"/>
      <c r="K29" s="258"/>
      <c r="L29" s="258"/>
      <c r="M29" s="258"/>
      <c r="N29" s="256"/>
    </row>
    <row r="30" spans="1:14" x14ac:dyDescent="0.25">
      <c r="A30" s="263"/>
      <c r="B30" s="253" t="s">
        <v>771</v>
      </c>
      <c r="C30" s="171">
        <v>44620</v>
      </c>
      <c r="D30" s="171">
        <v>44621</v>
      </c>
      <c r="E30" s="172">
        <f>SUMIF(Data!$B:$B,'FEB ORDERvsPRO'!C30,Data!$J:$J)</f>
        <v>135065</v>
      </c>
      <c r="F30" s="172">
        <f>SUMIF(Data!$B:$B,'FEB ORDERvsPRO'!$C30,Data!$L:$L)</f>
        <v>80665</v>
      </c>
      <c r="G30" s="172">
        <f>SUMIF(Data!$B:$B,'FEB ORDERvsPRO'!$C30,Data!$M:$M)</f>
        <v>55960</v>
      </c>
      <c r="H30" s="172">
        <f>SUMIF('Returns Data'!$B:$B,'FEB ORDERvsPRO'!$C30,'Returns Data'!$J:$J)</f>
        <v>8940</v>
      </c>
      <c r="I30" s="173">
        <f>IFERROR(Table141516[[#This Row],[Non Processed]]/Table141516[[#This Row],[Orders]],"")</f>
        <v>0.41431903157738864</v>
      </c>
      <c r="J30" s="254">
        <f>SUM(E30:E36)</f>
        <v>637408</v>
      </c>
      <c r="K30" s="254">
        <f>SUM(F30:F36)</f>
        <v>544078</v>
      </c>
      <c r="L30" s="254">
        <f>SUM(G30:G36)</f>
        <v>94890</v>
      </c>
      <c r="M30" s="254">
        <f>SUM(H30:H36)</f>
        <v>36690</v>
      </c>
      <c r="N30" s="255">
        <f>K30-M30</f>
        <v>507388</v>
      </c>
    </row>
    <row r="31" spans="1:14" x14ac:dyDescent="0.25">
      <c r="B31" s="253"/>
      <c r="C31" s="171">
        <v>44621</v>
      </c>
      <c r="D31" s="171">
        <v>44622</v>
      </c>
      <c r="E31" s="172">
        <f>SUMIF(Data!$B:$B,'FEB ORDERvsPRO'!C31,Data!$J:$J)</f>
        <v>69430</v>
      </c>
      <c r="F31" s="172">
        <f>SUMIF(Data!$B:$B,'FEB ORDERvsPRO'!$C31,Data!$L:$L)</f>
        <v>67460</v>
      </c>
      <c r="G31" s="172">
        <f>SUMIF(Data!$B:$B,'FEB ORDERvsPRO'!$C31,Data!$M:$M)</f>
        <v>1970</v>
      </c>
      <c r="H31" s="172">
        <f>SUMIF('Returns Data'!$B:$B,'FEB ORDERvsPRO'!$C31,'Returns Data'!$J:$J)</f>
        <v>10210</v>
      </c>
      <c r="I31" s="199">
        <f>IFERROR(Table141516[[#This Row],[Non Processed]]/Table141516[[#This Row],[Orders]],"")</f>
        <v>2.8373901771568486E-2</v>
      </c>
      <c r="J31" s="253"/>
      <c r="K31" s="253"/>
      <c r="L31" s="253"/>
      <c r="M31" s="253"/>
      <c r="N31" s="256"/>
    </row>
    <row r="32" spans="1:14" x14ac:dyDescent="0.25">
      <c r="B32" s="253"/>
      <c r="C32" s="171">
        <v>44622</v>
      </c>
      <c r="D32" s="171">
        <v>44623</v>
      </c>
      <c r="E32" s="172">
        <f>SUMIF(Data!$B:$B,'FEB ORDERvsPRO'!C32,Data!$J:$J)</f>
        <v>93775</v>
      </c>
      <c r="F32" s="172">
        <f>SUMIF(Data!$B:$B,'FEB ORDERvsPRO'!$C32,Data!$L:$L)</f>
        <v>93355</v>
      </c>
      <c r="G32" s="172">
        <f>SUMIF(Data!$B:$B,'FEB ORDERvsPRO'!$C32,Data!$M:$M)</f>
        <v>420</v>
      </c>
      <c r="H32" s="172">
        <f>SUMIF('Returns Data'!$B:$B,'FEB ORDERvsPRO'!$C32,'Returns Data'!$J:$J)</f>
        <v>6970</v>
      </c>
      <c r="I32" s="199">
        <f>IFERROR(Table141516[[#This Row],[Non Processed]]/Table141516[[#This Row],[Orders]],"")</f>
        <v>4.4788056518261796E-3</v>
      </c>
      <c r="J32" s="253"/>
      <c r="K32" s="253"/>
      <c r="L32" s="253"/>
      <c r="M32" s="253"/>
      <c r="N32" s="256"/>
    </row>
    <row r="33" spans="2:14" x14ac:dyDescent="0.25">
      <c r="B33" s="253"/>
      <c r="C33" s="171">
        <v>44623</v>
      </c>
      <c r="D33" s="171">
        <v>44624</v>
      </c>
      <c r="E33" s="172">
        <f>SUMIF(Data!$B:$B,'FEB ORDERvsPRO'!C33,Data!$J:$J)</f>
        <v>134375</v>
      </c>
      <c r="F33" s="172">
        <f>SUMIF(Data!$B:$B,'FEB ORDERvsPRO'!$C33,Data!$L:$L)</f>
        <v>134375</v>
      </c>
      <c r="G33" s="172">
        <f>SUMIF(Data!$B:$B,'FEB ORDERvsPRO'!$C33,Data!$M:$M)</f>
        <v>0</v>
      </c>
      <c r="H33" s="172">
        <f>SUMIF('Returns Data'!$B:$B,'FEB ORDERvsPRO'!$C33,'Returns Data'!$J:$J)</f>
        <v>0</v>
      </c>
      <c r="I33" s="199">
        <f>IFERROR(Table141516[[#This Row],[Non Processed]]/Table141516[[#This Row],[Orders]],"")</f>
        <v>0</v>
      </c>
      <c r="J33" s="253"/>
      <c r="K33" s="253"/>
      <c r="L33" s="253"/>
      <c r="M33" s="253"/>
      <c r="N33" s="256"/>
    </row>
    <row r="34" spans="2:14" x14ac:dyDescent="0.25">
      <c r="B34" s="253"/>
      <c r="C34" s="171">
        <v>44624</v>
      </c>
      <c r="D34" s="171">
        <v>44625</v>
      </c>
      <c r="E34" s="172">
        <f>SUMIF(Data!$B:$B,'FEB ORDERvsPRO'!C34,Data!$J:$J)</f>
        <v>118333</v>
      </c>
      <c r="F34" s="172">
        <f>SUMIF(Data!$B:$B,'FEB ORDERvsPRO'!$C34,Data!$L:$L)</f>
        <v>98143</v>
      </c>
      <c r="G34" s="172">
        <f>SUMIF(Data!$B:$B,'FEB ORDERvsPRO'!$C34,Data!$M:$M)</f>
        <v>20190</v>
      </c>
      <c r="H34" s="172">
        <f>SUMIF('Returns Data'!$B:$B,'FEB ORDERvsPRO'!$C34,'Returns Data'!$J:$J)</f>
        <v>0</v>
      </c>
      <c r="I34" s="199">
        <f>IFERROR(Table141516[[#This Row],[Non Processed]]/Table141516[[#This Row],[Orders]],"")</f>
        <v>0.17062019893013783</v>
      </c>
      <c r="J34" s="253"/>
      <c r="K34" s="253"/>
      <c r="L34" s="253"/>
      <c r="M34" s="253"/>
      <c r="N34" s="256"/>
    </row>
    <row r="35" spans="2:14" x14ac:dyDescent="0.25">
      <c r="B35" s="253"/>
      <c r="C35" s="171">
        <v>44625</v>
      </c>
      <c r="D35" s="171">
        <v>44627</v>
      </c>
      <c r="E35" s="172">
        <f>SUMIF(Data!$B:$B,'FEB ORDERvsPRO'!C35,Data!$J:$J)</f>
        <v>76900</v>
      </c>
      <c r="F35" s="172">
        <f>SUMIF(Data!$B:$B,'FEB ORDERvsPRO'!$C35,Data!$L:$L)</f>
        <v>60550</v>
      </c>
      <c r="G35" s="172">
        <f>SUMIF(Data!$B:$B,'FEB ORDERvsPRO'!$C35,Data!$M:$M)</f>
        <v>16350</v>
      </c>
      <c r="H35" s="172">
        <f>SUMIF('Returns Data'!$B:$B,'FEB ORDERvsPRO'!$C35,'Returns Data'!$J:$J)</f>
        <v>9180</v>
      </c>
      <c r="I35" s="199">
        <f>IFERROR(Table141516[[#This Row],[Non Processed]]/Table141516[[#This Row],[Orders]],"")</f>
        <v>0.21261378413524057</v>
      </c>
      <c r="J35" s="253"/>
      <c r="K35" s="253"/>
      <c r="L35" s="253"/>
      <c r="M35" s="253"/>
      <c r="N35" s="256"/>
    </row>
    <row r="36" spans="2:14" x14ac:dyDescent="0.25">
      <c r="B36" s="253"/>
      <c r="C36" s="171">
        <v>44626</v>
      </c>
      <c r="D36" s="171">
        <v>44627</v>
      </c>
      <c r="E36" s="172">
        <f>SUMIF(Data!$B:$B,'FEB ORDERvsPRO'!C36,Data!$J:$J)</f>
        <v>9530</v>
      </c>
      <c r="F36" s="172">
        <f>SUMIF(Data!$B:$B,'FEB ORDERvsPRO'!$C36,Data!$L:$L)</f>
        <v>9530</v>
      </c>
      <c r="G36" s="172">
        <f>SUMIF(Data!$B:$B,'FEB ORDERvsPRO'!$C36,Data!$M:$M)</f>
        <v>0</v>
      </c>
      <c r="H36" s="172">
        <f>SUMIF('Returns Data'!$B:$B,'FEB ORDERvsPRO'!$C36,'Returns Data'!$J:$J)</f>
        <v>1390</v>
      </c>
      <c r="I36" s="199">
        <f>IFERROR(Table141516[[#This Row],[Non Processed]]/Table141516[[#This Row],[Orders]],"")</f>
        <v>0</v>
      </c>
      <c r="J36" s="253"/>
      <c r="K36" s="253"/>
      <c r="L36" s="253"/>
      <c r="M36" s="253"/>
      <c r="N36" s="256"/>
    </row>
    <row r="37" spans="2:14" x14ac:dyDescent="0.25">
      <c r="B37" s="262" t="s">
        <v>940</v>
      </c>
      <c r="C37" s="198">
        <v>44627</v>
      </c>
      <c r="D37" s="198">
        <v>44628</v>
      </c>
      <c r="E37" s="117">
        <f>SUMIF(Data!$B:$B,'FEB ORDERvsPRO'!C37,Data!$J:$J)</f>
        <v>62020</v>
      </c>
      <c r="F37" s="117">
        <f>SUMIF(Data!$B:$B,'FEB ORDERvsPRO'!$C37,Data!$L:$L)</f>
        <v>57120</v>
      </c>
      <c r="G37" s="117">
        <f>SUMIF(Data!$B:$B,'FEB ORDERvsPRO'!$C37,Data!$M:$M)</f>
        <v>4900</v>
      </c>
      <c r="H37" s="117">
        <f>SUMIF('Returns Data'!$B:$B,'FEB ORDERvsPRO'!$C37,'Returns Data'!$J:$J)</f>
        <v>8610</v>
      </c>
      <c r="I37" s="200">
        <f>IFERROR(Table141516[[#This Row],[Non Processed]]/Table141516[[#This Row],[Orders]],"")</f>
        <v>7.900677200902935E-2</v>
      </c>
      <c r="J37" s="261">
        <f>SUM(E37:E43)</f>
        <v>355910</v>
      </c>
      <c r="K37" s="261">
        <f t="shared" ref="K37:M37" si="3">SUM(F37:F43)</f>
        <v>259185</v>
      </c>
      <c r="L37" s="261">
        <f t="shared" si="3"/>
        <v>26480</v>
      </c>
      <c r="M37" s="261">
        <f t="shared" si="3"/>
        <v>24085</v>
      </c>
      <c r="N37" s="255">
        <f>K37-M37</f>
        <v>235100</v>
      </c>
    </row>
    <row r="38" spans="2:14" x14ac:dyDescent="0.25">
      <c r="B38" s="262"/>
      <c r="C38" s="198">
        <v>44628</v>
      </c>
      <c r="D38" s="198">
        <v>44629</v>
      </c>
      <c r="E38" s="117">
        <f>SUMIF(Data!$B:$B,'FEB ORDERvsPRO'!C38,Data!$J:$J)</f>
        <v>55580</v>
      </c>
      <c r="F38" s="117">
        <f>SUMIF(Data!$B:$B,'FEB ORDERvsPRO'!$C38,Data!$L:$L)</f>
        <v>51230</v>
      </c>
      <c r="G38" s="117">
        <f>SUMIF(Data!$B:$B,'FEB ORDERvsPRO'!$C38,Data!$M:$M)</f>
        <v>4350</v>
      </c>
      <c r="H38" s="117">
        <f>SUMIF('Returns Data'!$B:$B,'FEB ORDERvsPRO'!$C38,'Returns Data'!$J:$J)</f>
        <v>5940</v>
      </c>
      <c r="I38" s="200">
        <f>IFERROR(Table141516[[#This Row],[Non Processed]]/Table141516[[#This Row],[Orders]],"")</f>
        <v>7.826556315221303E-2</v>
      </c>
      <c r="J38" s="262"/>
      <c r="K38" s="262"/>
      <c r="L38" s="262"/>
      <c r="M38" s="262"/>
      <c r="N38" s="256"/>
    </row>
    <row r="39" spans="2:14" x14ac:dyDescent="0.25">
      <c r="B39" s="262"/>
      <c r="C39" s="198">
        <v>44629</v>
      </c>
      <c r="D39" s="198">
        <v>44630</v>
      </c>
      <c r="E39" s="117">
        <f>SUMIF(Data!$B:$B,'FEB ORDERvsPRO'!C39,Data!$J:$J)</f>
        <v>59165</v>
      </c>
      <c r="F39" s="117">
        <f>SUMIF(Data!$B:$B,'FEB ORDERvsPRO'!$C39,Data!$L:$L)</f>
        <v>48895</v>
      </c>
      <c r="G39" s="117">
        <f>SUMIF(Data!$B:$B,'FEB ORDERvsPRO'!$C39,Data!$M:$M)</f>
        <v>10270</v>
      </c>
      <c r="H39" s="117">
        <f>SUMIF('Returns Data'!$B:$B,'FEB ORDERvsPRO'!$C39,'Returns Data'!$J:$J)</f>
        <v>4805</v>
      </c>
      <c r="I39" s="200">
        <f>IFERROR(Table141516[[#This Row],[Non Processed]]/Table141516[[#This Row],[Orders]],"")</f>
        <v>0.17358235443251924</v>
      </c>
      <c r="J39" s="262"/>
      <c r="K39" s="262"/>
      <c r="L39" s="262"/>
      <c r="M39" s="262"/>
      <c r="N39" s="256"/>
    </row>
    <row r="40" spans="2:14" x14ac:dyDescent="0.25">
      <c r="B40" s="262"/>
      <c r="C40" s="198">
        <v>44630</v>
      </c>
      <c r="D40" s="198">
        <v>44631</v>
      </c>
      <c r="E40" s="117">
        <f>SUMIF(Data!$B:$B,'FEB ORDERvsPRO'!C40,Data!$J:$J)</f>
        <v>48535</v>
      </c>
      <c r="F40" s="117">
        <f>SUMIF(Data!$B:$B,'FEB ORDERvsPRO'!$C40,Data!$L:$L)</f>
        <v>44025</v>
      </c>
      <c r="G40" s="117">
        <f>SUMIF(Data!$B:$B,'FEB ORDERvsPRO'!$C40,Data!$M:$M)</f>
        <v>6960</v>
      </c>
      <c r="H40" s="117">
        <f>SUMIF('Returns Data'!$B:$B,'FEB ORDERvsPRO'!$C40,'Returns Data'!$J:$J)</f>
        <v>4730</v>
      </c>
      <c r="I40" s="200">
        <f>IFERROR(Table141516[[#This Row],[Non Processed]]/Table141516[[#This Row],[Orders]],"")</f>
        <v>0.14340166889873288</v>
      </c>
      <c r="J40" s="262"/>
      <c r="K40" s="262"/>
      <c r="L40" s="262"/>
      <c r="M40" s="262"/>
      <c r="N40" s="256"/>
    </row>
    <row r="41" spans="2:14" x14ac:dyDescent="0.25">
      <c r="B41" s="262"/>
      <c r="C41" s="198">
        <v>44631</v>
      </c>
      <c r="D41" s="198">
        <v>44632</v>
      </c>
      <c r="E41" s="117">
        <f>SUMIF(Data!$B:$B,'FEB ORDERvsPRO'!C41,Data!$J:$J)</f>
        <v>57915</v>
      </c>
      <c r="F41" s="117">
        <f>SUMIF(Data!$B:$B,'FEB ORDERvsPRO'!$C41,Data!$L:$L)</f>
        <v>57915</v>
      </c>
      <c r="G41" s="117">
        <f>SUMIF(Data!$B:$B,'FEB ORDERvsPRO'!$C41,Data!$M:$M)</f>
        <v>0</v>
      </c>
      <c r="H41" s="117">
        <f>SUMIF('Returns Data'!$B:$B,'FEB ORDERvsPRO'!$C41,'Returns Data'!$J:$J)</f>
        <v>0</v>
      </c>
      <c r="I41" s="200">
        <f>IFERROR(Table141516[[#This Row],[Non Processed]]/Table141516[[#This Row],[Orders]],"")</f>
        <v>0</v>
      </c>
      <c r="J41" s="262"/>
      <c r="K41" s="262"/>
      <c r="L41" s="262"/>
      <c r="M41" s="262"/>
      <c r="N41" s="256"/>
    </row>
    <row r="42" spans="2:14" x14ac:dyDescent="0.25">
      <c r="B42" s="262"/>
      <c r="C42" s="198">
        <v>44632</v>
      </c>
      <c r="D42" s="198">
        <v>44634</v>
      </c>
      <c r="E42" s="117">
        <f>SUMIF(Data!$B:$B,'FEB ORDERvsPRO'!C42,Data!$J:$J)</f>
        <v>63415</v>
      </c>
      <c r="F42" s="117">
        <f>SUMIF(Data!$B:$B,'FEB ORDERvsPRO'!$C42,Data!$L:$L)</f>
        <v>0</v>
      </c>
      <c r="G42" s="117">
        <f>SUMIF(Data!$B:$B,'FEB ORDERvsPRO'!$C42,Data!$M:$M)</f>
        <v>0</v>
      </c>
      <c r="H42" s="117">
        <f>SUMIF('Returns Data'!$B:$B,'FEB ORDERvsPRO'!$C42,'Returns Data'!$J:$J)</f>
        <v>0</v>
      </c>
      <c r="I42" s="200">
        <f>IFERROR(Table141516[[#This Row],[Non Processed]]/Table141516[[#This Row],[Orders]],"")</f>
        <v>0</v>
      </c>
      <c r="J42" s="262"/>
      <c r="K42" s="262"/>
      <c r="L42" s="262"/>
      <c r="M42" s="262"/>
      <c r="N42" s="256"/>
    </row>
    <row r="43" spans="2:14" x14ac:dyDescent="0.25">
      <c r="B43" s="262"/>
      <c r="C43" s="198">
        <v>44633</v>
      </c>
      <c r="D43" s="198">
        <v>44634</v>
      </c>
      <c r="E43" s="117">
        <f>SUMIF(Data!$B:$B,'FEB ORDERvsPRO'!C43,Data!$J:$J)</f>
        <v>9280</v>
      </c>
      <c r="F43" s="117">
        <f>SUMIF(Data!$B:$B,'FEB ORDERvsPRO'!$C43,Data!$L:$L)</f>
        <v>0</v>
      </c>
      <c r="G43" s="117">
        <f>SUMIF(Data!$B:$B,'FEB ORDERvsPRO'!$C43,Data!$M:$M)</f>
        <v>0</v>
      </c>
      <c r="H43" s="117">
        <f>SUMIF('Returns Data'!$B:$B,'FEB ORDERvsPRO'!$C43,'Returns Data'!$J:$J)</f>
        <v>0</v>
      </c>
      <c r="I43" s="200">
        <f>IFERROR(Table141516[[#This Row],[Non Processed]]/Table141516[[#This Row],[Orders]],"")</f>
        <v>0</v>
      </c>
      <c r="J43" s="262"/>
      <c r="K43" s="262"/>
      <c r="L43" s="262"/>
      <c r="M43" s="262"/>
      <c r="N43" s="256"/>
    </row>
    <row r="44" spans="2:14" x14ac:dyDescent="0.25">
      <c r="B44" s="253" t="s">
        <v>1080</v>
      </c>
      <c r="C44" s="171">
        <v>44634</v>
      </c>
      <c r="D44" s="171">
        <v>44635</v>
      </c>
      <c r="E44" s="172">
        <f>SUMIF(Data!$B:$B,'FEB ORDERvsPRO'!C44,Data!$J:$J)</f>
        <v>87160</v>
      </c>
      <c r="F44" s="172">
        <f>SUMIF(Data!$B:$B,'FEB ORDERvsPRO'!$C44,Data!$L:$L)</f>
        <v>2780</v>
      </c>
      <c r="G44" s="172">
        <f>SUMIF(Data!$B:$B,'FEB ORDERvsPRO'!$C44,Data!$M:$M)</f>
        <v>0</v>
      </c>
      <c r="H44" s="172">
        <f>SUMIF('Returns Data'!$B:$B,'FEB ORDERvsPRO'!$C44,'Returns Data'!$J:$J)</f>
        <v>0</v>
      </c>
      <c r="I44" s="199">
        <f>IFERROR(Table141516[[#This Row],[Non Processed]]/Table141516[[#This Row],[Orders]],"")</f>
        <v>0</v>
      </c>
      <c r="J44" s="254">
        <f>SUM(E44:E50)</f>
        <v>233951</v>
      </c>
      <c r="K44" s="254">
        <f t="shared" ref="K44:M44" si="4">SUM(F44:F50)</f>
        <v>76565</v>
      </c>
      <c r="L44" s="254">
        <f t="shared" si="4"/>
        <v>6040</v>
      </c>
      <c r="M44" s="254">
        <f t="shared" si="4"/>
        <v>10775</v>
      </c>
    </row>
    <row r="45" spans="2:14" x14ac:dyDescent="0.25">
      <c r="B45" s="253"/>
      <c r="C45" s="171">
        <v>44635</v>
      </c>
      <c r="D45" s="171">
        <v>44636</v>
      </c>
      <c r="E45" s="172">
        <f>SUMIF(Data!$B:$B,'FEB ORDERvsPRO'!C45,Data!$J:$J)</f>
        <v>79825</v>
      </c>
      <c r="F45" s="172">
        <f>SUMIF(Data!$B:$B,'FEB ORDERvsPRO'!$C45,Data!$L:$L)</f>
        <v>73785</v>
      </c>
      <c r="G45" s="172">
        <f>SUMIF(Data!$B:$B,'FEB ORDERvsPRO'!$C45,Data!$M:$M)</f>
        <v>6040</v>
      </c>
      <c r="H45" s="172">
        <f>SUMIF('Returns Data'!$B:$B,'FEB ORDERvsPRO'!$C45,'Returns Data'!$J:$J)</f>
        <v>10775</v>
      </c>
      <c r="I45" s="199">
        <f>IFERROR(Table141516[[#This Row],[Non Processed]]/Table141516[[#This Row],[Orders]],"")</f>
        <v>7.566551832132791E-2</v>
      </c>
      <c r="J45" s="253"/>
      <c r="K45" s="253"/>
      <c r="L45" s="253"/>
      <c r="M45" s="253"/>
    </row>
    <row r="46" spans="2:14" x14ac:dyDescent="0.25">
      <c r="B46" s="253"/>
      <c r="C46" s="171">
        <v>44636</v>
      </c>
      <c r="D46" s="171">
        <v>44637</v>
      </c>
      <c r="E46" s="172">
        <f>SUMIF(Data!$B:$B,'FEB ORDERvsPRO'!C46,Data!$J:$J)</f>
        <v>66966</v>
      </c>
      <c r="F46" s="172">
        <f>SUMIF(Data!$B:$B,'FEB ORDERvsPRO'!$C46,Data!$L:$L)</f>
        <v>0</v>
      </c>
      <c r="G46" s="172">
        <f>SUMIF(Data!$B:$B,'FEB ORDERvsPRO'!$C46,Data!$M:$M)</f>
        <v>0</v>
      </c>
      <c r="H46" s="172">
        <f>SUMIF('Returns Data'!$B:$B,'FEB ORDERvsPRO'!$C46,'Returns Data'!$J:$J)</f>
        <v>0</v>
      </c>
      <c r="I46" s="199">
        <f>IFERROR(Table141516[[#This Row],[Non Processed]]/Table141516[[#This Row],[Orders]],"")</f>
        <v>0</v>
      </c>
      <c r="J46" s="253"/>
      <c r="K46" s="253"/>
      <c r="L46" s="253"/>
      <c r="M46" s="253"/>
    </row>
    <row r="47" spans="2:14" x14ac:dyDescent="0.25">
      <c r="B47" s="253"/>
      <c r="C47" s="171">
        <v>44637</v>
      </c>
      <c r="D47" s="171">
        <v>44638</v>
      </c>
      <c r="E47" s="172">
        <f>SUMIF(Data!$B:$B,'FEB ORDERvsPRO'!C47,Data!$J:$J)</f>
        <v>0</v>
      </c>
      <c r="F47" s="172">
        <f>SUMIF(Data!$B:$B,'FEB ORDERvsPRO'!$C47,Data!$L:$L)</f>
        <v>0</v>
      </c>
      <c r="G47" s="172">
        <f>SUMIF(Data!$B:$B,'FEB ORDERvsPRO'!$C47,Data!$M:$M)</f>
        <v>0</v>
      </c>
      <c r="H47" s="172">
        <f>SUMIF('Returns Data'!$B:$B,'FEB ORDERvsPRO'!$C47,'Returns Data'!$J:$J)</f>
        <v>0</v>
      </c>
      <c r="I47" s="199" t="str">
        <f>IFERROR(Table141516[[#This Row],[Non Processed]]/Table141516[[#This Row],[Orders]],"")</f>
        <v/>
      </c>
      <c r="J47" s="253"/>
      <c r="K47" s="253"/>
      <c r="L47" s="253"/>
      <c r="M47" s="253"/>
    </row>
    <row r="48" spans="2:14" x14ac:dyDescent="0.25">
      <c r="B48" s="253"/>
      <c r="C48" s="171">
        <v>44638</v>
      </c>
      <c r="D48" s="171">
        <v>44639</v>
      </c>
      <c r="E48" s="172">
        <f>SUMIF(Data!$B:$B,'FEB ORDERvsPRO'!C48,Data!$J:$J)</f>
        <v>0</v>
      </c>
      <c r="F48" s="172">
        <f>SUMIF(Data!$B:$B,'FEB ORDERvsPRO'!$C48,Data!$L:$L)</f>
        <v>0</v>
      </c>
      <c r="G48" s="172">
        <f>SUMIF(Data!$B:$B,'FEB ORDERvsPRO'!$C48,Data!$M:$M)</f>
        <v>0</v>
      </c>
      <c r="H48" s="172">
        <f>SUMIF('Returns Data'!$B:$B,'FEB ORDERvsPRO'!$C48,'Returns Data'!$J:$J)</f>
        <v>0</v>
      </c>
      <c r="I48" s="199" t="str">
        <f>IFERROR(Table141516[[#This Row],[Non Processed]]/Table141516[[#This Row],[Orders]],"")</f>
        <v/>
      </c>
      <c r="J48" s="253"/>
      <c r="K48" s="253"/>
      <c r="L48" s="253"/>
      <c r="M48" s="253"/>
    </row>
    <row r="49" spans="2:13" x14ac:dyDescent="0.25">
      <c r="B49" s="253"/>
      <c r="C49" s="171">
        <v>44639</v>
      </c>
      <c r="D49" s="171">
        <v>44641</v>
      </c>
      <c r="E49" s="172">
        <f>SUMIF(Data!$B:$B,'FEB ORDERvsPRO'!C49,Data!$J:$J)</f>
        <v>0</v>
      </c>
      <c r="F49" s="172">
        <f>SUMIF(Data!$B:$B,'FEB ORDERvsPRO'!$C49,Data!$L:$L)</f>
        <v>0</v>
      </c>
      <c r="G49" s="172">
        <f>SUMIF(Data!$B:$B,'FEB ORDERvsPRO'!$C49,Data!$M:$M)</f>
        <v>0</v>
      </c>
      <c r="H49" s="172">
        <f>SUMIF('Returns Data'!$B:$B,'FEB ORDERvsPRO'!$C49,'Returns Data'!$J:$J)</f>
        <v>0</v>
      </c>
      <c r="I49" s="199" t="str">
        <f>IFERROR(Table141516[[#This Row],[Non Processed]]/Table141516[[#This Row],[Orders]],"")</f>
        <v/>
      </c>
      <c r="J49" s="253"/>
      <c r="K49" s="253"/>
      <c r="L49" s="253"/>
      <c r="M49" s="253"/>
    </row>
    <row r="50" spans="2:13" x14ac:dyDescent="0.25">
      <c r="B50" s="253"/>
      <c r="C50" s="171">
        <v>44640</v>
      </c>
      <c r="D50" s="171">
        <v>44641</v>
      </c>
      <c r="E50" s="172">
        <f>SUMIF(Data!$B:$B,'FEB ORDERvsPRO'!C50,Data!$J:$J)</f>
        <v>0</v>
      </c>
      <c r="F50" s="172">
        <f>SUMIF(Data!$B:$B,'FEB ORDERvsPRO'!$C50,Data!$L:$L)</f>
        <v>0</v>
      </c>
      <c r="G50" s="172">
        <f>SUMIF(Data!$B:$B,'FEB ORDERvsPRO'!$C50,Data!$M:$M)</f>
        <v>0</v>
      </c>
      <c r="H50" s="172">
        <f>SUMIF('Returns Data'!$B:$B,'FEB ORDERvsPRO'!$C50,'Returns Data'!$J:$J)</f>
        <v>0</v>
      </c>
      <c r="I50" s="199" t="str">
        <f>IFERROR(Table141516[[#This Row],[Non Processed]]/Table141516[[#This Row],[Orders]],"")</f>
        <v/>
      </c>
      <c r="J50" s="253"/>
      <c r="K50" s="253"/>
      <c r="L50" s="253"/>
      <c r="M50" s="253"/>
    </row>
    <row r="51" spans="2:13" x14ac:dyDescent="0.25">
      <c r="C51" s="74">
        <v>44641</v>
      </c>
      <c r="E51" s="67">
        <f>SUMIF(Data!$B:$B,'FEB ORDERvsPRO'!C51,Data!$J:$J)</f>
        <v>0</v>
      </c>
      <c r="F51" s="67">
        <f>SUMIF(Data!$B:$B,'FEB ORDERvsPRO'!$C51,Data!$L:$L)</f>
        <v>0</v>
      </c>
      <c r="G51" s="67">
        <f>SUMIF(Data!$B:$B,'FEB ORDERvsPRO'!$C51,Data!$M:$M)</f>
        <v>0</v>
      </c>
      <c r="H51" s="67">
        <f>SUMIF('Returns Data'!$B:$B,'FEB ORDERvsPRO'!$C51,'Returns Data'!$J:$J)</f>
        <v>0</v>
      </c>
      <c r="I51" s="201" t="str">
        <f>IFERROR(Table141516[[#This Row],[Non Processed]]/Table141516[[#This Row],[Orders]],"")</f>
        <v/>
      </c>
    </row>
    <row r="52" spans="2:13" x14ac:dyDescent="0.25">
      <c r="C52" s="74">
        <v>44642</v>
      </c>
      <c r="E52" s="67">
        <f>SUMIF(Data!$B:$B,'FEB ORDERvsPRO'!C52,Data!$J:$J)</f>
        <v>0</v>
      </c>
      <c r="F52" s="67">
        <f>SUMIF(Data!$B:$B,'FEB ORDERvsPRO'!$C52,Data!$L:$L)</f>
        <v>0</v>
      </c>
      <c r="G52" s="67">
        <f>SUMIF(Data!$B:$B,'FEB ORDERvsPRO'!$C52,Data!$M:$M)</f>
        <v>0</v>
      </c>
      <c r="H52" s="67">
        <f>SUMIF('Returns Data'!$B:$B,'FEB ORDERvsPRO'!$C52,'Returns Data'!$J:$J)</f>
        <v>0</v>
      </c>
      <c r="I52" s="201" t="str">
        <f>IFERROR(Table141516[[#This Row],[Non Processed]]/Table141516[[#This Row],[Orders]],"")</f>
        <v/>
      </c>
    </row>
    <row r="53" spans="2:13" x14ac:dyDescent="0.25">
      <c r="C53" s="74">
        <v>44643</v>
      </c>
      <c r="E53" s="67">
        <f>SUMIF(Data!$B:$B,'FEB ORDERvsPRO'!C53,Data!$J:$J)</f>
        <v>0</v>
      </c>
      <c r="F53" s="67">
        <f>SUMIF(Data!$B:$B,'FEB ORDERvsPRO'!$C53,Data!$L:$L)</f>
        <v>0</v>
      </c>
      <c r="G53" s="67">
        <f>SUMIF(Data!$B:$B,'FEB ORDERvsPRO'!$C53,Data!$M:$M)</f>
        <v>0</v>
      </c>
      <c r="H53" s="67">
        <f>SUMIF('Returns Data'!$B:$B,'FEB ORDERvsPRO'!$C53,'Returns Data'!$J:$J)</f>
        <v>0</v>
      </c>
      <c r="I53" s="201" t="str">
        <f>IFERROR(Table141516[[#This Row],[Non Processed]]/Table141516[[#This Row],[Orders]],"")</f>
        <v/>
      </c>
    </row>
    <row r="54" spans="2:13" x14ac:dyDescent="0.25">
      <c r="E54" s="67">
        <f>SUMIF(Data!$B:$B,'FEB ORDERvsPRO'!C54,Data!$J:$J)</f>
        <v>0</v>
      </c>
      <c r="F54" s="67">
        <f>SUMIF(Data!$B:$B,'FEB ORDERvsPRO'!$C54,Data!$L:$L)</f>
        <v>0</v>
      </c>
      <c r="G54" s="67">
        <f>SUMIF(Data!$B:$B,'FEB ORDERvsPRO'!$C54,Data!$M:$M)</f>
        <v>0</v>
      </c>
      <c r="H54" s="67">
        <f>SUMIF('Returns Data'!$B:$B,'FEB ORDERvsPRO'!$C54,'Returns Data'!$J:$J)</f>
        <v>0</v>
      </c>
      <c r="I54" s="201" t="str">
        <f>IFERROR(Table141516[[#This Row],[Non Processed]]/Table141516[[#This Row],[Orders]],"")</f>
        <v/>
      </c>
    </row>
    <row r="55" spans="2:13" x14ac:dyDescent="0.25">
      <c r="E55" s="67">
        <f>SUMIF(Data!$B:$B,'FEB ORDERvsPRO'!C55,Data!$J:$J)</f>
        <v>0</v>
      </c>
      <c r="F55" s="67">
        <f>SUMIF(Data!$B:$B,'FEB ORDERvsPRO'!$C55,Data!$L:$L)</f>
        <v>0</v>
      </c>
      <c r="G55" s="67">
        <f>SUMIF(Data!$B:$B,'FEB ORDERvsPRO'!$C55,Data!$M:$M)</f>
        <v>0</v>
      </c>
      <c r="H55" s="67">
        <f>SUMIF('Returns Data'!$B:$B,'FEB ORDERvsPRO'!$C55,'Returns Data'!$J:$J)</f>
        <v>0</v>
      </c>
      <c r="I55" s="201" t="str">
        <f>IFERROR(Table141516[[#This Row],[Non Processed]]/Table141516[[#This Row],[Orders]],"")</f>
        <v/>
      </c>
    </row>
    <row r="56" spans="2:13" x14ac:dyDescent="0.25">
      <c r="E56" s="67">
        <f>SUMIF(Data!$B:$B,'FEB ORDERvsPRO'!C56,Data!$J:$J)</f>
        <v>0</v>
      </c>
      <c r="F56" s="67">
        <f>SUMIF(Data!$B:$B,'FEB ORDERvsPRO'!$C56,Data!$L:$L)</f>
        <v>0</v>
      </c>
      <c r="G56" s="67">
        <f>SUMIF(Data!$B:$B,'FEB ORDERvsPRO'!$C56,Data!$M:$M)</f>
        <v>0</v>
      </c>
      <c r="H56" s="67">
        <f>SUMIF('Returns Data'!$B:$B,'FEB ORDERvsPRO'!$C56,'Returns Data'!$J:$J)</f>
        <v>0</v>
      </c>
      <c r="I56" s="201" t="str">
        <f>IFERROR(Table141516[[#This Row],[Non Processed]]/Table141516[[#This Row],[Orders]],"")</f>
        <v/>
      </c>
    </row>
    <row r="57" spans="2:13" x14ac:dyDescent="0.25">
      <c r="E57" s="67">
        <f>SUMIF(Data!$B:$B,'FEB ORDERvsPRO'!C57,Data!$J:$J)</f>
        <v>0</v>
      </c>
      <c r="F57" s="67">
        <f>SUMIF(Data!$B:$B,'FEB ORDERvsPRO'!$C57,Data!$L:$L)</f>
        <v>0</v>
      </c>
      <c r="G57" s="67">
        <f>SUMIF(Data!$B:$B,'FEB ORDERvsPRO'!$C57,Data!$M:$M)</f>
        <v>0</v>
      </c>
      <c r="H57" s="67">
        <f>SUMIF('Returns Data'!$B:$B,'FEB ORDERvsPRO'!$C57,'Returns Data'!$J:$J)</f>
        <v>0</v>
      </c>
      <c r="I57" s="201" t="str">
        <f>IFERROR(Table141516[[#This Row],[Non Processed]]/Table141516[[#This Row],[Orders]],"")</f>
        <v/>
      </c>
    </row>
    <row r="58" spans="2:13" x14ac:dyDescent="0.25">
      <c r="E58" s="67">
        <f>SUMIF(Data!$B:$B,'FEB ORDERvsPRO'!C58,Data!$J:$J)</f>
        <v>0</v>
      </c>
      <c r="F58" s="67">
        <f>SUMIF(Data!$B:$B,'FEB ORDERvsPRO'!$C58,Data!$L:$L)</f>
        <v>0</v>
      </c>
      <c r="G58" s="67">
        <f>SUMIF(Data!$B:$B,'FEB ORDERvsPRO'!$C58,Data!$M:$M)</f>
        <v>0</v>
      </c>
      <c r="H58" s="67">
        <f>SUMIF('Returns Data'!$B:$B,'FEB ORDERvsPRO'!$C58,'Returns Data'!$J:$J)</f>
        <v>0</v>
      </c>
      <c r="I58" s="201" t="str">
        <f>IFERROR(Table141516[[#This Row],[Non Processed]]/Table141516[[#This Row],[Orders]],"")</f>
        <v/>
      </c>
    </row>
    <row r="59" spans="2:13" x14ac:dyDescent="0.25">
      <c r="E59" s="67">
        <f>SUMIF(Data!$B:$B,'FEB ORDERvsPRO'!C59,Data!$J:$J)</f>
        <v>0</v>
      </c>
      <c r="F59" s="67">
        <f>SUMIF(Data!$B:$B,'FEB ORDERvsPRO'!$C59,Data!$L:$L)</f>
        <v>0</v>
      </c>
      <c r="G59" s="67">
        <f>SUMIF(Data!$B:$B,'FEB ORDERvsPRO'!$C59,Data!$M:$M)</f>
        <v>0</v>
      </c>
      <c r="H59" s="67">
        <f>SUMIF('Returns Data'!$B:$B,'FEB ORDERvsPRO'!$C59,'Returns Data'!$J:$J)</f>
        <v>0</v>
      </c>
      <c r="I59" s="201" t="str">
        <f>IFERROR(Table141516[[#This Row],[Non Processed]]/Table141516[[#This Row],[Orders]],"")</f>
        <v/>
      </c>
    </row>
    <row r="60" spans="2:13" x14ac:dyDescent="0.25">
      <c r="E60" s="67">
        <f>SUMIF(Data!$B:$B,'FEB ORDERvsPRO'!C60,Data!$J:$J)</f>
        <v>0</v>
      </c>
      <c r="F60" s="67">
        <f>SUMIF(Data!$B:$B,'FEB ORDERvsPRO'!$C60,Data!$L:$L)</f>
        <v>0</v>
      </c>
      <c r="G60" s="67">
        <f>SUMIF(Data!$B:$B,'FEB ORDERvsPRO'!$C60,Data!$M:$M)</f>
        <v>0</v>
      </c>
      <c r="H60" s="67">
        <f>SUMIF('Returns Data'!$B:$B,'FEB ORDERvsPRO'!$C60,'Returns Data'!$J:$J)</f>
        <v>0</v>
      </c>
      <c r="I60" s="201" t="str">
        <f>IFERROR(Table141516[[#This Row],[Non Processed]]/Table141516[[#This Row],[Orders]],"")</f>
        <v/>
      </c>
    </row>
    <row r="61" spans="2:13" x14ac:dyDescent="0.25">
      <c r="E61" s="67">
        <f>SUMIF(Data!$B:$B,'FEB ORDERvsPRO'!C61,Data!$J:$J)</f>
        <v>0</v>
      </c>
      <c r="F61" s="67">
        <f>SUMIF(Data!$B:$B,'FEB ORDERvsPRO'!$C61,Data!$L:$L)</f>
        <v>0</v>
      </c>
      <c r="G61" s="67">
        <f>SUMIF(Data!$B:$B,'FEB ORDERvsPRO'!$C61,Data!$M:$M)</f>
        <v>0</v>
      </c>
      <c r="H61" s="67">
        <f>SUMIF('Returns Data'!$B:$B,'FEB ORDERvsPRO'!$C61,'Returns Data'!$J:$J)</f>
        <v>0</v>
      </c>
      <c r="I61" s="201" t="str">
        <f>IFERROR(Table141516[[#This Row],[Non Processed]]/Table141516[[#This Row],[Orders]],"")</f>
        <v/>
      </c>
    </row>
    <row r="62" spans="2:13" x14ac:dyDescent="0.25">
      <c r="E62" s="67">
        <f>SUMIF(Data!$B:$B,'FEB ORDERvsPRO'!C62,Data!$J:$J)</f>
        <v>0</v>
      </c>
      <c r="F62" s="67">
        <f>SUMIF(Data!$B:$B,'FEB ORDERvsPRO'!$C62,Data!$L:$L)</f>
        <v>0</v>
      </c>
      <c r="G62" s="67">
        <f>SUMIF(Data!$B:$B,'FEB ORDERvsPRO'!$C62,Data!$M:$M)</f>
        <v>0</v>
      </c>
      <c r="H62" s="67">
        <f>SUMIF('Returns Data'!$B:$B,'FEB ORDERvsPRO'!$C62,'Returns Data'!$J:$J)</f>
        <v>0</v>
      </c>
      <c r="I62" s="201" t="str">
        <f>IFERROR(Table141516[[#This Row],[Non Processed]]/Table141516[[#This Row],[Orders]],"")</f>
        <v/>
      </c>
    </row>
    <row r="63" spans="2:13" x14ac:dyDescent="0.25">
      <c r="E63" s="67">
        <f>SUMIF(Data!$B:$B,'FEB ORDERvsPRO'!C63,Data!$J:$J)</f>
        <v>0</v>
      </c>
      <c r="F63" s="67">
        <f>SUMIF(Data!$B:$B,'FEB ORDERvsPRO'!$C63,Data!$L:$L)</f>
        <v>0</v>
      </c>
      <c r="G63" s="67">
        <f>SUMIF(Data!$B:$B,'FEB ORDERvsPRO'!$C63,Data!$M:$M)</f>
        <v>0</v>
      </c>
      <c r="H63" s="67">
        <f>SUMIF('Returns Data'!$B:$B,'FEB ORDERvsPRO'!$C63,'Returns Data'!$J:$J)</f>
        <v>0</v>
      </c>
      <c r="I63" s="201" t="str">
        <f>IFERROR(Table141516[[#This Row],[Non Processed]]/Table141516[[#This Row],[Orders]],"")</f>
        <v/>
      </c>
    </row>
    <row r="64" spans="2:13" x14ac:dyDescent="0.25">
      <c r="E64" s="67">
        <f>SUMIF(Data!$B:$B,'FEB ORDERvsPRO'!C64,Data!$J:$J)</f>
        <v>0</v>
      </c>
      <c r="F64" s="67">
        <f>SUMIF(Data!$B:$B,'FEB ORDERvsPRO'!$C64,Data!$L:$L)</f>
        <v>0</v>
      </c>
      <c r="G64" s="67">
        <f>SUMIF(Data!$B:$B,'FEB ORDERvsPRO'!$C64,Data!$M:$M)</f>
        <v>0</v>
      </c>
      <c r="H64" s="67">
        <f>SUMIF('Returns Data'!$B:$B,'FEB ORDERvsPRO'!$C64,'Returns Data'!$J:$J)</f>
        <v>0</v>
      </c>
      <c r="I64" s="201" t="str">
        <f>IFERROR(Table141516[[#This Row],[Non Processed]]/Table141516[[#This Row],[Orders]],"")</f>
        <v/>
      </c>
    </row>
    <row r="65" spans="5:9" x14ac:dyDescent="0.25">
      <c r="E65" s="67">
        <f>SUMIF(Data!$B:$B,'FEB ORDERvsPRO'!C65,Data!$J:$J)</f>
        <v>0</v>
      </c>
      <c r="F65" s="67">
        <f>SUMIF(Data!$B:$B,'FEB ORDERvsPRO'!$C65,Data!$L:$L)</f>
        <v>0</v>
      </c>
      <c r="G65" s="67">
        <f>SUMIF(Data!$B:$B,'FEB ORDERvsPRO'!$C65,Data!$M:$M)</f>
        <v>0</v>
      </c>
      <c r="H65" s="67">
        <f>SUMIF('Returns Data'!$B:$B,'FEB ORDERvsPRO'!$C65,'Returns Data'!$J:$J)</f>
        <v>0</v>
      </c>
      <c r="I65" s="201" t="str">
        <f>IFERROR(Table141516[[#This Row],[Non Processed]]/Table141516[[#This Row],[Orders]],"")</f>
        <v/>
      </c>
    </row>
    <row r="66" spans="5:9" x14ac:dyDescent="0.25">
      <c r="E66" s="67">
        <f>SUMIF(Data!$B:$B,'FEB ORDERvsPRO'!C66,Data!$J:$J)</f>
        <v>0</v>
      </c>
      <c r="F66" s="67">
        <f>SUMIF(Data!$B:$B,'FEB ORDERvsPRO'!$C66,Data!$L:$L)</f>
        <v>0</v>
      </c>
      <c r="G66" s="67">
        <f>SUMIF(Data!$B:$B,'FEB ORDERvsPRO'!$C66,Data!$M:$M)</f>
        <v>0</v>
      </c>
      <c r="H66" s="67">
        <f>SUMIF('Returns Data'!$B:$B,'FEB ORDERvsPRO'!$C66,'Returns Data'!$J:$J)</f>
        <v>0</v>
      </c>
      <c r="I66" s="201" t="str">
        <f>IFERROR(Table141516[[#This Row],[Non Processed]]/Table141516[[#This Row],[Orders]],"")</f>
        <v/>
      </c>
    </row>
    <row r="67" spans="5:9" x14ac:dyDescent="0.25">
      <c r="E67" s="67">
        <f>SUMIF(Data!$B:$B,'FEB ORDERvsPRO'!C67,Data!$J:$J)</f>
        <v>0</v>
      </c>
      <c r="F67" s="67">
        <f>SUMIF(Data!$B:$B,'FEB ORDERvsPRO'!$C67,Data!$L:$L)</f>
        <v>0</v>
      </c>
      <c r="G67" s="67">
        <f>SUMIF(Data!$B:$B,'FEB ORDERvsPRO'!$C67,Data!$M:$M)</f>
        <v>0</v>
      </c>
      <c r="H67" s="67">
        <f>SUMIF('Returns Data'!$B:$B,'FEB ORDERvsPRO'!$C67,'Returns Data'!$J:$J)</f>
        <v>0</v>
      </c>
      <c r="I67" s="201" t="str">
        <f>IFERROR(Table141516[[#This Row],[Non Processed]]/Table141516[[#This Row],[Orders]],"")</f>
        <v/>
      </c>
    </row>
    <row r="68" spans="5:9" x14ac:dyDescent="0.25">
      <c r="E68" s="67">
        <f>SUMIF(Data!$B:$B,'FEB ORDERvsPRO'!C68,Data!$J:$J)</f>
        <v>0</v>
      </c>
      <c r="F68" s="67">
        <f>SUMIF(Data!$B:$B,'FEB ORDERvsPRO'!$C68,Data!$L:$L)</f>
        <v>0</v>
      </c>
      <c r="G68" s="67">
        <f>SUMIF(Data!$B:$B,'FEB ORDERvsPRO'!$C68,Data!$M:$M)</f>
        <v>0</v>
      </c>
      <c r="H68" s="67">
        <f>SUMIF('Returns Data'!$B:$B,'FEB ORDERvsPRO'!$C68,'Returns Data'!$J:$J)</f>
        <v>0</v>
      </c>
      <c r="I68" s="201" t="str">
        <f>IFERROR(Table141516[[#This Row],[Non Processed]]/Table141516[[#This Row],[Orders]],"")</f>
        <v/>
      </c>
    </row>
    <row r="69" spans="5:9" x14ac:dyDescent="0.25">
      <c r="E69" s="67">
        <f>SUMIF(Data!$B:$B,'FEB ORDERvsPRO'!C69,Data!$J:$J)</f>
        <v>0</v>
      </c>
      <c r="F69" s="67">
        <f>SUMIF(Data!$B:$B,'FEB ORDERvsPRO'!$C69,Data!$L:$L)</f>
        <v>0</v>
      </c>
      <c r="G69" s="67">
        <f>SUMIF(Data!$B:$B,'FEB ORDERvsPRO'!$C69,Data!$M:$M)</f>
        <v>0</v>
      </c>
      <c r="H69" s="67">
        <f>SUMIF('Returns Data'!$B:$B,'FEB ORDERvsPRO'!$C69,'Returns Data'!$J:$J)</f>
        <v>0</v>
      </c>
      <c r="I69" s="201" t="str">
        <f>IFERROR(Table141516[[#This Row],[Non Processed]]/Table141516[[#This Row],[Orders]],"")</f>
        <v/>
      </c>
    </row>
    <row r="70" spans="5:9" x14ac:dyDescent="0.25">
      <c r="E70" s="67">
        <f>SUMIF(Data!$B:$B,'FEB ORDERvsPRO'!C70,Data!$J:$J)</f>
        <v>0</v>
      </c>
      <c r="F70" s="67">
        <f>SUMIF(Data!$B:$B,'FEB ORDERvsPRO'!$C70,Data!$L:$L)</f>
        <v>0</v>
      </c>
      <c r="G70" s="67">
        <f>SUMIF(Data!$B:$B,'FEB ORDERvsPRO'!$C70,Data!$M:$M)</f>
        <v>0</v>
      </c>
      <c r="H70" s="67">
        <f>SUMIF('Returns Data'!$B:$B,'FEB ORDERvsPRO'!$C70,'Returns Data'!$J:$J)</f>
        <v>0</v>
      </c>
      <c r="I70" s="201" t="str">
        <f>IFERROR(Table141516[[#This Row],[Non Processed]]/Table141516[[#This Row],[Orders]],"")</f>
        <v/>
      </c>
    </row>
    <row r="71" spans="5:9" x14ac:dyDescent="0.25">
      <c r="E71" s="67">
        <f>SUMIF(Data!$B:$B,'FEB ORDERvsPRO'!C71,Data!$J:$J)</f>
        <v>0</v>
      </c>
      <c r="F71" s="67">
        <f>SUMIF(Data!$B:$B,'FEB ORDERvsPRO'!$C71,Data!$L:$L)</f>
        <v>0</v>
      </c>
      <c r="G71" s="67">
        <f>SUMIF(Data!$B:$B,'FEB ORDERvsPRO'!$C71,Data!$M:$M)</f>
        <v>0</v>
      </c>
      <c r="H71" s="67">
        <f>SUMIF('Returns Data'!$B:$B,'FEB ORDERvsPRO'!$C71,'Returns Data'!$J:$J)</f>
        <v>0</v>
      </c>
      <c r="I71" s="201" t="str">
        <f>IFERROR(Table141516[[#This Row],[Non Processed]]/Table141516[[#This Row],[Orders]],"")</f>
        <v/>
      </c>
    </row>
    <row r="72" spans="5:9" x14ac:dyDescent="0.25">
      <c r="E72" s="67">
        <f>SUMIF(Data!$B:$B,'FEB ORDERvsPRO'!C72,Data!$J:$J)</f>
        <v>0</v>
      </c>
      <c r="F72" s="67">
        <f>SUMIF(Data!$B:$B,'FEB ORDERvsPRO'!$C72,Data!$L:$L)</f>
        <v>0</v>
      </c>
      <c r="G72" s="67">
        <f>SUMIF(Data!$B:$B,'FEB ORDERvsPRO'!$C72,Data!$M:$M)</f>
        <v>0</v>
      </c>
      <c r="H72" s="67">
        <f>SUMIF('Returns Data'!$B:$B,'FEB ORDERvsPRO'!$C72,'Returns Data'!$J:$J)</f>
        <v>0</v>
      </c>
      <c r="I72" s="201" t="str">
        <f>IFERROR(Table141516[[#This Row],[Non Processed]]/Table141516[[#This Row],[Orders]],"")</f>
        <v/>
      </c>
    </row>
    <row r="73" spans="5:9" x14ac:dyDescent="0.25">
      <c r="E73" s="67">
        <f>SUMIF(Data!$B:$B,'FEB ORDERvsPRO'!C73,Data!$J:$J)</f>
        <v>0</v>
      </c>
      <c r="F73" s="67">
        <f>SUMIF(Data!$B:$B,'FEB ORDERvsPRO'!$C73,Data!$L:$L)</f>
        <v>0</v>
      </c>
      <c r="G73" s="67">
        <f>SUMIF(Data!$B:$B,'FEB ORDERvsPRO'!$C73,Data!$M:$M)</f>
        <v>0</v>
      </c>
      <c r="H73" s="67">
        <f>SUMIF('Returns Data'!$B:$B,'FEB ORDERvsPRO'!$C73,'Returns Data'!$J:$J)</f>
        <v>0</v>
      </c>
      <c r="I73" s="201" t="str">
        <f>IFERROR(Table141516[[#This Row],[Non Processed]]/Table141516[[#This Row],[Orders]],"")</f>
        <v/>
      </c>
    </row>
    <row r="74" spans="5:9" x14ac:dyDescent="0.25">
      <c r="E74" s="67">
        <f>SUMIF(Data!$B:$B,'FEB ORDERvsPRO'!C74,Data!$J:$J)</f>
        <v>0</v>
      </c>
      <c r="F74" s="67">
        <f>SUMIF(Data!$B:$B,'FEB ORDERvsPRO'!$C74,Data!$L:$L)</f>
        <v>0</v>
      </c>
      <c r="G74" s="67">
        <f>SUMIF(Data!$B:$B,'FEB ORDERvsPRO'!$C74,Data!$M:$M)</f>
        <v>0</v>
      </c>
      <c r="H74" s="67">
        <f>SUMIF('Returns Data'!$B:$B,'FEB ORDERvsPRO'!$C74,'Returns Data'!$J:$J)</f>
        <v>0</v>
      </c>
      <c r="I74" s="201" t="str">
        <f>IFERROR(Table141516[[#This Row],[Non Processed]]/Table141516[[#This Row],[Orders]],"")</f>
        <v/>
      </c>
    </row>
    <row r="75" spans="5:9" x14ac:dyDescent="0.25">
      <c r="E75" s="67">
        <f>SUMIF(Data!$B:$B,'FEB ORDERvsPRO'!C75,Data!$J:$J)</f>
        <v>0</v>
      </c>
      <c r="F75" s="67">
        <f>SUMIF(Data!$B:$B,'FEB ORDERvsPRO'!$C75,Data!$L:$L)</f>
        <v>0</v>
      </c>
      <c r="G75" s="67">
        <f>SUMIF(Data!$B:$B,'FEB ORDERvsPRO'!$C75,Data!$M:$M)</f>
        <v>0</v>
      </c>
      <c r="H75" s="67">
        <f>SUMIF('Returns Data'!$B:$B,'FEB ORDERvsPRO'!$C75,'Returns Data'!$J:$J)</f>
        <v>0</v>
      </c>
      <c r="I75" s="201" t="str">
        <f>IFERROR(Table141516[[#This Row],[Non Processed]]/Table141516[[#This Row],[Orders]],"")</f>
        <v/>
      </c>
    </row>
    <row r="76" spans="5:9" x14ac:dyDescent="0.25">
      <c r="E76" s="67">
        <f>SUMIF(Data!$B:$B,'FEB ORDERvsPRO'!C76,Data!$J:$J)</f>
        <v>0</v>
      </c>
      <c r="F76" s="67">
        <f>SUMIF(Data!$B:$B,'FEB ORDERvsPRO'!$C76,Data!$L:$L)</f>
        <v>0</v>
      </c>
      <c r="G76" s="67">
        <f>SUMIF(Data!$B:$B,'FEB ORDERvsPRO'!$C76,Data!$M:$M)</f>
        <v>0</v>
      </c>
      <c r="H76" s="67">
        <f>SUMIF('Returns Data'!$B:$B,'FEB ORDERvsPRO'!$C76,'Returns Data'!$J:$J)</f>
        <v>0</v>
      </c>
      <c r="I76" s="201" t="str">
        <f>IFERROR(Table141516[[#This Row],[Non Processed]]/Table141516[[#This Row],[Orders]],"")</f>
        <v/>
      </c>
    </row>
    <row r="77" spans="5:9" x14ac:dyDescent="0.25">
      <c r="E77" s="67">
        <f>SUMIF(Data!$B:$B,'FEB ORDERvsPRO'!C77,Data!$J:$J)</f>
        <v>0</v>
      </c>
      <c r="F77" s="67">
        <f>SUMIF(Data!$B:$B,'FEB ORDERvsPRO'!$C77,Data!$L:$L)</f>
        <v>0</v>
      </c>
      <c r="G77" s="67">
        <f>SUMIF(Data!$B:$B,'FEB ORDERvsPRO'!$C77,Data!$M:$M)</f>
        <v>0</v>
      </c>
      <c r="H77" s="67">
        <f>SUMIF('Returns Data'!$B:$B,'FEB ORDERvsPRO'!$C77,'Returns Data'!$J:$J)</f>
        <v>0</v>
      </c>
      <c r="I77" s="201" t="str">
        <f>IFERROR(Table141516[[#This Row],[Non Processed]]/Table141516[[#This Row],[Orders]],"")</f>
        <v/>
      </c>
    </row>
    <row r="78" spans="5:9" x14ac:dyDescent="0.25">
      <c r="E78" s="67">
        <f>SUMIF(Data!$B:$B,'FEB ORDERvsPRO'!C78,Data!$J:$J)</f>
        <v>0</v>
      </c>
      <c r="F78" s="67">
        <f>SUMIF(Data!$B:$B,'FEB ORDERvsPRO'!$C78,Data!$L:$L)</f>
        <v>0</v>
      </c>
      <c r="G78" s="67">
        <f>SUMIF(Data!$B:$B,'FEB ORDERvsPRO'!$C78,Data!$M:$M)</f>
        <v>0</v>
      </c>
      <c r="H78" s="67">
        <f>SUMIF('Returns Data'!$B:$B,'FEB ORDERvsPRO'!$C78,'Returns Data'!$J:$J)</f>
        <v>0</v>
      </c>
      <c r="I78" s="201" t="str">
        <f>IFERROR(Table141516[[#This Row],[Non Processed]]/Table141516[[#This Row],[Orders]],"")</f>
        <v/>
      </c>
    </row>
    <row r="79" spans="5:9" x14ac:dyDescent="0.25">
      <c r="E79" s="67">
        <f>SUMIF(Data!$B:$B,'FEB ORDERvsPRO'!C79,Data!$J:$J)</f>
        <v>0</v>
      </c>
      <c r="F79" s="67">
        <f>SUMIF(Data!$B:$B,'FEB ORDERvsPRO'!$C79,Data!$L:$L)</f>
        <v>0</v>
      </c>
      <c r="G79" s="67">
        <f>SUMIF(Data!$B:$B,'FEB ORDERvsPRO'!$C79,Data!$M:$M)</f>
        <v>0</v>
      </c>
      <c r="H79" s="67">
        <f>SUMIF('Returns Data'!$B:$B,'FEB ORDERvsPRO'!$C79,'Returns Data'!$J:$J)</f>
        <v>0</v>
      </c>
      <c r="I79" s="201" t="str">
        <f>IFERROR(Table141516[[#This Row],[Non Processed]]/Table141516[[#This Row],[Orders]],"")</f>
        <v/>
      </c>
    </row>
    <row r="80" spans="5:9" x14ac:dyDescent="0.25">
      <c r="E80" s="67">
        <f>SUMIF(Data!$B:$B,'FEB ORDERvsPRO'!C80,Data!$J:$J)</f>
        <v>0</v>
      </c>
      <c r="F80" s="67">
        <f>SUMIF(Data!$B:$B,'FEB ORDERvsPRO'!$C80,Data!$L:$L)</f>
        <v>0</v>
      </c>
      <c r="G80" s="67">
        <f>SUMIF(Data!$B:$B,'FEB ORDERvsPRO'!$C80,Data!$M:$M)</f>
        <v>0</v>
      </c>
      <c r="H80" s="67">
        <f>SUMIF('Returns Data'!$B:$B,'FEB ORDERvsPRO'!$C80,'Returns Data'!$J:$J)</f>
        <v>0</v>
      </c>
      <c r="I80" s="201" t="str">
        <f>IFERROR(Table141516[[#This Row],[Non Processed]]/Table141516[[#This Row],[Orders]],"")</f>
        <v/>
      </c>
    </row>
    <row r="81" spans="5:9" x14ac:dyDescent="0.25">
      <c r="E81" s="67">
        <f>SUMIF(Data!$B:$B,'FEB ORDERvsPRO'!C81,Data!$J:$J)</f>
        <v>0</v>
      </c>
      <c r="F81" s="67">
        <f>SUMIF(Data!$B:$B,'FEB ORDERvsPRO'!$C81,Data!$L:$L)</f>
        <v>0</v>
      </c>
      <c r="G81" s="67">
        <f>SUMIF(Data!$B:$B,'FEB ORDERvsPRO'!$C81,Data!$M:$M)</f>
        <v>0</v>
      </c>
      <c r="H81" s="67">
        <f>SUMIF('Returns Data'!$B:$B,'FEB ORDERvsPRO'!$C81,'Returns Data'!$J:$J)</f>
        <v>0</v>
      </c>
      <c r="I81" s="201" t="str">
        <f>IFERROR(Table141516[[#This Row],[Non Processed]]/Table141516[[#This Row],[Orders]],"")</f>
        <v/>
      </c>
    </row>
    <row r="82" spans="5:9" x14ac:dyDescent="0.25">
      <c r="E82" s="67">
        <f>SUMIF(Data!$B:$B,'FEB ORDERvsPRO'!C82,Data!$J:$J)</f>
        <v>0</v>
      </c>
      <c r="F82" s="67">
        <f>SUMIF(Data!$B:$B,'FEB ORDERvsPRO'!$C82,Data!$L:$L)</f>
        <v>0</v>
      </c>
      <c r="G82" s="67">
        <f>SUMIF(Data!$B:$B,'FEB ORDERvsPRO'!$C82,Data!$M:$M)</f>
        <v>0</v>
      </c>
      <c r="H82" s="67">
        <f>SUMIF('Returns Data'!$B:$B,'FEB ORDERvsPRO'!$C82,'Returns Data'!$J:$J)</f>
        <v>0</v>
      </c>
      <c r="I82" s="201" t="str">
        <f>IFERROR(Table141516[[#This Row],[Non Processed]]/Table141516[[#This Row],[Orders]],"")</f>
        <v/>
      </c>
    </row>
    <row r="83" spans="5:9" x14ac:dyDescent="0.25">
      <c r="E83" s="67">
        <f>SUMIF(Data!$B:$B,'FEB ORDERvsPRO'!C83,Data!$J:$J)</f>
        <v>0</v>
      </c>
      <c r="F83" s="67">
        <f>SUMIF(Data!$B:$B,'FEB ORDERvsPRO'!$C83,Data!$L:$L)</f>
        <v>0</v>
      </c>
      <c r="G83" s="67">
        <f>SUMIF(Data!$B:$B,'FEB ORDERvsPRO'!$C83,Data!$M:$M)</f>
        <v>0</v>
      </c>
      <c r="H83" s="67">
        <f>SUMIF('Returns Data'!$B:$B,'FEB ORDERvsPRO'!$C83,'Returns Data'!$J:$J)</f>
        <v>0</v>
      </c>
      <c r="I83" s="201" t="str">
        <f>IFERROR(Table141516[[#This Row],[Non Processed]]/Table141516[[#This Row],[Orders]],"")</f>
        <v/>
      </c>
    </row>
    <row r="84" spans="5:9" x14ac:dyDescent="0.25">
      <c r="E84" s="67">
        <f>SUMIF(Data!$B:$B,'FEB ORDERvsPRO'!C84,Data!$J:$J)</f>
        <v>0</v>
      </c>
      <c r="F84" s="67">
        <f>SUMIF(Data!$B:$B,'FEB ORDERvsPRO'!$C84,Data!$L:$L)</f>
        <v>0</v>
      </c>
      <c r="G84" s="67">
        <f>SUMIF(Data!$B:$B,'FEB ORDERvsPRO'!$C84,Data!$M:$M)</f>
        <v>0</v>
      </c>
      <c r="H84" s="67">
        <f>SUMIF('Returns Data'!$B:$B,'FEB ORDERvsPRO'!$C84,'Returns Data'!$J:$J)</f>
        <v>0</v>
      </c>
      <c r="I84" s="201" t="str">
        <f>IFERROR(Table141516[[#This Row],[Non Processed]]/Table141516[[#This Row],[Orders]],"")</f>
        <v/>
      </c>
    </row>
    <row r="85" spans="5:9" x14ac:dyDescent="0.25">
      <c r="E85" s="67">
        <f>SUMIF(Data!$B:$B,'FEB ORDERvsPRO'!C85,Data!$J:$J)</f>
        <v>0</v>
      </c>
      <c r="F85" s="67">
        <f>SUMIF(Data!$B:$B,'FEB ORDERvsPRO'!$C85,Data!$L:$L)</f>
        <v>0</v>
      </c>
      <c r="G85" s="67">
        <f>SUMIF(Data!$B:$B,'FEB ORDERvsPRO'!$C85,Data!$M:$M)</f>
        <v>0</v>
      </c>
      <c r="H85" s="67">
        <f>SUMIF('Returns Data'!$B:$B,'FEB ORDERvsPRO'!$C85,'Returns Data'!$J:$J)</f>
        <v>0</v>
      </c>
      <c r="I85" s="201" t="str">
        <f>IFERROR(Table141516[[#This Row],[Non Processed]]/Table141516[[#This Row],[Orders]],"")</f>
        <v/>
      </c>
    </row>
    <row r="86" spans="5:9" x14ac:dyDescent="0.25">
      <c r="E86" s="67">
        <f>SUMIF(Data!$B:$B,'FEB ORDERvsPRO'!C86,Data!$J:$J)</f>
        <v>0</v>
      </c>
      <c r="F86" s="67">
        <f>SUMIF(Data!$B:$B,'FEB ORDERvsPRO'!$C86,Data!$L:$L)</f>
        <v>0</v>
      </c>
      <c r="G86" s="67">
        <f>SUMIF(Data!$B:$B,'FEB ORDERvsPRO'!$C86,Data!$M:$M)</f>
        <v>0</v>
      </c>
      <c r="H86" s="67">
        <f>SUMIF('Returns Data'!$B:$B,'FEB ORDERvsPRO'!$C86,'Returns Data'!$J:$J)</f>
        <v>0</v>
      </c>
      <c r="I86" s="201" t="str">
        <f>IFERROR(Table141516[[#This Row],[Non Processed]]/Table141516[[#This Row],[Orders]],"")</f>
        <v/>
      </c>
    </row>
    <row r="87" spans="5:9" x14ac:dyDescent="0.25">
      <c r="E87" s="67">
        <f>SUMIF(Data!$B:$B,'FEB ORDERvsPRO'!C87,Data!$J:$J)</f>
        <v>0</v>
      </c>
      <c r="F87" s="67">
        <f>SUMIF(Data!$B:$B,'FEB ORDERvsPRO'!$C87,Data!$L:$L)</f>
        <v>0</v>
      </c>
      <c r="G87" s="67">
        <f>SUMIF(Data!$B:$B,'FEB ORDERvsPRO'!$C87,Data!$M:$M)</f>
        <v>0</v>
      </c>
      <c r="H87" s="67">
        <f>SUMIF('Returns Data'!$B:$B,'FEB ORDERvsPRO'!$C87,'Returns Data'!$J:$J)</f>
        <v>0</v>
      </c>
      <c r="I87" s="201" t="str">
        <f>IFERROR(Table141516[[#This Row],[Non Processed]]/Table141516[[#This Row],[Orders]],"")</f>
        <v/>
      </c>
    </row>
    <row r="88" spans="5:9" x14ac:dyDescent="0.25">
      <c r="E88" s="67">
        <f>SUMIF(Data!$B:$B,'FEB ORDERvsPRO'!C88,Data!$J:$J)</f>
        <v>0</v>
      </c>
      <c r="F88" s="67">
        <f>SUMIF(Data!$B:$B,'FEB ORDERvsPRO'!$C88,Data!$L:$L)</f>
        <v>0</v>
      </c>
      <c r="G88" s="67">
        <f>SUMIF(Data!$B:$B,'FEB ORDERvsPRO'!$C88,Data!$M:$M)</f>
        <v>0</v>
      </c>
      <c r="H88" s="67">
        <f>SUMIF('Returns Data'!$B:$B,'FEB ORDERvsPRO'!$C88,'Returns Data'!$J:$J)</f>
        <v>0</v>
      </c>
      <c r="I88" s="201" t="str">
        <f>IFERROR(Table141516[[#This Row],[Non Processed]]/Table141516[[#This Row],[Orders]],"")</f>
        <v/>
      </c>
    </row>
    <row r="89" spans="5:9" x14ac:dyDescent="0.25">
      <c r="E89" s="67">
        <f>SUMIF(Data!$B:$B,'FEB ORDERvsPRO'!C89,Data!$J:$J)</f>
        <v>0</v>
      </c>
      <c r="F89" s="67">
        <f>SUMIF(Data!$B:$B,'FEB ORDERvsPRO'!$C89,Data!$L:$L)</f>
        <v>0</v>
      </c>
      <c r="G89" s="67">
        <f>SUMIF(Data!$B:$B,'FEB ORDERvsPRO'!$C89,Data!$M:$M)</f>
        <v>0</v>
      </c>
      <c r="H89" s="67">
        <f>SUMIF('Returns Data'!$B:$B,'FEB ORDERvsPRO'!$C89,'Returns Data'!$J:$J)</f>
        <v>0</v>
      </c>
      <c r="I89" s="201" t="str">
        <f>IFERROR(Table141516[[#This Row],[Non Processed]]/Table141516[[#This Row],[Orders]],"")</f>
        <v/>
      </c>
    </row>
    <row r="90" spans="5:9" x14ac:dyDescent="0.25">
      <c r="E90" s="67">
        <f>SUMIF(Data!$B:$B,'FEB ORDERvsPRO'!C90,Data!$J:$J)</f>
        <v>0</v>
      </c>
      <c r="F90" s="67">
        <f>SUMIF(Data!$B:$B,'FEB ORDERvsPRO'!$C90,Data!$L:$L)</f>
        <v>0</v>
      </c>
      <c r="G90" s="67">
        <f>SUMIF(Data!$B:$B,'FEB ORDERvsPRO'!$C90,Data!$M:$M)</f>
        <v>0</v>
      </c>
      <c r="H90" s="67">
        <f>SUMIF('Returns Data'!$B:$B,'FEB ORDERvsPRO'!$C90,'Returns Data'!$J:$J)</f>
        <v>0</v>
      </c>
      <c r="I90" s="201" t="str">
        <f>IFERROR(Table141516[[#This Row],[Non Processed]]/Table141516[[#This Row],[Orders]],"")</f>
        <v/>
      </c>
    </row>
    <row r="91" spans="5:9" x14ac:dyDescent="0.25">
      <c r="E91" s="67">
        <f>SUMIF(Data!$B:$B,'FEB ORDERvsPRO'!C91,Data!$J:$J)</f>
        <v>0</v>
      </c>
      <c r="F91" s="67">
        <f>SUMIF(Data!$B:$B,'FEB ORDERvsPRO'!$C91,Data!$L:$L)</f>
        <v>0</v>
      </c>
      <c r="G91" s="67">
        <f>SUMIF(Data!$B:$B,'FEB ORDERvsPRO'!$C91,Data!$M:$M)</f>
        <v>0</v>
      </c>
      <c r="H91" s="67">
        <f>SUMIF('Returns Data'!$B:$B,'FEB ORDERvsPRO'!$C91,'Returns Data'!$J:$J)</f>
        <v>0</v>
      </c>
      <c r="I91" s="201" t="str">
        <f>IFERROR(Table141516[[#This Row],[Non Processed]]/Table141516[[#This Row],[Orders]],"")</f>
        <v/>
      </c>
    </row>
    <row r="92" spans="5:9" x14ac:dyDescent="0.25">
      <c r="E92" s="67">
        <f>SUMIF(Data!$B:$B,'FEB ORDERvsPRO'!C92,Data!$J:$J)</f>
        <v>0</v>
      </c>
      <c r="F92" s="67">
        <f>SUMIF(Data!$B:$B,'FEB ORDERvsPRO'!$C92,Data!$L:$L)</f>
        <v>0</v>
      </c>
      <c r="G92" s="67">
        <f>SUMIF(Data!$B:$B,'FEB ORDERvsPRO'!$C92,Data!$M:$M)</f>
        <v>0</v>
      </c>
      <c r="H92" s="67">
        <f>SUMIF('Returns Data'!$B:$B,'FEB ORDERvsPRO'!$C92,'Returns Data'!$J:$J)</f>
        <v>0</v>
      </c>
      <c r="I92" s="201" t="str">
        <f>IFERROR(Table141516[[#This Row],[Non Processed]]/Table141516[[#This Row],[Orders]],"")</f>
        <v/>
      </c>
    </row>
    <row r="93" spans="5:9" x14ac:dyDescent="0.25">
      <c r="E93" s="67">
        <f>SUMIF(Data!$B:$B,'FEB ORDERvsPRO'!C93,Data!$J:$J)</f>
        <v>0</v>
      </c>
      <c r="F93" s="67">
        <f>SUMIF(Data!$B:$B,'FEB ORDERvsPRO'!$C93,Data!$L:$L)</f>
        <v>0</v>
      </c>
      <c r="G93" s="67">
        <f>SUMIF(Data!$B:$B,'FEB ORDERvsPRO'!$C93,Data!$M:$M)</f>
        <v>0</v>
      </c>
      <c r="H93" s="67">
        <f>SUMIF('Returns Data'!$B:$B,'FEB ORDERvsPRO'!$C93,'Returns Data'!$J:$J)</f>
        <v>0</v>
      </c>
      <c r="I93" s="201" t="str">
        <f>IFERROR(Table141516[[#This Row],[Non Processed]]/Table141516[[#This Row],[Orders]],"")</f>
        <v/>
      </c>
    </row>
    <row r="94" spans="5:9" x14ac:dyDescent="0.25">
      <c r="E94" s="67">
        <f>SUMIF(Data!$B:$B,'FEB ORDERvsPRO'!C94,Data!$J:$J)</f>
        <v>0</v>
      </c>
      <c r="F94" s="67">
        <f>SUMIF(Data!$B:$B,'FEB ORDERvsPRO'!$C94,Data!$L:$L)</f>
        <v>0</v>
      </c>
      <c r="G94" s="67">
        <f>SUMIF(Data!$B:$B,'FEB ORDERvsPRO'!$C94,Data!$M:$M)</f>
        <v>0</v>
      </c>
      <c r="H94" s="67">
        <f>SUMIF('Returns Data'!$B:$B,'FEB ORDERvsPRO'!$C94,'Returns Data'!$J:$J)</f>
        <v>0</v>
      </c>
      <c r="I94" s="201" t="str">
        <f>IFERROR(Table141516[[#This Row],[Non Processed]]/Table141516[[#This Row],[Orders]],"")</f>
        <v/>
      </c>
    </row>
    <row r="95" spans="5:9" x14ac:dyDescent="0.25">
      <c r="E95" s="67">
        <f>SUMIF(Data!$B:$B,'FEB ORDERvsPRO'!C95,Data!$J:$J)</f>
        <v>0</v>
      </c>
      <c r="F95" s="67">
        <f>SUMIF(Data!$B:$B,'FEB ORDERvsPRO'!$C95,Data!$L:$L)</f>
        <v>0</v>
      </c>
      <c r="G95" s="67">
        <f>SUMIF(Data!$B:$B,'FEB ORDERvsPRO'!$C95,Data!$M:$M)</f>
        <v>0</v>
      </c>
      <c r="H95" s="67">
        <f>SUMIF('Returns Data'!$B:$B,'FEB ORDERvsPRO'!$C95,'Returns Data'!$J:$J)</f>
        <v>0</v>
      </c>
      <c r="I95" s="201" t="str">
        <f>IFERROR(Table141516[[#This Row],[Non Processed]]/Table141516[[#This Row],[Orders]],"")</f>
        <v/>
      </c>
    </row>
    <row r="96" spans="5:9" x14ac:dyDescent="0.25">
      <c r="E96" s="67">
        <f>SUMIF(Data!$B:$B,'FEB ORDERvsPRO'!C96,Data!$J:$J)</f>
        <v>0</v>
      </c>
      <c r="F96" s="67">
        <f>SUMIF(Data!$B:$B,'FEB ORDERvsPRO'!$C96,Data!$L:$L)</f>
        <v>0</v>
      </c>
      <c r="G96" s="67">
        <f>SUMIF(Data!$B:$B,'FEB ORDERvsPRO'!$C96,Data!$M:$M)</f>
        <v>0</v>
      </c>
      <c r="H96" s="67">
        <f>SUMIF('Returns Data'!$B:$B,'FEB ORDERvsPRO'!$C96,'Returns Data'!$J:$J)</f>
        <v>0</v>
      </c>
      <c r="I96" s="201" t="str">
        <f>IFERROR(Table141516[[#This Row],[Non Processed]]/Table141516[[#This Row],[Orders]],"")</f>
        <v/>
      </c>
    </row>
    <row r="97" spans="5:9" x14ac:dyDescent="0.25">
      <c r="E97" s="67">
        <f>SUMIF(Data!$B:$B,'FEB ORDERvsPRO'!C97,Data!$J:$J)</f>
        <v>0</v>
      </c>
      <c r="F97" s="67">
        <f>SUMIF(Data!$B:$B,'FEB ORDERvsPRO'!$C97,Data!$L:$L)</f>
        <v>0</v>
      </c>
      <c r="G97" s="67">
        <f>SUMIF(Data!$B:$B,'FEB ORDERvsPRO'!$C97,Data!$M:$M)</f>
        <v>0</v>
      </c>
      <c r="H97" s="67">
        <f>SUMIF('Returns Data'!$B:$B,'FEB ORDERvsPRO'!$C97,'Returns Data'!$J:$J)</f>
        <v>0</v>
      </c>
      <c r="I97" s="201" t="str">
        <f>IFERROR(Table141516[[#This Row],[Non Processed]]/Table141516[[#This Row],[Orders]],"")</f>
        <v/>
      </c>
    </row>
    <row r="98" spans="5:9" x14ac:dyDescent="0.25">
      <c r="E98" s="67">
        <f>SUMIF(Data!$B:$B,'FEB ORDERvsPRO'!C98,Data!$J:$J)</f>
        <v>0</v>
      </c>
      <c r="F98" s="67">
        <f>SUMIF(Data!$B:$B,'FEB ORDERvsPRO'!$C98,Data!$L:$L)</f>
        <v>0</v>
      </c>
      <c r="G98" s="67">
        <f>SUMIF(Data!$B:$B,'FEB ORDERvsPRO'!$C98,Data!$M:$M)</f>
        <v>0</v>
      </c>
      <c r="H98" s="67">
        <f>SUMIF('Returns Data'!$B:$B,'FEB ORDERvsPRO'!$C98,'Returns Data'!$J:$J)</f>
        <v>0</v>
      </c>
      <c r="I98" s="201" t="str">
        <f>IFERROR(Table141516[[#This Row],[Non Processed]]/Table141516[[#This Row],[Orders]],"")</f>
        <v/>
      </c>
    </row>
    <row r="99" spans="5:9" x14ac:dyDescent="0.25">
      <c r="E99" s="67">
        <f>SUMIF(Data!$B:$B,'FEB ORDERvsPRO'!C99,Data!$J:$J)</f>
        <v>0</v>
      </c>
      <c r="F99" s="67">
        <f>SUMIF(Data!$B:$B,'FEB ORDERvsPRO'!$C99,Data!$L:$L)</f>
        <v>0</v>
      </c>
      <c r="G99" s="67">
        <f>SUMIF(Data!$B:$B,'FEB ORDERvsPRO'!$C99,Data!$M:$M)</f>
        <v>0</v>
      </c>
      <c r="H99" s="67">
        <f>SUMIF('Returns Data'!$B:$B,'FEB ORDERvsPRO'!$C99,'Returns Data'!$J:$J)</f>
        <v>0</v>
      </c>
      <c r="I99" s="201" t="str">
        <f>IFERROR(Table141516[[#This Row],[Non Processed]]/Table141516[[#This Row],[Orders]],"")</f>
        <v/>
      </c>
    </row>
    <row r="100" spans="5:9" x14ac:dyDescent="0.25">
      <c r="E100" s="67">
        <f>SUMIF(Data!$B:$B,'FEB ORDERvsPRO'!C100,Data!$J:$J)</f>
        <v>0</v>
      </c>
      <c r="F100" s="67">
        <f>SUMIF(Data!$B:$B,'FEB ORDERvsPRO'!$C100,Data!$L:$L)</f>
        <v>0</v>
      </c>
      <c r="G100" s="67">
        <f>SUMIF(Data!$B:$B,'FEB ORDERvsPRO'!$C100,Data!$M:$M)</f>
        <v>0</v>
      </c>
      <c r="H100" s="67">
        <f>SUMIF('Returns Data'!$B:$B,'FEB ORDERvsPRO'!$C100,'Returns Data'!$J:$J)</f>
        <v>0</v>
      </c>
      <c r="I100" s="201" t="str">
        <f>IFERROR(Table141516[[#This Row],[Non Processed]]/Table141516[[#This Row],[Orders]],"")</f>
        <v/>
      </c>
    </row>
    <row r="101" spans="5:9" x14ac:dyDescent="0.25">
      <c r="E101" s="67">
        <f>SUMIF(Data!$B:$B,'FEB ORDERvsPRO'!C101,Data!$J:$J)</f>
        <v>0</v>
      </c>
      <c r="F101" s="67">
        <f>SUMIF(Data!$B:$B,'FEB ORDERvsPRO'!$C101,Data!$L:$L)</f>
        <v>0</v>
      </c>
      <c r="G101" s="67">
        <f>SUMIF(Data!$B:$B,'FEB ORDERvsPRO'!$C101,Data!$M:$M)</f>
        <v>0</v>
      </c>
      <c r="H101" s="67">
        <f>SUMIF('Returns Data'!$B:$B,'FEB ORDERvsPRO'!$C101,'Returns Data'!$J:$J)</f>
        <v>0</v>
      </c>
      <c r="I101" s="201" t="str">
        <f>IFERROR(Table141516[[#This Row],[Non Processed]]/Table141516[[#This Row],[Orders]],"")</f>
        <v/>
      </c>
    </row>
    <row r="102" spans="5:9" x14ac:dyDescent="0.25">
      <c r="E102" s="67">
        <f>SUMIF(Data!$B:$B,'FEB ORDERvsPRO'!C102,Data!$J:$J)</f>
        <v>0</v>
      </c>
      <c r="F102" s="67">
        <f>SUMIF(Data!$B:$B,'FEB ORDERvsPRO'!$C102,Data!$L:$L)</f>
        <v>0</v>
      </c>
      <c r="G102" s="67">
        <f>SUMIF(Data!$B:$B,'FEB ORDERvsPRO'!$C102,Data!$M:$M)</f>
        <v>0</v>
      </c>
      <c r="H102" s="67">
        <f>SUMIF('Returns Data'!$B:$B,'FEB ORDERvsPRO'!$C102,'Returns Data'!$J:$J)</f>
        <v>0</v>
      </c>
      <c r="I102" s="201" t="str">
        <f>IFERROR(Table141516[[#This Row],[Non Processed]]/Table141516[[#This Row],[Orders]],"")</f>
        <v/>
      </c>
    </row>
    <row r="103" spans="5:9" x14ac:dyDescent="0.25">
      <c r="E103" s="67">
        <f>SUMIF(Data!$B:$B,'FEB ORDERvsPRO'!C103,Data!$J:$J)</f>
        <v>0</v>
      </c>
      <c r="F103" s="67">
        <f>SUMIF(Data!$B:$B,'FEB ORDERvsPRO'!$C103,Data!$L:$L)</f>
        <v>0</v>
      </c>
      <c r="G103" s="67">
        <f>SUMIF(Data!$B:$B,'FEB ORDERvsPRO'!$C103,Data!$M:$M)</f>
        <v>0</v>
      </c>
      <c r="H103" s="67">
        <f>SUMIF('Returns Data'!$B:$B,'FEB ORDERvsPRO'!$C103,'Returns Data'!$J:$J)</f>
        <v>0</v>
      </c>
      <c r="I103" s="201" t="str">
        <f>IFERROR(Table141516[[#This Row],[Non Processed]]/Table141516[[#This Row],[Orders]],"")</f>
        <v/>
      </c>
    </row>
    <row r="104" spans="5:9" x14ac:dyDescent="0.25">
      <c r="E104" s="67">
        <f>SUMIF(Data!$B:$B,'FEB ORDERvsPRO'!C104,Data!$J:$J)</f>
        <v>0</v>
      </c>
      <c r="F104" s="67">
        <f>SUMIF(Data!$B:$B,'FEB ORDERvsPRO'!$C104,Data!$L:$L)</f>
        <v>0</v>
      </c>
      <c r="G104" s="67">
        <f>SUMIF(Data!$B:$B,'FEB ORDERvsPRO'!$C104,Data!$M:$M)</f>
        <v>0</v>
      </c>
      <c r="H104" s="67">
        <f>SUMIF('Returns Data'!$B:$B,'FEB ORDERvsPRO'!$C104,'Returns Data'!$J:$J)</f>
        <v>0</v>
      </c>
      <c r="I104" s="201" t="str">
        <f>IFERROR(Table141516[[#This Row],[Non Processed]]/Table141516[[#This Row],[Orders]],"")</f>
        <v/>
      </c>
    </row>
    <row r="105" spans="5:9" x14ac:dyDescent="0.25">
      <c r="E105" s="67">
        <f>SUMIF(Data!$B:$B,'FEB ORDERvsPRO'!C105,Data!$J:$J)</f>
        <v>0</v>
      </c>
      <c r="F105" s="67">
        <f>SUMIF(Data!$B:$B,'FEB ORDERvsPRO'!$C105,Data!$L:$L)</f>
        <v>0</v>
      </c>
      <c r="G105" s="67">
        <f>SUMIF(Data!$B:$B,'FEB ORDERvsPRO'!$C105,Data!$M:$M)</f>
        <v>0</v>
      </c>
      <c r="H105" s="67">
        <f>SUMIF('Returns Data'!$B:$B,'FEB ORDERvsPRO'!$C105,'Returns Data'!$J:$J)</f>
        <v>0</v>
      </c>
      <c r="I105" s="201" t="str">
        <f>IFERROR(Table141516[[#This Row],[Non Processed]]/Table141516[[#This Row],[Orders]],"")</f>
        <v/>
      </c>
    </row>
    <row r="106" spans="5:9" x14ac:dyDescent="0.25">
      <c r="E106" s="67">
        <f>SUMIF(Data!$B:$B,'FEB ORDERvsPRO'!C106,Data!$J:$J)</f>
        <v>0</v>
      </c>
      <c r="F106" s="67">
        <f>SUMIF(Data!$B:$B,'FEB ORDERvsPRO'!$C106,Data!$L:$L)</f>
        <v>0</v>
      </c>
      <c r="G106" s="67">
        <f>SUMIF(Data!$B:$B,'FEB ORDERvsPRO'!$C106,Data!$M:$M)</f>
        <v>0</v>
      </c>
      <c r="H106" s="67">
        <f>SUMIF('Returns Data'!$B:$B,'FEB ORDERvsPRO'!$C106,'Returns Data'!$J:$J)</f>
        <v>0</v>
      </c>
      <c r="I106" s="201" t="str">
        <f>IFERROR(Table141516[[#This Row],[Non Processed]]/Table141516[[#This Row],[Orders]],"")</f>
        <v/>
      </c>
    </row>
    <row r="107" spans="5:9" x14ac:dyDescent="0.25">
      <c r="E107" s="67">
        <f>SUMIF(Data!$B:$B,'FEB ORDERvsPRO'!C107,Data!$J:$J)</f>
        <v>0</v>
      </c>
      <c r="F107" s="67">
        <f>SUMIF(Data!$B:$B,'FEB ORDERvsPRO'!$C107,Data!$L:$L)</f>
        <v>0</v>
      </c>
      <c r="G107" s="67">
        <f>SUMIF(Data!$B:$B,'FEB ORDERvsPRO'!$C107,Data!$M:$M)</f>
        <v>0</v>
      </c>
      <c r="H107" s="67">
        <f>SUMIF('Returns Data'!$B:$B,'FEB ORDERvsPRO'!$C107,'Returns Data'!$J:$J)</f>
        <v>0</v>
      </c>
      <c r="I107" s="201" t="str">
        <f>IFERROR(Table141516[[#This Row],[Non Processed]]/Table141516[[#This Row],[Orders]],"")</f>
        <v/>
      </c>
    </row>
    <row r="108" spans="5:9" x14ac:dyDescent="0.25">
      <c r="E108" s="67">
        <f>SUMIF(Data!$B:$B,'FEB ORDERvsPRO'!C108,Data!$J:$J)</f>
        <v>0</v>
      </c>
      <c r="F108" s="67">
        <f>SUMIF(Data!$B:$B,'FEB ORDERvsPRO'!$C108,Data!$L:$L)</f>
        <v>0</v>
      </c>
      <c r="G108" s="67">
        <f>SUMIF(Data!$B:$B,'FEB ORDERvsPRO'!$C108,Data!$M:$M)</f>
        <v>0</v>
      </c>
      <c r="H108" s="67">
        <f>SUMIF('Returns Data'!$B:$B,'FEB ORDERvsPRO'!$C108,'Returns Data'!$J:$J)</f>
        <v>0</v>
      </c>
      <c r="I108" s="201" t="str">
        <f>IFERROR(Table141516[[#This Row],[Non Processed]]/Table141516[[#This Row],[Orders]],"")</f>
        <v/>
      </c>
    </row>
    <row r="109" spans="5:9" x14ac:dyDescent="0.25">
      <c r="E109" s="67">
        <f>SUMIF(Data!$B:$B,'FEB ORDERvsPRO'!C109,Data!$J:$J)</f>
        <v>0</v>
      </c>
      <c r="F109" s="67">
        <f>SUMIF(Data!$B:$B,'FEB ORDERvsPRO'!$C109,Data!$L:$L)</f>
        <v>0</v>
      </c>
      <c r="G109" s="67">
        <f>SUMIF(Data!$B:$B,'FEB ORDERvsPRO'!$C109,Data!$M:$M)</f>
        <v>0</v>
      </c>
      <c r="H109" s="67">
        <f>SUMIF('Returns Data'!$B:$B,'FEB ORDERvsPRO'!$C109,'Returns Data'!$J:$J)</f>
        <v>0</v>
      </c>
      <c r="I109" s="201" t="str">
        <f>IFERROR(Table141516[[#This Row],[Non Processed]]/Table141516[[#This Row],[Orders]],"")</f>
        <v/>
      </c>
    </row>
    <row r="110" spans="5:9" x14ac:dyDescent="0.25">
      <c r="E110" s="67">
        <f>SUMIF(Data!$B:$B,'FEB ORDERvsPRO'!C110,Data!$J:$J)</f>
        <v>0</v>
      </c>
      <c r="F110" s="67">
        <f>SUMIF(Data!$B:$B,'FEB ORDERvsPRO'!$C110,Data!$L:$L)</f>
        <v>0</v>
      </c>
      <c r="G110" s="67">
        <f>SUMIF(Data!$B:$B,'FEB ORDERvsPRO'!$C110,Data!$M:$M)</f>
        <v>0</v>
      </c>
      <c r="H110" s="67">
        <f>SUMIF('Returns Data'!$B:$B,'FEB ORDERvsPRO'!$C110,'Returns Data'!$J:$J)</f>
        <v>0</v>
      </c>
      <c r="I110" s="201" t="str">
        <f>IFERROR(Table141516[[#This Row],[Non Processed]]/Table141516[[#This Row],[Orders]],"")</f>
        <v/>
      </c>
    </row>
    <row r="111" spans="5:9" x14ac:dyDescent="0.25">
      <c r="E111" s="67">
        <f>SUMIF(Data!$B:$B,'FEB ORDERvsPRO'!C111,Data!$J:$J)</f>
        <v>0</v>
      </c>
      <c r="F111" s="67">
        <f>SUMIF(Data!$B:$B,'FEB ORDERvsPRO'!$C111,Data!$L:$L)</f>
        <v>0</v>
      </c>
      <c r="G111" s="67">
        <f>SUMIF(Data!$B:$B,'FEB ORDERvsPRO'!$C111,Data!$M:$M)</f>
        <v>0</v>
      </c>
      <c r="H111" s="67">
        <f>SUMIF('Returns Data'!$B:$B,'FEB ORDERvsPRO'!$C111,'Returns Data'!$J:$J)</f>
        <v>0</v>
      </c>
      <c r="I111" s="201" t="str">
        <f>IFERROR(Table141516[[#This Row],[Non Processed]]/Table141516[[#This Row],[Orders]],"")</f>
        <v/>
      </c>
    </row>
    <row r="112" spans="5:9" x14ac:dyDescent="0.25">
      <c r="E112" s="67">
        <f>SUMIF(Data!$B:$B,'FEB ORDERvsPRO'!C112,Data!$J:$J)</f>
        <v>0</v>
      </c>
      <c r="F112" s="67">
        <f>SUMIF(Data!$B:$B,'FEB ORDERvsPRO'!$C112,Data!$L:$L)</f>
        <v>0</v>
      </c>
      <c r="G112" s="67">
        <f>SUMIF(Data!$B:$B,'FEB ORDERvsPRO'!$C112,Data!$M:$M)</f>
        <v>0</v>
      </c>
      <c r="H112" s="67">
        <f>SUMIF('Returns Data'!$B:$B,'FEB ORDERvsPRO'!$C112,'Returns Data'!$J:$J)</f>
        <v>0</v>
      </c>
      <c r="I112" s="201" t="str">
        <f>IFERROR(Table141516[[#This Row],[Non Processed]]/Table141516[[#This Row],[Orders]],"")</f>
        <v/>
      </c>
    </row>
    <row r="113" spans="5:9" x14ac:dyDescent="0.25">
      <c r="E113" s="67">
        <f>SUMIF(Data!$B:$B,'FEB ORDERvsPRO'!C113,Data!$J:$J)</f>
        <v>0</v>
      </c>
      <c r="F113" s="67">
        <f>SUMIF(Data!$B:$B,'FEB ORDERvsPRO'!$C113,Data!$L:$L)</f>
        <v>0</v>
      </c>
      <c r="G113" s="67">
        <f>SUMIF(Data!$B:$B,'FEB ORDERvsPRO'!$C113,Data!$M:$M)</f>
        <v>0</v>
      </c>
      <c r="H113" s="67">
        <f>SUMIF('Returns Data'!$B:$B,'FEB ORDERvsPRO'!$C113,'Returns Data'!$J:$J)</f>
        <v>0</v>
      </c>
      <c r="I113" s="201" t="str">
        <f>IFERROR(Table141516[[#This Row],[Non Processed]]/Table141516[[#This Row],[Orders]],"")</f>
        <v/>
      </c>
    </row>
    <row r="114" spans="5:9" x14ac:dyDescent="0.25">
      <c r="E114" s="67">
        <f>SUMIF(Data!$B:$B,'FEB ORDERvsPRO'!C114,Data!$J:$J)</f>
        <v>0</v>
      </c>
      <c r="F114" s="67">
        <f>SUMIF(Data!$B:$B,'FEB ORDERvsPRO'!$C114,Data!$L:$L)</f>
        <v>0</v>
      </c>
      <c r="G114" s="67">
        <f>SUMIF(Data!$B:$B,'FEB ORDERvsPRO'!$C114,Data!$M:$M)</f>
        <v>0</v>
      </c>
      <c r="H114" s="67">
        <f>SUMIF('Returns Data'!$B:$B,'FEB ORDERvsPRO'!$C114,'Returns Data'!$J:$J)</f>
        <v>0</v>
      </c>
      <c r="I114" s="201" t="str">
        <f>IFERROR(Table141516[[#This Row],[Non Processed]]/Table141516[[#This Row],[Orders]],"")</f>
        <v/>
      </c>
    </row>
    <row r="115" spans="5:9" x14ac:dyDescent="0.25">
      <c r="E115" s="67">
        <f>SUMIF(Data!$B:$B,'FEB ORDERvsPRO'!C115,Data!$J:$J)</f>
        <v>0</v>
      </c>
      <c r="F115" s="67">
        <f>SUMIF(Data!$B:$B,'FEB ORDERvsPRO'!$C115,Data!$L:$L)</f>
        <v>0</v>
      </c>
      <c r="G115" s="67">
        <f>SUMIF(Data!$B:$B,'FEB ORDERvsPRO'!$C115,Data!$M:$M)</f>
        <v>0</v>
      </c>
      <c r="H115" s="67">
        <f>SUMIF('Returns Data'!$B:$B,'FEB ORDERvsPRO'!$C115,'Returns Data'!$J:$J)</f>
        <v>0</v>
      </c>
      <c r="I115" s="201" t="str">
        <f>IFERROR(Table141516[[#This Row],[Non Processed]]/Table141516[[#This Row],[Orders]],"")</f>
        <v/>
      </c>
    </row>
    <row r="116" spans="5:9" x14ac:dyDescent="0.25">
      <c r="E116" s="67">
        <f>SUMIF(Data!$B:$B,'FEB ORDERvsPRO'!C116,Data!$J:$J)</f>
        <v>0</v>
      </c>
      <c r="F116" s="67">
        <f>SUMIF(Data!$B:$B,'FEB ORDERvsPRO'!$C116,Data!$L:$L)</f>
        <v>0</v>
      </c>
      <c r="G116" s="67">
        <f>SUMIF(Data!$B:$B,'FEB ORDERvsPRO'!$C116,Data!$M:$M)</f>
        <v>0</v>
      </c>
      <c r="H116" s="67">
        <f>SUMIF('Returns Data'!$B:$B,'FEB ORDERvsPRO'!$C116,'Returns Data'!$J:$J)</f>
        <v>0</v>
      </c>
      <c r="I116" s="201" t="str">
        <f>IFERROR(Table141516[[#This Row],[Non Processed]]/Table141516[[#This Row],[Orders]],"")</f>
        <v/>
      </c>
    </row>
    <row r="117" spans="5:9" x14ac:dyDescent="0.25">
      <c r="E117" s="67">
        <f>SUMIF(Data!$B:$B,'FEB ORDERvsPRO'!C117,Data!$J:$J)</f>
        <v>0</v>
      </c>
      <c r="F117" s="67">
        <f>SUMIF(Data!$B:$B,'FEB ORDERvsPRO'!$C117,Data!$L:$L)</f>
        <v>0</v>
      </c>
      <c r="G117" s="67">
        <f>SUMIF(Data!$B:$B,'FEB ORDERvsPRO'!$C117,Data!$M:$M)</f>
        <v>0</v>
      </c>
      <c r="H117" s="67">
        <f>SUMIF('Returns Data'!$B:$B,'FEB ORDERvsPRO'!$C117,'Returns Data'!$J:$J)</f>
        <v>0</v>
      </c>
      <c r="I117" s="201" t="str">
        <f>IFERROR(Table141516[[#This Row],[Non Processed]]/Table141516[[#This Row],[Orders]],"")</f>
        <v/>
      </c>
    </row>
    <row r="118" spans="5:9" x14ac:dyDescent="0.25">
      <c r="E118" s="67">
        <f>SUMIF(Data!$B:$B,'FEB ORDERvsPRO'!C118,Data!$J:$J)</f>
        <v>0</v>
      </c>
      <c r="F118" s="67">
        <f>SUMIF(Data!$B:$B,'FEB ORDERvsPRO'!$C118,Data!$L:$L)</f>
        <v>0</v>
      </c>
      <c r="G118" s="67">
        <f>SUMIF(Data!$B:$B,'FEB ORDERvsPRO'!$C118,Data!$M:$M)</f>
        <v>0</v>
      </c>
      <c r="H118" s="67">
        <f>SUMIF('Returns Data'!$B:$B,'FEB ORDERvsPRO'!$C118,'Returns Data'!$J:$J)</f>
        <v>0</v>
      </c>
      <c r="I118" s="201" t="str">
        <f>IFERROR(Table141516[[#This Row],[Non Processed]]/Table141516[[#This Row],[Orders]],"")</f>
        <v/>
      </c>
    </row>
    <row r="119" spans="5:9" x14ac:dyDescent="0.25">
      <c r="E119" s="67">
        <f>SUMIF(Data!$B:$B,'FEB ORDERvsPRO'!C119,Data!$J:$J)</f>
        <v>0</v>
      </c>
      <c r="F119" s="67">
        <f>SUMIF(Data!$B:$B,'FEB ORDERvsPRO'!$C119,Data!$L:$L)</f>
        <v>0</v>
      </c>
      <c r="G119" s="67">
        <f>SUMIF(Data!$B:$B,'FEB ORDERvsPRO'!$C119,Data!$M:$M)</f>
        <v>0</v>
      </c>
      <c r="H119" s="67">
        <f>SUMIF('Returns Data'!$B:$B,'FEB ORDERvsPRO'!$C119,'Returns Data'!$J:$J)</f>
        <v>0</v>
      </c>
      <c r="I119" s="201" t="str">
        <f>IFERROR(Table141516[[#This Row],[Non Processed]]/Table141516[[#This Row],[Orders]],"")</f>
        <v/>
      </c>
    </row>
    <row r="120" spans="5:9" x14ac:dyDescent="0.25">
      <c r="E120" s="67">
        <f>SUMIF(Data!$B:$B,'FEB ORDERvsPRO'!C120,Data!$J:$J)</f>
        <v>0</v>
      </c>
      <c r="F120" s="67">
        <f>SUMIF(Data!$B:$B,'FEB ORDERvsPRO'!$C120,Data!$L:$L)</f>
        <v>0</v>
      </c>
      <c r="G120" s="67">
        <f>SUMIF(Data!$B:$B,'FEB ORDERvsPRO'!$C120,Data!$M:$M)</f>
        <v>0</v>
      </c>
      <c r="H120" s="67">
        <f>SUMIF('Returns Data'!$B:$B,'FEB ORDERvsPRO'!$C120,'Returns Data'!$J:$J)</f>
        <v>0</v>
      </c>
      <c r="I120" s="201" t="str">
        <f>IFERROR(Table141516[[#This Row],[Non Processed]]/Table141516[[#This Row],[Orders]],"")</f>
        <v/>
      </c>
    </row>
    <row r="121" spans="5:9" x14ac:dyDescent="0.25">
      <c r="E121" s="67">
        <f>SUMIF(Data!$B:$B,'FEB ORDERvsPRO'!C121,Data!$J:$J)</f>
        <v>0</v>
      </c>
      <c r="F121" s="67">
        <f>SUMIF(Data!$B:$B,'FEB ORDERvsPRO'!$C121,Data!$L:$L)</f>
        <v>0</v>
      </c>
      <c r="G121" s="67">
        <f>SUMIF(Data!$B:$B,'FEB ORDERvsPRO'!$C121,Data!$M:$M)</f>
        <v>0</v>
      </c>
      <c r="H121" s="67">
        <f>SUMIF('Returns Data'!$B:$B,'FEB ORDERvsPRO'!$C121,'Returns Data'!$J:$J)</f>
        <v>0</v>
      </c>
      <c r="I121" s="201" t="str">
        <f>IFERROR(Table141516[[#This Row],[Non Processed]]/Table141516[[#This Row],[Orders]],"")</f>
        <v/>
      </c>
    </row>
    <row r="122" spans="5:9" x14ac:dyDescent="0.25">
      <c r="E122" s="67">
        <f>SUMIF(Data!$B:$B,'FEB ORDERvsPRO'!C122,Data!$J:$J)</f>
        <v>0</v>
      </c>
      <c r="F122" s="67">
        <f>SUMIF(Data!$B:$B,'FEB ORDERvsPRO'!$C122,Data!$L:$L)</f>
        <v>0</v>
      </c>
      <c r="G122" s="67">
        <f>SUMIF(Data!$B:$B,'FEB ORDERvsPRO'!$C122,Data!$M:$M)</f>
        <v>0</v>
      </c>
      <c r="H122" s="67">
        <f>SUMIF('Returns Data'!$B:$B,'FEB ORDERvsPRO'!$C122,'Returns Data'!$J:$J)</f>
        <v>0</v>
      </c>
      <c r="I122" s="201" t="str">
        <f>IFERROR(Table141516[[#This Row],[Non Processed]]/Table141516[[#This Row],[Orders]],"")</f>
        <v/>
      </c>
    </row>
    <row r="123" spans="5:9" x14ac:dyDescent="0.25">
      <c r="E123" s="67">
        <f>SUMIF(Data!$B:$B,'FEB ORDERvsPRO'!C123,Data!$J:$J)</f>
        <v>0</v>
      </c>
      <c r="F123" s="67">
        <f>SUMIF(Data!$B:$B,'FEB ORDERvsPRO'!$C123,Data!$L:$L)</f>
        <v>0</v>
      </c>
      <c r="G123" s="67">
        <f>SUMIF(Data!$B:$B,'FEB ORDERvsPRO'!$C123,Data!$M:$M)</f>
        <v>0</v>
      </c>
      <c r="H123" s="67">
        <f>SUMIF('Returns Data'!$B:$B,'FEB ORDERvsPRO'!$C123,'Returns Data'!$J:$J)</f>
        <v>0</v>
      </c>
      <c r="I123" s="201" t="str">
        <f>IFERROR(Table141516[[#This Row],[Non Processed]]/Table141516[[#This Row],[Orders]],"")</f>
        <v/>
      </c>
    </row>
    <row r="124" spans="5:9" x14ac:dyDescent="0.25">
      <c r="E124" s="67">
        <f>SUMIF(Data!$B:$B,'FEB ORDERvsPRO'!C124,Data!$J:$J)</f>
        <v>0</v>
      </c>
      <c r="F124" s="67">
        <f>SUMIF(Data!$B:$B,'FEB ORDERvsPRO'!$C124,Data!$L:$L)</f>
        <v>0</v>
      </c>
      <c r="G124" s="67">
        <f>SUMIF(Data!$B:$B,'FEB ORDERvsPRO'!$C124,Data!$M:$M)</f>
        <v>0</v>
      </c>
      <c r="H124" s="67">
        <f>SUMIF('Returns Data'!$B:$B,'FEB ORDERvsPRO'!$C124,'Returns Data'!$J:$J)</f>
        <v>0</v>
      </c>
      <c r="I124" s="201" t="str">
        <f>IFERROR(Table141516[[#This Row],[Non Processed]]/Table141516[[#This Row],[Orders]],"")</f>
        <v/>
      </c>
    </row>
    <row r="125" spans="5:9" x14ac:dyDescent="0.25">
      <c r="E125" s="67">
        <f>SUMIF(Data!$B:$B,'FEB ORDERvsPRO'!C125,Data!$J:$J)</f>
        <v>0</v>
      </c>
      <c r="F125" s="67">
        <f>SUMIF(Data!$B:$B,'FEB ORDERvsPRO'!$C125,Data!$L:$L)</f>
        <v>0</v>
      </c>
      <c r="G125" s="67">
        <f>SUMIF(Data!$B:$B,'FEB ORDERvsPRO'!$C125,Data!$M:$M)</f>
        <v>0</v>
      </c>
      <c r="H125" s="67">
        <f>SUMIF('Returns Data'!$B:$B,'FEB ORDERvsPRO'!$C125,'Returns Data'!$J:$J)</f>
        <v>0</v>
      </c>
      <c r="I125" s="201" t="str">
        <f>IFERROR(Table141516[[#This Row],[Non Processed]]/Table141516[[#This Row],[Orders]],"")</f>
        <v/>
      </c>
    </row>
    <row r="126" spans="5:9" x14ac:dyDescent="0.25">
      <c r="E126" s="67">
        <f>SUMIF(Data!$B:$B,'FEB ORDERvsPRO'!C126,Data!$J:$J)</f>
        <v>0</v>
      </c>
      <c r="F126" s="67">
        <f>SUMIF(Data!$B:$B,'FEB ORDERvsPRO'!$C126,Data!$L:$L)</f>
        <v>0</v>
      </c>
      <c r="G126" s="67">
        <f>SUMIF(Data!$B:$B,'FEB ORDERvsPRO'!$C126,Data!$M:$M)</f>
        <v>0</v>
      </c>
      <c r="H126" s="67">
        <f>SUMIF('Returns Data'!$B:$B,'FEB ORDERvsPRO'!$C126,'Returns Data'!$J:$J)</f>
        <v>0</v>
      </c>
      <c r="I126" s="201" t="str">
        <f>IFERROR(Table141516[[#This Row],[Non Processed]]/Table141516[[#This Row],[Orders]],"")</f>
        <v/>
      </c>
    </row>
    <row r="127" spans="5:9" x14ac:dyDescent="0.25">
      <c r="E127" s="67">
        <f>SUMIF(Data!$B:$B,'FEB ORDERvsPRO'!C127,Data!$J:$J)</f>
        <v>0</v>
      </c>
      <c r="F127" s="67">
        <f>SUMIF(Data!$B:$B,'FEB ORDERvsPRO'!$C127,Data!$L:$L)</f>
        <v>0</v>
      </c>
      <c r="G127" s="67">
        <f>SUMIF(Data!$B:$B,'FEB ORDERvsPRO'!$C127,Data!$M:$M)</f>
        <v>0</v>
      </c>
      <c r="H127" s="67">
        <f>SUMIF('Returns Data'!$B:$B,'FEB ORDERvsPRO'!$C127,'Returns Data'!$J:$J)</f>
        <v>0</v>
      </c>
      <c r="I127" s="201" t="str">
        <f>IFERROR(Table141516[[#This Row],[Non Processed]]/Table141516[[#This Row],[Orders]],"")</f>
        <v/>
      </c>
    </row>
    <row r="128" spans="5:9" x14ac:dyDescent="0.25">
      <c r="E128" s="67">
        <f>SUMIF(Data!$B:$B,'FEB ORDERvsPRO'!C128,Data!$J:$J)</f>
        <v>0</v>
      </c>
      <c r="F128" s="67">
        <f>SUMIF(Data!$B:$B,'FEB ORDERvsPRO'!$C128,Data!$L:$L)</f>
        <v>0</v>
      </c>
      <c r="G128" s="67">
        <f>SUMIF(Data!$B:$B,'FEB ORDERvsPRO'!$C128,Data!$M:$M)</f>
        <v>0</v>
      </c>
      <c r="H128" s="67">
        <f>SUMIF('Returns Data'!$B:$B,'FEB ORDERvsPRO'!$C128,'Returns Data'!$J:$J)</f>
        <v>0</v>
      </c>
      <c r="I128" s="201" t="str">
        <f>IFERROR(Table141516[[#This Row],[Non Processed]]/Table141516[[#This Row],[Orders]],"")</f>
        <v/>
      </c>
    </row>
    <row r="129" spans="5:9" x14ac:dyDescent="0.25">
      <c r="E129" s="67">
        <f>SUMIF(Data!$B:$B,'FEB ORDERvsPRO'!C129,Data!$J:$J)</f>
        <v>0</v>
      </c>
      <c r="F129" s="67">
        <f>SUMIF(Data!$B:$B,'FEB ORDERvsPRO'!$C129,Data!$L:$L)</f>
        <v>0</v>
      </c>
      <c r="G129" s="67">
        <f>SUMIF(Data!$B:$B,'FEB ORDERvsPRO'!$C129,Data!$M:$M)</f>
        <v>0</v>
      </c>
      <c r="H129" s="67">
        <f>SUMIF('Returns Data'!$B:$B,'FEB ORDERvsPRO'!$C129,'Returns Data'!$J:$J)</f>
        <v>0</v>
      </c>
      <c r="I129" s="201" t="str">
        <f>IFERROR(Table141516[[#This Row],[Non Processed]]/Table141516[[#This Row],[Orders]],"")</f>
        <v/>
      </c>
    </row>
    <row r="130" spans="5:9" x14ac:dyDescent="0.25">
      <c r="E130" s="67">
        <f>SUMIF(Data!$B:$B,'FEB ORDERvsPRO'!C130,Data!$J:$J)</f>
        <v>0</v>
      </c>
      <c r="F130" s="67">
        <f>SUMIF(Data!$B:$B,'FEB ORDERvsPRO'!$C130,Data!$L:$L)</f>
        <v>0</v>
      </c>
      <c r="G130" s="67">
        <f>SUMIF(Data!$B:$B,'FEB ORDERvsPRO'!$C130,Data!$M:$M)</f>
        <v>0</v>
      </c>
      <c r="H130" s="67">
        <f>SUMIF('Returns Data'!$B:$B,'FEB ORDERvsPRO'!$C130,'Returns Data'!$J:$J)</f>
        <v>0</v>
      </c>
      <c r="I130" s="201" t="str">
        <f>IFERROR(Table141516[[#This Row],[Non Processed]]/Table141516[[#This Row],[Orders]],"")</f>
        <v/>
      </c>
    </row>
    <row r="131" spans="5:9" x14ac:dyDescent="0.25">
      <c r="E131" s="67">
        <f>SUMIF(Data!$B:$B,'FEB ORDERvsPRO'!C131,Data!$J:$J)</f>
        <v>0</v>
      </c>
      <c r="F131" s="67">
        <f>SUMIF(Data!$B:$B,'FEB ORDERvsPRO'!$C131,Data!$L:$L)</f>
        <v>0</v>
      </c>
      <c r="G131" s="67">
        <f>SUMIF(Data!$B:$B,'FEB ORDERvsPRO'!$C131,Data!$M:$M)</f>
        <v>0</v>
      </c>
      <c r="H131" s="67">
        <f>SUMIF('Returns Data'!$B:$B,'FEB ORDERvsPRO'!$C131,'Returns Data'!$J:$J)</f>
        <v>0</v>
      </c>
      <c r="I131" s="201" t="str">
        <f>IFERROR(Table141516[[#This Row],[Non Processed]]/Table141516[[#This Row],[Orders]],"")</f>
        <v/>
      </c>
    </row>
    <row r="132" spans="5:9" x14ac:dyDescent="0.25">
      <c r="E132" s="67">
        <f>SUMIF(Data!$B:$B,'FEB ORDERvsPRO'!C132,Data!$J:$J)</f>
        <v>0</v>
      </c>
      <c r="F132" s="67">
        <f>SUMIF(Data!$B:$B,'FEB ORDERvsPRO'!$C132,Data!$L:$L)</f>
        <v>0</v>
      </c>
      <c r="G132" s="67">
        <f>SUMIF(Data!$B:$B,'FEB ORDERvsPRO'!$C132,Data!$M:$M)</f>
        <v>0</v>
      </c>
      <c r="H132" s="67">
        <f>SUMIF('Returns Data'!$B:$B,'FEB ORDERvsPRO'!$C132,'Returns Data'!$J:$J)</f>
        <v>0</v>
      </c>
      <c r="I132" s="201" t="str">
        <f>IFERROR(Table141516[[#This Row],[Non Processed]]/Table141516[[#This Row],[Orders]],"")</f>
        <v/>
      </c>
    </row>
    <row r="133" spans="5:9" x14ac:dyDescent="0.25">
      <c r="E133" s="67">
        <f>SUMIF(Data!$B:$B,'FEB ORDERvsPRO'!C133,Data!$J:$J)</f>
        <v>0</v>
      </c>
      <c r="F133" s="67">
        <f>SUMIF(Data!$B:$B,'FEB ORDERvsPRO'!$C133,Data!$L:$L)</f>
        <v>0</v>
      </c>
      <c r="G133" s="67">
        <f>SUMIF(Data!$B:$B,'FEB ORDERvsPRO'!$C133,Data!$M:$M)</f>
        <v>0</v>
      </c>
      <c r="H133" s="67">
        <f>SUMIF('Returns Data'!$B:$B,'FEB ORDERvsPRO'!$C133,'Returns Data'!$J:$J)</f>
        <v>0</v>
      </c>
      <c r="I133" s="201" t="str">
        <f>IFERROR(Table141516[[#This Row],[Non Processed]]/Table141516[[#This Row],[Orders]],"")</f>
        <v/>
      </c>
    </row>
    <row r="134" spans="5:9" x14ac:dyDescent="0.25">
      <c r="E134" s="67">
        <f>SUMIF(Data!$B:$B,'FEB ORDERvsPRO'!C134,Data!$J:$J)</f>
        <v>0</v>
      </c>
      <c r="F134" s="67">
        <f>SUMIF(Data!$B:$B,'FEB ORDERvsPRO'!$C134,Data!$L:$L)</f>
        <v>0</v>
      </c>
      <c r="G134" s="67">
        <f>SUMIF(Data!$B:$B,'FEB ORDERvsPRO'!$C134,Data!$M:$M)</f>
        <v>0</v>
      </c>
      <c r="H134" s="67">
        <f>SUMIF('Returns Data'!$B:$B,'FEB ORDERvsPRO'!$C134,'Returns Data'!$J:$J)</f>
        <v>0</v>
      </c>
      <c r="I134" s="201" t="str">
        <f>IFERROR(Table141516[[#This Row],[Non Processed]]/Table141516[[#This Row],[Orders]],"")</f>
        <v/>
      </c>
    </row>
    <row r="135" spans="5:9" x14ac:dyDescent="0.25">
      <c r="E135" s="67">
        <f>SUMIF(Data!$B:$B,'FEB ORDERvsPRO'!C135,Data!$J:$J)</f>
        <v>0</v>
      </c>
      <c r="F135" s="67">
        <f>SUMIF(Data!$B:$B,'FEB ORDERvsPRO'!$C135,Data!$L:$L)</f>
        <v>0</v>
      </c>
      <c r="G135" s="67">
        <f>SUMIF(Data!$B:$B,'FEB ORDERvsPRO'!$C135,Data!$M:$M)</f>
        <v>0</v>
      </c>
      <c r="H135" s="67">
        <f>SUMIF('Returns Data'!$B:$B,'FEB ORDERvsPRO'!$C135,'Returns Data'!$J:$J)</f>
        <v>0</v>
      </c>
      <c r="I135" s="201" t="str">
        <f>IFERROR(Table141516[[#This Row],[Non Processed]]/Table141516[[#This Row],[Orders]],"")</f>
        <v/>
      </c>
    </row>
    <row r="136" spans="5:9" x14ac:dyDescent="0.25">
      <c r="E136" s="67">
        <f>SUMIF(Data!$B:$B,'FEB ORDERvsPRO'!C136,Data!$J:$J)</f>
        <v>0</v>
      </c>
      <c r="F136" s="67">
        <f>SUMIF(Data!$B:$B,'FEB ORDERvsPRO'!$C136,Data!$L:$L)</f>
        <v>0</v>
      </c>
      <c r="G136" s="67">
        <f>SUMIF(Data!$B:$B,'FEB ORDERvsPRO'!$C136,Data!$M:$M)</f>
        <v>0</v>
      </c>
      <c r="H136" s="67">
        <f>SUMIF('Returns Data'!$B:$B,'FEB ORDERvsPRO'!$C136,'Returns Data'!$J:$J)</f>
        <v>0</v>
      </c>
      <c r="I136" s="201" t="str">
        <f>IFERROR(Table141516[[#This Row],[Non Processed]]/Table141516[[#This Row],[Orders]],"")</f>
        <v/>
      </c>
    </row>
    <row r="137" spans="5:9" x14ac:dyDescent="0.25">
      <c r="E137" s="67">
        <f>SUMIF(Data!$B:$B,'FEB ORDERvsPRO'!C137,Data!$J:$J)</f>
        <v>0</v>
      </c>
      <c r="F137" s="67">
        <f>SUMIF(Data!$B:$B,'FEB ORDERvsPRO'!$C137,Data!$L:$L)</f>
        <v>0</v>
      </c>
      <c r="G137" s="67">
        <f>SUMIF(Data!$B:$B,'FEB ORDERvsPRO'!$C137,Data!$M:$M)</f>
        <v>0</v>
      </c>
      <c r="H137" s="67">
        <f>SUMIF('Returns Data'!$B:$B,'FEB ORDERvsPRO'!$C137,'Returns Data'!$J:$J)</f>
        <v>0</v>
      </c>
      <c r="I137" s="201" t="str">
        <f>IFERROR(Table141516[[#This Row],[Non Processed]]/Table141516[[#This Row],[Orders]],"")</f>
        <v/>
      </c>
    </row>
    <row r="138" spans="5:9" x14ac:dyDescent="0.25">
      <c r="E138" s="67">
        <f>SUMIF(Data!$B:$B,'FEB ORDERvsPRO'!C138,Data!$J:$J)</f>
        <v>0</v>
      </c>
      <c r="F138" s="67">
        <f>SUMIF(Data!$B:$B,'FEB ORDERvsPRO'!$C138,Data!$L:$L)</f>
        <v>0</v>
      </c>
      <c r="G138" s="67">
        <f>SUMIF(Data!$B:$B,'FEB ORDERvsPRO'!$C138,Data!$M:$M)</f>
        <v>0</v>
      </c>
      <c r="H138" s="67">
        <f>SUMIF('Returns Data'!$B:$B,'FEB ORDERvsPRO'!$C138,'Returns Data'!$J:$J)</f>
        <v>0</v>
      </c>
      <c r="I138" s="201" t="str">
        <f>IFERROR(Table141516[[#This Row],[Non Processed]]/Table141516[[#This Row],[Orders]],"")</f>
        <v/>
      </c>
    </row>
    <row r="139" spans="5:9" x14ac:dyDescent="0.25">
      <c r="E139" s="67">
        <f>SUMIF(Data!$B:$B,'FEB ORDERvsPRO'!C139,Data!$J:$J)</f>
        <v>0</v>
      </c>
      <c r="F139" s="67">
        <f>SUMIF(Data!$B:$B,'FEB ORDERvsPRO'!$C139,Data!$L:$L)</f>
        <v>0</v>
      </c>
      <c r="G139" s="67">
        <f>SUMIF(Data!$B:$B,'FEB ORDERvsPRO'!$C139,Data!$M:$M)</f>
        <v>0</v>
      </c>
      <c r="H139" s="67">
        <f>SUMIF('Returns Data'!$B:$B,'FEB ORDERvsPRO'!$C139,'Returns Data'!$J:$J)</f>
        <v>0</v>
      </c>
      <c r="I139" s="201" t="str">
        <f>IFERROR(Table141516[[#This Row],[Non Processed]]/Table141516[[#This Row],[Orders]],"")</f>
        <v/>
      </c>
    </row>
    <row r="140" spans="5:9" x14ac:dyDescent="0.25">
      <c r="E140" s="67">
        <f>SUMIF(Data!$B:$B,'FEB ORDERvsPRO'!C140,Data!$J:$J)</f>
        <v>0</v>
      </c>
      <c r="F140" s="67">
        <f>SUMIF(Data!$B:$B,'FEB ORDERvsPRO'!$C140,Data!$L:$L)</f>
        <v>0</v>
      </c>
      <c r="G140" s="67">
        <f>SUMIF(Data!$B:$B,'FEB ORDERvsPRO'!$C140,Data!$M:$M)</f>
        <v>0</v>
      </c>
      <c r="H140" s="67">
        <f>SUMIF('Returns Data'!$B:$B,'FEB ORDERvsPRO'!$C140,'Returns Data'!$J:$J)</f>
        <v>0</v>
      </c>
      <c r="I140" s="201" t="str">
        <f>IFERROR(Table141516[[#This Row],[Non Processed]]/Table141516[[#This Row],[Orders]],"")</f>
        <v/>
      </c>
    </row>
    <row r="141" spans="5:9" x14ac:dyDescent="0.25">
      <c r="E141" s="67">
        <f>SUMIF(Data!$B:$B,'FEB ORDERvsPRO'!C141,Data!$J:$J)</f>
        <v>0</v>
      </c>
      <c r="F141" s="67">
        <f>SUMIF(Data!$B:$B,'FEB ORDERvsPRO'!$C141,Data!$L:$L)</f>
        <v>0</v>
      </c>
      <c r="G141" s="67">
        <f>SUMIF(Data!$B:$B,'FEB ORDERvsPRO'!$C141,Data!$M:$M)</f>
        <v>0</v>
      </c>
      <c r="H141" s="67">
        <f>SUMIF('Returns Data'!$B:$B,'FEB ORDERvsPRO'!$C141,'Returns Data'!$J:$J)</f>
        <v>0</v>
      </c>
      <c r="I141" s="201" t="str">
        <f>IFERROR(Table141516[[#This Row],[Non Processed]]/Table141516[[#This Row],[Orders]],"")</f>
        <v/>
      </c>
    </row>
    <row r="142" spans="5:9" x14ac:dyDescent="0.25">
      <c r="E142" s="67">
        <f>SUMIF(Data!$B:$B,'FEB ORDERvsPRO'!C142,Data!$J:$J)</f>
        <v>0</v>
      </c>
      <c r="F142" s="67">
        <f>SUMIF(Data!$B:$B,'FEB ORDERvsPRO'!$C142,Data!$L:$L)</f>
        <v>0</v>
      </c>
      <c r="G142" s="67">
        <f>SUMIF(Data!$B:$B,'FEB ORDERvsPRO'!$C142,Data!$M:$M)</f>
        <v>0</v>
      </c>
      <c r="H142" s="67">
        <f>SUMIF('Returns Data'!$B:$B,'FEB ORDERvsPRO'!$C142,'Returns Data'!$J:$J)</f>
        <v>0</v>
      </c>
      <c r="I142" s="201" t="str">
        <f>IFERROR(Table141516[[#This Row],[Non Processed]]/Table141516[[#This Row],[Orders]],"")</f>
        <v/>
      </c>
    </row>
    <row r="143" spans="5:9" x14ac:dyDescent="0.25">
      <c r="E143" s="67">
        <f>SUMIF(Data!$B:$B,'FEB ORDERvsPRO'!C143,Data!$J:$J)</f>
        <v>0</v>
      </c>
      <c r="F143" s="67">
        <f>SUMIF(Data!$B:$B,'FEB ORDERvsPRO'!$C143,Data!$L:$L)</f>
        <v>0</v>
      </c>
      <c r="G143" s="67">
        <f>SUMIF(Data!$B:$B,'FEB ORDERvsPRO'!$C143,Data!$M:$M)</f>
        <v>0</v>
      </c>
      <c r="H143" s="67">
        <f>SUMIF('Returns Data'!$B:$B,'FEB ORDERvsPRO'!$C143,'Returns Data'!$J:$J)</f>
        <v>0</v>
      </c>
      <c r="I143" s="201" t="str">
        <f>IFERROR(Table141516[[#This Row],[Non Processed]]/Table141516[[#This Row],[Orders]],"")</f>
        <v/>
      </c>
    </row>
    <row r="144" spans="5:9" x14ac:dyDescent="0.25">
      <c r="E144" s="67">
        <f>SUMIF(Data!$B:$B,'FEB ORDERvsPRO'!C144,Data!$J:$J)</f>
        <v>0</v>
      </c>
      <c r="F144" s="67">
        <f>SUMIF(Data!$B:$B,'FEB ORDERvsPRO'!$C144,Data!$L:$L)</f>
        <v>0</v>
      </c>
      <c r="G144" s="67">
        <f>SUMIF(Data!$B:$B,'FEB ORDERvsPRO'!$C144,Data!$M:$M)</f>
        <v>0</v>
      </c>
      <c r="H144" s="67">
        <f>SUMIF('Returns Data'!$B:$B,'FEB ORDERvsPRO'!$C144,'Returns Data'!$J:$J)</f>
        <v>0</v>
      </c>
      <c r="I144" s="201" t="str">
        <f>IFERROR(Table141516[[#This Row],[Non Processed]]/Table141516[[#This Row],[Orders]],"")</f>
        <v/>
      </c>
    </row>
    <row r="145" spans="5:9" x14ac:dyDescent="0.25">
      <c r="E145" s="67">
        <f>SUMIF(Data!$B:$B,'FEB ORDERvsPRO'!C145,Data!$J:$J)</f>
        <v>0</v>
      </c>
      <c r="F145" s="67">
        <f>SUMIF(Data!$B:$B,'FEB ORDERvsPRO'!$C145,Data!$L:$L)</f>
        <v>0</v>
      </c>
      <c r="G145" s="67">
        <f>SUMIF(Data!$B:$B,'FEB ORDERvsPRO'!$C145,Data!$M:$M)</f>
        <v>0</v>
      </c>
      <c r="H145" s="67">
        <f>SUMIF('Returns Data'!$B:$B,'FEB ORDERvsPRO'!$C145,'Returns Data'!$J:$J)</f>
        <v>0</v>
      </c>
      <c r="I145" s="201" t="str">
        <f>IFERROR(Table141516[[#This Row],[Non Processed]]/Table141516[[#This Row],[Orders]],"")</f>
        <v/>
      </c>
    </row>
    <row r="146" spans="5:9" x14ac:dyDescent="0.25">
      <c r="E146" s="67">
        <f>SUMIF(Data!$B:$B,'FEB ORDERvsPRO'!C146,Data!$J:$J)</f>
        <v>0</v>
      </c>
      <c r="F146" s="67">
        <f>SUMIF(Data!$B:$B,'FEB ORDERvsPRO'!$C146,Data!$L:$L)</f>
        <v>0</v>
      </c>
      <c r="G146" s="67">
        <f>SUMIF(Data!$B:$B,'FEB ORDERvsPRO'!$C146,Data!$M:$M)</f>
        <v>0</v>
      </c>
      <c r="H146" s="67">
        <f>SUMIF('Returns Data'!$B:$B,'FEB ORDERvsPRO'!$C146,'Returns Data'!$J:$J)</f>
        <v>0</v>
      </c>
      <c r="I146" s="201" t="str">
        <f>IFERROR(Table141516[[#This Row],[Non Processed]]/Table141516[[#This Row],[Orders]],"")</f>
        <v/>
      </c>
    </row>
    <row r="147" spans="5:9" x14ac:dyDescent="0.25">
      <c r="E147" s="67">
        <f>SUMIF(Data!$B:$B,'FEB ORDERvsPRO'!C147,Data!$J:$J)</f>
        <v>0</v>
      </c>
      <c r="F147" s="67">
        <f>SUMIF(Data!$B:$B,'FEB ORDERvsPRO'!$C147,Data!$L:$L)</f>
        <v>0</v>
      </c>
      <c r="G147" s="67">
        <f>SUMIF(Data!$B:$B,'FEB ORDERvsPRO'!$C147,Data!$M:$M)</f>
        <v>0</v>
      </c>
      <c r="H147" s="67">
        <f>SUMIF('Returns Data'!$B:$B,'FEB ORDERvsPRO'!$C147,'Returns Data'!$J:$J)</f>
        <v>0</v>
      </c>
      <c r="I147" s="201" t="str">
        <f>IFERROR(Table141516[[#This Row],[Non Processed]]/Table141516[[#This Row],[Orders]],"")</f>
        <v/>
      </c>
    </row>
    <row r="148" spans="5:9" x14ac:dyDescent="0.25">
      <c r="E148" s="67">
        <f>SUMIF(Data!$B:$B,'FEB ORDERvsPRO'!C148,Data!$J:$J)</f>
        <v>0</v>
      </c>
      <c r="F148" s="67">
        <f>SUMIF(Data!$B:$B,'FEB ORDERvsPRO'!$C148,Data!$L:$L)</f>
        <v>0</v>
      </c>
      <c r="G148" s="67">
        <f>SUMIF(Data!$B:$B,'FEB ORDERvsPRO'!$C148,Data!$M:$M)</f>
        <v>0</v>
      </c>
      <c r="H148" s="67">
        <f>SUMIF('Returns Data'!$B:$B,'FEB ORDERvsPRO'!$C148,'Returns Data'!$J:$J)</f>
        <v>0</v>
      </c>
      <c r="I148" s="201" t="str">
        <f>IFERROR(Table141516[[#This Row],[Non Processed]]/Table141516[[#This Row],[Orders]],"")</f>
        <v/>
      </c>
    </row>
    <row r="149" spans="5:9" x14ac:dyDescent="0.25">
      <c r="E149" s="67">
        <f>SUMIF(Data!$B:$B,'FEB ORDERvsPRO'!C149,Data!$J:$J)</f>
        <v>0</v>
      </c>
      <c r="F149" s="67">
        <f>SUMIF(Data!$B:$B,'FEB ORDERvsPRO'!$C149,Data!$L:$L)</f>
        <v>0</v>
      </c>
      <c r="G149" s="67">
        <f>SUMIF(Data!$B:$B,'FEB ORDERvsPRO'!$C149,Data!$M:$M)</f>
        <v>0</v>
      </c>
      <c r="H149" s="67">
        <f>SUMIF('Returns Data'!$B:$B,'FEB ORDERvsPRO'!$C149,'Returns Data'!$J:$J)</f>
        <v>0</v>
      </c>
      <c r="I149" s="201" t="str">
        <f>IFERROR(Table141516[[#This Row],[Non Processed]]/Table141516[[#This Row],[Orders]],"")</f>
        <v/>
      </c>
    </row>
    <row r="150" spans="5:9" x14ac:dyDescent="0.25">
      <c r="E150" s="67">
        <f>SUMIF(Data!$B:$B,'FEB ORDERvsPRO'!C150,Data!$J:$J)</f>
        <v>0</v>
      </c>
      <c r="F150" s="67">
        <f>SUMIF(Data!$B:$B,'FEB ORDERvsPRO'!$C150,Data!$L:$L)</f>
        <v>0</v>
      </c>
      <c r="G150" s="67">
        <f>SUMIF(Data!$B:$B,'FEB ORDERvsPRO'!$C150,Data!$M:$M)</f>
        <v>0</v>
      </c>
      <c r="H150" s="67">
        <f>SUMIF('Returns Data'!$B:$B,'FEB ORDERvsPRO'!$C150,'Returns Data'!$J:$J)</f>
        <v>0</v>
      </c>
      <c r="I150" s="201" t="str">
        <f>IFERROR(Table141516[[#This Row],[Non Processed]]/Table141516[[#This Row],[Orders]],"")</f>
        <v/>
      </c>
    </row>
    <row r="151" spans="5:9" x14ac:dyDescent="0.25">
      <c r="E151" s="67">
        <f>SUMIF(Data!$B:$B,'FEB ORDERvsPRO'!C151,Data!$J:$J)</f>
        <v>0</v>
      </c>
      <c r="F151" s="67">
        <f>SUMIF(Data!$B:$B,'FEB ORDERvsPRO'!$C151,Data!$L:$L)</f>
        <v>0</v>
      </c>
      <c r="G151" s="67">
        <f>SUMIF(Data!$B:$B,'FEB ORDERvsPRO'!$C151,Data!$M:$M)</f>
        <v>0</v>
      </c>
      <c r="H151" s="67">
        <f>SUMIF('Returns Data'!$B:$B,'FEB ORDERvsPRO'!$C151,'Returns Data'!$J:$J)</f>
        <v>0</v>
      </c>
      <c r="I151" s="201" t="str">
        <f>IFERROR(Table141516[[#This Row],[Non Processed]]/Table141516[[#This Row],[Orders]],"")</f>
        <v/>
      </c>
    </row>
    <row r="152" spans="5:9" x14ac:dyDescent="0.25">
      <c r="E152" s="67">
        <f>SUMIF(Data!$B:$B,'FEB ORDERvsPRO'!C152,Data!$J:$J)</f>
        <v>0</v>
      </c>
      <c r="F152" s="67">
        <f>SUMIF(Data!$B:$B,'FEB ORDERvsPRO'!$C152,Data!$L:$L)</f>
        <v>0</v>
      </c>
      <c r="G152" s="67">
        <f>SUMIF(Data!$B:$B,'FEB ORDERvsPRO'!$C152,Data!$M:$M)</f>
        <v>0</v>
      </c>
      <c r="H152" s="67">
        <f>SUMIF('Returns Data'!$B:$B,'FEB ORDERvsPRO'!$C152,'Returns Data'!$J:$J)</f>
        <v>0</v>
      </c>
      <c r="I152" s="201" t="str">
        <f>IFERROR(Table141516[[#This Row],[Non Processed]]/Table141516[[#This Row],[Orders]],"")</f>
        <v/>
      </c>
    </row>
    <row r="153" spans="5:9" x14ac:dyDescent="0.25">
      <c r="E153" s="67">
        <f>SUMIF(Data!$B:$B,'FEB ORDERvsPRO'!C153,Data!$J:$J)</f>
        <v>0</v>
      </c>
      <c r="F153" s="67">
        <f>SUMIF(Data!$B:$B,'FEB ORDERvsPRO'!$C153,Data!$L:$L)</f>
        <v>0</v>
      </c>
      <c r="G153" s="67">
        <f>SUMIF(Data!$B:$B,'FEB ORDERvsPRO'!$C153,Data!$M:$M)</f>
        <v>0</v>
      </c>
      <c r="H153" s="67">
        <f>SUMIF('Returns Data'!$B:$B,'FEB ORDERvsPRO'!$C153,'Returns Data'!$J:$J)</f>
        <v>0</v>
      </c>
      <c r="I153" s="201" t="str">
        <f>IFERROR(Table141516[[#This Row],[Non Processed]]/Table141516[[#This Row],[Orders]],"")</f>
        <v/>
      </c>
    </row>
    <row r="154" spans="5:9" x14ac:dyDescent="0.25">
      <c r="E154" s="67">
        <f>SUMIF(Data!$B:$B,'FEB ORDERvsPRO'!C154,Data!$J:$J)</f>
        <v>0</v>
      </c>
      <c r="F154" s="67">
        <f>SUMIF(Data!$B:$B,'FEB ORDERvsPRO'!$C154,Data!$L:$L)</f>
        <v>0</v>
      </c>
      <c r="G154" s="67">
        <f>SUMIF(Data!$B:$B,'FEB ORDERvsPRO'!$C154,Data!$M:$M)</f>
        <v>0</v>
      </c>
      <c r="H154" s="67">
        <f>SUMIF('Returns Data'!$B:$B,'FEB ORDERvsPRO'!$C154,'Returns Data'!$J:$J)</f>
        <v>0</v>
      </c>
      <c r="I154" s="201" t="str">
        <f>IFERROR(Table141516[[#This Row],[Non Processed]]/Table141516[[#This Row],[Orders]],"")</f>
        <v/>
      </c>
    </row>
    <row r="155" spans="5:9" x14ac:dyDescent="0.25">
      <c r="E155" s="67">
        <f>SUMIF(Data!$B:$B,'FEB ORDERvsPRO'!C155,Data!$J:$J)</f>
        <v>0</v>
      </c>
      <c r="F155" s="67">
        <f>SUMIF(Data!$B:$B,'FEB ORDERvsPRO'!$C155,Data!$L:$L)</f>
        <v>0</v>
      </c>
      <c r="G155" s="67">
        <f>SUMIF(Data!$B:$B,'FEB ORDERvsPRO'!$C155,Data!$M:$M)</f>
        <v>0</v>
      </c>
      <c r="H155" s="67">
        <f>SUMIF('Returns Data'!$B:$B,'FEB ORDERvsPRO'!$C155,'Returns Data'!$J:$J)</f>
        <v>0</v>
      </c>
      <c r="I155" s="201" t="str">
        <f>IFERROR(Table141516[[#This Row],[Non Processed]]/Table141516[[#This Row],[Orders]],"")</f>
        <v/>
      </c>
    </row>
    <row r="156" spans="5:9" x14ac:dyDescent="0.25">
      <c r="E156" s="67">
        <f>SUMIF(Data!$B:$B,'FEB ORDERvsPRO'!C156,Data!$J:$J)</f>
        <v>0</v>
      </c>
      <c r="F156" s="67">
        <f>SUMIF(Data!$B:$B,'FEB ORDERvsPRO'!$C156,Data!$L:$L)</f>
        <v>0</v>
      </c>
      <c r="G156" s="67">
        <f>SUMIF(Data!$B:$B,'FEB ORDERvsPRO'!$C156,Data!$M:$M)</f>
        <v>0</v>
      </c>
      <c r="H156" s="67">
        <f>SUMIF('Returns Data'!$B:$B,'FEB ORDERvsPRO'!$C156,'Returns Data'!$J:$J)</f>
        <v>0</v>
      </c>
      <c r="I156" s="201" t="str">
        <f>IFERROR(Table141516[[#This Row],[Non Processed]]/Table141516[[#This Row],[Orders]],"")</f>
        <v/>
      </c>
    </row>
    <row r="157" spans="5:9" x14ac:dyDescent="0.25">
      <c r="E157" s="67">
        <f>SUMIF(Data!$B:$B,'FEB ORDERvsPRO'!C157,Data!$J:$J)</f>
        <v>0</v>
      </c>
      <c r="F157" s="67">
        <f>SUMIF(Data!$B:$B,'FEB ORDERvsPRO'!$C157,Data!$L:$L)</f>
        <v>0</v>
      </c>
      <c r="G157" s="67">
        <f>SUMIF(Data!$B:$B,'FEB ORDERvsPRO'!$C157,Data!$M:$M)</f>
        <v>0</v>
      </c>
      <c r="H157" s="67">
        <f>SUMIF('Returns Data'!$B:$B,'FEB ORDERvsPRO'!$C157,'Returns Data'!$J:$J)</f>
        <v>0</v>
      </c>
      <c r="I157" s="201" t="str">
        <f>IFERROR(Table141516[[#This Row],[Non Processed]]/Table141516[[#This Row],[Orders]],"")</f>
        <v/>
      </c>
    </row>
    <row r="158" spans="5:9" x14ac:dyDescent="0.25">
      <c r="E158" s="67">
        <f>SUMIF(Data!$B:$B,'FEB ORDERvsPRO'!C158,Data!$J:$J)</f>
        <v>0</v>
      </c>
      <c r="F158" s="67">
        <f>SUMIF(Data!$B:$B,'FEB ORDERvsPRO'!$C158,Data!$L:$L)</f>
        <v>0</v>
      </c>
      <c r="G158" s="67">
        <f>SUMIF(Data!$B:$B,'FEB ORDERvsPRO'!$C158,Data!$M:$M)</f>
        <v>0</v>
      </c>
      <c r="H158" s="67">
        <f>SUMIF('Returns Data'!$B:$B,'FEB ORDERvsPRO'!$C158,'Returns Data'!$J:$J)</f>
        <v>0</v>
      </c>
      <c r="I158" s="201" t="str">
        <f>IFERROR(Table141516[[#This Row],[Non Processed]]/Table141516[[#This Row],[Orders]],"")</f>
        <v/>
      </c>
    </row>
    <row r="159" spans="5:9" x14ac:dyDescent="0.25">
      <c r="E159" s="67">
        <f>SUMIF(Data!$B:$B,'FEB ORDERvsPRO'!C159,Data!$J:$J)</f>
        <v>0</v>
      </c>
      <c r="F159" s="67">
        <f>SUMIF(Data!$B:$B,'FEB ORDERvsPRO'!$C159,Data!$L:$L)</f>
        <v>0</v>
      </c>
      <c r="G159" s="67">
        <f>SUMIF(Data!$B:$B,'FEB ORDERvsPRO'!$C159,Data!$M:$M)</f>
        <v>0</v>
      </c>
      <c r="H159" s="67">
        <f>SUMIF('Returns Data'!$B:$B,'FEB ORDERvsPRO'!$C159,'Returns Data'!$J:$J)</f>
        <v>0</v>
      </c>
      <c r="I159" s="201" t="str">
        <f>IFERROR(Table141516[[#This Row],[Non Processed]]/Table141516[[#This Row],[Orders]],"")</f>
        <v/>
      </c>
    </row>
    <row r="160" spans="5:9" x14ac:dyDescent="0.25">
      <c r="E160" s="67">
        <f>SUMIF(Data!$B:$B,'FEB ORDERvsPRO'!C160,Data!$J:$J)</f>
        <v>0</v>
      </c>
      <c r="F160" s="67">
        <f>SUMIF(Data!$B:$B,'FEB ORDERvsPRO'!$C160,Data!$L:$L)</f>
        <v>0</v>
      </c>
      <c r="G160" s="67">
        <f>SUMIF(Data!$B:$B,'FEB ORDERvsPRO'!$C160,Data!$M:$M)</f>
        <v>0</v>
      </c>
      <c r="H160" s="67">
        <f>SUMIF('Returns Data'!$B:$B,'FEB ORDERvsPRO'!$C160,'Returns Data'!$J:$J)</f>
        <v>0</v>
      </c>
      <c r="I160" s="201" t="str">
        <f>IFERROR(Table141516[[#This Row],[Non Processed]]/Table141516[[#This Row],[Orders]],"")</f>
        <v/>
      </c>
    </row>
    <row r="161" spans="5:9" x14ac:dyDescent="0.25">
      <c r="E161" s="67">
        <f>SUMIF(Data!$B:$B,'FEB ORDERvsPRO'!C161,Data!$J:$J)</f>
        <v>0</v>
      </c>
      <c r="F161" s="67">
        <f>SUMIF(Data!$B:$B,'FEB ORDERvsPRO'!$C161,Data!$L:$L)</f>
        <v>0</v>
      </c>
      <c r="G161" s="67">
        <f>SUMIF(Data!$B:$B,'FEB ORDERvsPRO'!$C161,Data!$M:$M)</f>
        <v>0</v>
      </c>
      <c r="H161" s="67">
        <f>SUMIF('Returns Data'!$B:$B,'FEB ORDERvsPRO'!$C161,'Returns Data'!$J:$J)</f>
        <v>0</v>
      </c>
      <c r="I161" s="201" t="str">
        <f>IFERROR(Table141516[[#This Row],[Non Processed]]/Table141516[[#This Row],[Orders]],"")</f>
        <v/>
      </c>
    </row>
    <row r="162" spans="5:9" x14ac:dyDescent="0.25">
      <c r="E162" s="67">
        <f>SUMIF(Data!$B:$B,'FEB ORDERvsPRO'!C162,Data!$J:$J)</f>
        <v>0</v>
      </c>
      <c r="F162" s="67">
        <f>SUMIF(Data!$B:$B,'FEB ORDERvsPRO'!$C162,Data!$L:$L)</f>
        <v>0</v>
      </c>
      <c r="G162" s="67">
        <f>SUMIF(Data!$B:$B,'FEB ORDERvsPRO'!$C162,Data!$M:$M)</f>
        <v>0</v>
      </c>
      <c r="H162" s="67">
        <f>SUMIF('Returns Data'!$B:$B,'FEB ORDERvsPRO'!$C162,'Returns Data'!$J:$J)</f>
        <v>0</v>
      </c>
      <c r="I162" s="201" t="str">
        <f>IFERROR(Table141516[[#This Row],[Non Processed]]/Table141516[[#This Row],[Orders]],"")</f>
        <v/>
      </c>
    </row>
    <row r="163" spans="5:9" x14ac:dyDescent="0.25">
      <c r="E163" s="67">
        <f>SUMIF(Data!$B:$B,'FEB ORDERvsPRO'!C163,Data!$J:$J)</f>
        <v>0</v>
      </c>
      <c r="F163" s="67">
        <f>SUMIF(Data!$B:$B,'FEB ORDERvsPRO'!$C163,Data!$L:$L)</f>
        <v>0</v>
      </c>
      <c r="G163" s="67">
        <f>SUMIF(Data!$B:$B,'FEB ORDERvsPRO'!$C163,Data!$M:$M)</f>
        <v>0</v>
      </c>
      <c r="H163" s="67">
        <f>SUMIF('Returns Data'!$B:$B,'FEB ORDERvsPRO'!$C163,'Returns Data'!$J:$J)</f>
        <v>0</v>
      </c>
      <c r="I163" s="201" t="str">
        <f>IFERROR(Table141516[[#This Row],[Non Processed]]/Table141516[[#This Row],[Orders]],"")</f>
        <v/>
      </c>
    </row>
    <row r="164" spans="5:9" x14ac:dyDescent="0.25">
      <c r="E164" s="67">
        <f>SUMIF(Data!$B:$B,'FEB ORDERvsPRO'!C164,Data!$J:$J)</f>
        <v>0</v>
      </c>
      <c r="F164" s="67">
        <f>SUMIF(Data!$B:$B,'FEB ORDERvsPRO'!$C164,Data!$L:$L)</f>
        <v>0</v>
      </c>
      <c r="G164" s="67">
        <f>SUMIF(Data!$B:$B,'FEB ORDERvsPRO'!$C164,Data!$M:$M)</f>
        <v>0</v>
      </c>
      <c r="H164" s="67">
        <f>SUMIF('Returns Data'!$B:$B,'FEB ORDERvsPRO'!$C164,'Returns Data'!$J:$J)</f>
        <v>0</v>
      </c>
      <c r="I164" s="201" t="str">
        <f>IFERROR(Table141516[[#This Row],[Non Processed]]/Table141516[[#This Row],[Orders]],"")</f>
        <v/>
      </c>
    </row>
    <row r="165" spans="5:9" x14ac:dyDescent="0.25">
      <c r="E165" s="67">
        <f>SUMIF(Data!$B:$B,'FEB ORDERvsPRO'!C165,Data!$J:$J)</f>
        <v>0</v>
      </c>
      <c r="F165" s="67">
        <f>SUMIF(Data!$B:$B,'FEB ORDERvsPRO'!$C165,Data!$L:$L)</f>
        <v>0</v>
      </c>
      <c r="G165" s="67">
        <f>SUMIF(Data!$B:$B,'FEB ORDERvsPRO'!$C165,Data!$M:$M)</f>
        <v>0</v>
      </c>
      <c r="H165" s="67">
        <f>SUMIF('Returns Data'!$B:$B,'FEB ORDERvsPRO'!$C165,'Returns Data'!$J:$J)</f>
        <v>0</v>
      </c>
      <c r="I165" s="201" t="str">
        <f>IFERROR(Table141516[[#This Row],[Non Processed]]/Table141516[[#This Row],[Orders]],"")</f>
        <v/>
      </c>
    </row>
    <row r="166" spans="5:9" x14ac:dyDescent="0.25">
      <c r="E166" s="67">
        <f>SUMIF(Data!$B:$B,'FEB ORDERvsPRO'!C166,Data!$J:$J)</f>
        <v>0</v>
      </c>
      <c r="F166" s="67">
        <f>SUMIF(Data!$B:$B,'FEB ORDERvsPRO'!$C166,Data!$L:$L)</f>
        <v>0</v>
      </c>
      <c r="G166" s="67">
        <f>SUMIF(Data!$B:$B,'FEB ORDERvsPRO'!$C166,Data!$M:$M)</f>
        <v>0</v>
      </c>
      <c r="H166" s="67">
        <f>SUMIF('Returns Data'!$B:$B,'FEB ORDERvsPRO'!$C166,'Returns Data'!$J:$J)</f>
        <v>0</v>
      </c>
      <c r="I166" s="201" t="str">
        <f>IFERROR(Table141516[[#This Row],[Non Processed]]/Table141516[[#This Row],[Orders]],"")</f>
        <v/>
      </c>
    </row>
    <row r="167" spans="5:9" x14ac:dyDescent="0.25">
      <c r="E167" s="67">
        <f>SUMIF(Data!$B:$B,'FEB ORDERvsPRO'!C167,Data!$J:$J)</f>
        <v>0</v>
      </c>
      <c r="F167" s="67">
        <f>SUMIF(Data!$B:$B,'FEB ORDERvsPRO'!$C167,Data!$L:$L)</f>
        <v>0</v>
      </c>
      <c r="G167" s="67">
        <f>SUMIF(Data!$B:$B,'FEB ORDERvsPRO'!$C167,Data!$M:$M)</f>
        <v>0</v>
      </c>
      <c r="H167" s="67">
        <f>SUMIF('Returns Data'!$B:$B,'FEB ORDERvsPRO'!$C167,'Returns Data'!$J:$J)</f>
        <v>0</v>
      </c>
      <c r="I167" s="201" t="str">
        <f>IFERROR(Table141516[[#This Row],[Non Processed]]/Table141516[[#This Row],[Orders]],"")</f>
        <v/>
      </c>
    </row>
    <row r="168" spans="5:9" x14ac:dyDescent="0.25">
      <c r="E168" s="67">
        <f>SUMIF(Data!$B:$B,'FEB ORDERvsPRO'!C168,Data!$J:$J)</f>
        <v>0</v>
      </c>
      <c r="F168" s="67">
        <f>SUMIF(Data!$B:$B,'FEB ORDERvsPRO'!$C168,Data!$L:$L)</f>
        <v>0</v>
      </c>
      <c r="G168" s="67">
        <f>SUMIF(Data!$B:$B,'FEB ORDERvsPRO'!$C168,Data!$M:$M)</f>
        <v>0</v>
      </c>
      <c r="H168" s="67">
        <f>SUMIF('Returns Data'!$B:$B,'FEB ORDERvsPRO'!$C168,'Returns Data'!$J:$J)</f>
        <v>0</v>
      </c>
      <c r="I168" s="201" t="str">
        <f>IFERROR(Table141516[[#This Row],[Non Processed]]/Table141516[[#This Row],[Orders]],"")</f>
        <v/>
      </c>
    </row>
    <row r="169" spans="5:9" x14ac:dyDescent="0.25">
      <c r="E169" s="67">
        <f>SUMIF(Data!$B:$B,'FEB ORDERvsPRO'!C169,Data!$J:$J)</f>
        <v>0</v>
      </c>
      <c r="F169" s="67">
        <f>SUMIF(Data!$B:$B,'FEB ORDERvsPRO'!$C169,Data!$L:$L)</f>
        <v>0</v>
      </c>
      <c r="G169" s="67">
        <f>SUMIF(Data!$B:$B,'FEB ORDERvsPRO'!$C169,Data!$M:$M)</f>
        <v>0</v>
      </c>
      <c r="H169" s="67">
        <f>SUMIF('Returns Data'!$B:$B,'FEB ORDERvsPRO'!$C169,'Returns Data'!$J:$J)</f>
        <v>0</v>
      </c>
      <c r="I169" s="201" t="str">
        <f>IFERROR(Table141516[[#This Row],[Non Processed]]/Table141516[[#This Row],[Orders]],"")</f>
        <v/>
      </c>
    </row>
    <row r="170" spans="5:9" x14ac:dyDescent="0.25">
      <c r="E170" s="67">
        <f>SUMIF(Data!$B:$B,'FEB ORDERvsPRO'!C170,Data!$J:$J)</f>
        <v>0</v>
      </c>
      <c r="F170" s="67">
        <f>SUMIF(Data!$B:$B,'FEB ORDERvsPRO'!$C170,Data!$L:$L)</f>
        <v>0</v>
      </c>
      <c r="G170" s="67">
        <f>SUMIF(Data!$B:$B,'FEB ORDERvsPRO'!$C170,Data!$M:$M)</f>
        <v>0</v>
      </c>
      <c r="H170" s="67">
        <f>SUMIF('Returns Data'!$B:$B,'FEB ORDERvsPRO'!$C170,'Returns Data'!$J:$J)</f>
        <v>0</v>
      </c>
      <c r="I170" s="201" t="str">
        <f>IFERROR(Table141516[[#This Row],[Non Processed]]/Table141516[[#This Row],[Orders]],"")</f>
        <v/>
      </c>
    </row>
    <row r="171" spans="5:9" x14ac:dyDescent="0.25">
      <c r="E171" s="67">
        <f>SUMIF(Data!$B:$B,'FEB ORDERvsPRO'!C171,Data!$J:$J)</f>
        <v>0</v>
      </c>
      <c r="F171" s="67">
        <f>SUMIF(Data!$B:$B,'FEB ORDERvsPRO'!$C171,Data!$L:$L)</f>
        <v>0</v>
      </c>
      <c r="G171" s="67">
        <f>SUMIF(Data!$B:$B,'FEB ORDERvsPRO'!$C171,Data!$M:$M)</f>
        <v>0</v>
      </c>
      <c r="H171" s="67">
        <f>SUMIF('Returns Data'!$B:$B,'FEB ORDERvsPRO'!$C171,'Returns Data'!$J:$J)</f>
        <v>0</v>
      </c>
      <c r="I171" s="201" t="str">
        <f>IFERROR(Table141516[[#This Row],[Non Processed]]/Table141516[[#This Row],[Orders]],"")</f>
        <v/>
      </c>
    </row>
    <row r="172" spans="5:9" x14ac:dyDescent="0.25">
      <c r="E172" s="67">
        <f>SUMIF(Data!$B:$B,'FEB ORDERvsPRO'!C172,Data!$J:$J)</f>
        <v>0</v>
      </c>
      <c r="F172" s="67">
        <f>SUMIF(Data!$B:$B,'FEB ORDERvsPRO'!$C172,Data!$L:$L)</f>
        <v>0</v>
      </c>
      <c r="G172" s="67">
        <f>SUMIF(Data!$B:$B,'FEB ORDERvsPRO'!$C172,Data!$M:$M)</f>
        <v>0</v>
      </c>
      <c r="H172" s="67">
        <f>SUMIF('Returns Data'!$B:$B,'FEB ORDERvsPRO'!$C172,'Returns Data'!$J:$J)</f>
        <v>0</v>
      </c>
      <c r="I172" s="201" t="str">
        <f>IFERROR(Table141516[[#This Row],[Non Processed]]/Table141516[[#This Row],[Orders]],"")</f>
        <v/>
      </c>
    </row>
    <row r="173" spans="5:9" x14ac:dyDescent="0.25">
      <c r="E173" s="67">
        <f>SUMIF(Data!$B:$B,'FEB ORDERvsPRO'!C173,Data!$J:$J)</f>
        <v>0</v>
      </c>
      <c r="F173" s="67">
        <f>SUMIF(Data!$B:$B,'FEB ORDERvsPRO'!$C173,Data!$L:$L)</f>
        <v>0</v>
      </c>
      <c r="G173" s="67">
        <f>SUMIF(Data!$B:$B,'FEB ORDERvsPRO'!$C173,Data!$M:$M)</f>
        <v>0</v>
      </c>
      <c r="H173" s="67">
        <f>SUMIF('Returns Data'!$B:$B,'FEB ORDERvsPRO'!$C173,'Returns Data'!$J:$J)</f>
        <v>0</v>
      </c>
      <c r="I173" s="201" t="str">
        <f>IFERROR(Table141516[[#This Row],[Non Processed]]/Table141516[[#This Row],[Orders]],"")</f>
        <v/>
      </c>
    </row>
    <row r="174" spans="5:9" x14ac:dyDescent="0.25">
      <c r="E174" s="67">
        <f>SUMIF(Data!$B:$B,'FEB ORDERvsPRO'!C174,Data!$J:$J)</f>
        <v>0</v>
      </c>
      <c r="F174" s="67">
        <f>SUMIF(Data!$B:$B,'FEB ORDERvsPRO'!$C174,Data!$L:$L)</f>
        <v>0</v>
      </c>
      <c r="G174" s="67">
        <f>SUMIF(Data!$B:$B,'FEB ORDERvsPRO'!$C174,Data!$M:$M)</f>
        <v>0</v>
      </c>
      <c r="H174" s="67">
        <f>SUMIF('Returns Data'!$B:$B,'FEB ORDERvsPRO'!$C174,'Returns Data'!$J:$J)</f>
        <v>0</v>
      </c>
      <c r="I174" s="201" t="str">
        <f>IFERROR(Table141516[[#This Row],[Non Processed]]/Table141516[[#This Row],[Orders]],"")</f>
        <v/>
      </c>
    </row>
    <row r="175" spans="5:9" x14ac:dyDescent="0.25">
      <c r="E175" s="67">
        <f>SUMIF(Data!$B:$B,'FEB ORDERvsPRO'!C175,Data!$J:$J)</f>
        <v>0</v>
      </c>
      <c r="F175" s="67">
        <f>SUMIF(Data!$B:$B,'FEB ORDERvsPRO'!$C175,Data!$L:$L)</f>
        <v>0</v>
      </c>
      <c r="G175" s="67">
        <f>SUMIF(Data!$B:$B,'FEB ORDERvsPRO'!$C175,Data!$M:$M)</f>
        <v>0</v>
      </c>
      <c r="H175" s="67">
        <f>SUMIF('Returns Data'!$B:$B,'FEB ORDERvsPRO'!$C175,'Returns Data'!$J:$J)</f>
        <v>0</v>
      </c>
      <c r="I175" s="201" t="str">
        <f>IFERROR(Table141516[[#This Row],[Non Processed]]/Table141516[[#This Row],[Orders]],"")</f>
        <v/>
      </c>
    </row>
    <row r="176" spans="5:9" x14ac:dyDescent="0.25">
      <c r="E176" s="67">
        <f>SUMIF(Data!$B:$B,'FEB ORDERvsPRO'!C176,Data!$J:$J)</f>
        <v>0</v>
      </c>
      <c r="F176" s="67">
        <f>SUMIF(Data!$B:$B,'FEB ORDERvsPRO'!$C176,Data!$L:$L)</f>
        <v>0</v>
      </c>
      <c r="G176" s="67">
        <f>SUMIF(Data!$B:$B,'FEB ORDERvsPRO'!$C176,Data!$M:$M)</f>
        <v>0</v>
      </c>
      <c r="H176" s="67">
        <f>SUMIF('Returns Data'!$B:$B,'FEB ORDERvsPRO'!$C176,'Returns Data'!$J:$J)</f>
        <v>0</v>
      </c>
      <c r="I176" s="201" t="str">
        <f>IFERROR(Table141516[[#This Row],[Non Processed]]/Table141516[[#This Row],[Orders]],"")</f>
        <v/>
      </c>
    </row>
    <row r="177" spans="5:9" x14ac:dyDescent="0.25">
      <c r="E177" s="67">
        <f>SUMIF(Data!$B:$B,'FEB ORDERvsPRO'!C177,Data!$J:$J)</f>
        <v>0</v>
      </c>
      <c r="F177" s="67">
        <f>SUMIF(Data!$B:$B,'FEB ORDERvsPRO'!$C177,Data!$L:$L)</f>
        <v>0</v>
      </c>
      <c r="G177" s="67">
        <f>SUMIF(Data!$B:$B,'FEB ORDERvsPRO'!$C177,Data!$M:$M)</f>
        <v>0</v>
      </c>
      <c r="H177" s="67">
        <f>SUMIF('Returns Data'!$B:$B,'FEB ORDERvsPRO'!$C177,'Returns Data'!$J:$J)</f>
        <v>0</v>
      </c>
      <c r="I177" s="201" t="str">
        <f>IFERROR(Table141516[[#This Row],[Non Processed]]/Table141516[[#This Row],[Orders]],"")</f>
        <v/>
      </c>
    </row>
    <row r="178" spans="5:9" x14ac:dyDescent="0.25">
      <c r="E178" s="67">
        <f>SUMIF(Data!$B:$B,'FEB ORDERvsPRO'!C178,Data!$J:$J)</f>
        <v>0</v>
      </c>
      <c r="F178" s="67">
        <f>SUMIF(Data!$B:$B,'FEB ORDERvsPRO'!$C178,Data!$L:$L)</f>
        <v>0</v>
      </c>
      <c r="G178" s="67">
        <f>SUMIF(Data!$B:$B,'FEB ORDERvsPRO'!$C178,Data!$M:$M)</f>
        <v>0</v>
      </c>
      <c r="H178" s="67">
        <f>SUMIF('Returns Data'!$B:$B,'FEB ORDERvsPRO'!$C178,'Returns Data'!$J:$J)</f>
        <v>0</v>
      </c>
      <c r="I178" s="201" t="str">
        <f>IFERROR(Table141516[[#This Row],[Non Processed]]/Table141516[[#This Row],[Orders]],"")</f>
        <v/>
      </c>
    </row>
    <row r="179" spans="5:9" x14ac:dyDescent="0.25">
      <c r="E179" s="67">
        <f>SUMIF(Data!$B:$B,'FEB ORDERvsPRO'!C179,Data!$J:$J)</f>
        <v>0</v>
      </c>
      <c r="F179" s="67">
        <f>SUMIF(Data!$B:$B,'FEB ORDERvsPRO'!$C179,Data!$L:$L)</f>
        <v>0</v>
      </c>
      <c r="G179" s="67">
        <f>SUMIF(Data!$B:$B,'FEB ORDERvsPRO'!$C179,Data!$M:$M)</f>
        <v>0</v>
      </c>
      <c r="H179" s="67">
        <f>SUMIF('Returns Data'!$B:$B,'FEB ORDERvsPRO'!$C179,'Returns Data'!$J:$J)</f>
        <v>0</v>
      </c>
      <c r="I179" s="201" t="str">
        <f>IFERROR(Table141516[[#This Row],[Non Processed]]/Table141516[[#This Row],[Orders]],"")</f>
        <v/>
      </c>
    </row>
    <row r="180" spans="5:9" x14ac:dyDescent="0.25">
      <c r="E180" s="67">
        <f>SUMIF(Data!$B:$B,'FEB ORDERvsPRO'!C180,Data!$J:$J)</f>
        <v>0</v>
      </c>
      <c r="F180" s="67">
        <f>SUMIF(Data!$B:$B,'FEB ORDERvsPRO'!$C180,Data!$L:$L)</f>
        <v>0</v>
      </c>
      <c r="G180" s="67">
        <f>SUMIF(Data!$B:$B,'FEB ORDERvsPRO'!$C180,Data!$M:$M)</f>
        <v>0</v>
      </c>
      <c r="H180" s="67">
        <f>SUMIF('Returns Data'!$B:$B,'FEB ORDERvsPRO'!$C180,'Returns Data'!$J:$J)</f>
        <v>0</v>
      </c>
      <c r="I180" s="201" t="str">
        <f>IFERROR(Table141516[[#This Row],[Non Processed]]/Table141516[[#This Row],[Orders]],"")</f>
        <v/>
      </c>
    </row>
    <row r="181" spans="5:9" x14ac:dyDescent="0.25">
      <c r="E181" s="67">
        <f>SUMIF(Data!$B:$B,'FEB ORDERvsPRO'!C181,Data!$J:$J)</f>
        <v>0</v>
      </c>
      <c r="F181" s="67">
        <f>SUMIF(Data!$B:$B,'FEB ORDERvsPRO'!$C181,Data!$L:$L)</f>
        <v>0</v>
      </c>
      <c r="G181" s="67">
        <f>SUMIF(Data!$B:$B,'FEB ORDERvsPRO'!$C181,Data!$M:$M)</f>
        <v>0</v>
      </c>
      <c r="H181" s="67">
        <f>SUMIF('Returns Data'!$B:$B,'FEB ORDERvsPRO'!$C181,'Returns Data'!$J:$J)</f>
        <v>0</v>
      </c>
      <c r="I181" s="201" t="str">
        <f>IFERROR(Table141516[[#This Row],[Non Processed]]/Table141516[[#This Row],[Orders]],"")</f>
        <v/>
      </c>
    </row>
    <row r="182" spans="5:9" x14ac:dyDescent="0.25">
      <c r="E182" s="67">
        <f>SUMIF(Data!$B:$B,'FEB ORDERvsPRO'!C182,Data!$J:$J)</f>
        <v>0</v>
      </c>
      <c r="F182" s="67">
        <f>SUMIF(Data!$B:$B,'FEB ORDERvsPRO'!$C182,Data!$L:$L)</f>
        <v>0</v>
      </c>
      <c r="G182" s="67">
        <f>SUMIF(Data!$B:$B,'FEB ORDERvsPRO'!$C182,Data!$M:$M)</f>
        <v>0</v>
      </c>
      <c r="H182" s="67">
        <f>SUMIF('Returns Data'!$B:$B,'FEB ORDERvsPRO'!$C182,'Returns Data'!$J:$J)</f>
        <v>0</v>
      </c>
      <c r="I182" s="201" t="str">
        <f>IFERROR(Table141516[[#This Row],[Non Processed]]/Table141516[[#This Row],[Orders]],"")</f>
        <v/>
      </c>
    </row>
    <row r="183" spans="5:9" x14ac:dyDescent="0.25">
      <c r="E183" s="67">
        <f>SUMIF(Data!$B:$B,'FEB ORDERvsPRO'!C183,Data!$J:$J)</f>
        <v>0</v>
      </c>
      <c r="F183" s="67">
        <f>SUMIF(Data!$B:$B,'FEB ORDERvsPRO'!$C183,Data!$L:$L)</f>
        <v>0</v>
      </c>
      <c r="G183" s="67">
        <f>SUMIF(Data!$B:$B,'FEB ORDERvsPRO'!$C183,Data!$M:$M)</f>
        <v>0</v>
      </c>
      <c r="H183" s="67">
        <f>SUMIF('Returns Data'!$B:$B,'FEB ORDERvsPRO'!$C183,'Returns Data'!$J:$J)</f>
        <v>0</v>
      </c>
      <c r="I183" s="201" t="str">
        <f>IFERROR(Table141516[[#This Row],[Non Processed]]/Table141516[[#This Row],[Orders]],"")</f>
        <v/>
      </c>
    </row>
    <row r="184" spans="5:9" x14ac:dyDescent="0.25">
      <c r="E184" s="67">
        <f>SUMIF(Data!$B:$B,'FEB ORDERvsPRO'!C184,Data!$J:$J)</f>
        <v>0</v>
      </c>
      <c r="F184" s="67">
        <f>SUMIF(Data!$B:$B,'FEB ORDERvsPRO'!$C184,Data!$L:$L)</f>
        <v>0</v>
      </c>
      <c r="G184" s="67">
        <f>SUMIF(Data!$B:$B,'FEB ORDERvsPRO'!$C184,Data!$M:$M)</f>
        <v>0</v>
      </c>
      <c r="H184" s="67">
        <f>SUMIF('Returns Data'!$B:$B,'FEB ORDERvsPRO'!$C184,'Returns Data'!$J:$J)</f>
        <v>0</v>
      </c>
      <c r="I184" s="201" t="str">
        <f>IFERROR(Table141516[[#This Row],[Non Processed]]/Table141516[[#This Row],[Orders]],"")</f>
        <v/>
      </c>
    </row>
    <row r="185" spans="5:9" x14ac:dyDescent="0.25">
      <c r="E185" s="67">
        <f>SUMIF(Data!$B:$B,'FEB ORDERvsPRO'!C185,Data!$J:$J)</f>
        <v>0</v>
      </c>
      <c r="F185" s="67">
        <f>SUMIF(Data!$B:$B,'FEB ORDERvsPRO'!$C185,Data!$L:$L)</f>
        <v>0</v>
      </c>
      <c r="G185" s="67">
        <f>SUMIF(Data!$B:$B,'FEB ORDERvsPRO'!$C185,Data!$M:$M)</f>
        <v>0</v>
      </c>
      <c r="H185" s="67">
        <f>SUMIF('Returns Data'!$B:$B,'FEB ORDERvsPRO'!$C185,'Returns Data'!$J:$J)</f>
        <v>0</v>
      </c>
      <c r="I185" s="201" t="str">
        <f>IFERROR(Table141516[[#This Row],[Non Processed]]/Table141516[[#This Row],[Orders]],"")</f>
        <v/>
      </c>
    </row>
    <row r="186" spans="5:9" x14ac:dyDescent="0.25">
      <c r="E186" s="67">
        <f>SUMIF(Data!$B:$B,'FEB ORDERvsPRO'!C186,Data!$J:$J)</f>
        <v>0</v>
      </c>
      <c r="F186" s="67">
        <f>SUMIF(Data!$B:$B,'FEB ORDERvsPRO'!$C186,Data!$L:$L)</f>
        <v>0</v>
      </c>
      <c r="G186" s="67">
        <f>SUMIF(Data!$B:$B,'FEB ORDERvsPRO'!$C186,Data!$M:$M)</f>
        <v>0</v>
      </c>
      <c r="H186" s="67">
        <f>SUMIF('Returns Data'!$B:$B,'FEB ORDERvsPRO'!$C186,'Returns Data'!$J:$J)</f>
        <v>0</v>
      </c>
      <c r="I186" s="201" t="str">
        <f>IFERROR(Table141516[[#This Row],[Non Processed]]/Table141516[[#This Row],[Orders]],"")</f>
        <v/>
      </c>
    </row>
    <row r="187" spans="5:9" x14ac:dyDescent="0.25">
      <c r="E187" s="67">
        <f>SUMIF(Data!$B:$B,'FEB ORDERvsPRO'!C187,Data!$J:$J)</f>
        <v>0</v>
      </c>
      <c r="F187" s="67">
        <f>SUMIF(Data!$B:$B,'FEB ORDERvsPRO'!$C187,Data!$L:$L)</f>
        <v>0</v>
      </c>
      <c r="G187" s="67">
        <f>SUMIF(Data!$B:$B,'FEB ORDERvsPRO'!$C187,Data!$M:$M)</f>
        <v>0</v>
      </c>
      <c r="H187" s="67">
        <f>SUMIF('Returns Data'!$B:$B,'FEB ORDERvsPRO'!$C187,'Returns Data'!$J:$J)</f>
        <v>0</v>
      </c>
      <c r="I187" s="201" t="str">
        <f>IFERROR(Table141516[[#This Row],[Non Processed]]/Table141516[[#This Row],[Orders]],"")</f>
        <v/>
      </c>
    </row>
    <row r="188" spans="5:9" x14ac:dyDescent="0.25">
      <c r="E188" s="67">
        <f>SUMIF(Data!$B:$B,'FEB ORDERvsPRO'!C188,Data!$J:$J)</f>
        <v>0</v>
      </c>
      <c r="F188" s="67">
        <f>SUMIF(Data!$B:$B,'FEB ORDERvsPRO'!$C188,Data!$L:$L)</f>
        <v>0</v>
      </c>
      <c r="G188" s="67">
        <f>SUMIF(Data!$B:$B,'FEB ORDERvsPRO'!$C188,Data!$M:$M)</f>
        <v>0</v>
      </c>
      <c r="H188" s="67">
        <f>SUMIF('Returns Data'!$B:$B,'FEB ORDERvsPRO'!$C188,'Returns Data'!$J:$J)</f>
        <v>0</v>
      </c>
      <c r="I188" s="201" t="str">
        <f>IFERROR(Table141516[[#This Row],[Non Processed]]/Table141516[[#This Row],[Orders]],"")</f>
        <v/>
      </c>
    </row>
    <row r="189" spans="5:9" x14ac:dyDescent="0.25">
      <c r="E189" s="67">
        <f>SUMIF(Data!$B:$B,'FEB ORDERvsPRO'!C189,Data!$J:$J)</f>
        <v>0</v>
      </c>
      <c r="F189" s="67">
        <f>SUMIF(Data!$B:$B,'FEB ORDERvsPRO'!$C189,Data!$L:$L)</f>
        <v>0</v>
      </c>
      <c r="G189" s="67">
        <f>SUMIF(Data!$B:$B,'FEB ORDERvsPRO'!$C189,Data!$M:$M)</f>
        <v>0</v>
      </c>
      <c r="H189" s="67">
        <f>SUMIF('Returns Data'!$B:$B,'FEB ORDERvsPRO'!$C189,'Returns Data'!$J:$J)</f>
        <v>0</v>
      </c>
      <c r="I189" s="201" t="str">
        <f>IFERROR(Table141516[[#This Row],[Non Processed]]/Table141516[[#This Row],[Orders]],"")</f>
        <v/>
      </c>
    </row>
    <row r="190" spans="5:9" x14ac:dyDescent="0.25">
      <c r="E190" s="67">
        <f>SUMIF(Data!$B:$B,'FEB ORDERvsPRO'!C190,Data!$J:$J)</f>
        <v>0</v>
      </c>
      <c r="F190" s="67">
        <f>SUMIF(Data!$B:$B,'FEB ORDERvsPRO'!$C190,Data!$L:$L)</f>
        <v>0</v>
      </c>
      <c r="G190" s="67">
        <f>SUMIF(Data!$B:$B,'FEB ORDERvsPRO'!$C190,Data!$M:$M)</f>
        <v>0</v>
      </c>
      <c r="H190" s="67">
        <f>SUMIF('Returns Data'!$B:$B,'FEB ORDERvsPRO'!$C190,'Returns Data'!$J:$J)</f>
        <v>0</v>
      </c>
      <c r="I190" s="201" t="str">
        <f>IFERROR(Table141516[[#This Row],[Non Processed]]/Table141516[[#This Row],[Orders]],"")</f>
        <v/>
      </c>
    </row>
    <row r="191" spans="5:9" x14ac:dyDescent="0.25">
      <c r="E191" s="67">
        <f>SUMIF(Data!$B:$B,'FEB ORDERvsPRO'!C191,Data!$J:$J)</f>
        <v>0</v>
      </c>
      <c r="F191" s="67">
        <f>SUMIF(Data!$B:$B,'FEB ORDERvsPRO'!$C191,Data!$L:$L)</f>
        <v>0</v>
      </c>
      <c r="G191" s="67">
        <f>SUMIF(Data!$B:$B,'FEB ORDERvsPRO'!$C191,Data!$M:$M)</f>
        <v>0</v>
      </c>
      <c r="H191" s="67">
        <f>SUMIF('Returns Data'!$B:$B,'FEB ORDERvsPRO'!$C191,'Returns Data'!$J:$J)</f>
        <v>0</v>
      </c>
      <c r="I191" s="201" t="str">
        <f>IFERROR(Table141516[[#This Row],[Non Processed]]/Table141516[[#This Row],[Orders]],"")</f>
        <v/>
      </c>
    </row>
    <row r="192" spans="5:9" x14ac:dyDescent="0.25">
      <c r="E192" s="67">
        <f>SUMIF(Data!$B:$B,'FEB ORDERvsPRO'!C192,Data!$J:$J)</f>
        <v>0</v>
      </c>
      <c r="F192" s="67">
        <f>SUMIF(Data!$B:$B,'FEB ORDERvsPRO'!$C192,Data!$L:$L)</f>
        <v>0</v>
      </c>
      <c r="G192" s="67">
        <f>SUMIF(Data!$B:$B,'FEB ORDERvsPRO'!$C192,Data!$M:$M)</f>
        <v>0</v>
      </c>
      <c r="H192" s="67">
        <f>SUMIF('Returns Data'!$B:$B,'FEB ORDERvsPRO'!$C192,'Returns Data'!$J:$J)</f>
        <v>0</v>
      </c>
      <c r="I192" s="201" t="str">
        <f>IFERROR(Table141516[[#This Row],[Non Processed]]/Table141516[[#This Row],[Orders]],"")</f>
        <v/>
      </c>
    </row>
    <row r="193" spans="5:9" x14ac:dyDescent="0.25">
      <c r="E193" s="67">
        <f>SUMIF(Data!$B:$B,'FEB ORDERvsPRO'!C193,Data!$J:$J)</f>
        <v>0</v>
      </c>
      <c r="F193" s="67">
        <f>SUMIF(Data!$B:$B,'FEB ORDERvsPRO'!$C193,Data!$L:$L)</f>
        <v>0</v>
      </c>
      <c r="G193" s="67">
        <f>SUMIF(Data!$B:$B,'FEB ORDERvsPRO'!$C193,Data!$M:$M)</f>
        <v>0</v>
      </c>
      <c r="H193" s="67">
        <f>SUMIF('Returns Data'!$B:$B,'FEB ORDERvsPRO'!$C193,'Returns Data'!$J:$J)</f>
        <v>0</v>
      </c>
      <c r="I193" s="201" t="str">
        <f>IFERROR(Table141516[[#This Row],[Non Processed]]/Table141516[[#This Row],[Orders]],"")</f>
        <v/>
      </c>
    </row>
    <row r="194" spans="5:9" x14ac:dyDescent="0.25">
      <c r="E194" s="67">
        <f>SUMIF(Data!$B:$B,'FEB ORDERvsPRO'!C194,Data!$J:$J)</f>
        <v>0</v>
      </c>
      <c r="F194" s="67">
        <f>SUMIF(Data!$B:$B,'FEB ORDERvsPRO'!$C194,Data!$L:$L)</f>
        <v>0</v>
      </c>
      <c r="G194" s="67">
        <f>SUMIF(Data!$B:$B,'FEB ORDERvsPRO'!$C194,Data!$M:$M)</f>
        <v>0</v>
      </c>
      <c r="H194" s="67">
        <f>SUMIF('Returns Data'!$B:$B,'FEB ORDERvsPRO'!$C194,'Returns Data'!$J:$J)</f>
        <v>0</v>
      </c>
      <c r="I194" s="201" t="str">
        <f>IFERROR(Table141516[[#This Row],[Non Processed]]/Table141516[[#This Row],[Orders]],"")</f>
        <v/>
      </c>
    </row>
    <row r="195" spans="5:9" x14ac:dyDescent="0.25">
      <c r="E195" s="67">
        <f>SUMIF(Data!$B:$B,'FEB ORDERvsPRO'!C195,Data!$J:$J)</f>
        <v>0</v>
      </c>
      <c r="F195" s="67">
        <f>SUMIF(Data!$B:$B,'FEB ORDERvsPRO'!$C195,Data!$L:$L)</f>
        <v>0</v>
      </c>
      <c r="G195" s="67">
        <f>SUMIF(Data!$B:$B,'FEB ORDERvsPRO'!$C195,Data!$M:$M)</f>
        <v>0</v>
      </c>
      <c r="H195" s="67">
        <f>SUMIF('Returns Data'!$B:$B,'FEB ORDERvsPRO'!$C195,'Returns Data'!$J:$J)</f>
        <v>0</v>
      </c>
      <c r="I195" s="201" t="str">
        <f>IFERROR(Table141516[[#This Row],[Non Processed]]/Table141516[[#This Row],[Orders]],"")</f>
        <v/>
      </c>
    </row>
    <row r="196" spans="5:9" x14ac:dyDescent="0.25">
      <c r="E196" s="67">
        <f>SUMIF(Data!$B:$B,'FEB ORDERvsPRO'!C196,Data!$J:$J)</f>
        <v>0</v>
      </c>
      <c r="F196" s="67">
        <f>SUMIF(Data!$B:$B,'FEB ORDERvsPRO'!$C196,Data!$L:$L)</f>
        <v>0</v>
      </c>
      <c r="G196" s="67">
        <f>SUMIF(Data!$B:$B,'FEB ORDERvsPRO'!$C196,Data!$M:$M)</f>
        <v>0</v>
      </c>
      <c r="H196" s="67">
        <f>SUMIF('Returns Data'!$B:$B,'FEB ORDERvsPRO'!$C196,'Returns Data'!$J:$J)</f>
        <v>0</v>
      </c>
      <c r="I196" s="201" t="str">
        <f>IFERROR(Table141516[[#This Row],[Non Processed]]/Table141516[[#This Row],[Orders]],"")</f>
        <v/>
      </c>
    </row>
    <row r="197" spans="5:9" x14ac:dyDescent="0.25">
      <c r="E197" s="67">
        <f>SUMIF(Data!$B:$B,'FEB ORDERvsPRO'!C197,Data!$J:$J)</f>
        <v>0</v>
      </c>
      <c r="F197" s="67">
        <f>SUMIF(Data!$B:$B,'FEB ORDERvsPRO'!$C197,Data!$L:$L)</f>
        <v>0</v>
      </c>
      <c r="G197" s="67">
        <f>SUMIF(Data!$B:$B,'FEB ORDERvsPRO'!$C197,Data!$M:$M)</f>
        <v>0</v>
      </c>
      <c r="H197" s="67">
        <f>SUMIF('Returns Data'!$B:$B,'FEB ORDERvsPRO'!$C197,'Returns Data'!$J:$J)</f>
        <v>0</v>
      </c>
      <c r="I197" s="201" t="str">
        <f>IFERROR(Table141516[[#This Row],[Non Processed]]/Table141516[[#This Row],[Orders]],"")</f>
        <v/>
      </c>
    </row>
    <row r="198" spans="5:9" x14ac:dyDescent="0.25">
      <c r="E198" s="67">
        <f>SUMIF(Data!$B:$B,'FEB ORDERvsPRO'!C198,Data!$J:$J)</f>
        <v>0</v>
      </c>
      <c r="F198" s="67">
        <f>SUMIF(Data!$B:$B,'FEB ORDERvsPRO'!$C198,Data!$L:$L)</f>
        <v>0</v>
      </c>
      <c r="G198" s="67">
        <f>SUMIF(Data!$B:$B,'FEB ORDERvsPRO'!$C198,Data!$M:$M)</f>
        <v>0</v>
      </c>
      <c r="H198" s="67">
        <f>SUMIF('Returns Data'!$B:$B,'FEB ORDERvsPRO'!$C198,'Returns Data'!$J:$J)</f>
        <v>0</v>
      </c>
      <c r="I198" s="201" t="str">
        <f>IFERROR(Table141516[[#This Row],[Non Processed]]/Table141516[[#This Row],[Orders]],"")</f>
        <v/>
      </c>
    </row>
    <row r="199" spans="5:9" x14ac:dyDescent="0.25">
      <c r="E199" s="67">
        <f>SUMIF(Data!$B:$B,'FEB ORDERvsPRO'!C199,Data!$J:$J)</f>
        <v>0</v>
      </c>
      <c r="F199" s="67">
        <f>SUMIF(Data!$B:$B,'FEB ORDERvsPRO'!$C199,Data!$L:$L)</f>
        <v>0</v>
      </c>
      <c r="G199" s="67">
        <f>SUMIF(Data!$B:$B,'FEB ORDERvsPRO'!$C199,Data!$M:$M)</f>
        <v>0</v>
      </c>
      <c r="H199" s="67">
        <f>SUMIF('Returns Data'!$B:$B,'FEB ORDERvsPRO'!$C199,'Returns Data'!$J:$J)</f>
        <v>0</v>
      </c>
      <c r="I199" s="201" t="str">
        <f>IFERROR(Table141516[[#This Row],[Non Processed]]/Table141516[[#This Row],[Orders]],"")</f>
        <v/>
      </c>
    </row>
    <row r="200" spans="5:9" x14ac:dyDescent="0.25">
      <c r="E200" s="67">
        <f>SUMIF(Data!$B:$B,'FEB ORDERvsPRO'!C200,Data!$J:$J)</f>
        <v>0</v>
      </c>
      <c r="F200" s="67">
        <f>SUMIF(Data!$B:$B,'FEB ORDERvsPRO'!$C200,Data!$L:$L)</f>
        <v>0</v>
      </c>
      <c r="G200" s="67">
        <f>SUMIF(Data!$B:$B,'FEB ORDERvsPRO'!$C200,Data!$M:$M)</f>
        <v>0</v>
      </c>
      <c r="H200" s="67">
        <f>SUMIF('Returns Data'!$B:$B,'FEB ORDERvsPRO'!$C200,'Returns Data'!$J:$J)</f>
        <v>0</v>
      </c>
      <c r="I200" s="201" t="str">
        <f>IFERROR(Table141516[[#This Row],[Non Processed]]/Table141516[[#This Row],[Orders]],"")</f>
        <v/>
      </c>
    </row>
    <row r="201" spans="5:9" x14ac:dyDescent="0.25">
      <c r="E201" s="67">
        <f>SUMIF(Data!$B:$B,'FEB ORDERvsPRO'!C201,Data!$J:$J)</f>
        <v>0</v>
      </c>
      <c r="F201" s="67">
        <f>SUMIF(Data!$B:$B,'FEB ORDERvsPRO'!$C201,Data!$L:$L)</f>
        <v>0</v>
      </c>
      <c r="G201" s="67">
        <f>SUMIF(Data!$B:$B,'FEB ORDERvsPRO'!$C201,Data!$M:$M)</f>
        <v>0</v>
      </c>
      <c r="H201" s="67">
        <f>SUMIF('Returns Data'!$B:$B,'FEB ORDERvsPRO'!$C201,'Returns Data'!$J:$J)</f>
        <v>0</v>
      </c>
      <c r="I201" s="201" t="str">
        <f>IFERROR(Table141516[[#This Row],[Non Processed]]/Table141516[[#This Row],[Orders]],"")</f>
        <v/>
      </c>
    </row>
    <row r="202" spans="5:9" x14ac:dyDescent="0.25">
      <c r="E202" s="67">
        <f>SUMIF(Data!$B:$B,'FEB ORDERvsPRO'!C202,Data!$J:$J)</f>
        <v>0</v>
      </c>
      <c r="F202" s="67">
        <f>SUMIF(Data!$B:$B,'FEB ORDERvsPRO'!$C202,Data!$L:$L)</f>
        <v>0</v>
      </c>
      <c r="G202" s="67">
        <f>SUMIF(Data!$B:$B,'FEB ORDERvsPRO'!$C202,Data!$M:$M)</f>
        <v>0</v>
      </c>
      <c r="H202" s="67">
        <f>SUMIF('Returns Data'!$B:$B,'FEB ORDERvsPRO'!$C202,'Returns Data'!$J:$J)</f>
        <v>0</v>
      </c>
      <c r="I202" s="201" t="str">
        <f>IFERROR(Table141516[[#This Row],[Non Processed]]/Table141516[[#This Row],[Orders]],"")</f>
        <v/>
      </c>
    </row>
    <row r="203" spans="5:9" x14ac:dyDescent="0.25">
      <c r="E203" s="67">
        <f>SUMIF(Data!$B:$B,'FEB ORDERvsPRO'!C203,Data!$J:$J)</f>
        <v>0</v>
      </c>
      <c r="F203" s="67">
        <f>SUMIF(Data!$B:$B,'FEB ORDERvsPRO'!$C203,Data!$L:$L)</f>
        <v>0</v>
      </c>
      <c r="G203" s="67">
        <f>SUMIF(Data!$B:$B,'FEB ORDERvsPRO'!$C203,Data!$M:$M)</f>
        <v>0</v>
      </c>
      <c r="H203" s="67">
        <f>SUMIF('Returns Data'!$B:$B,'FEB ORDERvsPRO'!$C203,'Returns Data'!$J:$J)</f>
        <v>0</v>
      </c>
      <c r="I203" s="201" t="str">
        <f>IFERROR(Table141516[[#This Row],[Non Processed]]/Table141516[[#This Row],[Orders]],"")</f>
        <v/>
      </c>
    </row>
    <row r="204" spans="5:9" x14ac:dyDescent="0.25">
      <c r="E204" s="67">
        <f>SUMIF(Data!$B:$B,'FEB ORDERvsPRO'!C204,Data!$J:$J)</f>
        <v>0</v>
      </c>
      <c r="F204" s="67">
        <f>SUMIF(Data!$B:$B,'FEB ORDERvsPRO'!$C204,Data!$L:$L)</f>
        <v>0</v>
      </c>
      <c r="G204" s="67">
        <f>SUMIF(Data!$B:$B,'FEB ORDERvsPRO'!$C204,Data!$M:$M)</f>
        <v>0</v>
      </c>
      <c r="H204" s="67">
        <f>SUMIF('Returns Data'!$B:$B,'FEB ORDERvsPRO'!$C204,'Returns Data'!$J:$J)</f>
        <v>0</v>
      </c>
      <c r="I204" s="201" t="str">
        <f>IFERROR(Table141516[[#This Row],[Non Processed]]/Table141516[[#This Row],[Orders]],"")</f>
        <v/>
      </c>
    </row>
    <row r="205" spans="5:9" x14ac:dyDescent="0.25">
      <c r="E205" s="67">
        <f>SUMIF(Data!$B:$B,'FEB ORDERvsPRO'!C205,Data!$J:$J)</f>
        <v>0</v>
      </c>
      <c r="F205" s="67">
        <f>SUMIF(Data!$B:$B,'FEB ORDERvsPRO'!$C205,Data!$L:$L)</f>
        <v>0</v>
      </c>
      <c r="G205" s="67">
        <f>SUMIF(Data!$B:$B,'FEB ORDERvsPRO'!$C205,Data!$M:$M)</f>
        <v>0</v>
      </c>
      <c r="H205" s="67">
        <f>SUMIF('Returns Data'!$B:$B,'FEB ORDERvsPRO'!$C205,'Returns Data'!$J:$J)</f>
        <v>0</v>
      </c>
      <c r="I205" s="201" t="str">
        <f>IFERROR(Table141516[[#This Row],[Non Processed]]/Table141516[[#This Row],[Orders]],"")</f>
        <v/>
      </c>
    </row>
    <row r="206" spans="5:9" x14ac:dyDescent="0.25">
      <c r="E206" s="67">
        <f>SUMIF(Data!$B:$B,'FEB ORDERvsPRO'!C206,Data!$J:$J)</f>
        <v>0</v>
      </c>
      <c r="F206" s="67">
        <f>SUMIF(Data!$B:$B,'FEB ORDERvsPRO'!$C206,Data!$L:$L)</f>
        <v>0</v>
      </c>
      <c r="G206" s="67">
        <f>SUMIF(Data!$B:$B,'FEB ORDERvsPRO'!$C206,Data!$M:$M)</f>
        <v>0</v>
      </c>
      <c r="H206" s="67">
        <f>SUMIF('Returns Data'!$B:$B,'FEB ORDERvsPRO'!$C206,'Returns Data'!$J:$J)</f>
        <v>0</v>
      </c>
      <c r="I206" s="201" t="str">
        <f>IFERROR(Table141516[[#This Row],[Non Processed]]/Table141516[[#This Row],[Orders]],"")</f>
        <v/>
      </c>
    </row>
    <row r="207" spans="5:9" x14ac:dyDescent="0.25">
      <c r="E207" s="67">
        <f>SUMIF(Data!$B:$B,'FEB ORDERvsPRO'!C207,Data!$J:$J)</f>
        <v>0</v>
      </c>
      <c r="F207" s="67">
        <f>SUMIF(Data!$B:$B,'FEB ORDERvsPRO'!$C207,Data!$L:$L)</f>
        <v>0</v>
      </c>
      <c r="G207" s="67">
        <f>SUMIF(Data!$B:$B,'FEB ORDERvsPRO'!$C207,Data!$M:$M)</f>
        <v>0</v>
      </c>
      <c r="H207" s="67">
        <f>SUMIF('Returns Data'!$B:$B,'FEB ORDERvsPRO'!$C207,'Returns Data'!$J:$J)</f>
        <v>0</v>
      </c>
      <c r="I207" s="201" t="str">
        <f>IFERROR(Table141516[[#This Row],[Non Processed]]/Table141516[[#This Row],[Orders]],"")</f>
        <v/>
      </c>
    </row>
    <row r="208" spans="5:9" x14ac:dyDescent="0.25">
      <c r="E208" s="67">
        <f>SUMIF(Data!$B:$B,'FEB ORDERvsPRO'!C208,Data!$J:$J)</f>
        <v>0</v>
      </c>
      <c r="F208" s="67">
        <f>SUMIF(Data!$B:$B,'FEB ORDERvsPRO'!$C208,Data!$L:$L)</f>
        <v>0</v>
      </c>
      <c r="G208" s="67">
        <f>SUMIF(Data!$B:$B,'FEB ORDERvsPRO'!$C208,Data!$M:$M)</f>
        <v>0</v>
      </c>
      <c r="H208" s="67">
        <f>SUMIF('Returns Data'!$B:$B,'FEB ORDERvsPRO'!$C208,'Returns Data'!$J:$J)</f>
        <v>0</v>
      </c>
      <c r="I208" s="201" t="str">
        <f>IFERROR(Table141516[[#This Row],[Non Processed]]/Table141516[[#This Row],[Orders]],"")</f>
        <v/>
      </c>
    </row>
    <row r="209" spans="5:9" x14ac:dyDescent="0.25">
      <c r="E209" s="67">
        <f>SUMIF(Data!$B:$B,'FEB ORDERvsPRO'!C209,Data!$J:$J)</f>
        <v>0</v>
      </c>
      <c r="F209" s="67">
        <f>SUMIF(Data!$B:$B,'FEB ORDERvsPRO'!$C209,Data!$L:$L)</f>
        <v>0</v>
      </c>
      <c r="G209" s="67">
        <f>SUMIF(Data!$B:$B,'FEB ORDERvsPRO'!$C209,Data!$M:$M)</f>
        <v>0</v>
      </c>
      <c r="H209" s="67">
        <f>SUMIF('Returns Data'!$B:$B,'FEB ORDERvsPRO'!$C209,'Returns Data'!$J:$J)</f>
        <v>0</v>
      </c>
      <c r="I209" s="201" t="str">
        <f>IFERROR(Table141516[[#This Row],[Non Processed]]/Table141516[[#This Row],[Orders]],"")</f>
        <v/>
      </c>
    </row>
    <row r="210" spans="5:9" x14ac:dyDescent="0.25">
      <c r="E210" s="67">
        <f>SUMIF(Data!$B:$B,'FEB ORDERvsPRO'!C210,Data!$J:$J)</f>
        <v>0</v>
      </c>
      <c r="F210" s="67">
        <f>SUMIF(Data!$B:$B,'FEB ORDERvsPRO'!$C210,Data!$L:$L)</f>
        <v>0</v>
      </c>
      <c r="G210" s="67">
        <f>SUMIF(Data!$B:$B,'FEB ORDERvsPRO'!$C210,Data!$M:$M)</f>
        <v>0</v>
      </c>
      <c r="H210" s="67">
        <f>SUMIF('Returns Data'!$B:$B,'FEB ORDERvsPRO'!$C210,'Returns Data'!$J:$J)</f>
        <v>0</v>
      </c>
      <c r="I210" s="201" t="str">
        <f>IFERROR(Table141516[[#This Row],[Non Processed]]/Table141516[[#This Row],[Orders]],"")</f>
        <v/>
      </c>
    </row>
    <row r="211" spans="5:9" x14ac:dyDescent="0.25">
      <c r="E211" s="67">
        <f>SUMIF(Data!$B:$B,'FEB ORDERvsPRO'!C211,Data!$J:$J)</f>
        <v>0</v>
      </c>
      <c r="F211" s="67">
        <f>SUMIF(Data!$B:$B,'FEB ORDERvsPRO'!$C211,Data!$L:$L)</f>
        <v>0</v>
      </c>
      <c r="G211" s="67">
        <f>SUMIF(Data!$B:$B,'FEB ORDERvsPRO'!$C211,Data!$M:$M)</f>
        <v>0</v>
      </c>
      <c r="H211" s="67">
        <f>SUMIF('Returns Data'!$B:$B,'FEB ORDERvsPRO'!$C211,'Returns Data'!$J:$J)</f>
        <v>0</v>
      </c>
      <c r="I211" s="201" t="str">
        <f>IFERROR(Table141516[[#This Row],[Non Processed]]/Table141516[[#This Row],[Orders]],"")</f>
        <v/>
      </c>
    </row>
    <row r="212" spans="5:9" x14ac:dyDescent="0.25">
      <c r="E212" s="67">
        <f>SUMIF(Data!$B:$B,'FEB ORDERvsPRO'!C212,Data!$J:$J)</f>
        <v>0</v>
      </c>
      <c r="F212" s="67">
        <f>SUMIF(Data!$B:$B,'FEB ORDERvsPRO'!$C212,Data!$L:$L)</f>
        <v>0</v>
      </c>
      <c r="G212" s="67">
        <f>SUMIF(Data!$B:$B,'FEB ORDERvsPRO'!$C212,Data!$M:$M)</f>
        <v>0</v>
      </c>
      <c r="H212" s="67">
        <f>SUMIF('Returns Data'!$B:$B,'FEB ORDERvsPRO'!$C212,'Returns Data'!$J:$J)</f>
        <v>0</v>
      </c>
      <c r="I212" s="201" t="str">
        <f>IFERROR(Table141516[[#This Row],[Non Processed]]/Table141516[[#This Row],[Orders]],"")</f>
        <v/>
      </c>
    </row>
    <row r="213" spans="5:9" x14ac:dyDescent="0.25">
      <c r="E213" s="67">
        <f>SUMIF(Data!$B:$B,'FEB ORDERvsPRO'!C213,Data!$J:$J)</f>
        <v>0</v>
      </c>
      <c r="F213" s="67">
        <f>SUMIF(Data!$B:$B,'FEB ORDERvsPRO'!$C213,Data!$L:$L)</f>
        <v>0</v>
      </c>
      <c r="G213" s="67">
        <f>SUMIF(Data!$B:$B,'FEB ORDERvsPRO'!$C213,Data!$M:$M)</f>
        <v>0</v>
      </c>
      <c r="H213" s="67">
        <f>SUMIF('Returns Data'!$B:$B,'FEB ORDERvsPRO'!$C213,'Returns Data'!$J:$J)</f>
        <v>0</v>
      </c>
      <c r="I213" s="201" t="str">
        <f>IFERROR(Table141516[[#This Row],[Non Processed]]/Table141516[[#This Row],[Orders]],"")</f>
        <v/>
      </c>
    </row>
    <row r="214" spans="5:9" x14ac:dyDescent="0.25">
      <c r="E214" s="67">
        <f>SUMIF(Data!$B:$B,'FEB ORDERvsPRO'!C214,Data!$J:$J)</f>
        <v>0</v>
      </c>
      <c r="F214" s="67">
        <f>SUMIF(Data!$B:$B,'FEB ORDERvsPRO'!$C214,Data!$L:$L)</f>
        <v>0</v>
      </c>
      <c r="G214" s="67">
        <f>SUMIF(Data!$B:$B,'FEB ORDERvsPRO'!$C214,Data!$M:$M)</f>
        <v>0</v>
      </c>
      <c r="H214" s="67">
        <f>SUMIF('Returns Data'!$B:$B,'FEB ORDERvsPRO'!$C214,'Returns Data'!$J:$J)</f>
        <v>0</v>
      </c>
      <c r="I214" s="201" t="str">
        <f>IFERROR(Table141516[[#This Row],[Non Processed]]/Table141516[[#This Row],[Orders]],"")</f>
        <v/>
      </c>
    </row>
    <row r="215" spans="5:9" x14ac:dyDescent="0.25">
      <c r="E215" s="67">
        <f>SUMIF(Data!$B:$B,'FEB ORDERvsPRO'!C215,Data!$J:$J)</f>
        <v>0</v>
      </c>
      <c r="F215" s="67">
        <f>SUMIF(Data!$B:$B,'FEB ORDERvsPRO'!$C215,Data!$L:$L)</f>
        <v>0</v>
      </c>
      <c r="G215" s="67">
        <f>SUMIF(Data!$B:$B,'FEB ORDERvsPRO'!$C215,Data!$M:$M)</f>
        <v>0</v>
      </c>
      <c r="H215" s="67">
        <f>SUMIF('Returns Data'!$B:$B,'FEB ORDERvsPRO'!$C215,'Returns Data'!$J:$J)</f>
        <v>0</v>
      </c>
      <c r="I215" s="201" t="str">
        <f>IFERROR(Table141516[[#This Row],[Non Processed]]/Table141516[[#This Row],[Orders]],"")</f>
        <v/>
      </c>
    </row>
    <row r="216" spans="5:9" x14ac:dyDescent="0.25">
      <c r="E216" s="67">
        <f>SUMIF(Data!$B:$B,'FEB ORDERvsPRO'!C216,Data!$J:$J)</f>
        <v>0</v>
      </c>
      <c r="F216" s="67">
        <f>SUMIF(Data!$B:$B,'FEB ORDERvsPRO'!$C216,Data!$L:$L)</f>
        <v>0</v>
      </c>
      <c r="G216" s="67">
        <f>SUMIF(Data!$B:$B,'FEB ORDERvsPRO'!$C216,Data!$M:$M)</f>
        <v>0</v>
      </c>
      <c r="H216" s="67">
        <f>SUMIF('Returns Data'!$B:$B,'FEB ORDERvsPRO'!$C216,'Returns Data'!$J:$J)</f>
        <v>0</v>
      </c>
      <c r="I216" s="201" t="str">
        <f>IFERROR(Table141516[[#This Row],[Non Processed]]/Table141516[[#This Row],[Orders]],"")</f>
        <v/>
      </c>
    </row>
    <row r="217" spans="5:9" x14ac:dyDescent="0.25">
      <c r="E217" s="67">
        <f>SUMIF(Data!$B:$B,'FEB ORDERvsPRO'!C217,Data!$J:$J)</f>
        <v>0</v>
      </c>
      <c r="F217" s="67">
        <f>SUMIF(Data!$B:$B,'FEB ORDERvsPRO'!$C217,Data!$L:$L)</f>
        <v>0</v>
      </c>
      <c r="G217" s="67">
        <f>SUMIF(Data!$B:$B,'FEB ORDERvsPRO'!$C217,Data!$M:$M)</f>
        <v>0</v>
      </c>
      <c r="H217" s="67">
        <f>SUMIF('Returns Data'!$B:$B,'FEB ORDERvsPRO'!$C217,'Returns Data'!$J:$J)</f>
        <v>0</v>
      </c>
      <c r="I217" s="201" t="str">
        <f>IFERROR(Table141516[[#This Row],[Non Processed]]/Table141516[[#This Row],[Orders]],"")</f>
        <v/>
      </c>
    </row>
    <row r="218" spans="5:9" x14ac:dyDescent="0.25">
      <c r="E218" s="67">
        <f>SUMIF(Data!$B:$B,'FEB ORDERvsPRO'!C218,Data!$J:$J)</f>
        <v>0</v>
      </c>
      <c r="F218" s="67">
        <f>SUMIF(Data!$B:$B,'FEB ORDERvsPRO'!$C218,Data!$L:$L)</f>
        <v>0</v>
      </c>
      <c r="G218" s="67">
        <f>SUMIF(Data!$B:$B,'FEB ORDERvsPRO'!$C218,Data!$M:$M)</f>
        <v>0</v>
      </c>
      <c r="H218" s="67">
        <f>SUMIF('Returns Data'!$B:$B,'FEB ORDERvsPRO'!$C218,'Returns Data'!$J:$J)</f>
        <v>0</v>
      </c>
      <c r="I218" s="201" t="str">
        <f>IFERROR(Table141516[[#This Row],[Non Processed]]/Table141516[[#This Row],[Orders]],"")</f>
        <v/>
      </c>
    </row>
    <row r="219" spans="5:9" x14ac:dyDescent="0.25">
      <c r="E219" s="67">
        <f>SUMIF(Data!$B:$B,'FEB ORDERvsPRO'!C219,Data!$J:$J)</f>
        <v>0</v>
      </c>
      <c r="F219" s="67">
        <f>SUMIF(Data!$B:$B,'FEB ORDERvsPRO'!$C219,Data!$L:$L)</f>
        <v>0</v>
      </c>
      <c r="G219" s="67">
        <f>SUMIF(Data!$B:$B,'FEB ORDERvsPRO'!$C219,Data!$M:$M)</f>
        <v>0</v>
      </c>
      <c r="H219" s="67">
        <f>SUMIF('Returns Data'!$B:$B,'FEB ORDERvsPRO'!$C219,'Returns Data'!$J:$J)</f>
        <v>0</v>
      </c>
      <c r="I219" s="201" t="str">
        <f>IFERROR(Table141516[[#This Row],[Non Processed]]/Table141516[[#This Row],[Orders]],"")</f>
        <v/>
      </c>
    </row>
    <row r="220" spans="5:9" x14ac:dyDescent="0.25">
      <c r="E220" s="67">
        <f>SUMIF(Data!$B:$B,'FEB ORDERvsPRO'!C220,Data!$J:$J)</f>
        <v>0</v>
      </c>
      <c r="F220" s="67">
        <f>SUMIF(Data!$B:$B,'FEB ORDERvsPRO'!$C220,Data!$L:$L)</f>
        <v>0</v>
      </c>
      <c r="G220" s="67">
        <f>SUMIF(Data!$B:$B,'FEB ORDERvsPRO'!$C220,Data!$M:$M)</f>
        <v>0</v>
      </c>
      <c r="H220" s="67">
        <f>SUMIF('Returns Data'!$B:$B,'FEB ORDERvsPRO'!$C220,'Returns Data'!$J:$J)</f>
        <v>0</v>
      </c>
      <c r="I220" s="201" t="str">
        <f>IFERROR(Table141516[[#This Row],[Non Processed]]/Table141516[[#This Row],[Orders]],"")</f>
        <v/>
      </c>
    </row>
    <row r="221" spans="5:9" x14ac:dyDescent="0.25">
      <c r="E221" s="67">
        <f>SUMIF(Data!$B:$B,'FEB ORDERvsPRO'!C221,Data!$J:$J)</f>
        <v>0</v>
      </c>
      <c r="F221" s="67">
        <f>SUMIF(Data!$B:$B,'FEB ORDERvsPRO'!$C221,Data!$L:$L)</f>
        <v>0</v>
      </c>
      <c r="G221" s="67">
        <f>SUMIF(Data!$B:$B,'FEB ORDERvsPRO'!$C221,Data!$M:$M)</f>
        <v>0</v>
      </c>
      <c r="H221" s="67">
        <f>SUMIF('Returns Data'!$B:$B,'FEB ORDERvsPRO'!$C221,'Returns Data'!$J:$J)</f>
        <v>0</v>
      </c>
      <c r="I221" s="201" t="str">
        <f>IFERROR(Table141516[[#This Row],[Non Processed]]/Table141516[[#This Row],[Orders]],"")</f>
        <v/>
      </c>
    </row>
    <row r="222" spans="5:9" x14ac:dyDescent="0.25">
      <c r="E222" s="67">
        <f>SUMIF(Data!$B:$B,'FEB ORDERvsPRO'!C222,Data!$J:$J)</f>
        <v>0</v>
      </c>
      <c r="F222" s="67">
        <f>SUMIF(Data!$B:$B,'FEB ORDERvsPRO'!$C222,Data!$L:$L)</f>
        <v>0</v>
      </c>
      <c r="G222" s="67">
        <f>SUMIF(Data!$B:$B,'FEB ORDERvsPRO'!$C222,Data!$M:$M)</f>
        <v>0</v>
      </c>
      <c r="H222" s="67">
        <f>SUMIF('Returns Data'!$B:$B,'FEB ORDERvsPRO'!$C222,'Returns Data'!$J:$J)</f>
        <v>0</v>
      </c>
      <c r="I222" s="201" t="str">
        <f>IFERROR(Table141516[[#This Row],[Non Processed]]/Table141516[[#This Row],[Orders]],"")</f>
        <v/>
      </c>
    </row>
    <row r="223" spans="5:9" x14ac:dyDescent="0.25">
      <c r="E223" s="67">
        <f>SUMIF(Data!$B:$B,'FEB ORDERvsPRO'!C223,Data!$J:$J)</f>
        <v>0</v>
      </c>
      <c r="F223" s="67">
        <f>SUMIF(Data!$B:$B,'FEB ORDERvsPRO'!$C223,Data!$L:$L)</f>
        <v>0</v>
      </c>
      <c r="G223" s="67">
        <f>SUMIF(Data!$B:$B,'FEB ORDERvsPRO'!$C223,Data!$M:$M)</f>
        <v>0</v>
      </c>
      <c r="H223" s="67">
        <f>SUMIF('Returns Data'!$B:$B,'FEB ORDERvsPRO'!$C223,'Returns Data'!$J:$J)</f>
        <v>0</v>
      </c>
      <c r="I223" s="201" t="str">
        <f>IFERROR(Table141516[[#This Row],[Non Processed]]/Table141516[[#This Row],[Orders]],"")</f>
        <v/>
      </c>
    </row>
    <row r="224" spans="5:9" x14ac:dyDescent="0.25">
      <c r="E224" s="67">
        <f>SUMIF(Data!$B:$B,'FEB ORDERvsPRO'!C224,Data!$J:$J)</f>
        <v>0</v>
      </c>
      <c r="F224" s="67">
        <f>SUMIF(Data!$B:$B,'FEB ORDERvsPRO'!$C224,Data!$L:$L)</f>
        <v>0</v>
      </c>
      <c r="G224" s="67">
        <f>SUMIF(Data!$B:$B,'FEB ORDERvsPRO'!$C224,Data!$M:$M)</f>
        <v>0</v>
      </c>
      <c r="H224" s="67">
        <f>SUMIF('Returns Data'!$B:$B,'FEB ORDERvsPRO'!$C224,'Returns Data'!$J:$J)</f>
        <v>0</v>
      </c>
      <c r="I224" s="201" t="str">
        <f>IFERROR(Table141516[[#This Row],[Non Processed]]/Table141516[[#This Row],[Orders]],"")</f>
        <v/>
      </c>
    </row>
    <row r="225" spans="5:9" x14ac:dyDescent="0.25">
      <c r="E225" s="67">
        <f>SUMIF(Data!$B:$B,'FEB ORDERvsPRO'!C225,Data!$J:$J)</f>
        <v>0</v>
      </c>
      <c r="F225" s="67">
        <f>SUMIF(Data!$B:$B,'FEB ORDERvsPRO'!$C225,Data!$L:$L)</f>
        <v>0</v>
      </c>
      <c r="G225" s="67">
        <f>SUMIF(Data!$B:$B,'FEB ORDERvsPRO'!$C225,Data!$M:$M)</f>
        <v>0</v>
      </c>
      <c r="H225" s="67">
        <f>SUMIF('Returns Data'!$B:$B,'FEB ORDERvsPRO'!$C225,'Returns Data'!$J:$J)</f>
        <v>0</v>
      </c>
      <c r="I225" s="201" t="str">
        <f>IFERROR(Table141516[[#This Row],[Non Processed]]/Table141516[[#This Row],[Orders]],"")</f>
        <v/>
      </c>
    </row>
    <row r="226" spans="5:9" x14ac:dyDescent="0.25">
      <c r="E226" s="67">
        <f>SUMIF(Data!$B:$B,'FEB ORDERvsPRO'!C226,Data!$J:$J)</f>
        <v>0</v>
      </c>
      <c r="F226" s="67">
        <f>SUMIF(Data!$B:$B,'FEB ORDERvsPRO'!$C226,Data!$L:$L)</f>
        <v>0</v>
      </c>
      <c r="G226" s="67">
        <f>SUMIF(Data!$B:$B,'FEB ORDERvsPRO'!$C226,Data!$M:$M)</f>
        <v>0</v>
      </c>
      <c r="H226" s="67">
        <f>SUMIF('Returns Data'!$B:$B,'FEB ORDERvsPRO'!$C226,'Returns Data'!$J:$J)</f>
        <v>0</v>
      </c>
      <c r="I226" s="201" t="str">
        <f>IFERROR(Table141516[[#This Row],[Non Processed]]/Table141516[[#This Row],[Orders]],"")</f>
        <v/>
      </c>
    </row>
    <row r="227" spans="5:9" x14ac:dyDescent="0.25">
      <c r="E227" s="67">
        <f>SUMIF(Data!$B:$B,'FEB ORDERvsPRO'!C227,Data!$J:$J)</f>
        <v>0</v>
      </c>
      <c r="F227" s="67">
        <f>SUMIF(Data!$B:$B,'FEB ORDERvsPRO'!$C227,Data!$L:$L)</f>
        <v>0</v>
      </c>
      <c r="G227" s="67">
        <f>SUMIF(Data!$B:$B,'FEB ORDERvsPRO'!$C227,Data!$M:$M)</f>
        <v>0</v>
      </c>
      <c r="H227" s="67">
        <f>SUMIF('Returns Data'!$B:$B,'FEB ORDERvsPRO'!$C227,'Returns Data'!$J:$J)</f>
        <v>0</v>
      </c>
      <c r="I227" s="201" t="str">
        <f>IFERROR(Table141516[[#This Row],[Non Processed]]/Table141516[[#This Row],[Orders]],"")</f>
        <v/>
      </c>
    </row>
    <row r="228" spans="5:9" x14ac:dyDescent="0.25">
      <c r="E228" s="67">
        <f>SUMIF(Data!$B:$B,'FEB ORDERvsPRO'!C228,Data!$J:$J)</f>
        <v>0</v>
      </c>
      <c r="F228" s="67">
        <f>SUMIF(Data!$B:$B,'FEB ORDERvsPRO'!$C228,Data!$L:$L)</f>
        <v>0</v>
      </c>
      <c r="G228" s="67">
        <f>SUMIF(Data!$B:$B,'FEB ORDERvsPRO'!$C228,Data!$M:$M)</f>
        <v>0</v>
      </c>
      <c r="H228" s="67">
        <f>SUMIF('Returns Data'!$B:$B,'FEB ORDERvsPRO'!$C228,'Returns Data'!$J:$J)</f>
        <v>0</v>
      </c>
      <c r="I228" s="201" t="str">
        <f>IFERROR(Table141516[[#This Row],[Non Processed]]/Table141516[[#This Row],[Orders]],"")</f>
        <v/>
      </c>
    </row>
    <row r="229" spans="5:9" x14ac:dyDescent="0.25">
      <c r="E229" s="67">
        <f>SUMIF(Data!$B:$B,'FEB ORDERvsPRO'!C229,Data!$J:$J)</f>
        <v>0</v>
      </c>
      <c r="F229" s="67">
        <f>SUMIF(Data!$B:$B,'FEB ORDERvsPRO'!$C229,Data!$L:$L)</f>
        <v>0</v>
      </c>
      <c r="G229" s="67">
        <f>SUMIF(Data!$B:$B,'FEB ORDERvsPRO'!$C229,Data!$M:$M)</f>
        <v>0</v>
      </c>
      <c r="H229" s="67">
        <f>SUMIF('Returns Data'!$B:$B,'FEB ORDERvsPRO'!$C229,'Returns Data'!$J:$J)</f>
        <v>0</v>
      </c>
      <c r="I229" s="201" t="str">
        <f>IFERROR(Table141516[[#This Row],[Non Processed]]/Table141516[[#This Row],[Orders]],"")</f>
        <v/>
      </c>
    </row>
    <row r="230" spans="5:9" x14ac:dyDescent="0.25">
      <c r="E230" s="67">
        <f>SUMIF(Data!$B:$B,'FEB ORDERvsPRO'!C230,Data!$J:$J)</f>
        <v>0</v>
      </c>
      <c r="F230" s="67">
        <f>SUMIF(Data!$B:$B,'FEB ORDERvsPRO'!$C230,Data!$L:$L)</f>
        <v>0</v>
      </c>
      <c r="G230" s="67">
        <f>SUMIF(Data!$B:$B,'FEB ORDERvsPRO'!$C230,Data!$M:$M)</f>
        <v>0</v>
      </c>
      <c r="H230" s="67">
        <f>SUMIF('Returns Data'!$B:$B,'FEB ORDERvsPRO'!$C230,'Returns Data'!$J:$J)</f>
        <v>0</v>
      </c>
      <c r="I230" s="201" t="str">
        <f>IFERROR(Table141516[[#This Row],[Non Processed]]/Table141516[[#This Row],[Orders]],"")</f>
        <v/>
      </c>
    </row>
    <row r="231" spans="5:9" x14ac:dyDescent="0.25">
      <c r="E231" s="67">
        <f>SUMIF(Data!$B:$B,'FEB ORDERvsPRO'!C231,Data!$J:$J)</f>
        <v>0</v>
      </c>
      <c r="F231" s="67">
        <f>SUMIF(Data!$B:$B,'FEB ORDERvsPRO'!$C231,Data!$L:$L)</f>
        <v>0</v>
      </c>
      <c r="G231" s="67">
        <f>SUMIF(Data!$B:$B,'FEB ORDERvsPRO'!$C231,Data!$M:$M)</f>
        <v>0</v>
      </c>
      <c r="H231" s="67">
        <f>SUMIF('Returns Data'!$B:$B,'FEB ORDERvsPRO'!$C231,'Returns Data'!$J:$J)</f>
        <v>0</v>
      </c>
      <c r="I231" s="201" t="str">
        <f>IFERROR(Table141516[[#This Row],[Non Processed]]/Table141516[[#This Row],[Orders]],"")</f>
        <v/>
      </c>
    </row>
    <row r="232" spans="5:9" x14ac:dyDescent="0.25">
      <c r="E232" s="67">
        <f>SUMIF(Data!$B:$B,'FEB ORDERvsPRO'!C232,Data!$J:$J)</f>
        <v>0</v>
      </c>
      <c r="F232" s="67">
        <f>SUMIF(Data!$B:$B,'FEB ORDERvsPRO'!$C232,Data!$L:$L)</f>
        <v>0</v>
      </c>
      <c r="G232" s="67">
        <f>SUMIF(Data!$B:$B,'FEB ORDERvsPRO'!$C232,Data!$M:$M)</f>
        <v>0</v>
      </c>
      <c r="H232" s="67">
        <f>SUMIF('Returns Data'!$B:$B,'FEB ORDERvsPRO'!$C232,'Returns Data'!$J:$J)</f>
        <v>0</v>
      </c>
      <c r="I232" s="201" t="str">
        <f>IFERROR(Table141516[[#This Row],[Non Processed]]/Table141516[[#This Row],[Orders]],"")</f>
        <v/>
      </c>
    </row>
    <row r="233" spans="5:9" x14ac:dyDescent="0.25">
      <c r="E233" s="67">
        <f>SUMIF(Data!$B:$B,'FEB ORDERvsPRO'!C233,Data!$J:$J)</f>
        <v>0</v>
      </c>
      <c r="F233" s="67">
        <f>SUMIF(Data!$B:$B,'FEB ORDERvsPRO'!$C233,Data!$L:$L)</f>
        <v>0</v>
      </c>
      <c r="G233" s="67">
        <f>SUMIF(Data!$B:$B,'FEB ORDERvsPRO'!$C233,Data!$M:$M)</f>
        <v>0</v>
      </c>
      <c r="H233" s="67">
        <f>SUMIF('Returns Data'!$B:$B,'FEB ORDERvsPRO'!$C233,'Returns Data'!$J:$J)</f>
        <v>0</v>
      </c>
      <c r="I233" s="201" t="str">
        <f>IFERROR(Table141516[[#This Row],[Non Processed]]/Table141516[[#This Row],[Orders]],"")</f>
        <v/>
      </c>
    </row>
    <row r="234" spans="5:9" x14ac:dyDescent="0.25">
      <c r="E234" s="67">
        <f>SUMIF(Data!$B:$B,'FEB ORDERvsPRO'!C234,Data!$J:$J)</f>
        <v>0</v>
      </c>
      <c r="F234" s="67">
        <f>SUMIF(Data!$B:$B,'FEB ORDERvsPRO'!$C234,Data!$L:$L)</f>
        <v>0</v>
      </c>
      <c r="G234" s="67">
        <f>SUMIF(Data!$B:$B,'FEB ORDERvsPRO'!$C234,Data!$M:$M)</f>
        <v>0</v>
      </c>
      <c r="H234" s="67">
        <f>SUMIF('Returns Data'!$B:$B,'FEB ORDERvsPRO'!$C234,'Returns Data'!$J:$J)</f>
        <v>0</v>
      </c>
      <c r="I234" s="201" t="str">
        <f>IFERROR(Table141516[[#This Row],[Non Processed]]/Table141516[[#This Row],[Orders]],"")</f>
        <v/>
      </c>
    </row>
    <row r="235" spans="5:9" x14ac:dyDescent="0.25">
      <c r="E235" s="67">
        <f>SUMIF(Data!$B:$B,'FEB ORDERvsPRO'!C235,Data!$J:$J)</f>
        <v>0</v>
      </c>
      <c r="F235" s="67">
        <f>SUMIF(Data!$B:$B,'FEB ORDERvsPRO'!$C235,Data!$L:$L)</f>
        <v>0</v>
      </c>
      <c r="G235" s="67">
        <f>SUMIF(Data!$B:$B,'FEB ORDERvsPRO'!$C235,Data!$M:$M)</f>
        <v>0</v>
      </c>
      <c r="H235" s="67">
        <f>SUMIF('Returns Data'!$B:$B,'FEB ORDERvsPRO'!$C235,'Returns Data'!$J:$J)</f>
        <v>0</v>
      </c>
      <c r="I235" s="201" t="str">
        <f>IFERROR(Table141516[[#This Row],[Non Processed]]/Table141516[[#This Row],[Orders]],"")</f>
        <v/>
      </c>
    </row>
    <row r="236" spans="5:9" x14ac:dyDescent="0.25">
      <c r="E236" s="67">
        <f>SUMIF(Data!$B:$B,'FEB ORDERvsPRO'!C236,Data!$J:$J)</f>
        <v>0</v>
      </c>
      <c r="F236" s="67">
        <f>SUMIF(Data!$B:$B,'FEB ORDERvsPRO'!$C236,Data!$L:$L)</f>
        <v>0</v>
      </c>
      <c r="G236" s="67">
        <f>SUMIF(Data!$B:$B,'FEB ORDERvsPRO'!$C236,Data!$M:$M)</f>
        <v>0</v>
      </c>
      <c r="H236" s="67">
        <f>SUMIF('Returns Data'!$B:$B,'FEB ORDERvsPRO'!$C236,'Returns Data'!$J:$J)</f>
        <v>0</v>
      </c>
      <c r="I236" s="201" t="str">
        <f>IFERROR(Table141516[[#This Row],[Non Processed]]/Table141516[[#This Row],[Orders]],"")</f>
        <v/>
      </c>
    </row>
    <row r="237" spans="5:9" x14ac:dyDescent="0.25">
      <c r="E237" s="67">
        <f>SUMIF(Data!$B:$B,'FEB ORDERvsPRO'!C237,Data!$J:$J)</f>
        <v>0</v>
      </c>
      <c r="F237" s="67">
        <f>SUMIF(Data!$B:$B,'FEB ORDERvsPRO'!$C237,Data!$L:$L)</f>
        <v>0</v>
      </c>
      <c r="G237" s="67">
        <f>SUMIF(Data!$B:$B,'FEB ORDERvsPRO'!$C237,Data!$M:$M)</f>
        <v>0</v>
      </c>
      <c r="H237" s="67">
        <f>SUMIF('Returns Data'!$B:$B,'FEB ORDERvsPRO'!$C237,'Returns Data'!$J:$J)</f>
        <v>0</v>
      </c>
      <c r="I237" s="201" t="str">
        <f>IFERROR(Table141516[[#This Row],[Non Processed]]/Table141516[[#This Row],[Orders]],"")</f>
        <v/>
      </c>
    </row>
    <row r="238" spans="5:9" x14ac:dyDescent="0.25">
      <c r="E238" s="67">
        <f>SUMIF(Data!$B:$B,'FEB ORDERvsPRO'!C238,Data!$J:$J)</f>
        <v>0</v>
      </c>
      <c r="F238" s="67">
        <f>SUMIF(Data!$B:$B,'FEB ORDERvsPRO'!$C238,Data!$L:$L)</f>
        <v>0</v>
      </c>
      <c r="G238" s="67">
        <f>SUMIF(Data!$B:$B,'FEB ORDERvsPRO'!$C238,Data!$M:$M)</f>
        <v>0</v>
      </c>
      <c r="H238" s="67">
        <f>SUMIF('Returns Data'!$B:$B,'FEB ORDERvsPRO'!$C238,'Returns Data'!$J:$J)</f>
        <v>0</v>
      </c>
      <c r="I238" s="201" t="str">
        <f>IFERROR(Table141516[[#This Row],[Non Processed]]/Table141516[[#This Row],[Orders]],"")</f>
        <v/>
      </c>
    </row>
    <row r="239" spans="5:9" x14ac:dyDescent="0.25">
      <c r="E239" s="67">
        <f>SUMIF(Data!$B:$B,'FEB ORDERvsPRO'!C239,Data!$J:$J)</f>
        <v>0</v>
      </c>
      <c r="F239" s="67">
        <f>SUMIF(Data!$B:$B,'FEB ORDERvsPRO'!$C239,Data!$L:$L)</f>
        <v>0</v>
      </c>
      <c r="G239" s="67">
        <f>SUMIF(Data!$B:$B,'FEB ORDERvsPRO'!$C239,Data!$M:$M)</f>
        <v>0</v>
      </c>
      <c r="H239" s="67">
        <f>SUMIF('Returns Data'!$B:$B,'FEB ORDERvsPRO'!$C239,'Returns Data'!$J:$J)</f>
        <v>0</v>
      </c>
      <c r="I239" s="201" t="str">
        <f>IFERROR(Table141516[[#This Row],[Non Processed]]/Table141516[[#This Row],[Orders]],"")</f>
        <v/>
      </c>
    </row>
    <row r="240" spans="5:9" x14ac:dyDescent="0.25">
      <c r="E240" s="67">
        <f>SUMIF(Data!$B:$B,'FEB ORDERvsPRO'!C240,Data!$J:$J)</f>
        <v>0</v>
      </c>
      <c r="F240" s="67">
        <f>SUMIF(Data!$B:$B,'FEB ORDERvsPRO'!$C240,Data!$L:$L)</f>
        <v>0</v>
      </c>
      <c r="G240" s="67">
        <f>SUMIF(Data!$B:$B,'FEB ORDERvsPRO'!$C240,Data!$M:$M)</f>
        <v>0</v>
      </c>
      <c r="H240" s="67">
        <f>SUMIF('Returns Data'!$B:$B,'FEB ORDERvsPRO'!$C240,'Returns Data'!$J:$J)</f>
        <v>0</v>
      </c>
      <c r="I240" s="201" t="str">
        <f>IFERROR(Table141516[[#This Row],[Non Processed]]/Table141516[[#This Row],[Orders]],"")</f>
        <v/>
      </c>
    </row>
    <row r="241" spans="5:9" x14ac:dyDescent="0.25">
      <c r="E241" s="67">
        <f>SUMIF(Data!$B:$B,'FEB ORDERvsPRO'!C241,Data!$J:$J)</f>
        <v>0</v>
      </c>
      <c r="F241" s="67">
        <f>SUMIF(Data!$B:$B,'FEB ORDERvsPRO'!$C241,Data!$L:$L)</f>
        <v>0</v>
      </c>
      <c r="G241" s="67">
        <f>SUMIF(Data!$B:$B,'FEB ORDERvsPRO'!$C241,Data!$M:$M)</f>
        <v>0</v>
      </c>
      <c r="H241" s="67">
        <f>SUMIF('Returns Data'!$B:$B,'FEB ORDERvsPRO'!$C241,'Returns Data'!$J:$J)</f>
        <v>0</v>
      </c>
      <c r="I241" s="201" t="str">
        <f>IFERROR(Table141516[[#This Row],[Non Processed]]/Table141516[[#This Row],[Orders]],"")</f>
        <v/>
      </c>
    </row>
    <row r="242" spans="5:9" x14ac:dyDescent="0.25">
      <c r="E242" s="67">
        <f>SUMIF(Data!$B:$B,'FEB ORDERvsPRO'!C242,Data!$J:$J)</f>
        <v>0</v>
      </c>
      <c r="F242" s="67">
        <f>SUMIF(Data!$B:$B,'FEB ORDERvsPRO'!$C242,Data!$L:$L)</f>
        <v>0</v>
      </c>
      <c r="G242" s="67">
        <f>SUMIF(Data!$B:$B,'FEB ORDERvsPRO'!$C242,Data!$M:$M)</f>
        <v>0</v>
      </c>
      <c r="H242" s="67">
        <f>SUMIF('Returns Data'!$B:$B,'FEB ORDERvsPRO'!$C242,'Returns Data'!$J:$J)</f>
        <v>0</v>
      </c>
      <c r="I242" s="201" t="str">
        <f>IFERROR(Table141516[[#This Row],[Non Processed]]/Table141516[[#This Row],[Orders]],"")</f>
        <v/>
      </c>
    </row>
    <row r="243" spans="5:9" x14ac:dyDescent="0.25">
      <c r="E243" s="67">
        <f>SUMIF(Data!$B:$B,'FEB ORDERvsPRO'!C243,Data!$J:$J)</f>
        <v>0</v>
      </c>
      <c r="F243" s="67">
        <f>SUMIF(Data!$B:$B,'FEB ORDERvsPRO'!$C243,Data!$L:$L)</f>
        <v>0</v>
      </c>
      <c r="G243" s="67">
        <f>SUMIF(Data!$B:$B,'FEB ORDERvsPRO'!$C243,Data!$M:$M)</f>
        <v>0</v>
      </c>
      <c r="H243" s="67">
        <f>SUMIF('Returns Data'!$B:$B,'FEB ORDERvsPRO'!$C243,'Returns Data'!$J:$J)</f>
        <v>0</v>
      </c>
      <c r="I243" s="201" t="str">
        <f>IFERROR(Table141516[[#This Row],[Non Processed]]/Table141516[[#This Row],[Orders]],"")</f>
        <v/>
      </c>
    </row>
    <row r="244" spans="5:9" x14ac:dyDescent="0.25">
      <c r="E244" s="67">
        <f>SUMIF(Data!$B:$B,'FEB ORDERvsPRO'!C244,Data!$J:$J)</f>
        <v>0</v>
      </c>
      <c r="F244" s="67">
        <f>SUMIF(Data!$B:$B,'FEB ORDERvsPRO'!$C244,Data!$L:$L)</f>
        <v>0</v>
      </c>
      <c r="G244" s="67">
        <f>SUMIF(Data!$B:$B,'FEB ORDERvsPRO'!$C244,Data!$M:$M)</f>
        <v>0</v>
      </c>
      <c r="H244" s="67">
        <f>SUMIF('Returns Data'!$B:$B,'FEB ORDERvsPRO'!$C244,'Returns Data'!$J:$J)</f>
        <v>0</v>
      </c>
      <c r="I244" s="201" t="str">
        <f>IFERROR(Table141516[[#This Row],[Non Processed]]/Table141516[[#This Row],[Orders]],"")</f>
        <v/>
      </c>
    </row>
    <row r="245" spans="5:9" x14ac:dyDescent="0.25">
      <c r="E245" s="67">
        <f>SUMIF(Data!$B:$B,'FEB ORDERvsPRO'!C245,Data!$J:$J)</f>
        <v>0</v>
      </c>
      <c r="F245" s="67">
        <f>SUMIF(Data!$B:$B,'FEB ORDERvsPRO'!$C245,Data!$L:$L)</f>
        <v>0</v>
      </c>
      <c r="G245" s="67">
        <f>SUMIF(Data!$B:$B,'FEB ORDERvsPRO'!$C245,Data!$M:$M)</f>
        <v>0</v>
      </c>
      <c r="H245" s="67">
        <f>SUMIF('Returns Data'!$B:$B,'FEB ORDERvsPRO'!$C245,'Returns Data'!$J:$J)</f>
        <v>0</v>
      </c>
      <c r="I245" s="201" t="str">
        <f>IFERROR(Table141516[[#This Row],[Non Processed]]/Table141516[[#This Row],[Orders]],"")</f>
        <v/>
      </c>
    </row>
    <row r="246" spans="5:9" x14ac:dyDescent="0.25">
      <c r="E246" s="67">
        <f>SUMIF(Data!$B:$B,'FEB ORDERvsPRO'!C246,Data!$J:$J)</f>
        <v>0</v>
      </c>
      <c r="F246" s="67">
        <f>SUMIF(Data!$B:$B,'FEB ORDERvsPRO'!$C246,Data!$L:$L)</f>
        <v>0</v>
      </c>
      <c r="G246" s="67">
        <f>SUMIF(Data!$B:$B,'FEB ORDERvsPRO'!$C246,Data!$M:$M)</f>
        <v>0</v>
      </c>
      <c r="H246" s="67">
        <f>SUMIF('Returns Data'!$B:$B,'FEB ORDERvsPRO'!$C246,'Returns Data'!$J:$J)</f>
        <v>0</v>
      </c>
      <c r="I246" s="201" t="str">
        <f>IFERROR(Table141516[[#This Row],[Non Processed]]/Table141516[[#This Row],[Orders]],"")</f>
        <v/>
      </c>
    </row>
    <row r="247" spans="5:9" x14ac:dyDescent="0.25">
      <c r="E247" s="67">
        <f>SUMIF(Data!$B:$B,'FEB ORDERvsPRO'!C247,Data!$J:$J)</f>
        <v>0</v>
      </c>
      <c r="F247" s="67">
        <f>SUMIF(Data!$B:$B,'FEB ORDERvsPRO'!$C247,Data!$L:$L)</f>
        <v>0</v>
      </c>
      <c r="G247" s="67">
        <f>SUMIF(Data!$B:$B,'FEB ORDERvsPRO'!$C247,Data!$M:$M)</f>
        <v>0</v>
      </c>
      <c r="H247" s="67">
        <f>SUMIF('Returns Data'!$B:$B,'FEB ORDERvsPRO'!$C247,'Returns Data'!$J:$J)</f>
        <v>0</v>
      </c>
      <c r="I247" s="201" t="str">
        <f>IFERROR(Table141516[[#This Row],[Non Processed]]/Table141516[[#This Row],[Orders]],"")</f>
        <v/>
      </c>
    </row>
    <row r="248" spans="5:9" x14ac:dyDescent="0.25">
      <c r="E248" s="67">
        <f>SUMIF(Data!$B:$B,'FEB ORDERvsPRO'!C248,Data!$J:$J)</f>
        <v>0</v>
      </c>
      <c r="F248" s="67">
        <f>SUMIF(Data!$B:$B,'FEB ORDERvsPRO'!$C248,Data!$L:$L)</f>
        <v>0</v>
      </c>
      <c r="G248" s="67">
        <f>SUMIF(Data!$B:$B,'FEB ORDERvsPRO'!$C248,Data!$M:$M)</f>
        <v>0</v>
      </c>
      <c r="H248" s="67">
        <f>SUMIF('Returns Data'!$B:$B,'FEB ORDERvsPRO'!$C248,'Returns Data'!$J:$J)</f>
        <v>0</v>
      </c>
      <c r="I248" s="201" t="str">
        <f>IFERROR(Table141516[[#This Row],[Non Processed]]/Table141516[[#This Row],[Orders]],"")</f>
        <v/>
      </c>
    </row>
    <row r="249" spans="5:9" x14ac:dyDescent="0.25">
      <c r="E249" s="67">
        <f>SUMIF(Data!$B:$B,'FEB ORDERvsPRO'!C249,Data!$J:$J)</f>
        <v>0</v>
      </c>
      <c r="F249" s="67">
        <f>SUMIF(Data!$B:$B,'FEB ORDERvsPRO'!$C249,Data!$L:$L)</f>
        <v>0</v>
      </c>
      <c r="G249" s="67">
        <f>SUMIF(Data!$B:$B,'FEB ORDERvsPRO'!$C249,Data!$M:$M)</f>
        <v>0</v>
      </c>
      <c r="H249" s="67">
        <f>SUMIF('Returns Data'!$B:$B,'FEB ORDERvsPRO'!$C249,'Returns Data'!$J:$J)</f>
        <v>0</v>
      </c>
      <c r="I249" s="201" t="str">
        <f>IFERROR(Table141516[[#This Row],[Non Processed]]/Table141516[[#This Row],[Orders]],"")</f>
        <v/>
      </c>
    </row>
    <row r="250" spans="5:9" x14ac:dyDescent="0.25">
      <c r="E250" s="67">
        <f>SUMIF(Data!$B:$B,'FEB ORDERvsPRO'!C250,Data!$J:$J)</f>
        <v>0</v>
      </c>
      <c r="F250" s="67">
        <f>SUMIF(Data!$B:$B,'FEB ORDERvsPRO'!$C250,Data!$L:$L)</f>
        <v>0</v>
      </c>
      <c r="G250" s="67">
        <f>SUMIF(Data!$B:$B,'FEB ORDERvsPRO'!$C250,Data!$M:$M)</f>
        <v>0</v>
      </c>
      <c r="H250" s="67">
        <f>SUMIF('Returns Data'!$B:$B,'FEB ORDERvsPRO'!$C250,'Returns Data'!$J:$J)</f>
        <v>0</v>
      </c>
      <c r="I250" s="201" t="str">
        <f>IFERROR(Table141516[[#This Row],[Non Processed]]/Table141516[[#This Row],[Orders]],"")</f>
        <v/>
      </c>
    </row>
    <row r="251" spans="5:9" x14ac:dyDescent="0.25">
      <c r="E251" s="67">
        <f>SUMIF(Data!$B:$B,'FEB ORDERvsPRO'!C251,Data!$J:$J)</f>
        <v>0</v>
      </c>
      <c r="F251" s="67">
        <f>SUMIF(Data!$B:$B,'FEB ORDERvsPRO'!$C251,Data!$L:$L)</f>
        <v>0</v>
      </c>
      <c r="G251" s="67">
        <f>SUMIF(Data!$B:$B,'FEB ORDERvsPRO'!$C251,Data!$M:$M)</f>
        <v>0</v>
      </c>
      <c r="H251" s="67">
        <f>SUMIF('Returns Data'!$B:$B,'FEB ORDERvsPRO'!$C251,'Returns Data'!$J:$J)</f>
        <v>0</v>
      </c>
      <c r="I251" s="201" t="str">
        <f>IFERROR(Table141516[[#This Row],[Non Processed]]/Table141516[[#This Row],[Orders]],"")</f>
        <v/>
      </c>
    </row>
    <row r="252" spans="5:9" x14ac:dyDescent="0.25">
      <c r="E252" s="67">
        <f>SUMIF(Data!$B:$B,'FEB ORDERvsPRO'!C252,Data!$J:$J)</f>
        <v>0</v>
      </c>
      <c r="F252" s="67">
        <f>SUMIF(Data!$B:$B,'FEB ORDERvsPRO'!$C252,Data!$L:$L)</f>
        <v>0</v>
      </c>
      <c r="G252" s="67">
        <f>SUMIF(Data!$B:$B,'FEB ORDERvsPRO'!$C252,Data!$M:$M)</f>
        <v>0</v>
      </c>
      <c r="H252" s="67">
        <f>SUMIF('Returns Data'!$B:$B,'FEB ORDERvsPRO'!$C252,'Returns Data'!$J:$J)</f>
        <v>0</v>
      </c>
      <c r="I252" s="201" t="str">
        <f>IFERROR(Table141516[[#This Row],[Non Processed]]/Table141516[[#This Row],[Orders]],"")</f>
        <v/>
      </c>
    </row>
    <row r="253" spans="5:9" x14ac:dyDescent="0.25">
      <c r="E253" s="67">
        <f>SUMIF(Data!$B:$B,'FEB ORDERvsPRO'!C253,Data!$J:$J)</f>
        <v>0</v>
      </c>
      <c r="F253" s="67">
        <f>SUMIF(Data!$B:$B,'FEB ORDERvsPRO'!$C253,Data!$L:$L)</f>
        <v>0</v>
      </c>
      <c r="G253" s="67">
        <f>SUMIF(Data!$B:$B,'FEB ORDERvsPRO'!$C253,Data!$M:$M)</f>
        <v>0</v>
      </c>
      <c r="H253" s="67">
        <f>SUMIF('Returns Data'!$B:$B,'FEB ORDERvsPRO'!$C253,'Returns Data'!$J:$J)</f>
        <v>0</v>
      </c>
      <c r="I253" s="201" t="str">
        <f>IFERROR(Table141516[[#This Row],[Non Processed]]/Table141516[[#This Row],[Orders]],"")</f>
        <v/>
      </c>
    </row>
    <row r="254" spans="5:9" x14ac:dyDescent="0.25">
      <c r="E254" s="67">
        <f>SUMIF(Data!$B:$B,'FEB ORDERvsPRO'!C254,Data!$J:$J)</f>
        <v>0</v>
      </c>
      <c r="F254" s="67">
        <f>SUMIF(Data!$B:$B,'FEB ORDERvsPRO'!$C254,Data!$L:$L)</f>
        <v>0</v>
      </c>
      <c r="G254" s="67">
        <f>SUMIF(Data!$B:$B,'FEB ORDERvsPRO'!$C254,Data!$M:$M)</f>
        <v>0</v>
      </c>
      <c r="H254" s="67">
        <f>SUMIF('Returns Data'!$B:$B,'FEB ORDERvsPRO'!$C254,'Returns Data'!$J:$J)</f>
        <v>0</v>
      </c>
      <c r="I254" s="201" t="str">
        <f>IFERROR(Table141516[[#This Row],[Non Processed]]/Table141516[[#This Row],[Orders]],"")</f>
        <v/>
      </c>
    </row>
    <row r="255" spans="5:9" x14ac:dyDescent="0.25">
      <c r="E255" s="67">
        <f>SUMIF(Data!$B:$B,'FEB ORDERvsPRO'!C255,Data!$J:$J)</f>
        <v>0</v>
      </c>
      <c r="F255" s="67">
        <f>SUMIF(Data!$B:$B,'FEB ORDERvsPRO'!$C255,Data!$L:$L)</f>
        <v>0</v>
      </c>
      <c r="G255" s="67">
        <f>SUMIF(Data!$B:$B,'FEB ORDERvsPRO'!$C255,Data!$M:$M)</f>
        <v>0</v>
      </c>
      <c r="H255" s="67">
        <f>SUMIF('Returns Data'!$B:$B,'FEB ORDERvsPRO'!$C255,'Returns Data'!$J:$J)</f>
        <v>0</v>
      </c>
      <c r="I255" s="201" t="str">
        <f>IFERROR(Table141516[[#This Row],[Non Processed]]/Table141516[[#This Row],[Orders]],"")</f>
        <v/>
      </c>
    </row>
    <row r="256" spans="5:9" x14ac:dyDescent="0.25">
      <c r="E256" s="67">
        <f>SUMIF(Data!$B:$B,'FEB ORDERvsPRO'!C256,Data!$J:$J)</f>
        <v>0</v>
      </c>
      <c r="F256" s="67">
        <f>SUMIF(Data!$B:$B,'FEB ORDERvsPRO'!$C256,Data!$L:$L)</f>
        <v>0</v>
      </c>
      <c r="G256" s="67">
        <f>SUMIF(Data!$B:$B,'FEB ORDERvsPRO'!$C256,Data!$M:$M)</f>
        <v>0</v>
      </c>
      <c r="H256" s="67">
        <f>SUMIF('Returns Data'!$B:$B,'FEB ORDERvsPRO'!$C256,'Returns Data'!$J:$J)</f>
        <v>0</v>
      </c>
      <c r="I256" s="201" t="str">
        <f>IFERROR(Table141516[[#This Row],[Non Processed]]/Table141516[[#This Row],[Orders]],"")</f>
        <v/>
      </c>
    </row>
    <row r="257" spans="5:9" x14ac:dyDescent="0.25">
      <c r="E257" s="67">
        <f>SUMIF(Data!$B:$B,'FEB ORDERvsPRO'!C257,Data!$J:$J)</f>
        <v>0</v>
      </c>
      <c r="F257" s="67">
        <f>SUMIF(Data!$B:$B,'FEB ORDERvsPRO'!$C257,Data!$L:$L)</f>
        <v>0</v>
      </c>
      <c r="G257" s="67">
        <f>SUMIF(Data!$B:$B,'FEB ORDERvsPRO'!$C257,Data!$M:$M)</f>
        <v>0</v>
      </c>
      <c r="H257" s="67">
        <f>SUMIF('Returns Data'!$B:$B,'FEB ORDERvsPRO'!$C257,'Returns Data'!$J:$J)</f>
        <v>0</v>
      </c>
      <c r="I257" s="201" t="str">
        <f>IFERROR(Table141516[[#This Row],[Non Processed]]/Table141516[[#This Row],[Orders]],"")</f>
        <v/>
      </c>
    </row>
    <row r="258" spans="5:9" x14ac:dyDescent="0.25">
      <c r="E258" s="67">
        <f>SUMIF(Data!$B:$B,'FEB ORDERvsPRO'!C258,Data!$J:$J)</f>
        <v>0</v>
      </c>
      <c r="F258" s="67">
        <f>SUMIF(Data!$B:$B,'FEB ORDERvsPRO'!$C258,Data!$L:$L)</f>
        <v>0</v>
      </c>
      <c r="G258" s="67">
        <f>SUMIF(Data!$B:$B,'FEB ORDERvsPRO'!$C258,Data!$M:$M)</f>
        <v>0</v>
      </c>
      <c r="H258" s="67">
        <f>SUMIF('Returns Data'!$B:$B,'FEB ORDERvsPRO'!$C258,'Returns Data'!$J:$J)</f>
        <v>0</v>
      </c>
      <c r="I258" s="201" t="str">
        <f>IFERROR(Table141516[[#This Row],[Non Processed]]/Table141516[[#This Row],[Orders]],"")</f>
        <v/>
      </c>
    </row>
    <row r="259" spans="5:9" x14ac:dyDescent="0.25">
      <c r="E259" s="67">
        <f>SUMIF(Data!$B:$B,'FEB ORDERvsPRO'!C259,Data!$J:$J)</f>
        <v>0</v>
      </c>
      <c r="F259" s="67">
        <f>SUMIF(Data!$B:$B,'FEB ORDERvsPRO'!$C259,Data!$L:$L)</f>
        <v>0</v>
      </c>
      <c r="G259" s="67">
        <f>SUMIF(Data!$B:$B,'FEB ORDERvsPRO'!$C259,Data!$M:$M)</f>
        <v>0</v>
      </c>
      <c r="H259" s="67">
        <f>SUMIF('Returns Data'!$B:$B,'FEB ORDERvsPRO'!$C259,'Returns Data'!$J:$J)</f>
        <v>0</v>
      </c>
      <c r="I259" s="201" t="str">
        <f>IFERROR(Table141516[[#This Row],[Non Processed]]/Table141516[[#This Row],[Orders]],"")</f>
        <v/>
      </c>
    </row>
    <row r="260" spans="5:9" x14ac:dyDescent="0.25">
      <c r="E260" s="67">
        <f>SUMIF(Data!$B:$B,'FEB ORDERvsPRO'!C260,Data!$J:$J)</f>
        <v>0</v>
      </c>
      <c r="F260" s="67">
        <f>SUMIF(Data!$B:$B,'FEB ORDERvsPRO'!$C260,Data!$L:$L)</f>
        <v>0</v>
      </c>
      <c r="G260" s="67">
        <f>SUMIF(Data!$B:$B,'FEB ORDERvsPRO'!$C260,Data!$M:$M)</f>
        <v>0</v>
      </c>
      <c r="H260" s="67">
        <f>SUMIF('Returns Data'!$B:$B,'FEB ORDERvsPRO'!$C260,'Returns Data'!$J:$J)</f>
        <v>0</v>
      </c>
      <c r="I260" s="201" t="str">
        <f>IFERROR(Table141516[[#This Row],[Non Processed]]/Table141516[[#This Row],[Orders]],"")</f>
        <v/>
      </c>
    </row>
    <row r="261" spans="5:9" x14ac:dyDescent="0.25">
      <c r="E261" s="67">
        <f>SUMIF(Data!$B:$B,'FEB ORDERvsPRO'!C261,Data!$J:$J)</f>
        <v>0</v>
      </c>
      <c r="F261" s="67">
        <f>SUMIF(Data!$B:$B,'FEB ORDERvsPRO'!$C261,Data!$L:$L)</f>
        <v>0</v>
      </c>
      <c r="G261" s="67">
        <f>SUMIF(Data!$B:$B,'FEB ORDERvsPRO'!$C261,Data!$M:$M)</f>
        <v>0</v>
      </c>
      <c r="H261" s="67">
        <f>SUMIF('Returns Data'!$B:$B,'FEB ORDERvsPRO'!$C261,'Returns Data'!$J:$J)</f>
        <v>0</v>
      </c>
      <c r="I261" s="201" t="str">
        <f>IFERROR(Table141516[[#This Row],[Non Processed]]/Table141516[[#This Row],[Orders]],"")</f>
        <v/>
      </c>
    </row>
    <row r="262" spans="5:9" x14ac:dyDescent="0.25">
      <c r="E262" s="67">
        <f>SUMIF(Data!$B:$B,'FEB ORDERvsPRO'!C262,Data!$J:$J)</f>
        <v>0</v>
      </c>
      <c r="F262" s="67">
        <f>SUMIF(Data!$B:$B,'FEB ORDERvsPRO'!$C262,Data!$L:$L)</f>
        <v>0</v>
      </c>
      <c r="G262" s="67">
        <f>SUMIF(Data!$B:$B,'FEB ORDERvsPRO'!$C262,Data!$M:$M)</f>
        <v>0</v>
      </c>
      <c r="H262" s="67">
        <f>SUMIF('Returns Data'!$B:$B,'FEB ORDERvsPRO'!$C262,'Returns Data'!$J:$J)</f>
        <v>0</v>
      </c>
      <c r="I262" s="201" t="str">
        <f>IFERROR(Table141516[[#This Row],[Non Processed]]/Table141516[[#This Row],[Orders]],"")</f>
        <v/>
      </c>
    </row>
    <row r="263" spans="5:9" x14ac:dyDescent="0.25">
      <c r="E263" s="67">
        <f>SUMIF(Data!$B:$B,'FEB ORDERvsPRO'!C263,Data!$J:$J)</f>
        <v>0</v>
      </c>
      <c r="F263" s="67">
        <f>SUMIF(Data!$B:$B,'FEB ORDERvsPRO'!$C263,Data!$L:$L)</f>
        <v>0</v>
      </c>
      <c r="G263" s="67">
        <f>SUMIF(Data!$B:$B,'FEB ORDERvsPRO'!$C263,Data!$M:$M)</f>
        <v>0</v>
      </c>
      <c r="H263" s="67">
        <f>SUMIF('Returns Data'!$B:$B,'FEB ORDERvsPRO'!$C263,'Returns Data'!$J:$J)</f>
        <v>0</v>
      </c>
      <c r="I263" s="201" t="str">
        <f>IFERROR(Table141516[[#This Row],[Non Processed]]/Table141516[[#This Row],[Orders]],"")</f>
        <v/>
      </c>
    </row>
    <row r="264" spans="5:9" x14ac:dyDescent="0.25">
      <c r="E264" s="67">
        <f>SUMIF(Data!$B:$B,'FEB ORDERvsPRO'!C264,Data!$J:$J)</f>
        <v>0</v>
      </c>
      <c r="F264" s="67">
        <f>SUMIF(Data!$B:$B,'FEB ORDERvsPRO'!$C264,Data!$L:$L)</f>
        <v>0</v>
      </c>
      <c r="G264" s="67">
        <f>SUMIF(Data!$B:$B,'FEB ORDERvsPRO'!$C264,Data!$M:$M)</f>
        <v>0</v>
      </c>
      <c r="H264" s="67">
        <f>SUMIF('Returns Data'!$B:$B,'FEB ORDERvsPRO'!$C264,'Returns Data'!$J:$J)</f>
        <v>0</v>
      </c>
      <c r="I264" s="201" t="str">
        <f>IFERROR(Table141516[[#This Row],[Non Processed]]/Table141516[[#This Row],[Orders]],"")</f>
        <v/>
      </c>
    </row>
    <row r="265" spans="5:9" x14ac:dyDescent="0.25">
      <c r="E265" s="67">
        <f>SUMIF(Data!$B:$B,'FEB ORDERvsPRO'!C265,Data!$J:$J)</f>
        <v>0</v>
      </c>
      <c r="F265" s="67">
        <f>SUMIF(Data!$B:$B,'FEB ORDERvsPRO'!$C265,Data!$L:$L)</f>
        <v>0</v>
      </c>
      <c r="G265" s="67">
        <f>SUMIF(Data!$B:$B,'FEB ORDERvsPRO'!$C265,Data!$M:$M)</f>
        <v>0</v>
      </c>
      <c r="H265" s="67">
        <f>SUMIF('Returns Data'!$B:$B,'FEB ORDERvsPRO'!$C265,'Returns Data'!$J:$J)</f>
        <v>0</v>
      </c>
      <c r="I265" s="201" t="str">
        <f>IFERROR(Table141516[[#This Row],[Non Processed]]/Table141516[[#This Row],[Orders]],"")</f>
        <v/>
      </c>
    </row>
    <row r="266" spans="5:9" x14ac:dyDescent="0.25">
      <c r="E266" s="67">
        <f>SUMIF(Data!$B:$B,'FEB ORDERvsPRO'!C266,Data!$J:$J)</f>
        <v>0</v>
      </c>
      <c r="F266" s="67">
        <f>SUMIF(Data!$B:$B,'FEB ORDERvsPRO'!$C266,Data!$L:$L)</f>
        <v>0</v>
      </c>
      <c r="G266" s="67">
        <f>SUMIF(Data!$B:$B,'FEB ORDERvsPRO'!$C266,Data!$M:$M)</f>
        <v>0</v>
      </c>
      <c r="H266" s="67">
        <f>SUMIF('Returns Data'!$B:$B,'FEB ORDERvsPRO'!$C266,'Returns Data'!$J:$J)</f>
        <v>0</v>
      </c>
      <c r="I266" s="201" t="str">
        <f>IFERROR(Table141516[[#This Row],[Non Processed]]/Table141516[[#This Row],[Orders]],"")</f>
        <v/>
      </c>
    </row>
    <row r="267" spans="5:9" x14ac:dyDescent="0.25">
      <c r="E267" s="67">
        <f>SUMIF(Data!$B:$B,'FEB ORDERvsPRO'!C267,Data!$J:$J)</f>
        <v>0</v>
      </c>
      <c r="F267" s="67">
        <f>SUMIF(Data!$B:$B,'FEB ORDERvsPRO'!$C267,Data!$L:$L)</f>
        <v>0</v>
      </c>
      <c r="G267" s="67">
        <f>SUMIF(Data!$B:$B,'FEB ORDERvsPRO'!$C267,Data!$M:$M)</f>
        <v>0</v>
      </c>
      <c r="H267" s="67">
        <f>SUMIF('Returns Data'!$B:$B,'FEB ORDERvsPRO'!$C267,'Returns Data'!$J:$J)</f>
        <v>0</v>
      </c>
      <c r="I267" s="201" t="str">
        <f>IFERROR(Table141516[[#This Row],[Non Processed]]/Table141516[[#This Row],[Orders]],"")</f>
        <v/>
      </c>
    </row>
    <row r="268" spans="5:9" x14ac:dyDescent="0.25">
      <c r="E268" s="67">
        <f>SUMIF(Data!$B:$B,'FEB ORDERvsPRO'!C268,Data!$J:$J)</f>
        <v>0</v>
      </c>
      <c r="F268" s="67">
        <f>SUMIF(Data!$B:$B,'FEB ORDERvsPRO'!$C268,Data!$L:$L)</f>
        <v>0</v>
      </c>
      <c r="G268" s="67">
        <f>SUMIF(Data!$B:$B,'FEB ORDERvsPRO'!$C268,Data!$M:$M)</f>
        <v>0</v>
      </c>
      <c r="H268" s="67">
        <f>SUMIF('Returns Data'!$B:$B,'FEB ORDERvsPRO'!$C268,'Returns Data'!$J:$J)</f>
        <v>0</v>
      </c>
      <c r="I268" s="201" t="str">
        <f>IFERROR(Table141516[[#This Row],[Non Processed]]/Table141516[[#This Row],[Orders]],"")</f>
        <v/>
      </c>
    </row>
    <row r="269" spans="5:9" x14ac:dyDescent="0.25">
      <c r="E269" s="67">
        <f>SUMIF(Data!$B:$B,'FEB ORDERvsPRO'!C269,Data!$J:$J)</f>
        <v>0</v>
      </c>
      <c r="F269" s="67">
        <f>SUMIF(Data!$B:$B,'FEB ORDERvsPRO'!$C269,Data!$L:$L)</f>
        <v>0</v>
      </c>
      <c r="G269" s="67">
        <f>SUMIF(Data!$B:$B,'FEB ORDERvsPRO'!$C269,Data!$M:$M)</f>
        <v>0</v>
      </c>
      <c r="H269" s="67">
        <f>SUMIF('Returns Data'!$B:$B,'FEB ORDERvsPRO'!$C269,'Returns Data'!$J:$J)</f>
        <v>0</v>
      </c>
      <c r="I269" s="201" t="str">
        <f>IFERROR(Table141516[[#This Row],[Non Processed]]/Table141516[[#This Row],[Orders]],"")</f>
        <v/>
      </c>
    </row>
    <row r="270" spans="5:9" x14ac:dyDescent="0.25">
      <c r="E270" s="67">
        <f>SUMIF(Data!$B:$B,'FEB ORDERvsPRO'!C270,Data!$J:$J)</f>
        <v>0</v>
      </c>
      <c r="F270" s="67">
        <f>SUMIF(Data!$B:$B,'FEB ORDERvsPRO'!$C270,Data!$L:$L)</f>
        <v>0</v>
      </c>
      <c r="G270" s="67">
        <f>SUMIF(Data!$B:$B,'FEB ORDERvsPRO'!$C270,Data!$M:$M)</f>
        <v>0</v>
      </c>
      <c r="H270" s="67">
        <f>SUMIF('Returns Data'!$B:$B,'FEB ORDERvsPRO'!$C270,'Returns Data'!$J:$J)</f>
        <v>0</v>
      </c>
      <c r="I270" s="201" t="str">
        <f>IFERROR(Table141516[[#This Row],[Non Processed]]/Table141516[[#This Row],[Orders]],"")</f>
        <v/>
      </c>
    </row>
    <row r="271" spans="5:9" x14ac:dyDescent="0.25">
      <c r="E271" s="67">
        <f>SUMIF(Data!$B:$B,'FEB ORDERvsPRO'!C271,Data!$J:$J)</f>
        <v>0</v>
      </c>
      <c r="F271" s="67">
        <f>SUMIF(Data!$B:$B,'FEB ORDERvsPRO'!$C271,Data!$L:$L)</f>
        <v>0</v>
      </c>
      <c r="G271" s="67">
        <f>SUMIF(Data!$B:$B,'FEB ORDERvsPRO'!$C271,Data!$M:$M)</f>
        <v>0</v>
      </c>
      <c r="H271" s="67">
        <f>SUMIF('Returns Data'!$B:$B,'FEB ORDERvsPRO'!$C271,'Returns Data'!$J:$J)</f>
        <v>0</v>
      </c>
      <c r="I271" s="201" t="str">
        <f>IFERROR(Table141516[[#This Row],[Non Processed]]/Table141516[[#This Row],[Orders]],"")</f>
        <v/>
      </c>
    </row>
    <row r="272" spans="5:9" x14ac:dyDescent="0.25">
      <c r="E272" s="67">
        <f>SUMIF(Data!$B:$B,'FEB ORDERvsPRO'!C272,Data!$J:$J)</f>
        <v>0</v>
      </c>
      <c r="F272" s="67">
        <f>SUMIF(Data!$B:$B,'FEB ORDERvsPRO'!$C272,Data!$L:$L)</f>
        <v>0</v>
      </c>
      <c r="G272" s="67">
        <f>SUMIF(Data!$B:$B,'FEB ORDERvsPRO'!$C272,Data!$M:$M)</f>
        <v>0</v>
      </c>
      <c r="H272" s="67">
        <f>SUMIF('Returns Data'!$B:$B,'FEB ORDERvsPRO'!$C272,'Returns Data'!$J:$J)</f>
        <v>0</v>
      </c>
      <c r="I272" s="201" t="str">
        <f>IFERROR(Table141516[[#This Row],[Non Processed]]/Table141516[[#This Row],[Orders]],"")</f>
        <v/>
      </c>
    </row>
    <row r="273" spans="5:9" x14ac:dyDescent="0.25">
      <c r="E273" s="67">
        <f>SUMIF(Data!$B:$B,'FEB ORDERvsPRO'!C273,Data!$J:$J)</f>
        <v>0</v>
      </c>
      <c r="F273" s="67">
        <f>SUMIF(Data!$B:$B,'FEB ORDERvsPRO'!$C273,Data!$L:$L)</f>
        <v>0</v>
      </c>
      <c r="G273" s="67">
        <f>SUMIF(Data!$B:$B,'FEB ORDERvsPRO'!$C273,Data!$M:$M)</f>
        <v>0</v>
      </c>
      <c r="H273" s="67">
        <f>SUMIF('Returns Data'!$B:$B,'FEB ORDERvsPRO'!$C273,'Returns Data'!$J:$J)</f>
        <v>0</v>
      </c>
      <c r="I273" s="201" t="str">
        <f>IFERROR(Table141516[[#This Row],[Non Processed]]/Table141516[[#This Row],[Orders]],"")</f>
        <v/>
      </c>
    </row>
    <row r="274" spans="5:9" x14ac:dyDescent="0.25">
      <c r="E274" s="67">
        <f>SUMIF(Data!$B:$B,'FEB ORDERvsPRO'!C274,Data!$J:$J)</f>
        <v>0</v>
      </c>
      <c r="F274" s="67">
        <f>SUMIF(Data!$B:$B,'FEB ORDERvsPRO'!$C274,Data!$L:$L)</f>
        <v>0</v>
      </c>
      <c r="G274" s="67">
        <f>SUMIF(Data!$B:$B,'FEB ORDERvsPRO'!$C274,Data!$M:$M)</f>
        <v>0</v>
      </c>
      <c r="H274" s="67">
        <f>SUMIF('Returns Data'!$B:$B,'FEB ORDERvsPRO'!$C274,'Returns Data'!$J:$J)</f>
        <v>0</v>
      </c>
      <c r="I274" s="201" t="str">
        <f>IFERROR(Table141516[[#This Row],[Non Processed]]/Table141516[[#This Row],[Orders]],"")</f>
        <v/>
      </c>
    </row>
    <row r="275" spans="5:9" x14ac:dyDescent="0.25">
      <c r="E275" s="67">
        <f>SUMIF(Data!$B:$B,'FEB ORDERvsPRO'!C275,Data!$J:$J)</f>
        <v>0</v>
      </c>
      <c r="F275" s="67">
        <f>SUMIF(Data!$B:$B,'FEB ORDERvsPRO'!$C275,Data!$L:$L)</f>
        <v>0</v>
      </c>
      <c r="G275" s="67">
        <f>SUMIF(Data!$B:$B,'FEB ORDERvsPRO'!$C275,Data!$M:$M)</f>
        <v>0</v>
      </c>
      <c r="H275" s="67">
        <f>SUMIF('Returns Data'!$B:$B,'FEB ORDERvsPRO'!$C275,'Returns Data'!$J:$J)</f>
        <v>0</v>
      </c>
      <c r="I275" s="201" t="str">
        <f>IFERROR(Table141516[[#This Row],[Non Processed]]/Table141516[[#This Row],[Orders]],"")</f>
        <v/>
      </c>
    </row>
    <row r="276" spans="5:9" x14ac:dyDescent="0.25">
      <c r="E276" s="67">
        <f>SUMIF(Data!$B:$B,'FEB ORDERvsPRO'!C276,Data!$J:$J)</f>
        <v>0</v>
      </c>
      <c r="F276" s="67">
        <f>SUMIF(Data!$B:$B,'FEB ORDERvsPRO'!$C276,Data!$L:$L)</f>
        <v>0</v>
      </c>
      <c r="G276" s="67">
        <f>SUMIF(Data!$B:$B,'FEB ORDERvsPRO'!$C276,Data!$M:$M)</f>
        <v>0</v>
      </c>
      <c r="H276" s="67">
        <f>SUMIF('Returns Data'!$B:$B,'FEB ORDERvsPRO'!$C276,'Returns Data'!$J:$J)</f>
        <v>0</v>
      </c>
      <c r="I276" s="201" t="str">
        <f>IFERROR(Table141516[[#This Row],[Non Processed]]/Table141516[[#This Row],[Orders]],"")</f>
        <v/>
      </c>
    </row>
    <row r="277" spans="5:9" x14ac:dyDescent="0.25">
      <c r="E277" s="67">
        <f>SUMIF(Data!$B:$B,'FEB ORDERvsPRO'!C277,Data!$J:$J)</f>
        <v>0</v>
      </c>
      <c r="F277" s="67">
        <f>SUMIF(Data!$B:$B,'FEB ORDERvsPRO'!$C277,Data!$L:$L)</f>
        <v>0</v>
      </c>
      <c r="G277" s="67">
        <f>SUMIF(Data!$B:$B,'FEB ORDERvsPRO'!$C277,Data!$M:$M)</f>
        <v>0</v>
      </c>
      <c r="H277" s="67">
        <f>SUMIF('Returns Data'!$B:$B,'FEB ORDERvsPRO'!$C277,'Returns Data'!$J:$J)</f>
        <v>0</v>
      </c>
      <c r="I277" s="201" t="str">
        <f>IFERROR(Table141516[[#This Row],[Non Processed]]/Table141516[[#This Row],[Orders]],"")</f>
        <v/>
      </c>
    </row>
    <row r="278" spans="5:9" x14ac:dyDescent="0.25">
      <c r="E278" s="67">
        <f>SUMIF(Data!$B:$B,'FEB ORDERvsPRO'!C278,Data!$J:$J)</f>
        <v>0</v>
      </c>
      <c r="F278" s="67">
        <f>SUMIF(Data!$B:$B,'FEB ORDERvsPRO'!$C278,Data!$L:$L)</f>
        <v>0</v>
      </c>
      <c r="G278" s="67">
        <f>SUMIF(Data!$B:$B,'FEB ORDERvsPRO'!$C278,Data!$M:$M)</f>
        <v>0</v>
      </c>
      <c r="H278" s="67">
        <f>SUMIF('Returns Data'!$B:$B,'FEB ORDERvsPRO'!$C278,'Returns Data'!$J:$J)</f>
        <v>0</v>
      </c>
      <c r="I278" s="201" t="str">
        <f>IFERROR(Table141516[[#This Row],[Non Processed]]/Table141516[[#This Row],[Orders]],"")</f>
        <v/>
      </c>
    </row>
    <row r="279" spans="5:9" x14ac:dyDescent="0.25">
      <c r="E279" s="67">
        <f>SUMIF(Data!$B:$B,'FEB ORDERvsPRO'!C279,Data!$J:$J)</f>
        <v>0</v>
      </c>
      <c r="F279" s="67">
        <f>SUMIF(Data!$B:$B,'FEB ORDERvsPRO'!$C279,Data!$L:$L)</f>
        <v>0</v>
      </c>
      <c r="G279" s="67">
        <f>SUMIF(Data!$B:$B,'FEB ORDERvsPRO'!$C279,Data!$M:$M)</f>
        <v>0</v>
      </c>
      <c r="H279" s="67">
        <f>SUMIF('Returns Data'!$B:$B,'FEB ORDERvsPRO'!$C279,'Returns Data'!$J:$J)</f>
        <v>0</v>
      </c>
      <c r="I279" s="201" t="str">
        <f>IFERROR(Table141516[[#This Row],[Non Processed]]/Table141516[[#This Row],[Orders]],"")</f>
        <v/>
      </c>
    </row>
    <row r="280" spans="5:9" x14ac:dyDescent="0.25">
      <c r="E280" s="67">
        <f>SUMIF(Data!$B:$B,'FEB ORDERvsPRO'!C280,Data!$J:$J)</f>
        <v>0</v>
      </c>
      <c r="F280" s="67">
        <f>SUMIF(Data!$B:$B,'FEB ORDERvsPRO'!$C280,Data!$L:$L)</f>
        <v>0</v>
      </c>
      <c r="G280" s="67">
        <f>SUMIF(Data!$B:$B,'FEB ORDERvsPRO'!$C280,Data!$M:$M)</f>
        <v>0</v>
      </c>
      <c r="H280" s="67">
        <f>SUMIF('Returns Data'!$B:$B,'FEB ORDERvsPRO'!$C280,'Returns Data'!$J:$J)</f>
        <v>0</v>
      </c>
      <c r="I280" s="201" t="str">
        <f>IFERROR(Table141516[[#This Row],[Non Processed]]/Table141516[[#This Row],[Orders]],"")</f>
        <v/>
      </c>
    </row>
    <row r="281" spans="5:9" x14ac:dyDescent="0.25">
      <c r="E281" s="67">
        <f>SUMIF(Data!$B:$B,'FEB ORDERvsPRO'!C281,Data!$J:$J)</f>
        <v>0</v>
      </c>
      <c r="F281" s="67">
        <f>SUMIF(Data!$B:$B,'FEB ORDERvsPRO'!$C281,Data!$L:$L)</f>
        <v>0</v>
      </c>
      <c r="G281" s="67">
        <f>SUMIF(Data!$B:$B,'FEB ORDERvsPRO'!$C281,Data!$M:$M)</f>
        <v>0</v>
      </c>
      <c r="H281" s="67">
        <f>SUMIF('Returns Data'!$B:$B,'FEB ORDERvsPRO'!$C281,'Returns Data'!$J:$J)</f>
        <v>0</v>
      </c>
      <c r="I281" s="201" t="str">
        <f>IFERROR(Table141516[[#This Row],[Non Processed]]/Table141516[[#This Row],[Orders]],"")</f>
        <v/>
      </c>
    </row>
    <row r="282" spans="5:9" x14ac:dyDescent="0.25">
      <c r="E282" s="67">
        <f>SUMIF(Data!$B:$B,'FEB ORDERvsPRO'!C282,Data!$J:$J)</f>
        <v>0</v>
      </c>
      <c r="F282" s="67">
        <f>SUMIF(Data!$B:$B,'FEB ORDERvsPRO'!$C282,Data!$L:$L)</f>
        <v>0</v>
      </c>
      <c r="G282" s="67">
        <f>SUMIF(Data!$B:$B,'FEB ORDERvsPRO'!$C282,Data!$M:$M)</f>
        <v>0</v>
      </c>
      <c r="H282" s="67">
        <f>SUMIF('Returns Data'!$B:$B,'FEB ORDERvsPRO'!$C282,'Returns Data'!$J:$J)</f>
        <v>0</v>
      </c>
      <c r="I282" s="201" t="str">
        <f>IFERROR(Table141516[[#This Row],[Non Processed]]/Table141516[[#This Row],[Orders]],"")</f>
        <v/>
      </c>
    </row>
    <row r="283" spans="5:9" x14ac:dyDescent="0.25">
      <c r="E283" s="67">
        <f>SUMIF(Data!$B:$B,'FEB ORDERvsPRO'!C283,Data!$J:$J)</f>
        <v>0</v>
      </c>
      <c r="F283" s="67">
        <f>SUMIF(Data!$B:$B,'FEB ORDERvsPRO'!$C283,Data!$L:$L)</f>
        <v>0</v>
      </c>
      <c r="G283" s="67">
        <f>SUMIF(Data!$B:$B,'FEB ORDERvsPRO'!$C283,Data!$M:$M)</f>
        <v>0</v>
      </c>
      <c r="H283" s="67">
        <f>SUMIF('Returns Data'!$B:$B,'FEB ORDERvsPRO'!$C283,'Returns Data'!$J:$J)</f>
        <v>0</v>
      </c>
      <c r="I283" s="201" t="str">
        <f>IFERROR(Table141516[[#This Row],[Non Processed]]/Table141516[[#This Row],[Orders]],"")</f>
        <v/>
      </c>
    </row>
    <row r="284" spans="5:9" x14ac:dyDescent="0.25">
      <c r="E284" s="67">
        <f>SUMIF(Data!$B:$B,'FEB ORDERvsPRO'!C284,Data!$J:$J)</f>
        <v>0</v>
      </c>
      <c r="F284" s="67">
        <f>SUMIF(Data!$B:$B,'FEB ORDERvsPRO'!$C284,Data!$L:$L)</f>
        <v>0</v>
      </c>
      <c r="G284" s="67">
        <f>SUMIF(Data!$B:$B,'FEB ORDERvsPRO'!$C284,Data!$M:$M)</f>
        <v>0</v>
      </c>
      <c r="H284" s="67">
        <f>SUMIF('Returns Data'!$B:$B,'FEB ORDERvsPRO'!$C284,'Returns Data'!$J:$J)</f>
        <v>0</v>
      </c>
      <c r="I284" s="201" t="str">
        <f>IFERROR(Table141516[[#This Row],[Non Processed]]/Table141516[[#This Row],[Orders]],"")</f>
        <v/>
      </c>
    </row>
    <row r="285" spans="5:9" x14ac:dyDescent="0.25">
      <c r="E285" s="67">
        <f>SUMIF(Data!$B:$B,'FEB ORDERvsPRO'!C285,Data!$J:$J)</f>
        <v>0</v>
      </c>
      <c r="F285" s="67">
        <f>SUMIF(Data!$B:$B,'FEB ORDERvsPRO'!$C285,Data!$L:$L)</f>
        <v>0</v>
      </c>
      <c r="G285" s="67">
        <f>SUMIF(Data!$B:$B,'FEB ORDERvsPRO'!$C285,Data!$M:$M)</f>
        <v>0</v>
      </c>
      <c r="H285" s="67">
        <f>SUMIF('Returns Data'!$B:$B,'FEB ORDERvsPRO'!$C285,'Returns Data'!$J:$J)</f>
        <v>0</v>
      </c>
      <c r="I285" s="201" t="str">
        <f>IFERROR(Table141516[[#This Row],[Non Processed]]/Table141516[[#This Row],[Orders]],"")</f>
        <v/>
      </c>
    </row>
    <row r="286" spans="5:9" x14ac:dyDescent="0.25">
      <c r="E286" s="67">
        <f>SUMIF(Data!$B:$B,'FEB ORDERvsPRO'!C286,Data!$J:$J)</f>
        <v>0</v>
      </c>
      <c r="F286" s="67">
        <f>SUMIF(Data!$B:$B,'FEB ORDERvsPRO'!$C286,Data!$L:$L)</f>
        <v>0</v>
      </c>
      <c r="G286" s="67">
        <f>SUMIF(Data!$B:$B,'FEB ORDERvsPRO'!$C286,Data!$M:$M)</f>
        <v>0</v>
      </c>
      <c r="H286" s="67">
        <f>SUMIF('Returns Data'!$B:$B,'FEB ORDERvsPRO'!$C286,'Returns Data'!$J:$J)</f>
        <v>0</v>
      </c>
      <c r="I286" s="201" t="str">
        <f>IFERROR(Table141516[[#This Row],[Non Processed]]/Table141516[[#This Row],[Orders]],"")</f>
        <v/>
      </c>
    </row>
    <row r="287" spans="5:9" x14ac:dyDescent="0.25">
      <c r="E287" s="67">
        <f>SUMIF(Data!$B:$B,'FEB ORDERvsPRO'!C287,Data!$J:$J)</f>
        <v>0</v>
      </c>
      <c r="F287" s="67">
        <f>SUMIF(Data!$B:$B,'FEB ORDERvsPRO'!$C287,Data!$L:$L)</f>
        <v>0</v>
      </c>
      <c r="G287" s="67">
        <f>SUMIF(Data!$B:$B,'FEB ORDERvsPRO'!$C287,Data!$M:$M)</f>
        <v>0</v>
      </c>
      <c r="H287" s="67">
        <f>SUMIF('Returns Data'!$B:$B,'FEB ORDERvsPRO'!$C287,'Returns Data'!$J:$J)</f>
        <v>0</v>
      </c>
      <c r="I287" s="201" t="str">
        <f>IFERROR(Table141516[[#This Row],[Non Processed]]/Table141516[[#This Row],[Orders]],"")</f>
        <v/>
      </c>
    </row>
    <row r="288" spans="5:9" x14ac:dyDescent="0.25">
      <c r="E288" s="67">
        <f>SUMIF(Data!$B:$B,'FEB ORDERvsPRO'!C288,Data!$J:$J)</f>
        <v>0</v>
      </c>
      <c r="F288" s="67">
        <f>SUMIF(Data!$B:$B,'FEB ORDERvsPRO'!$C288,Data!$L:$L)</f>
        <v>0</v>
      </c>
      <c r="G288" s="67">
        <f>SUMIF(Data!$B:$B,'FEB ORDERvsPRO'!$C288,Data!$M:$M)</f>
        <v>0</v>
      </c>
      <c r="H288" s="67">
        <f>SUMIF('Returns Data'!$B:$B,'FEB ORDERvsPRO'!$C288,'Returns Data'!$J:$J)</f>
        <v>0</v>
      </c>
      <c r="I288" s="201" t="str">
        <f>IFERROR(Table141516[[#This Row],[Non Processed]]/Table141516[[#This Row],[Orders]],"")</f>
        <v/>
      </c>
    </row>
    <row r="289" spans="5:9" x14ac:dyDescent="0.25">
      <c r="E289" s="67">
        <f>SUMIF(Data!$B:$B,'FEB ORDERvsPRO'!C289,Data!$J:$J)</f>
        <v>0</v>
      </c>
      <c r="F289" s="67">
        <f>SUMIF(Data!$B:$B,'FEB ORDERvsPRO'!$C289,Data!$L:$L)</f>
        <v>0</v>
      </c>
      <c r="G289" s="67">
        <f>SUMIF(Data!$B:$B,'FEB ORDERvsPRO'!$C289,Data!$M:$M)</f>
        <v>0</v>
      </c>
      <c r="H289" s="67">
        <f>SUMIF('Returns Data'!$B:$B,'FEB ORDERvsPRO'!$C289,'Returns Data'!$J:$J)</f>
        <v>0</v>
      </c>
      <c r="I289" s="201" t="str">
        <f>IFERROR(Table141516[[#This Row],[Non Processed]]/Table141516[[#This Row],[Orders]],"")</f>
        <v/>
      </c>
    </row>
    <row r="290" spans="5:9" x14ac:dyDescent="0.25">
      <c r="E290" s="67">
        <f>SUMIF(Data!$B:$B,'FEB ORDERvsPRO'!C290,Data!$J:$J)</f>
        <v>0</v>
      </c>
      <c r="F290" s="67">
        <f>SUMIF(Data!$B:$B,'FEB ORDERvsPRO'!$C290,Data!$L:$L)</f>
        <v>0</v>
      </c>
      <c r="G290" s="67">
        <f>SUMIF(Data!$B:$B,'FEB ORDERvsPRO'!$C290,Data!$M:$M)</f>
        <v>0</v>
      </c>
      <c r="H290" s="67">
        <f>SUMIF('Returns Data'!$B:$B,'FEB ORDERvsPRO'!$C290,'Returns Data'!$J:$J)</f>
        <v>0</v>
      </c>
      <c r="I290" s="201" t="str">
        <f>IFERROR(Table141516[[#This Row],[Non Processed]]/Table141516[[#This Row],[Orders]],"")</f>
        <v/>
      </c>
    </row>
    <row r="291" spans="5:9" x14ac:dyDescent="0.25">
      <c r="E291" s="67">
        <f>SUMIF(Data!$B:$B,'FEB ORDERvsPRO'!C291,Data!$J:$J)</f>
        <v>0</v>
      </c>
      <c r="F291" s="67">
        <f>SUMIF(Data!$B:$B,'FEB ORDERvsPRO'!$C291,Data!$L:$L)</f>
        <v>0</v>
      </c>
      <c r="G291" s="67">
        <f>SUMIF(Data!$B:$B,'FEB ORDERvsPRO'!$C291,Data!$M:$M)</f>
        <v>0</v>
      </c>
      <c r="H291" s="67">
        <f>SUMIF('Returns Data'!$B:$B,'FEB ORDERvsPRO'!$C291,'Returns Data'!$J:$J)</f>
        <v>0</v>
      </c>
      <c r="I291" s="201" t="str">
        <f>IFERROR(Table141516[[#This Row],[Non Processed]]/Table141516[[#This Row],[Orders]],"")</f>
        <v/>
      </c>
    </row>
    <row r="292" spans="5:9" x14ac:dyDescent="0.25">
      <c r="E292" s="67">
        <f>SUMIF(Data!$B:$B,'FEB ORDERvsPRO'!C292,Data!$J:$J)</f>
        <v>0</v>
      </c>
      <c r="F292" s="67">
        <f>SUMIF(Data!$B:$B,'FEB ORDERvsPRO'!$C292,Data!$L:$L)</f>
        <v>0</v>
      </c>
      <c r="G292" s="67">
        <f>SUMIF(Data!$B:$B,'FEB ORDERvsPRO'!$C292,Data!$M:$M)</f>
        <v>0</v>
      </c>
      <c r="H292" s="67">
        <f>SUMIF('Returns Data'!$B:$B,'FEB ORDERvsPRO'!$C292,'Returns Data'!$J:$J)</f>
        <v>0</v>
      </c>
      <c r="I292" s="201" t="str">
        <f>IFERROR(Table141516[[#This Row],[Non Processed]]/Table141516[[#This Row],[Orders]],"")</f>
        <v/>
      </c>
    </row>
    <row r="293" spans="5:9" x14ac:dyDescent="0.25">
      <c r="E293" s="67">
        <f>SUMIF(Data!$B:$B,'FEB ORDERvsPRO'!C293,Data!$J:$J)</f>
        <v>0</v>
      </c>
      <c r="F293" s="67">
        <f>SUMIF(Data!$B:$B,'FEB ORDERvsPRO'!$C293,Data!$L:$L)</f>
        <v>0</v>
      </c>
      <c r="G293" s="67">
        <f>SUMIF(Data!$B:$B,'FEB ORDERvsPRO'!$C293,Data!$M:$M)</f>
        <v>0</v>
      </c>
      <c r="H293" s="67">
        <f>SUMIF('Returns Data'!$B:$B,'FEB ORDERvsPRO'!$C293,'Returns Data'!$J:$J)</f>
        <v>0</v>
      </c>
      <c r="I293" s="201" t="str">
        <f>IFERROR(Table141516[[#This Row],[Non Processed]]/Table141516[[#This Row],[Orders]],"")</f>
        <v/>
      </c>
    </row>
    <row r="294" spans="5:9" x14ac:dyDescent="0.25">
      <c r="E294" s="67">
        <f>SUMIF(Data!$B:$B,'FEB ORDERvsPRO'!C294,Data!$J:$J)</f>
        <v>0</v>
      </c>
      <c r="F294" s="67">
        <f>SUMIF(Data!$B:$B,'FEB ORDERvsPRO'!$C294,Data!$L:$L)</f>
        <v>0</v>
      </c>
      <c r="G294" s="67">
        <f>SUMIF(Data!$B:$B,'FEB ORDERvsPRO'!$C294,Data!$M:$M)</f>
        <v>0</v>
      </c>
      <c r="H294" s="67">
        <f>SUMIF('Returns Data'!$B:$B,'FEB ORDERvsPRO'!$C294,'Returns Data'!$J:$J)</f>
        <v>0</v>
      </c>
      <c r="I294" s="201" t="str">
        <f>IFERROR(Table141516[[#This Row],[Non Processed]]/Table141516[[#This Row],[Orders]],"")</f>
        <v/>
      </c>
    </row>
    <row r="295" spans="5:9" x14ac:dyDescent="0.25">
      <c r="E295" s="67">
        <f>SUMIF(Data!$B:$B,'FEB ORDERvsPRO'!C295,Data!$J:$J)</f>
        <v>0</v>
      </c>
      <c r="F295" s="67">
        <f>SUMIF(Data!$B:$B,'FEB ORDERvsPRO'!$C295,Data!$L:$L)</f>
        <v>0</v>
      </c>
      <c r="G295" s="67">
        <f>SUMIF(Data!$B:$B,'FEB ORDERvsPRO'!$C295,Data!$M:$M)</f>
        <v>0</v>
      </c>
      <c r="H295" s="67">
        <f>SUMIF('Returns Data'!$B:$B,'FEB ORDERvsPRO'!$C295,'Returns Data'!$J:$J)</f>
        <v>0</v>
      </c>
      <c r="I295" s="201" t="str">
        <f>IFERROR(Table141516[[#This Row],[Non Processed]]/Table141516[[#This Row],[Orders]],"")</f>
        <v/>
      </c>
    </row>
    <row r="296" spans="5:9" x14ac:dyDescent="0.25">
      <c r="E296" s="67">
        <f>SUMIF(Data!$B:$B,'FEB ORDERvsPRO'!C296,Data!$J:$J)</f>
        <v>0</v>
      </c>
      <c r="F296" s="67">
        <f>SUMIF(Data!$B:$B,'FEB ORDERvsPRO'!$C296,Data!$L:$L)</f>
        <v>0</v>
      </c>
      <c r="G296" s="67">
        <f>SUMIF(Data!$B:$B,'FEB ORDERvsPRO'!$C296,Data!$M:$M)</f>
        <v>0</v>
      </c>
      <c r="H296" s="67">
        <f>SUMIF('Returns Data'!$B:$B,'FEB ORDERvsPRO'!$C296,'Returns Data'!$J:$J)</f>
        <v>0</v>
      </c>
      <c r="I296" s="201" t="str">
        <f>IFERROR(Table141516[[#This Row],[Non Processed]]/Table141516[[#This Row],[Orders]],"")</f>
        <v/>
      </c>
    </row>
    <row r="297" spans="5:9" x14ac:dyDescent="0.25">
      <c r="E297" s="67">
        <f>SUMIF(Data!$B:$B,'FEB ORDERvsPRO'!C297,Data!$J:$J)</f>
        <v>0</v>
      </c>
      <c r="F297" s="67">
        <f>SUMIF(Data!$B:$B,'FEB ORDERvsPRO'!$C297,Data!$L:$L)</f>
        <v>0</v>
      </c>
      <c r="G297" s="67">
        <f>SUMIF(Data!$B:$B,'FEB ORDERvsPRO'!$C297,Data!$M:$M)</f>
        <v>0</v>
      </c>
      <c r="H297" s="67">
        <f>SUMIF('Returns Data'!$B:$B,'FEB ORDERvsPRO'!$C297,'Returns Data'!$J:$J)</f>
        <v>0</v>
      </c>
      <c r="I297" s="201" t="str">
        <f>IFERROR(Table141516[[#This Row],[Non Processed]]/Table141516[[#This Row],[Orders]],"")</f>
        <v/>
      </c>
    </row>
    <row r="298" spans="5:9" x14ac:dyDescent="0.25">
      <c r="E298" s="67">
        <f>SUMIF(Data!$B:$B,'FEB ORDERvsPRO'!C298,Data!$J:$J)</f>
        <v>0</v>
      </c>
      <c r="F298" s="67">
        <f>SUMIF(Data!$B:$B,'FEB ORDERvsPRO'!$C298,Data!$L:$L)</f>
        <v>0</v>
      </c>
      <c r="G298" s="67">
        <f>SUMIF(Data!$B:$B,'FEB ORDERvsPRO'!$C298,Data!$M:$M)</f>
        <v>0</v>
      </c>
      <c r="H298" s="67">
        <f>SUMIF('Returns Data'!$B:$B,'FEB ORDERvsPRO'!$C298,'Returns Data'!$J:$J)</f>
        <v>0</v>
      </c>
      <c r="I298" s="201" t="str">
        <f>IFERROR(Table141516[[#This Row],[Non Processed]]/Table141516[[#This Row],[Orders]],"")</f>
        <v/>
      </c>
    </row>
    <row r="299" spans="5:9" x14ac:dyDescent="0.25">
      <c r="E299" s="67">
        <f>SUMIF(Data!$B:$B,'FEB ORDERvsPRO'!C299,Data!$J:$J)</f>
        <v>0</v>
      </c>
      <c r="F299" s="67">
        <f>SUMIF(Data!$B:$B,'FEB ORDERvsPRO'!$C299,Data!$L:$L)</f>
        <v>0</v>
      </c>
      <c r="G299" s="67">
        <f>SUMIF(Data!$B:$B,'FEB ORDERvsPRO'!$C299,Data!$M:$M)</f>
        <v>0</v>
      </c>
      <c r="H299" s="67">
        <f>SUMIF('Returns Data'!$B:$B,'FEB ORDERvsPRO'!$C299,'Returns Data'!$J:$J)</f>
        <v>0</v>
      </c>
      <c r="I299" s="201" t="str">
        <f>IFERROR(Table141516[[#This Row],[Non Processed]]/Table141516[[#This Row],[Orders]],"")</f>
        <v/>
      </c>
    </row>
    <row r="300" spans="5:9" x14ac:dyDescent="0.25">
      <c r="E300" s="67">
        <f>SUMIF(Data!$B:$B,'FEB ORDERvsPRO'!C300,Data!$J:$J)</f>
        <v>0</v>
      </c>
      <c r="F300" s="67">
        <f>SUMIF(Data!$B:$B,'FEB ORDERvsPRO'!$C300,Data!$L:$L)</f>
        <v>0</v>
      </c>
      <c r="G300" s="67">
        <f>SUMIF(Data!$B:$B,'FEB ORDERvsPRO'!$C300,Data!$M:$M)</f>
        <v>0</v>
      </c>
      <c r="H300" s="67">
        <f>SUMIF('Returns Data'!$B:$B,'FEB ORDERvsPRO'!$C300,'Returns Data'!$J:$J)</f>
        <v>0</v>
      </c>
      <c r="I300" s="201" t="str">
        <f>IFERROR(Table141516[[#This Row],[Non Processed]]/Table141516[[#This Row],[Orders]],"")</f>
        <v/>
      </c>
    </row>
    <row r="301" spans="5:9" x14ac:dyDescent="0.25">
      <c r="E301" s="67">
        <f>SUMIF(Data!$B:$B,'FEB ORDERvsPRO'!C301,Data!$J:$J)</f>
        <v>0</v>
      </c>
      <c r="F301" s="67">
        <f>SUMIF(Data!$B:$B,'FEB ORDERvsPRO'!$C301,Data!$L:$L)</f>
        <v>0</v>
      </c>
      <c r="G301" s="67">
        <f>SUMIF(Data!$B:$B,'FEB ORDERvsPRO'!$C301,Data!$M:$M)</f>
        <v>0</v>
      </c>
      <c r="H301" s="67">
        <f>SUMIF('Returns Data'!$B:$B,'FEB ORDERvsPRO'!$C301,'Returns Data'!$J:$J)</f>
        <v>0</v>
      </c>
      <c r="I301" s="201" t="str">
        <f>IFERROR(Table141516[[#This Row],[Non Processed]]/Table141516[[#This Row],[Orders]],"")</f>
        <v/>
      </c>
    </row>
    <row r="302" spans="5:9" x14ac:dyDescent="0.25">
      <c r="E302" s="67">
        <f>SUMIF(Data!$B:$B,'FEB ORDERvsPRO'!C302,Data!$J:$J)</f>
        <v>0</v>
      </c>
      <c r="F302" s="67">
        <f>SUMIF(Data!$B:$B,'FEB ORDERvsPRO'!$C302,Data!$L:$L)</f>
        <v>0</v>
      </c>
      <c r="G302" s="67">
        <f>SUMIF(Data!$B:$B,'FEB ORDERvsPRO'!$C302,Data!$M:$M)</f>
        <v>0</v>
      </c>
      <c r="H302" s="67">
        <f>SUMIF('Returns Data'!$B:$B,'FEB ORDERvsPRO'!$C302,'Returns Data'!$J:$J)</f>
        <v>0</v>
      </c>
      <c r="I302" s="201" t="str">
        <f>IFERROR(Table141516[[#This Row],[Non Processed]]/Table141516[[#This Row],[Orders]],"")</f>
        <v/>
      </c>
    </row>
    <row r="303" spans="5:9" x14ac:dyDescent="0.25">
      <c r="E303" s="67">
        <f>SUMIF(Data!$B:$B,'FEB ORDERvsPRO'!C303,Data!$J:$J)</f>
        <v>0</v>
      </c>
      <c r="F303" s="67">
        <f>SUMIF(Data!$B:$B,'FEB ORDERvsPRO'!$C303,Data!$L:$L)</f>
        <v>0</v>
      </c>
      <c r="G303" s="67">
        <f>SUMIF(Data!$B:$B,'FEB ORDERvsPRO'!$C303,Data!$M:$M)</f>
        <v>0</v>
      </c>
      <c r="H303" s="67">
        <f>SUMIF('Returns Data'!$B:$B,'FEB ORDERvsPRO'!$C303,'Returns Data'!$J:$J)</f>
        <v>0</v>
      </c>
      <c r="I303" s="201" t="str">
        <f>IFERROR(Table141516[[#This Row],[Non Processed]]/Table141516[[#This Row],[Orders]],"")</f>
        <v/>
      </c>
    </row>
    <row r="304" spans="5:9" x14ac:dyDescent="0.25">
      <c r="E304" s="67">
        <f>SUMIF(Data!$B:$B,'FEB ORDERvsPRO'!C304,Data!$J:$J)</f>
        <v>0</v>
      </c>
      <c r="F304" s="67">
        <f>SUMIF(Data!$B:$B,'FEB ORDERvsPRO'!$C304,Data!$L:$L)</f>
        <v>0</v>
      </c>
      <c r="G304" s="67">
        <f>SUMIF(Data!$B:$B,'FEB ORDERvsPRO'!$C304,Data!$M:$M)</f>
        <v>0</v>
      </c>
      <c r="H304" s="67">
        <f>SUMIF('Returns Data'!$B:$B,'FEB ORDERvsPRO'!$C304,'Returns Data'!$J:$J)</f>
        <v>0</v>
      </c>
      <c r="I304" s="201" t="str">
        <f>IFERROR(Table141516[[#This Row],[Non Processed]]/Table141516[[#This Row],[Orders]],"")</f>
        <v/>
      </c>
    </row>
    <row r="305" spans="5:9" x14ac:dyDescent="0.25">
      <c r="E305" s="67">
        <f>SUMIF(Data!$B:$B,'FEB ORDERvsPRO'!C305,Data!$J:$J)</f>
        <v>0</v>
      </c>
      <c r="F305" s="67">
        <f>SUMIF(Data!$B:$B,'FEB ORDERvsPRO'!$C305,Data!$L:$L)</f>
        <v>0</v>
      </c>
      <c r="G305" s="67">
        <f>SUMIF(Data!$B:$B,'FEB ORDERvsPRO'!$C305,Data!$M:$M)</f>
        <v>0</v>
      </c>
      <c r="H305" s="67">
        <f>SUMIF('Returns Data'!$B:$B,'FEB ORDERvsPRO'!$C305,'Returns Data'!$J:$J)</f>
        <v>0</v>
      </c>
      <c r="I305" s="201" t="str">
        <f>IFERROR(Table141516[[#This Row],[Non Processed]]/Table141516[[#This Row],[Orders]],"")</f>
        <v/>
      </c>
    </row>
    <row r="306" spans="5:9" x14ac:dyDescent="0.25">
      <c r="E306" s="67">
        <f>SUMIF(Data!$B:$B,'FEB ORDERvsPRO'!C306,Data!$J:$J)</f>
        <v>0</v>
      </c>
      <c r="F306" s="67">
        <f>SUMIF(Data!$B:$B,'FEB ORDERvsPRO'!$C306,Data!$L:$L)</f>
        <v>0</v>
      </c>
      <c r="G306" s="67">
        <f>SUMIF(Data!$B:$B,'FEB ORDERvsPRO'!$C306,Data!$M:$M)</f>
        <v>0</v>
      </c>
      <c r="H306" s="67">
        <f>SUMIF('Returns Data'!$B:$B,'FEB ORDERvsPRO'!$C306,'Returns Data'!$J:$J)</f>
        <v>0</v>
      </c>
      <c r="I306" s="201" t="str">
        <f>IFERROR(Table141516[[#This Row],[Non Processed]]/Table141516[[#This Row],[Orders]],"")</f>
        <v/>
      </c>
    </row>
    <row r="307" spans="5:9" x14ac:dyDescent="0.25">
      <c r="E307" s="67">
        <f>SUMIF(Data!$B:$B,'FEB ORDERvsPRO'!C307,Data!$J:$J)</f>
        <v>0</v>
      </c>
      <c r="F307" s="67">
        <f>SUMIF(Data!$B:$B,'FEB ORDERvsPRO'!$C307,Data!$L:$L)</f>
        <v>0</v>
      </c>
      <c r="G307" s="67">
        <f>SUMIF(Data!$B:$B,'FEB ORDERvsPRO'!$C307,Data!$M:$M)</f>
        <v>0</v>
      </c>
      <c r="H307" s="67">
        <f>SUMIF('Returns Data'!$B:$B,'FEB ORDERvsPRO'!$C307,'Returns Data'!$J:$J)</f>
        <v>0</v>
      </c>
      <c r="I307" s="201" t="str">
        <f>IFERROR(Table141516[[#This Row],[Non Processed]]/Table141516[[#This Row],[Orders]],"")</f>
        <v/>
      </c>
    </row>
    <row r="308" spans="5:9" x14ac:dyDescent="0.25">
      <c r="E308" s="67">
        <f>SUMIF(Data!$B:$B,'FEB ORDERvsPRO'!C308,Data!$J:$J)</f>
        <v>0</v>
      </c>
      <c r="F308" s="67">
        <f>SUMIF(Data!$B:$B,'FEB ORDERvsPRO'!$C308,Data!$L:$L)</f>
        <v>0</v>
      </c>
      <c r="G308" s="67">
        <f>SUMIF(Data!$B:$B,'FEB ORDERvsPRO'!$C308,Data!$M:$M)</f>
        <v>0</v>
      </c>
      <c r="H308" s="67">
        <f>SUMIF('Returns Data'!$B:$B,'FEB ORDERvsPRO'!$C308,'Returns Data'!$J:$J)</f>
        <v>0</v>
      </c>
      <c r="I308" s="201" t="str">
        <f>IFERROR(Table141516[[#This Row],[Non Processed]]/Table141516[[#This Row],[Orders]],"")</f>
        <v/>
      </c>
    </row>
    <row r="309" spans="5:9" x14ac:dyDescent="0.25">
      <c r="E309" s="67">
        <f>SUMIF(Data!$B:$B,'FEB ORDERvsPRO'!C309,Data!$J:$J)</f>
        <v>0</v>
      </c>
      <c r="F309" s="67">
        <f>SUMIF(Data!$B:$B,'FEB ORDERvsPRO'!$C309,Data!$L:$L)</f>
        <v>0</v>
      </c>
      <c r="G309" s="67">
        <f>SUMIF(Data!$B:$B,'FEB ORDERvsPRO'!$C309,Data!$M:$M)</f>
        <v>0</v>
      </c>
      <c r="H309" s="67">
        <f>SUMIF('Returns Data'!$B:$B,'FEB ORDERvsPRO'!$C309,'Returns Data'!$J:$J)</f>
        <v>0</v>
      </c>
      <c r="I309" s="201" t="str">
        <f>IFERROR(Table141516[[#This Row],[Non Processed]]/Table141516[[#This Row],[Orders]],"")</f>
        <v/>
      </c>
    </row>
    <row r="310" spans="5:9" x14ac:dyDescent="0.25">
      <c r="E310" s="67">
        <f>SUMIF(Data!$B:$B,'FEB ORDERvsPRO'!C310,Data!$J:$J)</f>
        <v>0</v>
      </c>
      <c r="F310" s="67">
        <f>SUMIF(Data!$B:$B,'FEB ORDERvsPRO'!$C310,Data!$L:$L)</f>
        <v>0</v>
      </c>
      <c r="G310" s="67">
        <f>SUMIF(Data!$B:$B,'FEB ORDERvsPRO'!$C310,Data!$M:$M)</f>
        <v>0</v>
      </c>
      <c r="H310" s="67">
        <f>SUMIF('Returns Data'!$B:$B,'FEB ORDERvsPRO'!$C310,'Returns Data'!$J:$J)</f>
        <v>0</v>
      </c>
      <c r="I310" s="201" t="str">
        <f>IFERROR(Table141516[[#This Row],[Non Processed]]/Table141516[[#This Row],[Orders]],"")</f>
        <v/>
      </c>
    </row>
    <row r="311" spans="5:9" x14ac:dyDescent="0.25">
      <c r="E311" s="67">
        <f>SUMIF(Data!$B:$B,'FEB ORDERvsPRO'!C311,Data!$J:$J)</f>
        <v>0</v>
      </c>
      <c r="F311" s="67">
        <f>SUMIF(Data!$B:$B,'FEB ORDERvsPRO'!$C311,Data!$L:$L)</f>
        <v>0</v>
      </c>
      <c r="G311" s="67">
        <f>SUMIF(Data!$B:$B,'FEB ORDERvsPRO'!$C311,Data!$M:$M)</f>
        <v>0</v>
      </c>
      <c r="H311" s="67">
        <f>SUMIF('Returns Data'!$B:$B,'FEB ORDERvsPRO'!$C311,'Returns Data'!$J:$J)</f>
        <v>0</v>
      </c>
      <c r="I311" s="201" t="str">
        <f>IFERROR(Table141516[[#This Row],[Non Processed]]/Table141516[[#This Row],[Orders]],"")</f>
        <v/>
      </c>
    </row>
    <row r="312" spans="5:9" x14ac:dyDescent="0.25">
      <c r="E312" s="67">
        <f>SUMIF(Data!$B:$B,'FEB ORDERvsPRO'!C312,Data!$J:$J)</f>
        <v>0</v>
      </c>
      <c r="F312" s="67">
        <f>SUMIF(Data!$B:$B,'FEB ORDERvsPRO'!$C312,Data!$L:$L)</f>
        <v>0</v>
      </c>
      <c r="G312" s="67">
        <f>SUMIF(Data!$B:$B,'FEB ORDERvsPRO'!$C312,Data!$M:$M)</f>
        <v>0</v>
      </c>
      <c r="H312" s="67">
        <f>SUMIF('Returns Data'!$B:$B,'FEB ORDERvsPRO'!$C312,'Returns Data'!$J:$J)</f>
        <v>0</v>
      </c>
      <c r="I312" s="201" t="str">
        <f>IFERROR(Table141516[[#This Row],[Non Processed]]/Table141516[[#This Row],[Orders]],"")</f>
        <v/>
      </c>
    </row>
    <row r="313" spans="5:9" x14ac:dyDescent="0.25">
      <c r="E313" s="67">
        <f>SUMIF(Data!$B:$B,'FEB ORDERvsPRO'!C313,Data!$J:$J)</f>
        <v>0</v>
      </c>
      <c r="F313" s="67">
        <f>SUMIF(Data!$B:$B,'FEB ORDERvsPRO'!$C313,Data!$L:$L)</f>
        <v>0</v>
      </c>
      <c r="G313" s="67">
        <f>SUMIF(Data!$B:$B,'FEB ORDERvsPRO'!$C313,Data!$M:$M)</f>
        <v>0</v>
      </c>
      <c r="H313" s="67">
        <f>SUMIF('Returns Data'!$B:$B,'FEB ORDERvsPRO'!$C313,'Returns Data'!$J:$J)</f>
        <v>0</v>
      </c>
      <c r="I313" s="201" t="str">
        <f>IFERROR(Table141516[[#This Row],[Non Processed]]/Table141516[[#This Row],[Orders]],"")</f>
        <v/>
      </c>
    </row>
    <row r="314" spans="5:9" x14ac:dyDescent="0.25">
      <c r="E314" s="67">
        <f>SUMIF(Data!$B:$B,'FEB ORDERvsPRO'!C314,Data!$J:$J)</f>
        <v>0</v>
      </c>
      <c r="F314" s="67">
        <f>SUMIF(Data!$B:$B,'FEB ORDERvsPRO'!$C314,Data!$L:$L)</f>
        <v>0</v>
      </c>
      <c r="G314" s="67">
        <f>SUMIF(Data!$B:$B,'FEB ORDERvsPRO'!$C314,Data!$M:$M)</f>
        <v>0</v>
      </c>
      <c r="H314" s="67">
        <f>SUMIF('Returns Data'!$B:$B,'FEB ORDERvsPRO'!$C314,'Returns Data'!$J:$J)</f>
        <v>0</v>
      </c>
      <c r="I314" s="201" t="str">
        <f>IFERROR(Table141516[[#This Row],[Non Processed]]/Table141516[[#This Row],[Orders]],"")</f>
        <v/>
      </c>
    </row>
    <row r="315" spans="5:9" x14ac:dyDescent="0.25">
      <c r="E315" s="67">
        <f>SUMIF(Data!$B:$B,'FEB ORDERvsPRO'!C315,Data!$J:$J)</f>
        <v>0</v>
      </c>
      <c r="F315" s="67">
        <f>SUMIF(Data!$B:$B,'FEB ORDERvsPRO'!$C315,Data!$L:$L)</f>
        <v>0</v>
      </c>
      <c r="G315" s="67">
        <f>SUMIF(Data!$B:$B,'FEB ORDERvsPRO'!$C315,Data!$M:$M)</f>
        <v>0</v>
      </c>
      <c r="H315" s="67">
        <f>SUMIF('Returns Data'!$B:$B,'FEB ORDERvsPRO'!$C315,'Returns Data'!$J:$J)</f>
        <v>0</v>
      </c>
      <c r="I315" s="201" t="str">
        <f>IFERROR(Table141516[[#This Row],[Non Processed]]/Table141516[[#This Row],[Orders]],"")</f>
        <v/>
      </c>
    </row>
    <row r="316" spans="5:9" x14ac:dyDescent="0.25">
      <c r="E316" s="67">
        <f>SUMIF(Data!$B:$B,'FEB ORDERvsPRO'!C316,Data!$J:$J)</f>
        <v>0</v>
      </c>
      <c r="F316" s="67">
        <f>SUMIF(Data!$B:$B,'FEB ORDERvsPRO'!$C316,Data!$L:$L)</f>
        <v>0</v>
      </c>
      <c r="G316" s="67">
        <f>SUMIF(Data!$B:$B,'FEB ORDERvsPRO'!$C316,Data!$M:$M)</f>
        <v>0</v>
      </c>
      <c r="H316" s="67">
        <f>SUMIF('Returns Data'!$B:$B,'FEB ORDERvsPRO'!$C316,'Returns Data'!$J:$J)</f>
        <v>0</v>
      </c>
      <c r="I316" s="201" t="str">
        <f>IFERROR(Table141516[[#This Row],[Non Processed]]/Table141516[[#This Row],[Orders]],"")</f>
        <v/>
      </c>
    </row>
    <row r="317" spans="5:9" x14ac:dyDescent="0.25">
      <c r="E317" s="67">
        <f>SUMIF(Data!$B:$B,'FEB ORDERvsPRO'!C317,Data!$J:$J)</f>
        <v>0</v>
      </c>
      <c r="F317" s="67">
        <f>SUMIF(Data!$B:$B,'FEB ORDERvsPRO'!$C317,Data!$L:$L)</f>
        <v>0</v>
      </c>
      <c r="G317" s="67">
        <f>SUMIF(Data!$B:$B,'FEB ORDERvsPRO'!$C317,Data!$M:$M)</f>
        <v>0</v>
      </c>
      <c r="H317" s="67">
        <f>SUMIF('Returns Data'!$B:$B,'FEB ORDERvsPRO'!$C317,'Returns Data'!$J:$J)</f>
        <v>0</v>
      </c>
      <c r="I317" s="201" t="str">
        <f>IFERROR(Table141516[[#This Row],[Non Processed]]/Table141516[[#This Row],[Orders]],"")</f>
        <v/>
      </c>
    </row>
    <row r="318" spans="5:9" x14ac:dyDescent="0.25">
      <c r="E318" s="67">
        <f>SUMIF(Data!$B:$B,'FEB ORDERvsPRO'!C318,Data!$J:$J)</f>
        <v>0</v>
      </c>
      <c r="F318" s="67">
        <f>SUMIF(Data!$B:$B,'FEB ORDERvsPRO'!$C318,Data!$L:$L)</f>
        <v>0</v>
      </c>
      <c r="G318" s="67">
        <f>SUMIF(Data!$B:$B,'FEB ORDERvsPRO'!$C318,Data!$M:$M)</f>
        <v>0</v>
      </c>
      <c r="H318" s="67">
        <f>SUMIF('Returns Data'!$B:$B,'FEB ORDERvsPRO'!$C318,'Returns Data'!$J:$J)</f>
        <v>0</v>
      </c>
      <c r="I318" s="201" t="str">
        <f>IFERROR(Table141516[[#This Row],[Non Processed]]/Table141516[[#This Row],[Orders]],"")</f>
        <v/>
      </c>
    </row>
    <row r="319" spans="5:9" x14ac:dyDescent="0.25">
      <c r="E319" s="67">
        <f>SUMIF(Data!$B:$B,'FEB ORDERvsPRO'!C319,Data!$J:$J)</f>
        <v>0</v>
      </c>
      <c r="F319" s="67">
        <f>SUMIF(Data!$B:$B,'FEB ORDERvsPRO'!$C319,Data!$L:$L)</f>
        <v>0</v>
      </c>
      <c r="G319" s="67">
        <f>SUMIF(Data!$B:$B,'FEB ORDERvsPRO'!$C319,Data!$M:$M)</f>
        <v>0</v>
      </c>
      <c r="H319" s="67">
        <f>SUMIF('Returns Data'!$B:$B,'FEB ORDERvsPRO'!$C319,'Returns Data'!$J:$J)</f>
        <v>0</v>
      </c>
      <c r="I319" s="201" t="str">
        <f>IFERROR(Table141516[[#This Row],[Non Processed]]/Table141516[[#This Row],[Orders]],"")</f>
        <v/>
      </c>
    </row>
    <row r="320" spans="5:9" x14ac:dyDescent="0.25">
      <c r="E320" s="67">
        <f>SUMIF(Data!$B:$B,'FEB ORDERvsPRO'!C320,Data!$J:$J)</f>
        <v>0</v>
      </c>
      <c r="F320" s="67">
        <f>SUMIF(Data!$B:$B,'FEB ORDERvsPRO'!$C320,Data!$L:$L)</f>
        <v>0</v>
      </c>
      <c r="G320" s="67">
        <f>SUMIF(Data!$B:$B,'FEB ORDERvsPRO'!$C320,Data!$M:$M)</f>
        <v>0</v>
      </c>
      <c r="H320" s="67">
        <f>SUMIF('Returns Data'!$B:$B,'FEB ORDERvsPRO'!$C320,'Returns Data'!$J:$J)</f>
        <v>0</v>
      </c>
      <c r="I320" s="201" t="str">
        <f>IFERROR(Table141516[[#This Row],[Non Processed]]/Table141516[[#This Row],[Orders]],"")</f>
        <v/>
      </c>
    </row>
    <row r="321" spans="5:9" x14ac:dyDescent="0.25">
      <c r="E321" s="67">
        <f>SUMIF(Data!$B:$B,'FEB ORDERvsPRO'!C321,Data!$J:$J)</f>
        <v>0</v>
      </c>
      <c r="F321" s="67">
        <f>SUMIF(Data!$B:$B,'FEB ORDERvsPRO'!$C321,Data!$L:$L)</f>
        <v>0</v>
      </c>
      <c r="G321" s="67">
        <f>SUMIF(Data!$B:$B,'FEB ORDERvsPRO'!$C321,Data!$M:$M)</f>
        <v>0</v>
      </c>
      <c r="H321" s="67">
        <f>SUMIF('Returns Data'!$B:$B,'FEB ORDERvsPRO'!$C321,'Returns Data'!$J:$J)</f>
        <v>0</v>
      </c>
      <c r="I321" s="201" t="str">
        <f>IFERROR(Table141516[[#This Row],[Non Processed]]/Table141516[[#This Row],[Orders]],"")</f>
        <v/>
      </c>
    </row>
    <row r="322" spans="5:9" x14ac:dyDescent="0.25">
      <c r="E322" s="67">
        <f>SUMIF(Data!$B:$B,'FEB ORDERvsPRO'!C322,Data!$J:$J)</f>
        <v>0</v>
      </c>
      <c r="F322" s="67">
        <f>SUMIF(Data!$B:$B,'FEB ORDERvsPRO'!$C322,Data!$L:$L)</f>
        <v>0</v>
      </c>
      <c r="G322" s="67">
        <f>SUMIF(Data!$B:$B,'FEB ORDERvsPRO'!$C322,Data!$M:$M)</f>
        <v>0</v>
      </c>
      <c r="H322" s="67">
        <f>SUMIF('Returns Data'!$B:$B,'FEB ORDERvsPRO'!$C322,'Returns Data'!$J:$J)</f>
        <v>0</v>
      </c>
      <c r="I322" s="201" t="str">
        <f>IFERROR(Table141516[[#This Row],[Non Processed]]/Table141516[[#This Row],[Orders]],"")</f>
        <v/>
      </c>
    </row>
    <row r="323" spans="5:9" x14ac:dyDescent="0.25">
      <c r="E323" s="67">
        <f>SUMIF(Data!$B:$B,'FEB ORDERvsPRO'!C323,Data!$J:$J)</f>
        <v>0</v>
      </c>
      <c r="F323" s="67">
        <f>SUMIF(Data!$B:$B,'FEB ORDERvsPRO'!$C323,Data!$L:$L)</f>
        <v>0</v>
      </c>
      <c r="G323" s="67">
        <f>SUMIF(Data!$B:$B,'FEB ORDERvsPRO'!$C323,Data!$M:$M)</f>
        <v>0</v>
      </c>
      <c r="H323" s="67">
        <f>SUMIF('Returns Data'!$B:$B,'FEB ORDERvsPRO'!$C323,'Returns Data'!$J:$J)</f>
        <v>0</v>
      </c>
      <c r="I323" s="201" t="str">
        <f>IFERROR(Table141516[[#This Row],[Non Processed]]/Table141516[[#This Row],[Orders]],"")</f>
        <v/>
      </c>
    </row>
    <row r="324" spans="5:9" x14ac:dyDescent="0.25">
      <c r="E324" s="67">
        <f>SUMIF(Data!$B:$B,'FEB ORDERvsPRO'!C324,Data!$J:$J)</f>
        <v>0</v>
      </c>
      <c r="F324" s="67">
        <f>SUMIF(Data!$B:$B,'FEB ORDERvsPRO'!$C324,Data!$L:$L)</f>
        <v>0</v>
      </c>
      <c r="G324" s="67">
        <f>SUMIF(Data!$B:$B,'FEB ORDERvsPRO'!$C324,Data!$M:$M)</f>
        <v>0</v>
      </c>
      <c r="H324" s="67">
        <f>SUMIF('Returns Data'!$B:$B,'FEB ORDERvsPRO'!$C324,'Returns Data'!$J:$J)</f>
        <v>0</v>
      </c>
      <c r="I324" s="201" t="str">
        <f>IFERROR(Table141516[[#This Row],[Non Processed]]/Table141516[[#This Row],[Orders]],"")</f>
        <v/>
      </c>
    </row>
    <row r="325" spans="5:9" x14ac:dyDescent="0.25">
      <c r="E325" s="67">
        <f>SUMIF(Data!$B:$B,'FEB ORDERvsPRO'!C325,Data!$J:$J)</f>
        <v>0</v>
      </c>
      <c r="F325" s="67">
        <f>SUMIF(Data!$B:$B,'FEB ORDERvsPRO'!$C325,Data!$L:$L)</f>
        <v>0</v>
      </c>
      <c r="G325" s="67">
        <f>SUMIF(Data!$B:$B,'FEB ORDERvsPRO'!$C325,Data!$M:$M)</f>
        <v>0</v>
      </c>
      <c r="H325" s="67">
        <f>SUMIF('Returns Data'!$B:$B,'FEB ORDERvsPRO'!$C325,'Returns Data'!$J:$J)</f>
        <v>0</v>
      </c>
      <c r="I325" s="201" t="str">
        <f>IFERROR(Table141516[[#This Row],[Non Processed]]/Table141516[[#This Row],[Orders]],"")</f>
        <v/>
      </c>
    </row>
    <row r="326" spans="5:9" x14ac:dyDescent="0.25">
      <c r="E326" s="67">
        <f>SUMIF(Data!$B:$B,'FEB ORDERvsPRO'!C326,Data!$J:$J)</f>
        <v>0</v>
      </c>
      <c r="F326" s="67">
        <f>SUMIF(Data!$B:$B,'FEB ORDERvsPRO'!$C326,Data!$L:$L)</f>
        <v>0</v>
      </c>
      <c r="G326" s="67">
        <f>SUMIF(Data!$B:$B,'FEB ORDERvsPRO'!$C326,Data!$M:$M)</f>
        <v>0</v>
      </c>
      <c r="H326" s="67">
        <f>SUMIF('Returns Data'!$B:$B,'FEB ORDERvsPRO'!$C326,'Returns Data'!$J:$J)</f>
        <v>0</v>
      </c>
      <c r="I326" s="201" t="str">
        <f>IFERROR(Table141516[[#This Row],[Non Processed]]/Table141516[[#This Row],[Orders]],"")</f>
        <v/>
      </c>
    </row>
    <row r="327" spans="5:9" x14ac:dyDescent="0.25">
      <c r="E327" s="67">
        <f>SUMIF(Data!$B:$B,'FEB ORDERvsPRO'!C327,Data!$J:$J)</f>
        <v>0</v>
      </c>
      <c r="F327" s="67">
        <f>SUMIF(Data!$B:$B,'FEB ORDERvsPRO'!$C327,Data!$L:$L)</f>
        <v>0</v>
      </c>
      <c r="G327" s="67">
        <f>SUMIF(Data!$B:$B,'FEB ORDERvsPRO'!$C327,Data!$M:$M)</f>
        <v>0</v>
      </c>
      <c r="H327" s="67">
        <f>SUMIF('Returns Data'!$B:$B,'FEB ORDERvsPRO'!$C327,'Returns Data'!$J:$J)</f>
        <v>0</v>
      </c>
      <c r="I327" s="201" t="str">
        <f>IFERROR(Table141516[[#This Row],[Non Processed]]/Table141516[[#This Row],[Orders]],"")</f>
        <v/>
      </c>
    </row>
    <row r="328" spans="5:9" x14ac:dyDescent="0.25">
      <c r="E328" s="67">
        <f>SUMIF(Data!$B:$B,'FEB ORDERvsPRO'!C328,Data!$J:$J)</f>
        <v>0</v>
      </c>
      <c r="F328" s="67">
        <f>SUMIF(Data!$B:$B,'FEB ORDERvsPRO'!$C328,Data!$L:$L)</f>
        <v>0</v>
      </c>
      <c r="G328" s="67">
        <f>SUMIF(Data!$B:$B,'FEB ORDERvsPRO'!$C328,Data!$M:$M)</f>
        <v>0</v>
      </c>
      <c r="H328" s="67">
        <f>SUMIF('Returns Data'!$B:$B,'FEB ORDERvsPRO'!$C328,'Returns Data'!$J:$J)</f>
        <v>0</v>
      </c>
      <c r="I328" s="201" t="str">
        <f>IFERROR(Table141516[[#This Row],[Non Processed]]/Table141516[[#This Row],[Orders]],"")</f>
        <v/>
      </c>
    </row>
    <row r="329" spans="5:9" x14ac:dyDescent="0.25">
      <c r="E329" s="67">
        <f>SUMIF(Data!$B:$B,'FEB ORDERvsPRO'!C329,Data!$J:$J)</f>
        <v>0</v>
      </c>
      <c r="F329" s="67">
        <f>SUMIF(Data!$B:$B,'FEB ORDERvsPRO'!$C329,Data!$L:$L)</f>
        <v>0</v>
      </c>
      <c r="G329" s="67">
        <f>SUMIF(Data!$B:$B,'FEB ORDERvsPRO'!$C329,Data!$M:$M)</f>
        <v>0</v>
      </c>
      <c r="H329" s="67">
        <f>SUMIF('Returns Data'!$B:$B,'FEB ORDERvsPRO'!$C329,'Returns Data'!$J:$J)</f>
        <v>0</v>
      </c>
      <c r="I329" s="201" t="str">
        <f>IFERROR(Table141516[[#This Row],[Non Processed]]/Table141516[[#This Row],[Orders]],"")</f>
        <v/>
      </c>
    </row>
    <row r="330" spans="5:9" x14ac:dyDescent="0.25">
      <c r="E330" s="67">
        <f>SUMIF(Data!$B:$B,'FEB ORDERvsPRO'!C330,Data!$J:$J)</f>
        <v>0</v>
      </c>
      <c r="F330" s="67">
        <f>SUMIF(Data!$B:$B,'FEB ORDERvsPRO'!$C330,Data!$L:$L)</f>
        <v>0</v>
      </c>
      <c r="G330" s="67">
        <f>SUMIF(Data!$B:$B,'FEB ORDERvsPRO'!$C330,Data!$M:$M)</f>
        <v>0</v>
      </c>
      <c r="H330" s="67">
        <f>SUMIF('Returns Data'!$B:$B,'FEB ORDERvsPRO'!$C330,'Returns Data'!$J:$J)</f>
        <v>0</v>
      </c>
      <c r="I330" s="201" t="str">
        <f>IFERROR(Table141516[[#This Row],[Non Processed]]/Table141516[[#This Row],[Orders]],"")</f>
        <v/>
      </c>
    </row>
    <row r="331" spans="5:9" x14ac:dyDescent="0.25">
      <c r="E331" s="67">
        <f>SUMIF(Data!$B:$B,'FEB ORDERvsPRO'!C331,Data!$J:$J)</f>
        <v>0</v>
      </c>
      <c r="F331" s="67">
        <f>SUMIF(Data!$B:$B,'FEB ORDERvsPRO'!$C331,Data!$L:$L)</f>
        <v>0</v>
      </c>
      <c r="G331" s="67">
        <f>SUMIF(Data!$B:$B,'FEB ORDERvsPRO'!$C331,Data!$M:$M)</f>
        <v>0</v>
      </c>
      <c r="H331" s="67">
        <f>SUMIF('Returns Data'!$B:$B,'FEB ORDERvsPRO'!$C331,'Returns Data'!$J:$J)</f>
        <v>0</v>
      </c>
      <c r="I331" s="201" t="str">
        <f>IFERROR(Table141516[[#This Row],[Non Processed]]/Table141516[[#This Row],[Orders]],"")</f>
        <v/>
      </c>
    </row>
    <row r="332" spans="5:9" x14ac:dyDescent="0.25">
      <c r="E332" s="67">
        <f>SUMIF(Data!$B:$B,'FEB ORDERvsPRO'!C332,Data!$J:$J)</f>
        <v>0</v>
      </c>
      <c r="F332" s="67">
        <f>SUMIF(Data!$B:$B,'FEB ORDERvsPRO'!$C332,Data!$L:$L)</f>
        <v>0</v>
      </c>
      <c r="G332" s="67">
        <f>SUMIF(Data!$B:$B,'FEB ORDERvsPRO'!$C332,Data!$M:$M)</f>
        <v>0</v>
      </c>
      <c r="H332" s="67">
        <f>SUMIF('Returns Data'!$B:$B,'FEB ORDERvsPRO'!$C332,'Returns Data'!$J:$J)</f>
        <v>0</v>
      </c>
      <c r="I332" s="201" t="str">
        <f>IFERROR(Table141516[[#This Row],[Non Processed]]/Table141516[[#This Row],[Orders]],"")</f>
        <v/>
      </c>
    </row>
    <row r="333" spans="5:9" x14ac:dyDescent="0.25">
      <c r="E333" s="67">
        <f>SUMIF(Data!$B:$B,'FEB ORDERvsPRO'!C333,Data!$J:$J)</f>
        <v>0</v>
      </c>
      <c r="F333" s="67">
        <f>SUMIF(Data!$B:$B,'FEB ORDERvsPRO'!$C333,Data!$L:$L)</f>
        <v>0</v>
      </c>
      <c r="G333" s="67">
        <f>SUMIF(Data!$B:$B,'FEB ORDERvsPRO'!$C333,Data!$M:$M)</f>
        <v>0</v>
      </c>
      <c r="H333" s="67">
        <f>SUMIF('Returns Data'!$B:$B,'FEB ORDERvsPRO'!$C333,'Returns Data'!$J:$J)</f>
        <v>0</v>
      </c>
      <c r="I333" s="201" t="str">
        <f>IFERROR(Table141516[[#This Row],[Non Processed]]/Table141516[[#This Row],[Orders]],"")</f>
        <v/>
      </c>
    </row>
    <row r="334" spans="5:9" x14ac:dyDescent="0.25">
      <c r="E334" s="67">
        <f>SUMIF(Data!$B:$B,'FEB ORDERvsPRO'!C334,Data!$J:$J)</f>
        <v>0</v>
      </c>
      <c r="F334" s="67">
        <f>SUMIF(Data!$B:$B,'FEB ORDERvsPRO'!$C334,Data!$L:$L)</f>
        <v>0</v>
      </c>
      <c r="G334" s="67">
        <f>SUMIF(Data!$B:$B,'FEB ORDERvsPRO'!$C334,Data!$M:$M)</f>
        <v>0</v>
      </c>
      <c r="H334" s="67">
        <f>SUMIF('Returns Data'!$B:$B,'FEB ORDERvsPRO'!$C334,'Returns Data'!$J:$J)</f>
        <v>0</v>
      </c>
      <c r="I334" s="201" t="str">
        <f>IFERROR(Table141516[[#This Row],[Non Processed]]/Table141516[[#This Row],[Orders]],"")</f>
        <v/>
      </c>
    </row>
    <row r="335" spans="5:9" x14ac:dyDescent="0.25">
      <c r="E335" s="67">
        <f>SUMIF(Data!$B:$B,'FEB ORDERvsPRO'!C335,Data!$J:$J)</f>
        <v>0</v>
      </c>
      <c r="F335" s="67">
        <f>SUMIF(Data!$B:$B,'FEB ORDERvsPRO'!$C335,Data!$L:$L)</f>
        <v>0</v>
      </c>
      <c r="G335" s="67">
        <f>SUMIF(Data!$B:$B,'FEB ORDERvsPRO'!$C335,Data!$M:$M)</f>
        <v>0</v>
      </c>
      <c r="H335" s="67">
        <f>SUMIF('Returns Data'!$B:$B,'FEB ORDERvsPRO'!$C335,'Returns Data'!$J:$J)</f>
        <v>0</v>
      </c>
      <c r="I335" s="201" t="str">
        <f>IFERROR(Table141516[[#This Row],[Non Processed]]/Table141516[[#This Row],[Orders]],"")</f>
        <v/>
      </c>
    </row>
    <row r="336" spans="5:9" x14ac:dyDescent="0.25">
      <c r="E336" s="67">
        <f>SUMIF(Data!$B:$B,'FEB ORDERvsPRO'!C336,Data!$J:$J)</f>
        <v>0</v>
      </c>
      <c r="F336" s="67">
        <f>SUMIF(Data!$B:$B,'FEB ORDERvsPRO'!$C336,Data!$L:$L)</f>
        <v>0</v>
      </c>
      <c r="G336" s="67">
        <f>SUMIF(Data!$B:$B,'FEB ORDERvsPRO'!$C336,Data!$M:$M)</f>
        <v>0</v>
      </c>
      <c r="H336" s="67">
        <f>SUMIF('Returns Data'!$B:$B,'FEB ORDERvsPRO'!$C336,'Returns Data'!$J:$J)</f>
        <v>0</v>
      </c>
      <c r="I336" s="201" t="str">
        <f>IFERROR(Table141516[[#This Row],[Non Processed]]/Table141516[[#This Row],[Orders]],"")</f>
        <v/>
      </c>
    </row>
    <row r="337" spans="5:9" x14ac:dyDescent="0.25">
      <c r="E337" s="67">
        <f>SUMIF(Data!$B:$B,'FEB ORDERvsPRO'!C337,Data!$J:$J)</f>
        <v>0</v>
      </c>
      <c r="F337" s="67">
        <f>SUMIF(Data!$B:$B,'FEB ORDERvsPRO'!$C337,Data!$L:$L)</f>
        <v>0</v>
      </c>
      <c r="G337" s="67">
        <f>SUMIF(Data!$B:$B,'FEB ORDERvsPRO'!$C337,Data!$M:$M)</f>
        <v>0</v>
      </c>
      <c r="H337" s="67">
        <f>SUMIF('Returns Data'!$B:$B,'FEB ORDERvsPRO'!$C337,'Returns Data'!$J:$J)</f>
        <v>0</v>
      </c>
      <c r="I337" s="201" t="str">
        <f>IFERROR(Table141516[[#This Row],[Non Processed]]/Table141516[[#This Row],[Orders]],"")</f>
        <v/>
      </c>
    </row>
    <row r="338" spans="5:9" x14ac:dyDescent="0.25">
      <c r="E338" s="67">
        <f>SUMIF(Data!$B:$B,'FEB ORDERvsPRO'!C338,Data!$J:$J)</f>
        <v>0</v>
      </c>
      <c r="F338" s="67">
        <f>SUMIF(Data!$B:$B,'FEB ORDERvsPRO'!$C338,Data!$L:$L)</f>
        <v>0</v>
      </c>
      <c r="G338" s="67">
        <f>SUMIF(Data!$B:$B,'FEB ORDERvsPRO'!$C338,Data!$M:$M)</f>
        <v>0</v>
      </c>
      <c r="H338" s="67">
        <f>SUMIF('Returns Data'!$B:$B,'FEB ORDERvsPRO'!$C338,'Returns Data'!$J:$J)</f>
        <v>0</v>
      </c>
      <c r="I338" s="201" t="str">
        <f>IFERROR(Table141516[[#This Row],[Non Processed]]/Table141516[[#This Row],[Orders]],"")</f>
        <v/>
      </c>
    </row>
    <row r="339" spans="5:9" x14ac:dyDescent="0.25">
      <c r="E339" s="67">
        <f>SUMIF(Data!$B:$B,'FEB ORDERvsPRO'!C339,Data!$J:$J)</f>
        <v>0</v>
      </c>
      <c r="F339" s="67">
        <f>SUMIF(Data!$B:$B,'FEB ORDERvsPRO'!$C339,Data!$L:$L)</f>
        <v>0</v>
      </c>
      <c r="G339" s="67">
        <f>SUMIF(Data!$B:$B,'FEB ORDERvsPRO'!$C339,Data!$M:$M)</f>
        <v>0</v>
      </c>
      <c r="H339" s="67">
        <f>SUMIF('Returns Data'!$B:$B,'FEB ORDERvsPRO'!$C339,'Returns Data'!$J:$J)</f>
        <v>0</v>
      </c>
      <c r="I339" s="201" t="str">
        <f>IFERROR(Table141516[[#This Row],[Non Processed]]/Table141516[[#This Row],[Orders]],"")</f>
        <v/>
      </c>
    </row>
    <row r="340" spans="5:9" x14ac:dyDescent="0.25">
      <c r="E340" s="67">
        <f>SUMIF(Data!$B:$B,'FEB ORDERvsPRO'!C340,Data!$J:$J)</f>
        <v>0</v>
      </c>
      <c r="F340" s="67">
        <f>SUMIF(Data!$B:$B,'FEB ORDERvsPRO'!$C340,Data!$L:$L)</f>
        <v>0</v>
      </c>
      <c r="G340" s="67">
        <f>SUMIF(Data!$B:$B,'FEB ORDERvsPRO'!$C340,Data!$M:$M)</f>
        <v>0</v>
      </c>
      <c r="H340" s="67">
        <f>SUMIF('Returns Data'!$B:$B,'FEB ORDERvsPRO'!$C340,'Returns Data'!$J:$J)</f>
        <v>0</v>
      </c>
      <c r="I340" s="201" t="str">
        <f>IFERROR(Table141516[[#This Row],[Non Processed]]/Table141516[[#This Row],[Orders]],"")</f>
        <v/>
      </c>
    </row>
    <row r="341" spans="5:9" x14ac:dyDescent="0.25">
      <c r="E341" s="67">
        <f>SUMIF(Data!$B:$B,'FEB ORDERvsPRO'!C341,Data!$J:$J)</f>
        <v>0</v>
      </c>
      <c r="F341" s="67">
        <f>SUMIF(Data!$B:$B,'FEB ORDERvsPRO'!$C341,Data!$L:$L)</f>
        <v>0</v>
      </c>
      <c r="G341" s="67">
        <f>SUMIF(Data!$B:$B,'FEB ORDERvsPRO'!$C341,Data!$M:$M)</f>
        <v>0</v>
      </c>
      <c r="H341" s="67">
        <f>SUMIF('Returns Data'!$B:$B,'FEB ORDERvsPRO'!$C341,'Returns Data'!$J:$J)</f>
        <v>0</v>
      </c>
      <c r="I341" s="201" t="str">
        <f>IFERROR(Table141516[[#This Row],[Non Processed]]/Table141516[[#This Row],[Orders]],"")</f>
        <v/>
      </c>
    </row>
    <row r="342" spans="5:9" x14ac:dyDescent="0.25">
      <c r="E342" s="67">
        <f>SUMIF(Data!$B:$B,'FEB ORDERvsPRO'!C342,Data!$J:$J)</f>
        <v>0</v>
      </c>
      <c r="F342" s="67">
        <f>SUMIF(Data!$B:$B,'FEB ORDERvsPRO'!$C342,Data!$L:$L)</f>
        <v>0</v>
      </c>
      <c r="G342" s="67">
        <f>SUMIF(Data!$B:$B,'FEB ORDERvsPRO'!$C342,Data!$M:$M)</f>
        <v>0</v>
      </c>
      <c r="H342" s="67">
        <f>SUMIF('Returns Data'!$B:$B,'FEB ORDERvsPRO'!$C342,'Returns Data'!$J:$J)</f>
        <v>0</v>
      </c>
      <c r="I342" s="201" t="str">
        <f>IFERROR(Table141516[[#This Row],[Non Processed]]/Table141516[[#This Row],[Orders]],"")</f>
        <v/>
      </c>
    </row>
    <row r="343" spans="5:9" x14ac:dyDescent="0.25">
      <c r="E343" s="67">
        <f>SUMIF(Data!$B:$B,'FEB ORDERvsPRO'!C343,Data!$J:$J)</f>
        <v>0</v>
      </c>
      <c r="F343" s="67">
        <f>SUMIF(Data!$B:$B,'FEB ORDERvsPRO'!$C343,Data!$L:$L)</f>
        <v>0</v>
      </c>
      <c r="G343" s="67">
        <f>SUMIF(Data!$B:$B,'FEB ORDERvsPRO'!$C343,Data!$M:$M)</f>
        <v>0</v>
      </c>
      <c r="H343" s="67">
        <f>SUMIF('Returns Data'!$B:$B,'FEB ORDERvsPRO'!$C343,'Returns Data'!$J:$J)</f>
        <v>0</v>
      </c>
      <c r="I343" s="201" t="str">
        <f>IFERROR(Table141516[[#This Row],[Non Processed]]/Table141516[[#This Row],[Orders]],"")</f>
        <v/>
      </c>
    </row>
    <row r="344" spans="5:9" x14ac:dyDescent="0.25">
      <c r="E344" s="67">
        <f>SUMIF(Data!$B:$B,'FEB ORDERvsPRO'!C344,Data!$J:$J)</f>
        <v>0</v>
      </c>
      <c r="F344" s="67">
        <f>SUMIF(Data!$B:$B,'FEB ORDERvsPRO'!$C344,Data!$L:$L)</f>
        <v>0</v>
      </c>
      <c r="G344" s="67">
        <f>SUMIF(Data!$B:$B,'FEB ORDERvsPRO'!$C344,Data!$M:$M)</f>
        <v>0</v>
      </c>
      <c r="H344" s="67">
        <f>SUMIF('Returns Data'!$B:$B,'FEB ORDERvsPRO'!$C344,'Returns Data'!$J:$J)</f>
        <v>0</v>
      </c>
      <c r="I344" s="201" t="str">
        <f>IFERROR(Table141516[[#This Row],[Non Processed]]/Table141516[[#This Row],[Orders]],"")</f>
        <v/>
      </c>
    </row>
    <row r="345" spans="5:9" x14ac:dyDescent="0.25">
      <c r="E345" s="67">
        <f>SUMIF(Data!$B:$B,'FEB ORDERvsPRO'!C345,Data!$J:$J)</f>
        <v>0</v>
      </c>
      <c r="F345" s="67">
        <f>SUMIF(Data!$B:$B,'FEB ORDERvsPRO'!$C345,Data!$L:$L)</f>
        <v>0</v>
      </c>
      <c r="G345" s="67">
        <f>SUMIF(Data!$B:$B,'FEB ORDERvsPRO'!$C345,Data!$M:$M)</f>
        <v>0</v>
      </c>
      <c r="H345" s="67">
        <f>SUMIF('Returns Data'!$B:$B,'FEB ORDERvsPRO'!$C345,'Returns Data'!$J:$J)</f>
        <v>0</v>
      </c>
      <c r="I345" s="201" t="str">
        <f>IFERROR(Table141516[[#This Row],[Non Processed]]/Table141516[[#This Row],[Orders]],"")</f>
        <v/>
      </c>
    </row>
    <row r="346" spans="5:9" x14ac:dyDescent="0.25">
      <c r="E346" s="67">
        <f>SUMIF(Data!$B:$B,'FEB ORDERvsPRO'!C346,Data!$J:$J)</f>
        <v>0</v>
      </c>
      <c r="F346" s="67">
        <f>SUMIF(Data!$B:$B,'FEB ORDERvsPRO'!$C346,Data!$L:$L)</f>
        <v>0</v>
      </c>
      <c r="G346" s="67">
        <f>SUMIF(Data!$B:$B,'FEB ORDERvsPRO'!$C346,Data!$M:$M)</f>
        <v>0</v>
      </c>
      <c r="H346" s="67">
        <f>SUMIF('Returns Data'!$B:$B,'FEB ORDERvsPRO'!$C346,'Returns Data'!$J:$J)</f>
        <v>0</v>
      </c>
      <c r="I346" s="201" t="str">
        <f>IFERROR(Table141516[[#This Row],[Non Processed]]/Table141516[[#This Row],[Orders]],"")</f>
        <v/>
      </c>
    </row>
    <row r="347" spans="5:9" x14ac:dyDescent="0.25">
      <c r="E347" s="67">
        <f>SUMIF(Data!$B:$B,'FEB ORDERvsPRO'!C347,Data!$J:$J)</f>
        <v>0</v>
      </c>
      <c r="F347" s="67">
        <f>SUMIF(Data!$B:$B,'FEB ORDERvsPRO'!$C347,Data!$L:$L)</f>
        <v>0</v>
      </c>
      <c r="G347" s="67">
        <f>SUMIF(Data!$B:$B,'FEB ORDERvsPRO'!$C347,Data!$M:$M)</f>
        <v>0</v>
      </c>
      <c r="H347" s="67">
        <f>SUMIF('Returns Data'!$B:$B,'FEB ORDERvsPRO'!$C347,'Returns Data'!$J:$J)</f>
        <v>0</v>
      </c>
      <c r="I347" s="201" t="str">
        <f>IFERROR(Table141516[[#This Row],[Non Processed]]/Table141516[[#This Row],[Orders]],"")</f>
        <v/>
      </c>
    </row>
    <row r="348" spans="5:9" x14ac:dyDescent="0.25">
      <c r="E348" s="67">
        <f>SUMIF(Data!$B:$B,'FEB ORDERvsPRO'!C348,Data!$J:$J)</f>
        <v>0</v>
      </c>
      <c r="F348" s="67">
        <f>SUMIF(Data!$B:$B,'FEB ORDERvsPRO'!$C348,Data!$L:$L)</f>
        <v>0</v>
      </c>
      <c r="G348" s="67">
        <f>SUMIF(Data!$B:$B,'FEB ORDERvsPRO'!$C348,Data!$M:$M)</f>
        <v>0</v>
      </c>
      <c r="H348" s="67">
        <f>SUMIF('Returns Data'!$B:$B,'FEB ORDERvsPRO'!$C348,'Returns Data'!$J:$J)</f>
        <v>0</v>
      </c>
      <c r="I348" s="201" t="str">
        <f>IFERROR(Table141516[[#This Row],[Non Processed]]/Table141516[[#This Row],[Orders]],"")</f>
        <v/>
      </c>
    </row>
    <row r="349" spans="5:9" x14ac:dyDescent="0.25">
      <c r="E349" s="67">
        <f>SUMIF(Data!$B:$B,'FEB ORDERvsPRO'!C349,Data!$J:$J)</f>
        <v>0</v>
      </c>
      <c r="F349" s="67">
        <f>SUMIF(Data!$B:$B,'FEB ORDERvsPRO'!$C349,Data!$L:$L)</f>
        <v>0</v>
      </c>
      <c r="G349" s="67">
        <f>SUMIF(Data!$B:$B,'FEB ORDERvsPRO'!$C349,Data!$M:$M)</f>
        <v>0</v>
      </c>
      <c r="H349" s="67">
        <f>SUMIF('Returns Data'!$B:$B,'FEB ORDERvsPRO'!$C349,'Returns Data'!$J:$J)</f>
        <v>0</v>
      </c>
      <c r="I349" s="201" t="str">
        <f>IFERROR(Table141516[[#This Row],[Non Processed]]/Table141516[[#This Row],[Orders]],"")</f>
        <v/>
      </c>
    </row>
    <row r="350" spans="5:9" x14ac:dyDescent="0.25">
      <c r="E350" s="67">
        <f>SUMIF(Data!$B:$B,'FEB ORDERvsPRO'!C350,Data!$J:$J)</f>
        <v>0</v>
      </c>
      <c r="F350" s="67">
        <f>SUMIF(Data!$B:$B,'FEB ORDERvsPRO'!$C350,Data!$L:$L)</f>
        <v>0</v>
      </c>
      <c r="G350" s="67">
        <f>SUMIF(Data!$B:$B,'FEB ORDERvsPRO'!$C350,Data!$M:$M)</f>
        <v>0</v>
      </c>
      <c r="H350" s="67">
        <f>SUMIF('Returns Data'!$B:$B,'FEB ORDERvsPRO'!$C350,'Returns Data'!$J:$J)</f>
        <v>0</v>
      </c>
      <c r="I350" s="201" t="str">
        <f>IFERROR(Table141516[[#This Row],[Non Processed]]/Table141516[[#This Row],[Orders]],"")</f>
        <v/>
      </c>
    </row>
    <row r="351" spans="5:9" x14ac:dyDescent="0.25">
      <c r="E351" s="67">
        <f>SUMIF(Data!$B:$B,'FEB ORDERvsPRO'!C351,Data!$J:$J)</f>
        <v>0</v>
      </c>
      <c r="F351" s="67">
        <f>SUMIF(Data!$B:$B,'FEB ORDERvsPRO'!$C351,Data!$L:$L)</f>
        <v>0</v>
      </c>
      <c r="G351" s="67">
        <f>SUMIF(Data!$B:$B,'FEB ORDERvsPRO'!$C351,Data!$M:$M)</f>
        <v>0</v>
      </c>
      <c r="H351" s="67">
        <f>SUMIF('Returns Data'!$B:$B,'FEB ORDERvsPRO'!$C351,'Returns Data'!$J:$J)</f>
        <v>0</v>
      </c>
      <c r="I351" s="201" t="str">
        <f>IFERROR(Table141516[[#This Row],[Non Processed]]/Table141516[[#This Row],[Orders]],"")</f>
        <v/>
      </c>
    </row>
    <row r="352" spans="5:9" x14ac:dyDescent="0.25">
      <c r="E352" s="67">
        <f>SUMIF(Data!$B:$B,'FEB ORDERvsPRO'!C352,Data!$J:$J)</f>
        <v>0</v>
      </c>
      <c r="F352" s="67">
        <f>SUMIF(Data!$B:$B,'FEB ORDERvsPRO'!$C352,Data!$L:$L)</f>
        <v>0</v>
      </c>
      <c r="G352" s="67">
        <f>SUMIF(Data!$B:$B,'FEB ORDERvsPRO'!$C352,Data!$M:$M)</f>
        <v>0</v>
      </c>
      <c r="H352" s="67">
        <f>SUMIF('Returns Data'!$B:$B,'FEB ORDERvsPRO'!$C352,'Returns Data'!$J:$J)</f>
        <v>0</v>
      </c>
      <c r="I352" s="201" t="str">
        <f>IFERROR(Table141516[[#This Row],[Non Processed]]/Table141516[[#This Row],[Orders]],"")</f>
        <v/>
      </c>
    </row>
    <row r="353" spans="5:9" x14ac:dyDescent="0.25">
      <c r="E353" s="67">
        <f>SUMIF(Data!$B:$B,'FEB ORDERvsPRO'!C353,Data!$J:$J)</f>
        <v>0</v>
      </c>
      <c r="F353" s="67">
        <f>SUMIF(Data!$B:$B,'FEB ORDERvsPRO'!$C353,Data!$L:$L)</f>
        <v>0</v>
      </c>
      <c r="G353" s="67">
        <f>SUMIF(Data!$B:$B,'FEB ORDERvsPRO'!$C353,Data!$M:$M)</f>
        <v>0</v>
      </c>
      <c r="H353" s="67">
        <f>SUMIF('Returns Data'!$B:$B,'FEB ORDERvsPRO'!$C353,'Returns Data'!$J:$J)</f>
        <v>0</v>
      </c>
      <c r="I353" s="201" t="str">
        <f>IFERROR(Table141516[[#This Row],[Non Processed]]/Table141516[[#This Row],[Orders]],"")</f>
        <v/>
      </c>
    </row>
    <row r="354" spans="5:9" x14ac:dyDescent="0.25">
      <c r="E354" s="67">
        <f>SUMIF(Data!$B:$B,'FEB ORDERvsPRO'!C354,Data!$J:$J)</f>
        <v>0</v>
      </c>
      <c r="F354" s="67">
        <f>SUMIF(Data!$B:$B,'FEB ORDERvsPRO'!$C354,Data!$L:$L)</f>
        <v>0</v>
      </c>
      <c r="G354" s="67">
        <f>SUMIF(Data!$B:$B,'FEB ORDERvsPRO'!$C354,Data!$M:$M)</f>
        <v>0</v>
      </c>
      <c r="H354" s="67">
        <f>SUMIF('Returns Data'!$B:$B,'FEB ORDERvsPRO'!$C354,'Returns Data'!$J:$J)</f>
        <v>0</v>
      </c>
      <c r="I354" s="201" t="str">
        <f>IFERROR(Table141516[[#This Row],[Non Processed]]/Table141516[[#This Row],[Orders]],"")</f>
        <v/>
      </c>
    </row>
    <row r="355" spans="5:9" x14ac:dyDescent="0.25">
      <c r="E355" s="67">
        <f>SUMIF(Data!$B:$B,'FEB ORDERvsPRO'!C355,Data!$J:$J)</f>
        <v>0</v>
      </c>
      <c r="F355" s="67">
        <f>SUMIF(Data!$B:$B,'FEB ORDERvsPRO'!$C355,Data!$L:$L)</f>
        <v>0</v>
      </c>
      <c r="G355" s="67">
        <f>SUMIF(Data!$B:$B,'FEB ORDERvsPRO'!$C355,Data!$M:$M)</f>
        <v>0</v>
      </c>
      <c r="H355" s="67">
        <f>SUMIF('Returns Data'!$B:$B,'FEB ORDERvsPRO'!$C355,'Returns Data'!$J:$J)</f>
        <v>0</v>
      </c>
      <c r="I355" s="201" t="str">
        <f>IFERROR(Table141516[[#This Row],[Non Processed]]/Table141516[[#This Row],[Orders]],"")</f>
        <v/>
      </c>
    </row>
    <row r="356" spans="5:9" x14ac:dyDescent="0.25">
      <c r="E356" s="67">
        <f>SUMIF(Data!$B:$B,'FEB ORDERvsPRO'!C356,Data!$J:$J)</f>
        <v>0</v>
      </c>
      <c r="F356" s="67">
        <f>SUMIF(Data!$B:$B,'FEB ORDERvsPRO'!$C356,Data!$L:$L)</f>
        <v>0</v>
      </c>
      <c r="G356" s="67">
        <f>SUMIF(Data!$B:$B,'FEB ORDERvsPRO'!$C356,Data!$M:$M)</f>
        <v>0</v>
      </c>
      <c r="H356" s="67">
        <f>SUMIF('Returns Data'!$B:$B,'FEB ORDERvsPRO'!$C356,'Returns Data'!$J:$J)</f>
        <v>0</v>
      </c>
      <c r="I356" s="201" t="str">
        <f>IFERROR(Table141516[[#This Row],[Non Processed]]/Table141516[[#This Row],[Orders]],"")</f>
        <v/>
      </c>
    </row>
    <row r="357" spans="5:9" x14ac:dyDescent="0.25">
      <c r="E357" s="67">
        <f>SUMIF(Data!$B:$B,'FEB ORDERvsPRO'!C357,Data!$J:$J)</f>
        <v>0</v>
      </c>
      <c r="F357" s="67">
        <f>SUMIF(Data!$B:$B,'FEB ORDERvsPRO'!$C357,Data!$L:$L)</f>
        <v>0</v>
      </c>
      <c r="G357" s="67">
        <f>SUMIF(Data!$B:$B,'FEB ORDERvsPRO'!$C357,Data!$M:$M)</f>
        <v>0</v>
      </c>
      <c r="H357" s="67">
        <f>SUMIF('Returns Data'!$B:$B,'FEB ORDERvsPRO'!$C357,'Returns Data'!$J:$J)</f>
        <v>0</v>
      </c>
      <c r="I357" s="201" t="str">
        <f>IFERROR(Table141516[[#This Row],[Non Processed]]/Table141516[[#This Row],[Orders]],"")</f>
        <v/>
      </c>
    </row>
    <row r="358" spans="5:9" x14ac:dyDescent="0.25">
      <c r="E358" s="67">
        <f>SUMIF(Data!$B:$B,'FEB ORDERvsPRO'!C358,Data!$J:$J)</f>
        <v>0</v>
      </c>
      <c r="F358" s="67">
        <f>SUMIF(Data!$B:$B,'FEB ORDERvsPRO'!$C358,Data!$L:$L)</f>
        <v>0</v>
      </c>
      <c r="G358" s="67">
        <f>SUMIF(Data!$B:$B,'FEB ORDERvsPRO'!$C358,Data!$M:$M)</f>
        <v>0</v>
      </c>
      <c r="H358" s="67">
        <f>SUMIF('Returns Data'!$B:$B,'FEB ORDERvsPRO'!$C358,'Returns Data'!$J:$J)</f>
        <v>0</v>
      </c>
      <c r="I358" s="201" t="str">
        <f>IFERROR(Table141516[[#This Row],[Non Processed]]/Table141516[[#This Row],[Orders]],"")</f>
        <v/>
      </c>
    </row>
    <row r="359" spans="5:9" x14ac:dyDescent="0.25">
      <c r="E359" s="67">
        <f>SUMIF(Data!$B:$B,'FEB ORDERvsPRO'!C359,Data!$J:$J)</f>
        <v>0</v>
      </c>
      <c r="F359" s="67">
        <f>SUMIF(Data!$B:$B,'FEB ORDERvsPRO'!$C359,Data!$L:$L)</f>
        <v>0</v>
      </c>
      <c r="G359" s="67">
        <f>SUMIF(Data!$B:$B,'FEB ORDERvsPRO'!$C359,Data!$M:$M)</f>
        <v>0</v>
      </c>
      <c r="H359" s="67">
        <f>SUMIF('Returns Data'!$B:$B,'FEB ORDERvsPRO'!$C359,'Returns Data'!$J:$J)</f>
        <v>0</v>
      </c>
      <c r="I359" s="201" t="str">
        <f>IFERROR(Table141516[[#This Row],[Non Processed]]/Table141516[[#This Row],[Orders]],"")</f>
        <v/>
      </c>
    </row>
    <row r="360" spans="5:9" x14ac:dyDescent="0.25">
      <c r="E360" s="67">
        <f>SUMIF(Data!$B:$B,'FEB ORDERvsPRO'!C360,Data!$J:$J)</f>
        <v>0</v>
      </c>
      <c r="F360" s="67">
        <f>SUMIF(Data!$B:$B,'FEB ORDERvsPRO'!$C360,Data!$L:$L)</f>
        <v>0</v>
      </c>
      <c r="G360" s="67">
        <f>SUMIF(Data!$B:$B,'FEB ORDERvsPRO'!$C360,Data!$M:$M)</f>
        <v>0</v>
      </c>
      <c r="H360" s="67">
        <f>SUMIF('Returns Data'!$B:$B,'FEB ORDERvsPRO'!$C360,'Returns Data'!$J:$J)</f>
        <v>0</v>
      </c>
      <c r="I360" s="201" t="str">
        <f>IFERROR(Table141516[[#This Row],[Non Processed]]/Table141516[[#This Row],[Orders]],"")</f>
        <v/>
      </c>
    </row>
    <row r="361" spans="5:9" x14ac:dyDescent="0.25">
      <c r="E361" s="67">
        <f>SUMIF(Data!$B:$B,'FEB ORDERvsPRO'!C361,Data!$J:$J)</f>
        <v>0</v>
      </c>
      <c r="F361" s="67">
        <f>SUMIF(Data!$B:$B,'FEB ORDERvsPRO'!$C361,Data!$L:$L)</f>
        <v>0</v>
      </c>
      <c r="G361" s="67">
        <f>SUMIF(Data!$B:$B,'FEB ORDERvsPRO'!$C361,Data!$M:$M)</f>
        <v>0</v>
      </c>
      <c r="H361" s="67">
        <f>SUMIF('Returns Data'!$B:$B,'FEB ORDERvsPRO'!$C361,'Returns Data'!$J:$J)</f>
        <v>0</v>
      </c>
      <c r="I361" s="201" t="str">
        <f>IFERROR(Table141516[[#This Row],[Non Processed]]/Table141516[[#This Row],[Orders]],"")</f>
        <v/>
      </c>
    </row>
    <row r="362" spans="5:9" x14ac:dyDescent="0.25">
      <c r="E362" s="67">
        <f>SUMIF(Data!$B:$B,'FEB ORDERvsPRO'!C362,Data!$J:$J)</f>
        <v>0</v>
      </c>
      <c r="F362" s="67">
        <f>SUMIF(Data!$B:$B,'FEB ORDERvsPRO'!$C362,Data!$L:$L)</f>
        <v>0</v>
      </c>
      <c r="G362" s="67">
        <f>SUMIF(Data!$B:$B,'FEB ORDERvsPRO'!$C362,Data!$M:$M)</f>
        <v>0</v>
      </c>
      <c r="H362" s="67">
        <f>SUMIF('Returns Data'!$B:$B,'FEB ORDERvsPRO'!$C362,'Returns Data'!$J:$J)</f>
        <v>0</v>
      </c>
      <c r="I362" s="201" t="str">
        <f>IFERROR(Table141516[[#This Row],[Non Processed]]/Table141516[[#This Row],[Orders]],"")</f>
        <v/>
      </c>
    </row>
    <row r="363" spans="5:9" x14ac:dyDescent="0.25">
      <c r="E363" s="67">
        <f>SUMIF(Data!$B:$B,'FEB ORDERvsPRO'!C363,Data!$J:$J)</f>
        <v>0</v>
      </c>
      <c r="F363" s="67">
        <f>SUMIF(Data!$B:$B,'FEB ORDERvsPRO'!$C363,Data!$L:$L)</f>
        <v>0</v>
      </c>
      <c r="G363" s="67">
        <f>SUMIF(Data!$B:$B,'FEB ORDERvsPRO'!$C363,Data!$M:$M)</f>
        <v>0</v>
      </c>
      <c r="H363" s="67">
        <f>SUMIF('Returns Data'!$B:$B,'FEB ORDERvsPRO'!$C363,'Returns Data'!$J:$J)</f>
        <v>0</v>
      </c>
      <c r="I363" s="201" t="str">
        <f>IFERROR(Table141516[[#This Row],[Non Processed]]/Table141516[[#This Row],[Orders]],"")</f>
        <v/>
      </c>
    </row>
    <row r="364" spans="5:9" x14ac:dyDescent="0.25">
      <c r="E364" s="67">
        <f>SUMIF(Data!$B:$B,'FEB ORDERvsPRO'!C364,Data!$J:$J)</f>
        <v>0</v>
      </c>
      <c r="F364" s="67">
        <f>SUMIF(Data!$B:$B,'FEB ORDERvsPRO'!$C364,Data!$L:$L)</f>
        <v>0</v>
      </c>
      <c r="G364" s="67">
        <f>SUMIF(Data!$B:$B,'FEB ORDERvsPRO'!$C364,Data!$M:$M)</f>
        <v>0</v>
      </c>
      <c r="H364" s="67">
        <f>SUMIF('Returns Data'!$B:$B,'FEB ORDERvsPRO'!$C364,'Returns Data'!$J:$J)</f>
        <v>0</v>
      </c>
      <c r="I364" s="201" t="str">
        <f>IFERROR(Table141516[[#This Row],[Non Processed]]/Table141516[[#This Row],[Orders]],"")</f>
        <v/>
      </c>
    </row>
    <row r="365" spans="5:9" x14ac:dyDescent="0.25">
      <c r="E365" s="67">
        <f>SUMIF(Data!$B:$B,'FEB ORDERvsPRO'!C365,Data!$J:$J)</f>
        <v>0</v>
      </c>
      <c r="F365" s="67">
        <f>SUMIF(Data!$B:$B,'FEB ORDERvsPRO'!$C365,Data!$L:$L)</f>
        <v>0</v>
      </c>
      <c r="G365" s="67">
        <f>SUMIF(Data!$B:$B,'FEB ORDERvsPRO'!$C365,Data!$M:$M)</f>
        <v>0</v>
      </c>
      <c r="H365" s="67">
        <f>SUMIF('Returns Data'!$B:$B,'FEB ORDERvsPRO'!$C365,'Returns Data'!$J:$J)</f>
        <v>0</v>
      </c>
      <c r="I365" s="201" t="str">
        <f>IFERROR(Table141516[[#This Row],[Non Processed]]/Table141516[[#This Row],[Orders]],"")</f>
        <v/>
      </c>
    </row>
    <row r="366" spans="5:9" x14ac:dyDescent="0.25">
      <c r="E366" s="67">
        <f>SUMIF(Data!$B:$B,'FEB ORDERvsPRO'!C366,Data!$J:$J)</f>
        <v>0</v>
      </c>
      <c r="F366" s="67">
        <f>SUMIF(Data!$B:$B,'FEB ORDERvsPRO'!$C366,Data!$L:$L)</f>
        <v>0</v>
      </c>
      <c r="G366" s="67">
        <f>SUMIF(Data!$B:$B,'FEB ORDERvsPRO'!$C366,Data!$M:$M)</f>
        <v>0</v>
      </c>
      <c r="H366" s="67">
        <f>SUMIF('Returns Data'!$B:$B,'FEB ORDERvsPRO'!$C366,'Returns Data'!$J:$J)</f>
        <v>0</v>
      </c>
      <c r="I366" s="201" t="str">
        <f>IFERROR(Table141516[[#This Row],[Non Processed]]/Table141516[[#This Row],[Orders]],"")</f>
        <v/>
      </c>
    </row>
    <row r="367" spans="5:9" x14ac:dyDescent="0.25">
      <c r="E367" s="67">
        <f>SUMIF(Data!$B:$B,'FEB ORDERvsPRO'!C367,Data!$J:$J)</f>
        <v>0</v>
      </c>
      <c r="F367" s="67">
        <f>SUMIF(Data!$B:$B,'FEB ORDERvsPRO'!$C367,Data!$L:$L)</f>
        <v>0</v>
      </c>
      <c r="G367" s="67">
        <f>SUMIF(Data!$B:$B,'FEB ORDERvsPRO'!$C367,Data!$M:$M)</f>
        <v>0</v>
      </c>
      <c r="H367" s="67">
        <f>SUMIF('Returns Data'!$B:$B,'FEB ORDERvsPRO'!$C367,'Returns Data'!$J:$J)</f>
        <v>0</v>
      </c>
      <c r="I367" s="201" t="str">
        <f>IFERROR(Table141516[[#This Row],[Non Processed]]/Table141516[[#This Row],[Orders]],"")</f>
        <v/>
      </c>
    </row>
    <row r="368" spans="5:9" x14ac:dyDescent="0.25">
      <c r="E368" s="67">
        <f>SUMIF(Data!$B:$B,'FEB ORDERvsPRO'!C368,Data!$J:$J)</f>
        <v>0</v>
      </c>
      <c r="F368" s="67">
        <f>SUMIF(Data!$B:$B,'FEB ORDERvsPRO'!$C368,Data!$L:$L)</f>
        <v>0</v>
      </c>
      <c r="G368" s="67">
        <f>SUMIF(Data!$B:$B,'FEB ORDERvsPRO'!$C368,Data!$M:$M)</f>
        <v>0</v>
      </c>
      <c r="H368" s="67">
        <f>SUMIF('Returns Data'!$B:$B,'FEB ORDERvsPRO'!$C368,'Returns Data'!$J:$J)</f>
        <v>0</v>
      </c>
      <c r="I368" s="201" t="str">
        <f>IFERROR(Table141516[[#This Row],[Non Processed]]/Table141516[[#This Row],[Orders]],"")</f>
        <v/>
      </c>
    </row>
    <row r="369" spans="5:9" x14ac:dyDescent="0.25">
      <c r="E369" s="67">
        <f>SUMIF(Data!$B:$B,'FEB ORDERvsPRO'!C369,Data!$J:$J)</f>
        <v>0</v>
      </c>
      <c r="F369" s="67">
        <f>SUMIF(Data!$B:$B,'FEB ORDERvsPRO'!$C369,Data!$L:$L)</f>
        <v>0</v>
      </c>
      <c r="G369" s="67">
        <f>SUMIF(Data!$B:$B,'FEB ORDERvsPRO'!$C369,Data!$M:$M)</f>
        <v>0</v>
      </c>
      <c r="H369" s="67">
        <f>SUMIF('Returns Data'!$B:$B,'FEB ORDERvsPRO'!$C369,'Returns Data'!$J:$J)</f>
        <v>0</v>
      </c>
      <c r="I369" s="201" t="str">
        <f>IFERROR(Table141516[[#This Row],[Non Processed]]/Table141516[[#This Row],[Orders]],"")</f>
        <v/>
      </c>
    </row>
    <row r="370" spans="5:9" x14ac:dyDescent="0.25">
      <c r="E370" s="67">
        <f>SUMIF(Data!$B:$B,'FEB ORDERvsPRO'!C370,Data!$J:$J)</f>
        <v>0</v>
      </c>
      <c r="F370" s="67">
        <f>SUMIF(Data!$B:$B,'FEB ORDERvsPRO'!$C370,Data!$L:$L)</f>
        <v>0</v>
      </c>
      <c r="G370" s="67">
        <f>SUMIF(Data!$B:$B,'FEB ORDERvsPRO'!$C370,Data!$M:$M)</f>
        <v>0</v>
      </c>
      <c r="H370" s="67">
        <f>SUMIF('Returns Data'!$B:$B,'FEB ORDERvsPRO'!$C370,'Returns Data'!$J:$J)</f>
        <v>0</v>
      </c>
      <c r="I370" s="201" t="str">
        <f>IFERROR(Table141516[[#This Row],[Non Processed]]/Table141516[[#This Row],[Orders]],"")</f>
        <v/>
      </c>
    </row>
    <row r="371" spans="5:9" x14ac:dyDescent="0.25">
      <c r="E371" s="67">
        <f>SUMIF(Data!$B:$B,'FEB ORDERvsPRO'!C371,Data!$J:$J)</f>
        <v>0</v>
      </c>
      <c r="F371" s="67">
        <f>SUMIF(Data!$B:$B,'FEB ORDERvsPRO'!$C371,Data!$L:$L)</f>
        <v>0</v>
      </c>
      <c r="G371" s="67">
        <f>SUMIF(Data!$B:$B,'FEB ORDERvsPRO'!$C371,Data!$M:$M)</f>
        <v>0</v>
      </c>
      <c r="H371" s="67">
        <f>SUMIF('Returns Data'!$B:$B,'FEB ORDERvsPRO'!$C371,'Returns Data'!$J:$J)</f>
        <v>0</v>
      </c>
      <c r="I371" s="201" t="str">
        <f>IFERROR(Table141516[[#This Row],[Non Processed]]/Table141516[[#This Row],[Orders]],"")</f>
        <v/>
      </c>
    </row>
    <row r="372" spans="5:9" x14ac:dyDescent="0.25">
      <c r="E372" s="67">
        <f>SUMIF(Data!$B:$B,'FEB ORDERvsPRO'!C372,Data!$J:$J)</f>
        <v>0</v>
      </c>
      <c r="F372" s="67">
        <f>SUMIF(Data!$B:$B,'FEB ORDERvsPRO'!$C372,Data!$L:$L)</f>
        <v>0</v>
      </c>
      <c r="G372" s="67">
        <f>SUMIF(Data!$B:$B,'FEB ORDERvsPRO'!$C372,Data!$M:$M)</f>
        <v>0</v>
      </c>
      <c r="H372" s="67">
        <f>SUMIF('Returns Data'!$B:$B,'FEB ORDERvsPRO'!$C372,'Returns Data'!$J:$J)</f>
        <v>0</v>
      </c>
      <c r="I372" s="201" t="str">
        <f>IFERROR(Table141516[[#This Row],[Non Processed]]/Table141516[[#This Row],[Orders]],"")</f>
        <v/>
      </c>
    </row>
    <row r="373" spans="5:9" x14ac:dyDescent="0.25">
      <c r="E373" s="67">
        <f>SUMIF(Data!$B:$B,'FEB ORDERvsPRO'!C373,Data!$J:$J)</f>
        <v>0</v>
      </c>
      <c r="F373" s="67">
        <f>SUMIF(Data!$B:$B,'FEB ORDERvsPRO'!$C373,Data!$L:$L)</f>
        <v>0</v>
      </c>
      <c r="G373" s="67">
        <f>SUMIF(Data!$B:$B,'FEB ORDERvsPRO'!$C373,Data!$M:$M)</f>
        <v>0</v>
      </c>
      <c r="H373" s="67">
        <f>SUMIF('Returns Data'!$B:$B,'FEB ORDERvsPRO'!$C373,'Returns Data'!$J:$J)</f>
        <v>0</v>
      </c>
      <c r="I373" s="201" t="str">
        <f>IFERROR(Table141516[[#This Row],[Non Processed]]/Table141516[[#This Row],[Orders]],"")</f>
        <v/>
      </c>
    </row>
    <row r="374" spans="5:9" x14ac:dyDescent="0.25">
      <c r="E374" s="67">
        <f>SUMIF(Data!$B:$B,'FEB ORDERvsPRO'!C374,Data!$J:$J)</f>
        <v>0</v>
      </c>
      <c r="F374" s="67">
        <f>SUMIF(Data!$B:$B,'FEB ORDERvsPRO'!$C374,Data!$L:$L)</f>
        <v>0</v>
      </c>
      <c r="G374" s="67">
        <f>SUMIF(Data!$B:$B,'FEB ORDERvsPRO'!$C374,Data!$M:$M)</f>
        <v>0</v>
      </c>
      <c r="H374" s="67">
        <f>SUMIF('Returns Data'!$B:$B,'FEB ORDERvsPRO'!$C374,'Returns Data'!$J:$J)</f>
        <v>0</v>
      </c>
      <c r="I374" s="201" t="str">
        <f>IFERROR(Table141516[[#This Row],[Non Processed]]/Table141516[[#This Row],[Orders]],"")</f>
        <v/>
      </c>
    </row>
    <row r="375" spans="5:9" x14ac:dyDescent="0.25">
      <c r="E375" s="67">
        <f>SUMIF(Data!$B:$B,'FEB ORDERvsPRO'!C375,Data!$J:$J)</f>
        <v>0</v>
      </c>
      <c r="F375" s="67">
        <f>SUMIF(Data!$B:$B,'FEB ORDERvsPRO'!$C375,Data!$L:$L)</f>
        <v>0</v>
      </c>
      <c r="G375" s="67">
        <f>SUMIF(Data!$B:$B,'FEB ORDERvsPRO'!$C375,Data!$M:$M)</f>
        <v>0</v>
      </c>
      <c r="H375" s="67">
        <f>SUMIF('Returns Data'!$B:$B,'FEB ORDERvsPRO'!$C375,'Returns Data'!$J:$J)</f>
        <v>0</v>
      </c>
      <c r="I375" s="201" t="str">
        <f>IFERROR(Table141516[[#This Row],[Non Processed]]/Table141516[[#This Row],[Orders]],"")</f>
        <v/>
      </c>
    </row>
    <row r="376" spans="5:9" x14ac:dyDescent="0.25">
      <c r="E376" s="67">
        <f>SUMIF(Data!$B:$B,'FEB ORDERvsPRO'!C376,Data!$J:$J)</f>
        <v>0</v>
      </c>
      <c r="F376" s="67">
        <f>SUMIF(Data!$B:$B,'FEB ORDERvsPRO'!$C376,Data!$L:$L)</f>
        <v>0</v>
      </c>
      <c r="G376" s="67">
        <f>SUMIF(Data!$B:$B,'FEB ORDERvsPRO'!$C376,Data!$M:$M)</f>
        <v>0</v>
      </c>
      <c r="H376" s="67">
        <f>SUMIF('Returns Data'!$B:$B,'FEB ORDERvsPRO'!$C376,'Returns Data'!$J:$J)</f>
        <v>0</v>
      </c>
      <c r="I376" s="201" t="str">
        <f>IFERROR(Table141516[[#This Row],[Non Processed]]/Table141516[[#This Row],[Orders]],"")</f>
        <v/>
      </c>
    </row>
    <row r="377" spans="5:9" x14ac:dyDescent="0.25">
      <c r="E377" s="67">
        <f>SUMIF(Data!$B:$B,'FEB ORDERvsPRO'!C377,Data!$J:$J)</f>
        <v>0</v>
      </c>
      <c r="F377" s="67">
        <f>SUMIF(Data!$B:$B,'FEB ORDERvsPRO'!$C377,Data!$L:$L)</f>
        <v>0</v>
      </c>
      <c r="G377" s="67">
        <f>SUMIF(Data!$B:$B,'FEB ORDERvsPRO'!$C377,Data!$M:$M)</f>
        <v>0</v>
      </c>
      <c r="H377" s="67">
        <f>SUMIF('Returns Data'!$B:$B,'FEB ORDERvsPRO'!$C377,'Returns Data'!$J:$J)</f>
        <v>0</v>
      </c>
      <c r="I377" s="201" t="str">
        <f>IFERROR(Table141516[[#This Row],[Non Processed]]/Table141516[[#This Row],[Orders]],"")</f>
        <v/>
      </c>
    </row>
    <row r="378" spans="5:9" x14ac:dyDescent="0.25">
      <c r="E378" s="67">
        <f>SUMIF(Data!$B:$B,'FEB ORDERvsPRO'!C378,Data!$J:$J)</f>
        <v>0</v>
      </c>
      <c r="F378" s="67">
        <f>SUMIF(Data!$B:$B,'FEB ORDERvsPRO'!$C378,Data!$L:$L)</f>
        <v>0</v>
      </c>
      <c r="G378" s="67">
        <f>SUMIF(Data!$B:$B,'FEB ORDERvsPRO'!$C378,Data!$M:$M)</f>
        <v>0</v>
      </c>
      <c r="H378" s="67">
        <f>SUMIF('Returns Data'!$B:$B,'FEB ORDERvsPRO'!$C378,'Returns Data'!$J:$J)</f>
        <v>0</v>
      </c>
      <c r="I378" s="201" t="str">
        <f>IFERROR(Table141516[[#This Row],[Non Processed]]/Table141516[[#This Row],[Orders]],"")</f>
        <v/>
      </c>
    </row>
    <row r="379" spans="5:9" x14ac:dyDescent="0.25">
      <c r="E379" s="67">
        <f>SUMIF(Data!$B:$B,'FEB ORDERvsPRO'!C379,Data!$J:$J)</f>
        <v>0</v>
      </c>
      <c r="F379" s="67">
        <f>SUMIF(Data!$B:$B,'FEB ORDERvsPRO'!$C379,Data!$L:$L)</f>
        <v>0</v>
      </c>
      <c r="G379" s="67">
        <f>SUMIF(Data!$B:$B,'FEB ORDERvsPRO'!$C379,Data!$M:$M)</f>
        <v>0</v>
      </c>
      <c r="H379" s="67">
        <f>SUMIF('Returns Data'!$B:$B,'FEB ORDERvsPRO'!$C379,'Returns Data'!$J:$J)</f>
        <v>0</v>
      </c>
      <c r="I379" s="201" t="str">
        <f>IFERROR(Table141516[[#This Row],[Non Processed]]/Table141516[[#This Row],[Orders]],"")</f>
        <v/>
      </c>
    </row>
    <row r="380" spans="5:9" x14ac:dyDescent="0.25">
      <c r="E380" s="67">
        <f>SUMIF(Data!$B:$B,'FEB ORDERvsPRO'!C380,Data!$J:$J)</f>
        <v>0</v>
      </c>
      <c r="F380" s="67">
        <f>SUMIF(Data!$B:$B,'FEB ORDERvsPRO'!$C380,Data!$L:$L)</f>
        <v>0</v>
      </c>
      <c r="G380" s="67">
        <f>SUMIF(Data!$B:$B,'FEB ORDERvsPRO'!$C380,Data!$M:$M)</f>
        <v>0</v>
      </c>
      <c r="H380" s="67">
        <f>SUMIF('Returns Data'!$B:$B,'FEB ORDERvsPRO'!$C380,'Returns Data'!$J:$J)</f>
        <v>0</v>
      </c>
      <c r="I380" s="201" t="str">
        <f>IFERROR(Table141516[[#This Row],[Non Processed]]/Table141516[[#This Row],[Orders]],"")</f>
        <v/>
      </c>
    </row>
    <row r="381" spans="5:9" x14ac:dyDescent="0.25">
      <c r="E381" s="67">
        <f>SUMIF(Data!$B:$B,'FEB ORDERvsPRO'!C381,Data!$J:$J)</f>
        <v>0</v>
      </c>
      <c r="F381" s="67">
        <f>SUMIF(Data!$B:$B,'FEB ORDERvsPRO'!$C381,Data!$L:$L)</f>
        <v>0</v>
      </c>
      <c r="G381" s="67">
        <f>SUMIF(Data!$B:$B,'FEB ORDERvsPRO'!$C381,Data!$M:$M)</f>
        <v>0</v>
      </c>
      <c r="H381" s="67">
        <f>SUMIF('Returns Data'!$B:$B,'FEB ORDERvsPRO'!$C381,'Returns Data'!$J:$J)</f>
        <v>0</v>
      </c>
      <c r="I381" s="201" t="str">
        <f>IFERROR(Table141516[[#This Row],[Non Processed]]/Table141516[[#This Row],[Orders]],"")</f>
        <v/>
      </c>
    </row>
    <row r="382" spans="5:9" x14ac:dyDescent="0.25">
      <c r="E382" s="67">
        <f>SUMIF(Data!$B:$B,'FEB ORDERvsPRO'!C382,Data!$J:$J)</f>
        <v>0</v>
      </c>
      <c r="F382" s="67">
        <f>SUMIF(Data!$B:$B,'FEB ORDERvsPRO'!$C382,Data!$L:$L)</f>
        <v>0</v>
      </c>
      <c r="G382" s="67">
        <f>SUMIF(Data!$B:$B,'FEB ORDERvsPRO'!$C382,Data!$M:$M)</f>
        <v>0</v>
      </c>
      <c r="H382" s="67">
        <f>SUMIF('Returns Data'!$B:$B,'FEB ORDERvsPRO'!$C382,'Returns Data'!$J:$J)</f>
        <v>0</v>
      </c>
      <c r="I382" s="201" t="str">
        <f>IFERROR(Table141516[[#This Row],[Non Processed]]/Table141516[[#This Row],[Orders]],"")</f>
        <v/>
      </c>
    </row>
    <row r="383" spans="5:9" x14ac:dyDescent="0.25">
      <c r="E383" s="67">
        <f>SUMIF(Data!$B:$B,'FEB ORDERvsPRO'!C383,Data!$J:$J)</f>
        <v>0</v>
      </c>
      <c r="F383" s="67">
        <f>SUMIF(Data!$B:$B,'FEB ORDERvsPRO'!$C383,Data!$L:$L)</f>
        <v>0</v>
      </c>
      <c r="G383" s="67">
        <f>SUMIF(Data!$B:$B,'FEB ORDERvsPRO'!$C383,Data!$M:$M)</f>
        <v>0</v>
      </c>
      <c r="H383" s="67">
        <f>SUMIF('Returns Data'!$B:$B,'FEB ORDERvsPRO'!$C383,'Returns Data'!$J:$J)</f>
        <v>0</v>
      </c>
      <c r="I383" s="201" t="str">
        <f>IFERROR(Table141516[[#This Row],[Non Processed]]/Table141516[[#This Row],[Orders]],"")</f>
        <v/>
      </c>
    </row>
    <row r="384" spans="5:9" x14ac:dyDescent="0.25">
      <c r="E384" s="67">
        <f>SUMIF(Data!$B:$B,'FEB ORDERvsPRO'!C384,Data!$J:$J)</f>
        <v>0</v>
      </c>
      <c r="F384" s="67">
        <f>SUMIF(Data!$B:$B,'FEB ORDERvsPRO'!$C384,Data!$L:$L)</f>
        <v>0</v>
      </c>
      <c r="G384" s="67">
        <f>SUMIF(Data!$B:$B,'FEB ORDERvsPRO'!$C384,Data!$M:$M)</f>
        <v>0</v>
      </c>
      <c r="H384" s="67">
        <f>SUMIF('Returns Data'!$B:$B,'FEB ORDERvsPRO'!$C384,'Returns Data'!$J:$J)</f>
        <v>0</v>
      </c>
      <c r="I384" s="201" t="str">
        <f>IFERROR(Table141516[[#This Row],[Non Processed]]/Table141516[[#This Row],[Orders]],"")</f>
        <v/>
      </c>
    </row>
    <row r="385" spans="5:9" x14ac:dyDescent="0.25">
      <c r="E385" s="67">
        <f>SUMIF(Data!$B:$B,'FEB ORDERvsPRO'!C385,Data!$J:$J)</f>
        <v>0</v>
      </c>
      <c r="F385" s="67">
        <f>SUMIF(Data!$B:$B,'FEB ORDERvsPRO'!$C385,Data!$L:$L)</f>
        <v>0</v>
      </c>
      <c r="G385" s="67">
        <f>SUMIF(Data!$B:$B,'FEB ORDERvsPRO'!$C385,Data!$M:$M)</f>
        <v>0</v>
      </c>
      <c r="H385" s="67">
        <f>SUMIF('Returns Data'!$B:$B,'FEB ORDERvsPRO'!$C385,'Returns Data'!$J:$J)</f>
        <v>0</v>
      </c>
      <c r="I385" s="201" t="str">
        <f>IFERROR(Table141516[[#This Row],[Non Processed]]/Table141516[[#This Row],[Orders]],"")</f>
        <v/>
      </c>
    </row>
    <row r="386" spans="5:9" x14ac:dyDescent="0.25">
      <c r="E386" s="67">
        <f>SUMIF(Data!$B:$B,'FEB ORDERvsPRO'!C386,Data!$J:$J)</f>
        <v>0</v>
      </c>
      <c r="F386" s="67">
        <f>SUMIF(Data!$B:$B,'FEB ORDERvsPRO'!$C386,Data!$L:$L)</f>
        <v>0</v>
      </c>
      <c r="G386" s="67">
        <f>SUMIF(Data!$B:$B,'FEB ORDERvsPRO'!$C386,Data!$M:$M)</f>
        <v>0</v>
      </c>
      <c r="H386" s="67">
        <f>SUMIF('Returns Data'!$B:$B,'FEB ORDERvsPRO'!$C386,'Returns Data'!$J:$J)</f>
        <v>0</v>
      </c>
      <c r="I386" s="201" t="str">
        <f>IFERROR(Table141516[[#This Row],[Non Processed]]/Table141516[[#This Row],[Orders]],"")</f>
        <v/>
      </c>
    </row>
    <row r="387" spans="5:9" x14ac:dyDescent="0.25">
      <c r="E387" s="67">
        <f>SUMIF(Data!$B:$B,'FEB ORDERvsPRO'!C387,Data!$J:$J)</f>
        <v>0</v>
      </c>
      <c r="F387" s="67">
        <f>SUMIF(Data!$B:$B,'FEB ORDERvsPRO'!$C387,Data!$L:$L)</f>
        <v>0</v>
      </c>
      <c r="G387" s="67">
        <f>SUMIF(Data!$B:$B,'FEB ORDERvsPRO'!$C387,Data!$M:$M)</f>
        <v>0</v>
      </c>
      <c r="H387" s="67">
        <f>SUMIF('Returns Data'!$B:$B,'FEB ORDERvsPRO'!$C387,'Returns Data'!$J:$J)</f>
        <v>0</v>
      </c>
      <c r="I387" s="201" t="str">
        <f>IFERROR(Table141516[[#This Row],[Non Processed]]/Table141516[[#This Row],[Orders]],"")</f>
        <v/>
      </c>
    </row>
    <row r="388" spans="5:9" x14ac:dyDescent="0.25">
      <c r="E388" s="67">
        <f>SUMIF(Data!$B:$B,'FEB ORDERvsPRO'!C388,Data!$J:$J)</f>
        <v>0</v>
      </c>
      <c r="F388" s="67">
        <f>SUMIF(Data!$B:$B,'FEB ORDERvsPRO'!$C388,Data!$L:$L)</f>
        <v>0</v>
      </c>
      <c r="G388" s="67">
        <f>SUMIF(Data!$B:$B,'FEB ORDERvsPRO'!$C388,Data!$M:$M)</f>
        <v>0</v>
      </c>
      <c r="H388" s="67">
        <f>SUMIF('Returns Data'!$B:$B,'FEB ORDERvsPRO'!$C388,'Returns Data'!$J:$J)</f>
        <v>0</v>
      </c>
      <c r="I388" s="201" t="str">
        <f>IFERROR(Table141516[[#This Row],[Non Processed]]/Table141516[[#This Row],[Orders]],"")</f>
        <v/>
      </c>
    </row>
    <row r="389" spans="5:9" x14ac:dyDescent="0.25">
      <c r="E389" s="67">
        <f>SUMIF(Data!$B:$B,'FEB ORDERvsPRO'!C389,Data!$J:$J)</f>
        <v>0</v>
      </c>
      <c r="F389" s="67">
        <f>SUMIF(Data!$B:$B,'FEB ORDERvsPRO'!$C389,Data!$L:$L)</f>
        <v>0</v>
      </c>
      <c r="G389" s="67">
        <f>SUMIF(Data!$B:$B,'FEB ORDERvsPRO'!$C389,Data!$M:$M)</f>
        <v>0</v>
      </c>
      <c r="H389" s="67">
        <f>SUMIF('Returns Data'!$B:$B,'FEB ORDERvsPRO'!$C389,'Returns Data'!$J:$J)</f>
        <v>0</v>
      </c>
      <c r="I389" s="201" t="str">
        <f>IFERROR(Table141516[[#This Row],[Non Processed]]/Table141516[[#This Row],[Orders]],"")</f>
        <v/>
      </c>
    </row>
    <row r="390" spans="5:9" x14ac:dyDescent="0.25">
      <c r="E390" s="67">
        <f>SUMIF(Data!$B:$B,'FEB ORDERvsPRO'!C390,Data!$J:$J)</f>
        <v>0</v>
      </c>
      <c r="F390" s="67">
        <f>SUMIF(Data!$B:$B,'FEB ORDERvsPRO'!$C390,Data!$L:$L)</f>
        <v>0</v>
      </c>
      <c r="G390" s="67">
        <f>SUMIF(Data!$B:$B,'FEB ORDERvsPRO'!$C390,Data!$M:$M)</f>
        <v>0</v>
      </c>
      <c r="H390" s="67">
        <f>SUMIF('Returns Data'!$B:$B,'FEB ORDERvsPRO'!$C390,'Returns Data'!$J:$J)</f>
        <v>0</v>
      </c>
      <c r="I390" s="201" t="str">
        <f>IFERROR(Table141516[[#This Row],[Non Processed]]/Table141516[[#This Row],[Orders]],"")</f>
        <v/>
      </c>
    </row>
    <row r="391" spans="5:9" x14ac:dyDescent="0.25">
      <c r="E391" s="67">
        <f>SUMIF(Data!$B:$B,'FEB ORDERvsPRO'!C391,Data!$J:$J)</f>
        <v>0</v>
      </c>
      <c r="F391" s="67">
        <f>SUMIF(Data!$B:$B,'FEB ORDERvsPRO'!$C391,Data!$L:$L)</f>
        <v>0</v>
      </c>
      <c r="G391" s="67">
        <f>SUMIF(Data!$B:$B,'FEB ORDERvsPRO'!$C391,Data!$M:$M)</f>
        <v>0</v>
      </c>
      <c r="H391" s="67">
        <f>SUMIF('Returns Data'!$B:$B,'FEB ORDERvsPRO'!$C391,'Returns Data'!$J:$J)</f>
        <v>0</v>
      </c>
      <c r="I391" s="201" t="str">
        <f>IFERROR(Table141516[[#This Row],[Non Processed]]/Table141516[[#This Row],[Orders]],"")</f>
        <v/>
      </c>
    </row>
    <row r="392" spans="5:9" x14ac:dyDescent="0.25">
      <c r="E392" s="67">
        <f>SUMIF(Data!$B:$B,'FEB ORDERvsPRO'!C392,Data!$J:$J)</f>
        <v>0</v>
      </c>
      <c r="F392" s="67">
        <f>SUMIF(Data!$B:$B,'FEB ORDERvsPRO'!$C392,Data!$L:$L)</f>
        <v>0</v>
      </c>
      <c r="G392" s="67">
        <f>SUMIF(Data!$B:$B,'FEB ORDERvsPRO'!$C392,Data!$M:$M)</f>
        <v>0</v>
      </c>
      <c r="H392" s="67">
        <f>SUMIF('Returns Data'!$B:$B,'FEB ORDERvsPRO'!$C392,'Returns Data'!$J:$J)</f>
        <v>0</v>
      </c>
      <c r="I392" s="201" t="str">
        <f>IFERROR(Table141516[[#This Row],[Non Processed]]/Table141516[[#This Row],[Orders]],"")</f>
        <v/>
      </c>
    </row>
    <row r="393" spans="5:9" x14ac:dyDescent="0.25">
      <c r="E393" s="67">
        <f>SUMIF(Data!$B:$B,'FEB ORDERvsPRO'!C393,Data!$J:$J)</f>
        <v>0</v>
      </c>
      <c r="F393" s="67">
        <f>SUMIF(Data!$B:$B,'FEB ORDERvsPRO'!$C393,Data!$L:$L)</f>
        <v>0</v>
      </c>
      <c r="G393" s="67">
        <f>SUMIF(Data!$B:$B,'FEB ORDERvsPRO'!$C393,Data!$M:$M)</f>
        <v>0</v>
      </c>
      <c r="H393" s="67">
        <f>SUMIF('Returns Data'!$B:$B,'FEB ORDERvsPRO'!$C393,'Returns Data'!$J:$J)</f>
        <v>0</v>
      </c>
      <c r="I393" s="201" t="str">
        <f>IFERROR(Table141516[[#This Row],[Non Processed]]/Table141516[[#This Row],[Orders]],"")</f>
        <v/>
      </c>
    </row>
    <row r="394" spans="5:9" x14ac:dyDescent="0.25">
      <c r="E394" s="67">
        <f>SUMIF(Data!$B:$B,'FEB ORDERvsPRO'!C394,Data!$J:$J)</f>
        <v>0</v>
      </c>
      <c r="F394" s="67">
        <f>SUMIF(Data!$B:$B,'FEB ORDERvsPRO'!$C394,Data!$L:$L)</f>
        <v>0</v>
      </c>
      <c r="G394" s="67">
        <f>SUMIF(Data!$B:$B,'FEB ORDERvsPRO'!$C394,Data!$M:$M)</f>
        <v>0</v>
      </c>
      <c r="H394" s="67">
        <f>SUMIF('Returns Data'!$B:$B,'FEB ORDERvsPRO'!$C394,'Returns Data'!$J:$J)</f>
        <v>0</v>
      </c>
      <c r="I394" s="201" t="str">
        <f>IFERROR(Table141516[[#This Row],[Non Processed]]/Table141516[[#This Row],[Orders]],"")</f>
        <v/>
      </c>
    </row>
    <row r="395" spans="5:9" x14ac:dyDescent="0.25">
      <c r="E395" s="67">
        <f>SUMIF(Data!$B:$B,'FEB ORDERvsPRO'!C395,Data!$J:$J)</f>
        <v>0</v>
      </c>
      <c r="F395" s="67">
        <f>SUMIF(Data!$B:$B,'FEB ORDERvsPRO'!$C395,Data!$L:$L)</f>
        <v>0</v>
      </c>
      <c r="G395" s="67">
        <f>SUMIF(Data!$B:$B,'FEB ORDERvsPRO'!$C395,Data!$M:$M)</f>
        <v>0</v>
      </c>
      <c r="H395" s="67">
        <f>SUMIF('Returns Data'!$B:$B,'FEB ORDERvsPRO'!$C395,'Returns Data'!$J:$J)</f>
        <v>0</v>
      </c>
      <c r="I395" s="201" t="str">
        <f>IFERROR(Table141516[[#This Row],[Non Processed]]/Table141516[[#This Row],[Orders]],"")</f>
        <v/>
      </c>
    </row>
    <row r="396" spans="5:9" x14ac:dyDescent="0.25">
      <c r="E396" s="67">
        <f>SUMIF(Data!$B:$B,'FEB ORDERvsPRO'!C396,Data!$J:$J)</f>
        <v>0</v>
      </c>
      <c r="F396" s="67">
        <f>SUMIF(Data!$B:$B,'FEB ORDERvsPRO'!$C396,Data!$L:$L)</f>
        <v>0</v>
      </c>
      <c r="G396" s="67">
        <f>SUMIF(Data!$B:$B,'FEB ORDERvsPRO'!$C396,Data!$M:$M)</f>
        <v>0</v>
      </c>
      <c r="H396" s="67">
        <f>SUMIF('Returns Data'!$B:$B,'FEB ORDERvsPRO'!$C396,'Returns Data'!$J:$J)</f>
        <v>0</v>
      </c>
      <c r="I396" s="201" t="str">
        <f>IFERROR(Table141516[[#This Row],[Non Processed]]/Table141516[[#This Row],[Orders]],"")</f>
        <v/>
      </c>
    </row>
    <row r="397" spans="5:9" x14ac:dyDescent="0.25">
      <c r="E397" s="67">
        <f>SUMIF(Data!$B:$B,'FEB ORDERvsPRO'!C397,Data!$J:$J)</f>
        <v>0</v>
      </c>
      <c r="F397" s="67">
        <f>SUMIF(Data!$B:$B,'FEB ORDERvsPRO'!$C397,Data!$L:$L)</f>
        <v>0</v>
      </c>
      <c r="G397" s="67">
        <f>SUMIF(Data!$B:$B,'FEB ORDERvsPRO'!$C397,Data!$M:$M)</f>
        <v>0</v>
      </c>
      <c r="H397" s="67">
        <f>SUMIF('Returns Data'!$B:$B,'FEB ORDERvsPRO'!$C397,'Returns Data'!$J:$J)</f>
        <v>0</v>
      </c>
      <c r="I397" s="201" t="str">
        <f>IFERROR(Table141516[[#This Row],[Non Processed]]/Table141516[[#This Row],[Orders]],"")</f>
        <v/>
      </c>
    </row>
    <row r="398" spans="5:9" x14ac:dyDescent="0.25">
      <c r="E398" s="67">
        <f>SUMIF(Data!$B:$B,'FEB ORDERvsPRO'!C398,Data!$J:$J)</f>
        <v>0</v>
      </c>
      <c r="F398" s="67">
        <f>SUMIF(Data!$B:$B,'FEB ORDERvsPRO'!$C398,Data!$L:$L)</f>
        <v>0</v>
      </c>
      <c r="G398" s="67">
        <f>SUMIF(Data!$B:$B,'FEB ORDERvsPRO'!$C398,Data!$M:$M)</f>
        <v>0</v>
      </c>
      <c r="H398" s="67">
        <f>SUMIF('Returns Data'!$B:$B,'FEB ORDERvsPRO'!$C398,'Returns Data'!$J:$J)</f>
        <v>0</v>
      </c>
      <c r="I398" s="201" t="str">
        <f>IFERROR(Table141516[[#This Row],[Non Processed]]/Table141516[[#This Row],[Orders]],"")</f>
        <v/>
      </c>
    </row>
    <row r="399" spans="5:9" x14ac:dyDescent="0.25">
      <c r="E399" s="67">
        <f>SUMIF(Data!$B:$B,'FEB ORDERvsPRO'!C399,Data!$J:$J)</f>
        <v>0</v>
      </c>
      <c r="F399" s="67">
        <f>SUMIF(Data!$B:$B,'FEB ORDERvsPRO'!$C399,Data!$L:$L)</f>
        <v>0</v>
      </c>
      <c r="G399" s="67">
        <f>SUMIF(Data!$B:$B,'FEB ORDERvsPRO'!$C399,Data!$M:$M)</f>
        <v>0</v>
      </c>
      <c r="H399" s="67">
        <f>SUMIF('Returns Data'!$B:$B,'FEB ORDERvsPRO'!$C399,'Returns Data'!$J:$J)</f>
        <v>0</v>
      </c>
      <c r="I399" s="201" t="str">
        <f>IFERROR(Table141516[[#This Row],[Non Processed]]/Table141516[[#This Row],[Orders]],"")</f>
        <v/>
      </c>
    </row>
    <row r="400" spans="5:9" x14ac:dyDescent="0.25">
      <c r="E400" s="67">
        <f>SUMIF(Data!$B:$B,'FEB ORDERvsPRO'!C400,Data!$J:$J)</f>
        <v>0</v>
      </c>
      <c r="F400" s="67">
        <f>SUMIF(Data!$B:$B,'FEB ORDERvsPRO'!$C400,Data!$L:$L)</f>
        <v>0</v>
      </c>
      <c r="G400" s="67">
        <f>SUMIF(Data!$B:$B,'FEB ORDERvsPRO'!$C400,Data!$M:$M)</f>
        <v>0</v>
      </c>
      <c r="H400" s="67">
        <f>SUMIF('Returns Data'!$B:$B,'FEB ORDERvsPRO'!$C400,'Returns Data'!$J:$J)</f>
        <v>0</v>
      </c>
      <c r="I400" s="201" t="str">
        <f>IFERROR(Table141516[[#This Row],[Non Processed]]/Table141516[[#This Row],[Orders]],"")</f>
        <v/>
      </c>
    </row>
    <row r="401" spans="5:9" x14ac:dyDescent="0.25">
      <c r="E401" s="67">
        <f>SUMIF(Data!$B:$B,'FEB ORDERvsPRO'!C401,Data!$J:$J)</f>
        <v>0</v>
      </c>
      <c r="F401" s="67">
        <f>SUMIF(Data!$B:$B,'FEB ORDERvsPRO'!$C401,Data!$L:$L)</f>
        <v>0</v>
      </c>
      <c r="G401" s="67">
        <f>SUMIF(Data!$B:$B,'FEB ORDERvsPRO'!$C401,Data!$M:$M)</f>
        <v>0</v>
      </c>
      <c r="H401" s="67">
        <f>SUMIF('Returns Data'!$B:$B,'FEB ORDERvsPRO'!$C401,'Returns Data'!$J:$J)</f>
        <v>0</v>
      </c>
      <c r="I401" s="201" t="str">
        <f>IFERROR(Table141516[[#This Row],[Non Processed]]/Table141516[[#This Row],[Orders]],"")</f>
        <v/>
      </c>
    </row>
    <row r="402" spans="5:9" x14ac:dyDescent="0.25">
      <c r="E402" s="67">
        <f>SUMIF(Data!$B:$B,'FEB ORDERvsPRO'!C402,Data!$J:$J)</f>
        <v>0</v>
      </c>
      <c r="F402" s="67">
        <f>SUMIF(Data!$B:$B,'FEB ORDERvsPRO'!$C402,Data!$L:$L)</f>
        <v>0</v>
      </c>
      <c r="G402" s="67">
        <f>SUMIF(Data!$B:$B,'FEB ORDERvsPRO'!$C402,Data!$M:$M)</f>
        <v>0</v>
      </c>
      <c r="H402" s="67">
        <f>SUMIF('Returns Data'!$B:$B,'FEB ORDERvsPRO'!$C402,'Returns Data'!$J:$J)</f>
        <v>0</v>
      </c>
      <c r="I402" s="201" t="str">
        <f>IFERROR(Table141516[[#This Row],[Non Processed]]/Table141516[[#This Row],[Orders]],"")</f>
        <v/>
      </c>
    </row>
    <row r="403" spans="5:9" x14ac:dyDescent="0.25">
      <c r="E403" s="67">
        <f>SUMIF(Data!$B:$B,'FEB ORDERvsPRO'!C403,Data!$J:$J)</f>
        <v>0</v>
      </c>
      <c r="F403" s="67">
        <f>SUMIF(Data!$B:$B,'FEB ORDERvsPRO'!$C403,Data!$L:$L)</f>
        <v>0</v>
      </c>
      <c r="G403" s="67">
        <f>SUMIF(Data!$B:$B,'FEB ORDERvsPRO'!$C403,Data!$M:$M)</f>
        <v>0</v>
      </c>
      <c r="H403" s="67">
        <f>SUMIF('Returns Data'!$B:$B,'FEB ORDERvsPRO'!$C403,'Returns Data'!$J:$J)</f>
        <v>0</v>
      </c>
      <c r="I403" s="201" t="str">
        <f>IFERROR(Table141516[[#This Row],[Non Processed]]/Table141516[[#This Row],[Orders]],"")</f>
        <v/>
      </c>
    </row>
    <row r="404" spans="5:9" x14ac:dyDescent="0.25">
      <c r="E404" s="67">
        <f>SUMIF(Data!$B:$B,'FEB ORDERvsPRO'!C404,Data!$J:$J)</f>
        <v>0</v>
      </c>
      <c r="F404" s="67">
        <f>SUMIF(Data!$B:$B,'FEB ORDERvsPRO'!$C404,Data!$L:$L)</f>
        <v>0</v>
      </c>
      <c r="G404" s="67">
        <f>SUMIF(Data!$B:$B,'FEB ORDERvsPRO'!$C404,Data!$M:$M)</f>
        <v>0</v>
      </c>
      <c r="H404" s="67">
        <f>SUMIF('Returns Data'!$B:$B,'FEB ORDERvsPRO'!$C404,'Returns Data'!$J:$J)</f>
        <v>0</v>
      </c>
      <c r="I404" s="201" t="str">
        <f>IFERROR(Table141516[[#This Row],[Non Processed]]/Table141516[[#This Row],[Orders]],"")</f>
        <v/>
      </c>
    </row>
    <row r="405" spans="5:9" x14ac:dyDescent="0.25">
      <c r="E405" s="67">
        <f>SUMIF(Data!$B:$B,'FEB ORDERvsPRO'!C405,Data!$J:$J)</f>
        <v>0</v>
      </c>
      <c r="F405" s="67">
        <f>SUMIF(Data!$B:$B,'FEB ORDERvsPRO'!$C405,Data!$L:$L)</f>
        <v>0</v>
      </c>
      <c r="G405" s="67">
        <f>SUMIF(Data!$B:$B,'FEB ORDERvsPRO'!$C405,Data!$M:$M)</f>
        <v>0</v>
      </c>
      <c r="H405" s="67">
        <f>SUMIF('Returns Data'!$B:$B,'FEB ORDERvsPRO'!$C405,'Returns Data'!$J:$J)</f>
        <v>0</v>
      </c>
      <c r="I405" s="201" t="str">
        <f>IFERROR(Table141516[[#This Row],[Non Processed]]/Table141516[[#This Row],[Orders]],"")</f>
        <v/>
      </c>
    </row>
    <row r="406" spans="5:9" x14ac:dyDescent="0.25">
      <c r="E406" s="67">
        <f>SUMIF(Data!$B:$B,'FEB ORDERvsPRO'!C406,Data!$J:$J)</f>
        <v>0</v>
      </c>
      <c r="F406" s="67">
        <f>SUMIF(Data!$B:$B,'FEB ORDERvsPRO'!$C406,Data!$L:$L)</f>
        <v>0</v>
      </c>
      <c r="G406" s="67">
        <f>SUMIF(Data!$B:$B,'FEB ORDERvsPRO'!$C406,Data!$M:$M)</f>
        <v>0</v>
      </c>
      <c r="H406" s="67">
        <f>SUMIF('Returns Data'!$B:$B,'FEB ORDERvsPRO'!$C406,'Returns Data'!$J:$J)</f>
        <v>0</v>
      </c>
      <c r="I406" s="201" t="str">
        <f>IFERROR(Table141516[[#This Row],[Non Processed]]/Table141516[[#This Row],[Orders]],"")</f>
        <v/>
      </c>
    </row>
    <row r="407" spans="5:9" x14ac:dyDescent="0.25">
      <c r="E407" s="67">
        <f>SUMIF(Data!$B:$B,'FEB ORDERvsPRO'!C407,Data!$J:$J)</f>
        <v>0</v>
      </c>
      <c r="F407" s="67">
        <f>SUMIF(Data!$B:$B,'FEB ORDERvsPRO'!$C407,Data!$L:$L)</f>
        <v>0</v>
      </c>
      <c r="G407" s="67">
        <f>SUMIF(Data!$B:$B,'FEB ORDERvsPRO'!$C407,Data!$M:$M)</f>
        <v>0</v>
      </c>
      <c r="H407" s="67">
        <f>SUMIF('Returns Data'!$B:$B,'FEB ORDERvsPRO'!$C407,'Returns Data'!$J:$J)</f>
        <v>0</v>
      </c>
      <c r="I407" s="201" t="str">
        <f>IFERROR(Table141516[[#This Row],[Non Processed]]/Table141516[[#This Row],[Orders]],"")</f>
        <v/>
      </c>
    </row>
    <row r="408" spans="5:9" x14ac:dyDescent="0.25">
      <c r="E408" s="67">
        <f>SUMIF(Data!$B:$B,'FEB ORDERvsPRO'!C408,Data!$J:$J)</f>
        <v>0</v>
      </c>
      <c r="F408" s="67">
        <f>SUMIF(Data!$B:$B,'FEB ORDERvsPRO'!$C408,Data!$L:$L)</f>
        <v>0</v>
      </c>
      <c r="G408" s="67">
        <f>SUMIF(Data!$B:$B,'FEB ORDERvsPRO'!$C408,Data!$M:$M)</f>
        <v>0</v>
      </c>
      <c r="H408" s="67">
        <f>SUMIF('Returns Data'!$B:$B,'FEB ORDERvsPRO'!$C408,'Returns Data'!$J:$J)</f>
        <v>0</v>
      </c>
      <c r="I408" s="201" t="str">
        <f>IFERROR(Table141516[[#This Row],[Non Processed]]/Table141516[[#This Row],[Orders]],"")</f>
        <v/>
      </c>
    </row>
    <row r="409" spans="5:9" x14ac:dyDescent="0.25">
      <c r="E409" s="67">
        <f>SUMIF(Data!$B:$B,'FEB ORDERvsPRO'!C409,Data!$J:$J)</f>
        <v>0</v>
      </c>
      <c r="F409" s="67">
        <f>SUMIF(Data!$B:$B,'FEB ORDERvsPRO'!$C409,Data!$L:$L)</f>
        <v>0</v>
      </c>
      <c r="G409" s="67">
        <f>SUMIF(Data!$B:$B,'FEB ORDERvsPRO'!$C409,Data!$M:$M)</f>
        <v>0</v>
      </c>
      <c r="H409" s="67">
        <f>SUMIF('Returns Data'!$B:$B,'FEB ORDERvsPRO'!$C409,'Returns Data'!$J:$J)</f>
        <v>0</v>
      </c>
      <c r="I409" s="201" t="str">
        <f>IFERROR(Table141516[[#This Row],[Non Processed]]/Table141516[[#This Row],[Orders]],"")</f>
        <v/>
      </c>
    </row>
    <row r="410" spans="5:9" x14ac:dyDescent="0.25">
      <c r="E410" s="67">
        <f>SUMIF(Data!$B:$B,'FEB ORDERvsPRO'!C410,Data!$J:$J)</f>
        <v>0</v>
      </c>
      <c r="F410" s="67">
        <f>SUMIF(Data!$B:$B,'FEB ORDERvsPRO'!$C410,Data!$L:$L)</f>
        <v>0</v>
      </c>
      <c r="G410" s="67">
        <f>SUMIF(Data!$B:$B,'FEB ORDERvsPRO'!$C410,Data!$M:$M)</f>
        <v>0</v>
      </c>
      <c r="H410" s="67">
        <f>SUMIF('Returns Data'!$B:$B,'FEB ORDERvsPRO'!$C410,'Returns Data'!$J:$J)</f>
        <v>0</v>
      </c>
      <c r="I410" s="201" t="str">
        <f>IFERROR(Table141516[[#This Row],[Non Processed]]/Table141516[[#This Row],[Orders]],"")</f>
        <v/>
      </c>
    </row>
    <row r="411" spans="5:9" x14ac:dyDescent="0.25">
      <c r="E411" s="67">
        <f>SUMIF(Data!$B:$B,'FEB ORDERvsPRO'!C411,Data!$J:$J)</f>
        <v>0</v>
      </c>
      <c r="F411" s="67">
        <f>SUMIF(Data!$B:$B,'FEB ORDERvsPRO'!$C411,Data!$L:$L)</f>
        <v>0</v>
      </c>
      <c r="G411" s="67">
        <f>SUMIF(Data!$B:$B,'FEB ORDERvsPRO'!$C411,Data!$M:$M)</f>
        <v>0</v>
      </c>
      <c r="H411" s="67">
        <f>SUMIF('Returns Data'!$B:$B,'FEB ORDERvsPRO'!$C411,'Returns Data'!$J:$J)</f>
        <v>0</v>
      </c>
      <c r="I411" s="201" t="str">
        <f>IFERROR(Table141516[[#This Row],[Non Processed]]/Table141516[[#This Row],[Orders]],"")</f>
        <v/>
      </c>
    </row>
    <row r="412" spans="5:9" x14ac:dyDescent="0.25">
      <c r="E412" s="67">
        <f>SUMIF(Data!$B:$B,'FEB ORDERvsPRO'!C412,Data!$J:$J)</f>
        <v>0</v>
      </c>
      <c r="F412" s="67">
        <f>SUMIF(Data!$B:$B,'FEB ORDERvsPRO'!$C412,Data!$L:$L)</f>
        <v>0</v>
      </c>
      <c r="G412" s="67">
        <f>SUMIF(Data!$B:$B,'FEB ORDERvsPRO'!$C412,Data!$M:$M)</f>
        <v>0</v>
      </c>
      <c r="H412" s="67">
        <f>SUMIF('Returns Data'!$B:$B,'FEB ORDERvsPRO'!$C412,'Returns Data'!$J:$J)</f>
        <v>0</v>
      </c>
      <c r="I412" s="201" t="str">
        <f>IFERROR(Table141516[[#This Row],[Non Processed]]/Table141516[[#This Row],[Orders]],"")</f>
        <v/>
      </c>
    </row>
    <row r="413" spans="5:9" x14ac:dyDescent="0.25">
      <c r="E413" s="67">
        <f>SUMIF(Data!$B:$B,'FEB ORDERvsPRO'!C413,Data!$J:$J)</f>
        <v>0</v>
      </c>
      <c r="F413" s="67">
        <f>SUMIF(Data!$B:$B,'FEB ORDERvsPRO'!$C413,Data!$L:$L)</f>
        <v>0</v>
      </c>
      <c r="G413" s="67">
        <f>SUMIF(Data!$B:$B,'FEB ORDERvsPRO'!$C413,Data!$M:$M)</f>
        <v>0</v>
      </c>
      <c r="H413" s="67">
        <f>SUMIF('Returns Data'!$B:$B,'FEB ORDERvsPRO'!$C413,'Returns Data'!$J:$J)</f>
        <v>0</v>
      </c>
      <c r="I413" s="201" t="str">
        <f>IFERROR(Table141516[[#This Row],[Non Processed]]/Table141516[[#This Row],[Orders]],"")</f>
        <v/>
      </c>
    </row>
    <row r="414" spans="5:9" x14ac:dyDescent="0.25">
      <c r="E414" s="67">
        <f>SUMIF(Data!$B:$B,'FEB ORDERvsPRO'!C414,Data!$J:$J)</f>
        <v>0</v>
      </c>
      <c r="F414" s="67">
        <f>SUMIF(Data!$B:$B,'FEB ORDERvsPRO'!$C414,Data!$L:$L)</f>
        <v>0</v>
      </c>
      <c r="G414" s="67">
        <f>SUMIF(Data!$B:$B,'FEB ORDERvsPRO'!$C414,Data!$M:$M)</f>
        <v>0</v>
      </c>
      <c r="H414" s="67">
        <f>SUMIF('Returns Data'!$B:$B,'FEB ORDERvsPRO'!$C414,'Returns Data'!$J:$J)</f>
        <v>0</v>
      </c>
      <c r="I414" s="201" t="str">
        <f>IFERROR(Table141516[[#This Row],[Non Processed]]/Table141516[[#This Row],[Orders]],"")</f>
        <v/>
      </c>
    </row>
    <row r="415" spans="5:9" x14ac:dyDescent="0.25">
      <c r="E415" s="67">
        <f>SUMIF(Data!$B:$B,'FEB ORDERvsPRO'!C415,Data!$J:$J)</f>
        <v>0</v>
      </c>
      <c r="F415" s="67">
        <f>SUMIF(Data!$B:$B,'FEB ORDERvsPRO'!$C415,Data!$L:$L)</f>
        <v>0</v>
      </c>
      <c r="G415" s="67">
        <f>SUMIF(Data!$B:$B,'FEB ORDERvsPRO'!$C415,Data!$M:$M)</f>
        <v>0</v>
      </c>
      <c r="H415" s="67">
        <f>SUMIF('Returns Data'!$B:$B,'FEB ORDERvsPRO'!$C415,'Returns Data'!$J:$J)</f>
        <v>0</v>
      </c>
      <c r="I415" s="201" t="str">
        <f>IFERROR(Table141516[[#This Row],[Non Processed]]/Table141516[[#This Row],[Orders]],"")</f>
        <v/>
      </c>
    </row>
    <row r="416" spans="5:9" x14ac:dyDescent="0.25">
      <c r="E416" s="67">
        <f>SUMIF(Data!$B:$B,'FEB ORDERvsPRO'!C416,Data!$J:$J)</f>
        <v>0</v>
      </c>
      <c r="F416" s="67">
        <f>SUMIF(Data!$B:$B,'FEB ORDERvsPRO'!$C416,Data!$L:$L)</f>
        <v>0</v>
      </c>
      <c r="G416" s="67">
        <f>SUMIF(Data!$B:$B,'FEB ORDERvsPRO'!$C416,Data!$M:$M)</f>
        <v>0</v>
      </c>
      <c r="H416" s="67">
        <f>SUMIF('Returns Data'!$B:$B,'FEB ORDERvsPRO'!$C416,'Returns Data'!$J:$J)</f>
        <v>0</v>
      </c>
      <c r="I416" s="201" t="str">
        <f>IFERROR(Table141516[[#This Row],[Non Processed]]/Table141516[[#This Row],[Orders]],"")</f>
        <v/>
      </c>
    </row>
    <row r="417" spans="5:9" x14ac:dyDescent="0.25">
      <c r="E417" s="67">
        <f>SUMIF(Data!$B:$B,'FEB ORDERvsPRO'!C417,Data!$J:$J)</f>
        <v>0</v>
      </c>
      <c r="F417" s="67">
        <f>SUMIF(Data!$B:$B,'FEB ORDERvsPRO'!$C417,Data!$L:$L)</f>
        <v>0</v>
      </c>
      <c r="G417" s="67">
        <f>SUMIF(Data!$B:$B,'FEB ORDERvsPRO'!$C417,Data!$M:$M)</f>
        <v>0</v>
      </c>
      <c r="H417" s="67">
        <f>SUMIF('Returns Data'!$B:$B,'FEB ORDERvsPRO'!$C417,'Returns Data'!$J:$J)</f>
        <v>0</v>
      </c>
      <c r="I417" s="201" t="str">
        <f>IFERROR(Table141516[[#This Row],[Non Processed]]/Table141516[[#This Row],[Orders]],"")</f>
        <v/>
      </c>
    </row>
    <row r="418" spans="5:9" x14ac:dyDescent="0.25">
      <c r="E418" s="67">
        <f>SUMIF(Data!$B:$B,'FEB ORDERvsPRO'!C418,Data!$J:$J)</f>
        <v>0</v>
      </c>
      <c r="F418" s="67">
        <f>SUMIF(Data!$B:$B,'FEB ORDERvsPRO'!$C418,Data!$L:$L)</f>
        <v>0</v>
      </c>
      <c r="G418" s="67">
        <f>SUMIF(Data!$B:$B,'FEB ORDERvsPRO'!$C418,Data!$M:$M)</f>
        <v>0</v>
      </c>
      <c r="H418" s="67">
        <f>SUMIF('Returns Data'!$B:$B,'FEB ORDERvsPRO'!$C418,'Returns Data'!$J:$J)</f>
        <v>0</v>
      </c>
      <c r="I418" s="201" t="str">
        <f>IFERROR(Table141516[[#This Row],[Non Processed]]/Table141516[[#This Row],[Orders]],"")</f>
        <v/>
      </c>
    </row>
    <row r="419" spans="5:9" x14ac:dyDescent="0.25">
      <c r="E419" s="67">
        <f>SUMIF(Data!$B:$B,'FEB ORDERvsPRO'!C419,Data!$J:$J)</f>
        <v>0</v>
      </c>
      <c r="F419" s="67">
        <f>SUMIF(Data!$B:$B,'FEB ORDERvsPRO'!$C419,Data!$L:$L)</f>
        <v>0</v>
      </c>
      <c r="G419" s="67">
        <f>SUMIF(Data!$B:$B,'FEB ORDERvsPRO'!$C419,Data!$M:$M)</f>
        <v>0</v>
      </c>
      <c r="H419" s="67">
        <f>SUMIF('Returns Data'!$B:$B,'FEB ORDERvsPRO'!$C419,'Returns Data'!$J:$J)</f>
        <v>0</v>
      </c>
      <c r="I419" s="201" t="str">
        <f>IFERROR(Table141516[[#This Row],[Non Processed]]/Table141516[[#This Row],[Orders]],"")</f>
        <v/>
      </c>
    </row>
    <row r="420" spans="5:9" x14ac:dyDescent="0.25">
      <c r="E420" s="67">
        <f>SUMIF(Data!$B:$B,'FEB ORDERvsPRO'!C420,Data!$J:$J)</f>
        <v>0</v>
      </c>
      <c r="F420" s="67">
        <f>SUMIF(Data!$B:$B,'FEB ORDERvsPRO'!$C420,Data!$L:$L)</f>
        <v>0</v>
      </c>
      <c r="G420" s="67">
        <f>SUMIF(Data!$B:$B,'FEB ORDERvsPRO'!$C420,Data!$M:$M)</f>
        <v>0</v>
      </c>
      <c r="H420" s="67">
        <f>SUMIF('Returns Data'!$B:$B,'FEB ORDERvsPRO'!$C420,'Returns Data'!$J:$J)</f>
        <v>0</v>
      </c>
      <c r="I420" s="201" t="str">
        <f>IFERROR(Table141516[[#This Row],[Non Processed]]/Table141516[[#This Row],[Orders]],"")</f>
        <v/>
      </c>
    </row>
    <row r="421" spans="5:9" x14ac:dyDescent="0.25">
      <c r="E421" s="67">
        <f>SUMIF(Data!$B:$B,'FEB ORDERvsPRO'!C421,Data!$J:$J)</f>
        <v>0</v>
      </c>
      <c r="F421" s="67">
        <f>SUMIF(Data!$B:$B,'FEB ORDERvsPRO'!$C421,Data!$L:$L)</f>
        <v>0</v>
      </c>
      <c r="G421" s="67">
        <f>SUMIF(Data!$B:$B,'FEB ORDERvsPRO'!$C421,Data!$M:$M)</f>
        <v>0</v>
      </c>
      <c r="H421" s="67">
        <f>SUMIF('Returns Data'!$B:$B,'FEB ORDERvsPRO'!$C421,'Returns Data'!$J:$J)</f>
        <v>0</v>
      </c>
      <c r="I421" s="201" t="str">
        <f>IFERROR(Table141516[[#This Row],[Non Processed]]/Table141516[[#This Row],[Orders]],"")</f>
        <v/>
      </c>
    </row>
    <row r="422" spans="5:9" x14ac:dyDescent="0.25">
      <c r="E422" s="67">
        <f>SUMIF(Data!$B:$B,'FEB ORDERvsPRO'!C422,Data!$J:$J)</f>
        <v>0</v>
      </c>
      <c r="F422" s="67">
        <f>SUMIF(Data!$B:$B,'FEB ORDERvsPRO'!$C422,Data!$L:$L)</f>
        <v>0</v>
      </c>
      <c r="G422" s="67">
        <f>SUMIF(Data!$B:$B,'FEB ORDERvsPRO'!$C422,Data!$M:$M)</f>
        <v>0</v>
      </c>
      <c r="H422" s="67">
        <f>SUMIF('Returns Data'!$B:$B,'FEB ORDERvsPRO'!$C422,'Returns Data'!$J:$J)</f>
        <v>0</v>
      </c>
      <c r="I422" s="201" t="str">
        <f>IFERROR(Table141516[[#This Row],[Non Processed]]/Table141516[[#This Row],[Orders]],"")</f>
        <v/>
      </c>
    </row>
    <row r="423" spans="5:9" x14ac:dyDescent="0.25">
      <c r="E423" s="67">
        <f>SUMIF(Data!$B:$B,'FEB ORDERvsPRO'!C423,Data!$J:$J)</f>
        <v>0</v>
      </c>
      <c r="F423" s="67">
        <f>SUMIF(Data!$B:$B,'FEB ORDERvsPRO'!$C423,Data!$L:$L)</f>
        <v>0</v>
      </c>
      <c r="G423" s="67">
        <f>SUMIF(Data!$B:$B,'FEB ORDERvsPRO'!$C423,Data!$M:$M)</f>
        <v>0</v>
      </c>
      <c r="H423" s="67">
        <f>SUMIF('Returns Data'!$B:$B,'FEB ORDERvsPRO'!$C423,'Returns Data'!$J:$J)</f>
        <v>0</v>
      </c>
      <c r="I423" s="201" t="str">
        <f>IFERROR(Table141516[[#This Row],[Non Processed]]/Table141516[[#This Row],[Orders]],"")</f>
        <v/>
      </c>
    </row>
    <row r="424" spans="5:9" x14ac:dyDescent="0.25">
      <c r="E424" s="67">
        <f>SUMIF(Data!$B:$B,'FEB ORDERvsPRO'!C424,Data!$J:$J)</f>
        <v>0</v>
      </c>
      <c r="F424" s="67">
        <f>SUMIF(Data!$B:$B,'FEB ORDERvsPRO'!$C424,Data!$L:$L)</f>
        <v>0</v>
      </c>
      <c r="G424" s="67">
        <f>SUMIF(Data!$B:$B,'FEB ORDERvsPRO'!$C424,Data!$M:$M)</f>
        <v>0</v>
      </c>
      <c r="H424" s="67">
        <f>SUMIF('Returns Data'!$B:$B,'FEB ORDERvsPRO'!$C424,'Returns Data'!$J:$J)</f>
        <v>0</v>
      </c>
      <c r="I424" s="201" t="str">
        <f>IFERROR(Table141516[[#This Row],[Non Processed]]/Table141516[[#This Row],[Orders]],"")</f>
        <v/>
      </c>
    </row>
    <row r="425" spans="5:9" x14ac:dyDescent="0.25">
      <c r="E425" s="67">
        <f>SUMIF(Data!$B:$B,'FEB ORDERvsPRO'!C425,Data!$J:$J)</f>
        <v>0</v>
      </c>
      <c r="F425" s="67">
        <f>SUMIF(Data!$B:$B,'FEB ORDERvsPRO'!$C425,Data!$L:$L)</f>
        <v>0</v>
      </c>
      <c r="G425" s="67">
        <f>SUMIF(Data!$B:$B,'FEB ORDERvsPRO'!$C425,Data!$M:$M)</f>
        <v>0</v>
      </c>
      <c r="H425" s="67">
        <f>SUMIF('Returns Data'!$B:$B,'FEB ORDERvsPRO'!$C425,'Returns Data'!$J:$J)</f>
        <v>0</v>
      </c>
      <c r="I425" s="201" t="str">
        <f>IFERROR(Table141516[[#This Row],[Non Processed]]/Table141516[[#This Row],[Orders]],"")</f>
        <v/>
      </c>
    </row>
    <row r="426" spans="5:9" x14ac:dyDescent="0.25">
      <c r="E426" s="67">
        <f>SUMIF(Data!$B:$B,'FEB ORDERvsPRO'!C426,Data!$J:$J)</f>
        <v>0</v>
      </c>
      <c r="F426" s="67">
        <f>SUMIF(Data!$B:$B,'FEB ORDERvsPRO'!$C426,Data!$L:$L)</f>
        <v>0</v>
      </c>
      <c r="G426" s="67">
        <f>SUMIF(Data!$B:$B,'FEB ORDERvsPRO'!$C426,Data!$M:$M)</f>
        <v>0</v>
      </c>
      <c r="H426" s="67">
        <f>SUMIF('Returns Data'!$B:$B,'FEB ORDERvsPRO'!$C426,'Returns Data'!$J:$J)</f>
        <v>0</v>
      </c>
      <c r="I426" s="201" t="str">
        <f>IFERROR(Table141516[[#This Row],[Non Processed]]/Table141516[[#This Row],[Orders]],"")</f>
        <v/>
      </c>
    </row>
    <row r="427" spans="5:9" x14ac:dyDescent="0.25">
      <c r="E427" s="67">
        <f>SUMIF(Data!$B:$B,'FEB ORDERvsPRO'!C427,Data!$J:$J)</f>
        <v>0</v>
      </c>
      <c r="F427" s="67">
        <f>SUMIF(Data!$B:$B,'FEB ORDERvsPRO'!$C427,Data!$L:$L)</f>
        <v>0</v>
      </c>
      <c r="G427" s="67">
        <f>SUMIF(Data!$B:$B,'FEB ORDERvsPRO'!$C427,Data!$M:$M)</f>
        <v>0</v>
      </c>
      <c r="H427" s="67">
        <f>SUMIF('Returns Data'!$B:$B,'FEB ORDERvsPRO'!$C427,'Returns Data'!$J:$J)</f>
        <v>0</v>
      </c>
      <c r="I427" s="201" t="str">
        <f>IFERROR(Table141516[[#This Row],[Non Processed]]/Table141516[[#This Row],[Orders]],"")</f>
        <v/>
      </c>
    </row>
    <row r="428" spans="5:9" x14ac:dyDescent="0.25">
      <c r="E428" s="67">
        <f>SUMIF(Data!$B:$B,'FEB ORDERvsPRO'!C428,Data!$J:$J)</f>
        <v>0</v>
      </c>
      <c r="F428" s="67">
        <f>SUMIF(Data!$B:$B,'FEB ORDERvsPRO'!$C428,Data!$L:$L)</f>
        <v>0</v>
      </c>
      <c r="G428" s="67">
        <f>SUMIF(Data!$B:$B,'FEB ORDERvsPRO'!$C428,Data!$M:$M)</f>
        <v>0</v>
      </c>
      <c r="H428" s="67">
        <f>SUMIF('Returns Data'!$B:$B,'FEB ORDERvsPRO'!$C428,'Returns Data'!$J:$J)</f>
        <v>0</v>
      </c>
      <c r="I428" s="201" t="str">
        <f>IFERROR(Table141516[[#This Row],[Non Processed]]/Table141516[[#This Row],[Orders]],"")</f>
        <v/>
      </c>
    </row>
    <row r="429" spans="5:9" x14ac:dyDescent="0.25">
      <c r="E429" s="67">
        <f>SUMIF(Data!$B:$B,'FEB ORDERvsPRO'!C429,Data!$J:$J)</f>
        <v>0</v>
      </c>
      <c r="F429" s="67">
        <f>SUMIF(Data!$B:$B,'FEB ORDERvsPRO'!$C429,Data!$L:$L)</f>
        <v>0</v>
      </c>
      <c r="G429" s="67">
        <f>SUMIF(Data!$B:$B,'FEB ORDERvsPRO'!$C429,Data!$M:$M)</f>
        <v>0</v>
      </c>
      <c r="H429" s="67">
        <f>SUMIF('Returns Data'!$B:$B,'FEB ORDERvsPRO'!$C429,'Returns Data'!$J:$J)</f>
        <v>0</v>
      </c>
      <c r="I429" s="201" t="str">
        <f>IFERROR(Table141516[[#This Row],[Non Processed]]/Table141516[[#This Row],[Orders]],"")</f>
        <v/>
      </c>
    </row>
    <row r="430" spans="5:9" x14ac:dyDescent="0.25">
      <c r="E430" s="67">
        <f>SUMIF(Data!$B:$B,'FEB ORDERvsPRO'!C430,Data!$J:$J)</f>
        <v>0</v>
      </c>
      <c r="F430" s="67">
        <f>SUMIF(Data!$B:$B,'FEB ORDERvsPRO'!$C430,Data!$L:$L)</f>
        <v>0</v>
      </c>
      <c r="G430" s="67">
        <f>SUMIF(Data!$B:$B,'FEB ORDERvsPRO'!$C430,Data!$M:$M)</f>
        <v>0</v>
      </c>
      <c r="H430" s="67">
        <f>SUMIF('Returns Data'!$B:$B,'FEB ORDERvsPRO'!$C430,'Returns Data'!$J:$J)</f>
        <v>0</v>
      </c>
      <c r="I430" s="201" t="str">
        <f>IFERROR(Table141516[[#This Row],[Non Processed]]/Table141516[[#This Row],[Orders]],"")</f>
        <v/>
      </c>
    </row>
    <row r="431" spans="5:9" x14ac:dyDescent="0.25">
      <c r="E431" s="67">
        <f>SUMIF(Data!$B:$B,'FEB ORDERvsPRO'!C431,Data!$J:$J)</f>
        <v>0</v>
      </c>
      <c r="F431" s="67">
        <f>SUMIF(Data!$B:$B,'FEB ORDERvsPRO'!$C431,Data!$L:$L)</f>
        <v>0</v>
      </c>
      <c r="G431" s="67">
        <f>SUMIF(Data!$B:$B,'FEB ORDERvsPRO'!$C431,Data!$M:$M)</f>
        <v>0</v>
      </c>
      <c r="H431" s="67">
        <f>SUMIF('Returns Data'!$B:$B,'FEB ORDERvsPRO'!$C431,'Returns Data'!$J:$J)</f>
        <v>0</v>
      </c>
      <c r="I431" s="201" t="str">
        <f>IFERROR(Table141516[[#This Row],[Non Processed]]/Table141516[[#This Row],[Orders]],"")</f>
        <v/>
      </c>
    </row>
    <row r="432" spans="5:9" x14ac:dyDescent="0.25">
      <c r="E432" s="67">
        <f>SUMIF(Data!$B:$B,'FEB ORDERvsPRO'!C432,Data!$J:$J)</f>
        <v>0</v>
      </c>
      <c r="F432" s="67">
        <f>SUMIF(Data!$B:$B,'FEB ORDERvsPRO'!$C432,Data!$L:$L)</f>
        <v>0</v>
      </c>
      <c r="G432" s="67">
        <f>SUMIF(Data!$B:$B,'FEB ORDERvsPRO'!$C432,Data!$M:$M)</f>
        <v>0</v>
      </c>
      <c r="H432" s="67">
        <f>SUMIF('Returns Data'!$B:$B,'FEB ORDERvsPRO'!$C432,'Returns Data'!$J:$J)</f>
        <v>0</v>
      </c>
      <c r="I432" s="201" t="str">
        <f>IFERROR(Table141516[[#This Row],[Non Processed]]/Table141516[[#This Row],[Orders]],"")</f>
        <v/>
      </c>
    </row>
    <row r="433" spans="5:9" x14ac:dyDescent="0.25">
      <c r="E433" s="67">
        <f>SUMIF(Data!$B:$B,'FEB ORDERvsPRO'!C433,Data!$J:$J)</f>
        <v>0</v>
      </c>
      <c r="F433" s="67">
        <f>SUMIF(Data!$B:$B,'FEB ORDERvsPRO'!$C433,Data!$L:$L)</f>
        <v>0</v>
      </c>
      <c r="G433" s="67">
        <f>SUMIF(Data!$B:$B,'FEB ORDERvsPRO'!$C433,Data!$M:$M)</f>
        <v>0</v>
      </c>
      <c r="H433" s="67">
        <f>SUMIF('Returns Data'!$B:$B,'FEB ORDERvsPRO'!$C433,'Returns Data'!$J:$J)</f>
        <v>0</v>
      </c>
      <c r="I433" s="201" t="str">
        <f>IFERROR(Table141516[[#This Row],[Non Processed]]/Table141516[[#This Row],[Orders]],"")</f>
        <v/>
      </c>
    </row>
    <row r="434" spans="5:9" x14ac:dyDescent="0.25">
      <c r="E434" s="67">
        <f>SUMIF(Data!$B:$B,'FEB ORDERvsPRO'!C434,Data!$J:$J)</f>
        <v>0</v>
      </c>
      <c r="F434" s="67">
        <f>SUMIF(Data!$B:$B,'FEB ORDERvsPRO'!$C434,Data!$L:$L)</f>
        <v>0</v>
      </c>
      <c r="G434" s="67">
        <f>SUMIF(Data!$B:$B,'FEB ORDERvsPRO'!$C434,Data!$M:$M)</f>
        <v>0</v>
      </c>
      <c r="H434" s="67">
        <f>SUMIF('Returns Data'!$B:$B,'FEB ORDERvsPRO'!$C434,'Returns Data'!$J:$J)</f>
        <v>0</v>
      </c>
      <c r="I434" s="201" t="str">
        <f>IFERROR(Table141516[[#This Row],[Non Processed]]/Table141516[[#This Row],[Orders]],"")</f>
        <v/>
      </c>
    </row>
    <row r="435" spans="5:9" x14ac:dyDescent="0.25">
      <c r="E435" s="67">
        <f>SUMIF(Data!$B:$B,'FEB ORDERvsPRO'!C435,Data!$J:$J)</f>
        <v>0</v>
      </c>
      <c r="F435" s="67">
        <f>SUMIF(Data!$B:$B,'FEB ORDERvsPRO'!$C435,Data!$L:$L)</f>
        <v>0</v>
      </c>
      <c r="G435" s="67">
        <f>SUMIF(Data!$B:$B,'FEB ORDERvsPRO'!$C435,Data!$M:$M)</f>
        <v>0</v>
      </c>
      <c r="H435" s="67">
        <f>SUMIF('Returns Data'!$B:$B,'FEB ORDERvsPRO'!$C435,'Returns Data'!$J:$J)</f>
        <v>0</v>
      </c>
      <c r="I435" s="201" t="str">
        <f>IFERROR(Table141516[[#This Row],[Non Processed]]/Table141516[[#This Row],[Orders]],"")</f>
        <v/>
      </c>
    </row>
    <row r="436" spans="5:9" x14ac:dyDescent="0.25">
      <c r="E436" s="67">
        <f>SUMIF(Data!$B:$B,'FEB ORDERvsPRO'!C436,Data!$J:$J)</f>
        <v>0</v>
      </c>
      <c r="F436" s="67">
        <f>SUMIF(Data!$B:$B,'FEB ORDERvsPRO'!$C436,Data!$L:$L)</f>
        <v>0</v>
      </c>
      <c r="G436" s="67">
        <f>SUMIF(Data!$B:$B,'FEB ORDERvsPRO'!$C436,Data!$M:$M)</f>
        <v>0</v>
      </c>
      <c r="H436" s="67">
        <f>SUMIF('Returns Data'!$B:$B,'FEB ORDERvsPRO'!$C436,'Returns Data'!$J:$J)</f>
        <v>0</v>
      </c>
      <c r="I436" s="201" t="str">
        <f>IFERROR(Table141516[[#This Row],[Non Processed]]/Table141516[[#This Row],[Orders]],"")</f>
        <v/>
      </c>
    </row>
    <row r="437" spans="5:9" x14ac:dyDescent="0.25">
      <c r="E437" s="67">
        <f>SUMIF(Data!$B:$B,'FEB ORDERvsPRO'!C437,Data!$J:$J)</f>
        <v>0</v>
      </c>
      <c r="F437" s="67">
        <f>SUMIF(Data!$B:$B,'FEB ORDERvsPRO'!$C437,Data!$L:$L)</f>
        <v>0</v>
      </c>
      <c r="G437" s="67">
        <f>SUMIF(Data!$B:$B,'FEB ORDERvsPRO'!$C437,Data!$M:$M)</f>
        <v>0</v>
      </c>
      <c r="H437" s="67">
        <f>SUMIF('Returns Data'!$B:$B,'FEB ORDERvsPRO'!$C437,'Returns Data'!$J:$J)</f>
        <v>0</v>
      </c>
      <c r="I437" s="201" t="str">
        <f>IFERROR(Table141516[[#This Row],[Non Processed]]/Table141516[[#This Row],[Orders]],"")</f>
        <v/>
      </c>
    </row>
    <row r="438" spans="5:9" x14ac:dyDescent="0.25">
      <c r="E438" s="67">
        <f>SUMIF(Data!$B:$B,'FEB ORDERvsPRO'!C438,Data!$J:$J)</f>
        <v>0</v>
      </c>
      <c r="F438" s="67">
        <f>SUMIF(Data!$B:$B,'FEB ORDERvsPRO'!$C438,Data!$L:$L)</f>
        <v>0</v>
      </c>
      <c r="G438" s="67">
        <f>SUMIF(Data!$B:$B,'FEB ORDERvsPRO'!$C438,Data!$M:$M)</f>
        <v>0</v>
      </c>
      <c r="H438" s="67">
        <f>SUMIF('Returns Data'!$B:$B,'FEB ORDERvsPRO'!$C438,'Returns Data'!$J:$J)</f>
        <v>0</v>
      </c>
      <c r="I438" s="201" t="str">
        <f>IFERROR(Table141516[[#This Row],[Non Processed]]/Table141516[[#This Row],[Orders]],"")</f>
        <v/>
      </c>
    </row>
    <row r="439" spans="5:9" x14ac:dyDescent="0.25">
      <c r="E439" s="67">
        <f>SUMIF(Data!$B:$B,'FEB ORDERvsPRO'!C439,Data!$J:$J)</f>
        <v>0</v>
      </c>
      <c r="F439" s="67">
        <f>SUMIF(Data!$B:$B,'FEB ORDERvsPRO'!$C439,Data!$L:$L)</f>
        <v>0</v>
      </c>
      <c r="G439" s="67">
        <f>SUMIF(Data!$B:$B,'FEB ORDERvsPRO'!$C439,Data!$M:$M)</f>
        <v>0</v>
      </c>
      <c r="H439" s="67">
        <f>SUMIF('Returns Data'!$B:$B,'FEB ORDERvsPRO'!$C439,'Returns Data'!$J:$J)</f>
        <v>0</v>
      </c>
      <c r="I439" s="201" t="str">
        <f>IFERROR(Table141516[[#This Row],[Non Processed]]/Table141516[[#This Row],[Orders]],"")</f>
        <v/>
      </c>
    </row>
    <row r="440" spans="5:9" x14ac:dyDescent="0.25">
      <c r="E440" s="67">
        <f>SUMIF(Data!$B:$B,'FEB ORDERvsPRO'!C440,Data!$J:$J)</f>
        <v>0</v>
      </c>
      <c r="F440" s="67">
        <f>SUMIF(Data!$B:$B,'FEB ORDERvsPRO'!$C440,Data!$L:$L)</f>
        <v>0</v>
      </c>
      <c r="G440" s="67">
        <f>SUMIF(Data!$B:$B,'FEB ORDERvsPRO'!$C440,Data!$M:$M)</f>
        <v>0</v>
      </c>
      <c r="H440" s="67">
        <f>SUMIF('Returns Data'!$B:$B,'FEB ORDERvsPRO'!$C440,'Returns Data'!$J:$J)</f>
        <v>0</v>
      </c>
      <c r="I440" s="201" t="str">
        <f>IFERROR(Table141516[[#This Row],[Non Processed]]/Table141516[[#This Row],[Orders]],"")</f>
        <v/>
      </c>
    </row>
    <row r="441" spans="5:9" x14ac:dyDescent="0.25">
      <c r="E441" s="67">
        <f>SUMIF(Data!$B:$B,'FEB ORDERvsPRO'!C441,Data!$J:$J)</f>
        <v>0</v>
      </c>
      <c r="F441" s="67">
        <f>SUMIF(Data!$B:$B,'FEB ORDERvsPRO'!$C441,Data!$L:$L)</f>
        <v>0</v>
      </c>
      <c r="G441" s="67">
        <f>SUMIF(Data!$B:$B,'FEB ORDERvsPRO'!$C441,Data!$M:$M)</f>
        <v>0</v>
      </c>
      <c r="H441" s="67">
        <f>SUMIF('Returns Data'!$B:$B,'FEB ORDERvsPRO'!$C441,'Returns Data'!$J:$J)</f>
        <v>0</v>
      </c>
      <c r="I441" s="201" t="str">
        <f>IFERROR(Table141516[[#This Row],[Non Processed]]/Table141516[[#This Row],[Orders]],"")</f>
        <v/>
      </c>
    </row>
    <row r="442" spans="5:9" x14ac:dyDescent="0.25">
      <c r="E442" s="67">
        <f>SUMIF(Data!$B:$B,'FEB ORDERvsPRO'!C442,Data!$J:$J)</f>
        <v>0</v>
      </c>
      <c r="F442" s="67">
        <f>SUMIF(Data!$B:$B,'FEB ORDERvsPRO'!$C442,Data!$L:$L)</f>
        <v>0</v>
      </c>
      <c r="G442" s="67">
        <f>SUMIF(Data!$B:$B,'FEB ORDERvsPRO'!$C442,Data!$M:$M)</f>
        <v>0</v>
      </c>
      <c r="H442" s="67">
        <f>SUMIF('Returns Data'!$B:$B,'FEB ORDERvsPRO'!$C442,'Returns Data'!$J:$J)</f>
        <v>0</v>
      </c>
      <c r="I442" s="201" t="str">
        <f>IFERROR(Table141516[[#This Row],[Non Processed]]/Table141516[[#This Row],[Orders]],"")</f>
        <v/>
      </c>
    </row>
    <row r="443" spans="5:9" x14ac:dyDescent="0.25">
      <c r="E443" s="67">
        <f>SUMIF(Data!$B:$B,'FEB ORDERvsPRO'!C443,Data!$J:$J)</f>
        <v>0</v>
      </c>
      <c r="F443" s="67">
        <f>SUMIF(Data!$B:$B,'FEB ORDERvsPRO'!$C443,Data!$L:$L)</f>
        <v>0</v>
      </c>
      <c r="G443" s="67">
        <f>SUMIF(Data!$B:$B,'FEB ORDERvsPRO'!$C443,Data!$M:$M)</f>
        <v>0</v>
      </c>
      <c r="H443" s="67">
        <f>SUMIF('Returns Data'!$B:$B,'FEB ORDERvsPRO'!$C443,'Returns Data'!$J:$J)</f>
        <v>0</v>
      </c>
      <c r="I443" s="201" t="str">
        <f>IFERROR(Table141516[[#This Row],[Non Processed]]/Table141516[[#This Row],[Orders]],"")</f>
        <v/>
      </c>
    </row>
    <row r="444" spans="5:9" x14ac:dyDescent="0.25">
      <c r="E444" s="67">
        <f>SUMIF(Data!$B:$B,'FEB ORDERvsPRO'!C444,Data!$J:$J)</f>
        <v>0</v>
      </c>
      <c r="F444" s="67">
        <f>SUMIF(Data!$B:$B,'FEB ORDERvsPRO'!$C444,Data!$L:$L)</f>
        <v>0</v>
      </c>
      <c r="G444" s="67">
        <f>SUMIF(Data!$B:$B,'FEB ORDERvsPRO'!$C444,Data!$M:$M)</f>
        <v>0</v>
      </c>
      <c r="H444" s="67">
        <f>SUMIF('Returns Data'!$B:$B,'FEB ORDERvsPRO'!$C444,'Returns Data'!$J:$J)</f>
        <v>0</v>
      </c>
      <c r="I444" s="201" t="str">
        <f>IFERROR(Table141516[[#This Row],[Non Processed]]/Table141516[[#This Row],[Orders]],"")</f>
        <v/>
      </c>
    </row>
    <row r="445" spans="5:9" x14ac:dyDescent="0.25">
      <c r="E445" s="67">
        <f>SUMIF(Data!$B:$B,'FEB ORDERvsPRO'!C445,Data!$J:$J)</f>
        <v>0</v>
      </c>
      <c r="F445" s="67">
        <f>SUMIF(Data!$B:$B,'FEB ORDERvsPRO'!$C445,Data!$L:$L)</f>
        <v>0</v>
      </c>
      <c r="G445" s="67">
        <f>SUMIF(Data!$B:$B,'FEB ORDERvsPRO'!$C445,Data!$M:$M)</f>
        <v>0</v>
      </c>
      <c r="H445" s="67">
        <f>SUMIF('Returns Data'!$B:$B,'FEB ORDERvsPRO'!$C445,'Returns Data'!$J:$J)</f>
        <v>0</v>
      </c>
      <c r="I445" s="201" t="str">
        <f>IFERROR(Table141516[[#This Row],[Non Processed]]/Table141516[[#This Row],[Orders]],"")</f>
        <v/>
      </c>
    </row>
    <row r="446" spans="5:9" x14ac:dyDescent="0.25">
      <c r="E446" s="67">
        <f>SUMIF(Data!$B:$B,'FEB ORDERvsPRO'!C446,Data!$J:$J)</f>
        <v>0</v>
      </c>
      <c r="F446" s="67">
        <f>SUMIF(Data!$B:$B,'FEB ORDERvsPRO'!$C446,Data!$L:$L)</f>
        <v>0</v>
      </c>
      <c r="G446" s="67">
        <f>SUMIF(Data!$B:$B,'FEB ORDERvsPRO'!$C446,Data!$M:$M)</f>
        <v>0</v>
      </c>
      <c r="H446" s="67">
        <f>SUMIF('Returns Data'!$B:$B,'FEB ORDERvsPRO'!$C446,'Returns Data'!$J:$J)</f>
        <v>0</v>
      </c>
      <c r="I446" s="201" t="str">
        <f>IFERROR(Table141516[[#This Row],[Non Processed]]/Table141516[[#This Row],[Orders]],"")</f>
        <v/>
      </c>
    </row>
    <row r="447" spans="5:9" x14ac:dyDescent="0.25">
      <c r="E447" s="67">
        <f>SUMIF(Data!$B:$B,'FEB ORDERvsPRO'!C447,Data!$J:$J)</f>
        <v>0</v>
      </c>
      <c r="F447" s="67">
        <f>SUMIF(Data!$B:$B,'FEB ORDERvsPRO'!$C447,Data!$L:$L)</f>
        <v>0</v>
      </c>
      <c r="G447" s="67">
        <f>SUMIF(Data!$B:$B,'FEB ORDERvsPRO'!$C447,Data!$M:$M)</f>
        <v>0</v>
      </c>
      <c r="H447" s="67">
        <f>SUMIF('Returns Data'!$B:$B,'FEB ORDERvsPRO'!$C447,'Returns Data'!$J:$J)</f>
        <v>0</v>
      </c>
      <c r="I447" s="201" t="str">
        <f>IFERROR(Table141516[[#This Row],[Non Processed]]/Table141516[[#This Row],[Orders]],"")</f>
        <v/>
      </c>
    </row>
    <row r="448" spans="5:9" x14ac:dyDescent="0.25">
      <c r="E448" s="67">
        <f>SUMIF(Data!$B:$B,'FEB ORDERvsPRO'!C448,Data!$J:$J)</f>
        <v>0</v>
      </c>
      <c r="F448" s="67">
        <f>SUMIF(Data!$B:$B,'FEB ORDERvsPRO'!$C448,Data!$L:$L)</f>
        <v>0</v>
      </c>
      <c r="G448" s="67">
        <f>SUMIF(Data!$B:$B,'FEB ORDERvsPRO'!$C448,Data!$M:$M)</f>
        <v>0</v>
      </c>
      <c r="H448" s="67">
        <f>SUMIF('Returns Data'!$B:$B,'FEB ORDERvsPRO'!$C448,'Returns Data'!$J:$J)</f>
        <v>0</v>
      </c>
      <c r="I448" s="201" t="str">
        <f>IFERROR(Table141516[[#This Row],[Non Processed]]/Table141516[[#This Row],[Orders]],"")</f>
        <v/>
      </c>
    </row>
    <row r="449" spans="5:9" x14ac:dyDescent="0.25">
      <c r="E449" s="67">
        <f>SUMIF(Data!$B:$B,'FEB ORDERvsPRO'!C449,Data!$J:$J)</f>
        <v>0</v>
      </c>
      <c r="F449" s="67">
        <f>SUMIF(Data!$B:$B,'FEB ORDERvsPRO'!$C449,Data!$L:$L)</f>
        <v>0</v>
      </c>
      <c r="G449" s="67">
        <f>SUMIF(Data!$B:$B,'FEB ORDERvsPRO'!$C449,Data!$M:$M)</f>
        <v>0</v>
      </c>
      <c r="H449" s="67">
        <f>SUMIF('Returns Data'!$B:$B,'FEB ORDERvsPRO'!$C449,'Returns Data'!$J:$J)</f>
        <v>0</v>
      </c>
      <c r="I449" s="201" t="str">
        <f>IFERROR(Table141516[[#This Row],[Non Processed]]/Table141516[[#This Row],[Orders]],"")</f>
        <v/>
      </c>
    </row>
    <row r="450" spans="5:9" x14ac:dyDescent="0.25">
      <c r="E450" s="67">
        <f>SUMIF(Data!$B:$B,'FEB ORDERvsPRO'!C450,Data!$J:$J)</f>
        <v>0</v>
      </c>
      <c r="F450" s="67">
        <f>SUMIF(Data!$B:$B,'FEB ORDERvsPRO'!$C450,Data!$L:$L)</f>
        <v>0</v>
      </c>
      <c r="G450" s="67">
        <f>SUMIF(Data!$B:$B,'FEB ORDERvsPRO'!$C450,Data!$M:$M)</f>
        <v>0</v>
      </c>
      <c r="H450" s="67">
        <f>SUMIF('Returns Data'!$B:$B,'FEB ORDERvsPRO'!$C450,'Returns Data'!$J:$J)</f>
        <v>0</v>
      </c>
      <c r="I450" s="201" t="str">
        <f>IFERROR(Table141516[[#This Row],[Non Processed]]/Table141516[[#This Row],[Orders]],"")</f>
        <v/>
      </c>
    </row>
    <row r="451" spans="5:9" x14ac:dyDescent="0.25">
      <c r="E451" s="67">
        <f>SUMIF(Data!$B:$B,'FEB ORDERvsPRO'!C451,Data!$J:$J)</f>
        <v>0</v>
      </c>
      <c r="F451" s="67">
        <f>SUMIF(Data!$B:$B,'FEB ORDERvsPRO'!$C451,Data!$L:$L)</f>
        <v>0</v>
      </c>
      <c r="G451" s="67">
        <f>SUMIF(Data!$B:$B,'FEB ORDERvsPRO'!$C451,Data!$M:$M)</f>
        <v>0</v>
      </c>
      <c r="H451" s="67">
        <f>SUMIF('Returns Data'!$B:$B,'FEB ORDERvsPRO'!$C451,'Returns Data'!$J:$J)</f>
        <v>0</v>
      </c>
      <c r="I451" s="201" t="str">
        <f>IFERROR(Table141516[[#This Row],[Non Processed]]/Table141516[[#This Row],[Orders]],"")</f>
        <v/>
      </c>
    </row>
    <row r="452" spans="5:9" x14ac:dyDescent="0.25">
      <c r="E452" s="67">
        <f>SUMIF(Data!$B:$B,'FEB ORDERvsPRO'!C452,Data!$J:$J)</f>
        <v>0</v>
      </c>
      <c r="F452" s="67">
        <f>SUMIF(Data!$B:$B,'FEB ORDERvsPRO'!$C452,Data!$L:$L)</f>
        <v>0</v>
      </c>
      <c r="G452" s="67">
        <f>SUMIF(Data!$B:$B,'FEB ORDERvsPRO'!$C452,Data!$M:$M)</f>
        <v>0</v>
      </c>
      <c r="H452" s="67">
        <f>SUMIF('Returns Data'!$B:$B,'FEB ORDERvsPRO'!$C452,'Returns Data'!$J:$J)</f>
        <v>0</v>
      </c>
      <c r="I452" s="201" t="str">
        <f>IFERROR(Table141516[[#This Row],[Non Processed]]/Table141516[[#This Row],[Orders]],"")</f>
        <v/>
      </c>
    </row>
    <row r="453" spans="5:9" x14ac:dyDescent="0.25">
      <c r="E453" s="67">
        <f>SUMIF(Data!$B:$B,'FEB ORDERvsPRO'!C453,Data!$J:$J)</f>
        <v>0</v>
      </c>
      <c r="F453" s="67">
        <f>SUMIF(Data!$B:$B,'FEB ORDERvsPRO'!$C453,Data!$L:$L)</f>
        <v>0</v>
      </c>
      <c r="G453" s="67">
        <f>SUMIF(Data!$B:$B,'FEB ORDERvsPRO'!$C453,Data!$M:$M)</f>
        <v>0</v>
      </c>
      <c r="H453" s="67">
        <f>SUMIF('Returns Data'!$B:$B,'FEB ORDERvsPRO'!$C453,'Returns Data'!$J:$J)</f>
        <v>0</v>
      </c>
      <c r="I453" s="201" t="str">
        <f>IFERROR(Table141516[[#This Row],[Non Processed]]/Table141516[[#This Row],[Orders]],"")</f>
        <v/>
      </c>
    </row>
    <row r="454" spans="5:9" x14ac:dyDescent="0.25">
      <c r="E454" s="67">
        <f>SUMIF(Data!$B:$B,'FEB ORDERvsPRO'!C454,Data!$J:$J)</f>
        <v>0</v>
      </c>
      <c r="F454" s="67">
        <f>SUMIF(Data!$B:$B,'FEB ORDERvsPRO'!$C454,Data!$L:$L)</f>
        <v>0</v>
      </c>
      <c r="G454" s="67">
        <f>SUMIF(Data!$B:$B,'FEB ORDERvsPRO'!$C454,Data!$M:$M)</f>
        <v>0</v>
      </c>
      <c r="H454" s="67">
        <f>SUMIF('Returns Data'!$B:$B,'FEB ORDERvsPRO'!$C454,'Returns Data'!$J:$J)</f>
        <v>0</v>
      </c>
      <c r="I454" s="201" t="str">
        <f>IFERROR(Table141516[[#This Row],[Non Processed]]/Table141516[[#This Row],[Orders]],"")</f>
        <v/>
      </c>
    </row>
    <row r="455" spans="5:9" x14ac:dyDescent="0.25">
      <c r="E455" s="67">
        <f>SUMIF(Data!$B:$B,'FEB ORDERvsPRO'!C455,Data!$J:$J)</f>
        <v>0</v>
      </c>
      <c r="F455" s="67">
        <f>SUMIF(Data!$B:$B,'FEB ORDERvsPRO'!$C455,Data!$L:$L)</f>
        <v>0</v>
      </c>
      <c r="G455" s="67">
        <f>SUMIF(Data!$B:$B,'FEB ORDERvsPRO'!$C455,Data!$M:$M)</f>
        <v>0</v>
      </c>
      <c r="H455" s="67">
        <f>SUMIF('Returns Data'!$B:$B,'FEB ORDERvsPRO'!$C455,'Returns Data'!$J:$J)</f>
        <v>0</v>
      </c>
      <c r="I455" s="201" t="str">
        <f>IFERROR(Table141516[[#This Row],[Non Processed]]/Table141516[[#This Row],[Orders]],"")</f>
        <v/>
      </c>
    </row>
    <row r="456" spans="5:9" x14ac:dyDescent="0.25">
      <c r="E456" s="67">
        <f>SUMIF(Data!$B:$B,'FEB ORDERvsPRO'!C456,Data!$J:$J)</f>
        <v>0</v>
      </c>
      <c r="F456" s="67">
        <f>SUMIF(Data!$B:$B,'FEB ORDERvsPRO'!$C456,Data!$L:$L)</f>
        <v>0</v>
      </c>
      <c r="G456" s="67">
        <f>SUMIF(Data!$B:$B,'FEB ORDERvsPRO'!$C456,Data!$M:$M)</f>
        <v>0</v>
      </c>
      <c r="H456" s="67">
        <f>SUMIF('Returns Data'!$B:$B,'FEB ORDERvsPRO'!$C456,'Returns Data'!$J:$J)</f>
        <v>0</v>
      </c>
      <c r="I456" s="201" t="str">
        <f>IFERROR(Table141516[[#This Row],[Non Processed]]/Table141516[[#This Row],[Orders]],"")</f>
        <v/>
      </c>
    </row>
    <row r="457" spans="5:9" x14ac:dyDescent="0.25">
      <c r="E457" s="67">
        <f>SUMIF(Data!$B:$B,'FEB ORDERvsPRO'!C457,Data!$J:$J)</f>
        <v>0</v>
      </c>
      <c r="F457" s="67">
        <f>SUMIF(Data!$B:$B,'FEB ORDERvsPRO'!$C457,Data!$L:$L)</f>
        <v>0</v>
      </c>
      <c r="G457" s="67">
        <f>SUMIF(Data!$B:$B,'FEB ORDERvsPRO'!$C457,Data!$M:$M)</f>
        <v>0</v>
      </c>
      <c r="H457" s="67">
        <f>SUMIF('Returns Data'!$B:$B,'FEB ORDERvsPRO'!$C457,'Returns Data'!$J:$J)</f>
        <v>0</v>
      </c>
      <c r="I457" s="201" t="str">
        <f>IFERROR(Table141516[[#This Row],[Non Processed]]/Table141516[[#This Row],[Orders]],"")</f>
        <v/>
      </c>
    </row>
    <row r="458" spans="5:9" x14ac:dyDescent="0.25">
      <c r="E458" s="67">
        <f>SUMIF(Data!$B:$B,'FEB ORDERvsPRO'!C458,Data!$J:$J)</f>
        <v>0</v>
      </c>
      <c r="F458" s="67">
        <f>SUMIF(Data!$B:$B,'FEB ORDERvsPRO'!$C458,Data!$L:$L)</f>
        <v>0</v>
      </c>
      <c r="G458" s="67">
        <f>SUMIF(Data!$B:$B,'FEB ORDERvsPRO'!$C458,Data!$M:$M)</f>
        <v>0</v>
      </c>
      <c r="H458" s="67">
        <f>SUMIF('Returns Data'!$B:$B,'FEB ORDERvsPRO'!$C458,'Returns Data'!$J:$J)</f>
        <v>0</v>
      </c>
      <c r="I458" s="201" t="str">
        <f>IFERROR(Table141516[[#This Row],[Non Processed]]/Table141516[[#This Row],[Orders]],"")</f>
        <v/>
      </c>
    </row>
    <row r="459" spans="5:9" x14ac:dyDescent="0.25">
      <c r="E459" s="67">
        <f>SUMIF(Data!$B:$B,'FEB ORDERvsPRO'!C459,Data!$J:$J)</f>
        <v>0</v>
      </c>
      <c r="F459" s="67">
        <f>SUMIF(Data!$B:$B,'FEB ORDERvsPRO'!$C459,Data!$L:$L)</f>
        <v>0</v>
      </c>
      <c r="G459" s="67">
        <f>SUMIF(Data!$B:$B,'FEB ORDERvsPRO'!$C459,Data!$M:$M)</f>
        <v>0</v>
      </c>
      <c r="H459" s="67">
        <f>SUMIF('Returns Data'!$B:$B,'FEB ORDERvsPRO'!$C459,'Returns Data'!$J:$J)</f>
        <v>0</v>
      </c>
      <c r="I459" s="201" t="str">
        <f>IFERROR(Table141516[[#This Row],[Non Processed]]/Table141516[[#This Row],[Orders]],"")</f>
        <v/>
      </c>
    </row>
    <row r="460" spans="5:9" x14ac:dyDescent="0.25">
      <c r="E460" s="67">
        <f>SUMIF(Data!$B:$B,'FEB ORDERvsPRO'!C460,Data!$J:$J)</f>
        <v>0</v>
      </c>
      <c r="F460" s="67">
        <f>SUMIF(Data!$B:$B,'FEB ORDERvsPRO'!$C460,Data!$L:$L)</f>
        <v>0</v>
      </c>
      <c r="G460" s="67">
        <f>SUMIF(Data!$B:$B,'FEB ORDERvsPRO'!$C460,Data!$M:$M)</f>
        <v>0</v>
      </c>
      <c r="H460" s="67">
        <f>SUMIF('Returns Data'!$B:$B,'FEB ORDERvsPRO'!$C460,'Returns Data'!$J:$J)</f>
        <v>0</v>
      </c>
      <c r="I460" s="201" t="str">
        <f>IFERROR(Table141516[[#This Row],[Non Processed]]/Table141516[[#This Row],[Orders]],"")</f>
        <v/>
      </c>
    </row>
    <row r="461" spans="5:9" x14ac:dyDescent="0.25">
      <c r="E461" s="67">
        <f>SUMIF(Data!$B:$B,'FEB ORDERvsPRO'!C461,Data!$J:$J)</f>
        <v>0</v>
      </c>
      <c r="F461" s="67">
        <f>SUMIF(Data!$B:$B,'FEB ORDERvsPRO'!$C461,Data!$L:$L)</f>
        <v>0</v>
      </c>
      <c r="G461" s="67">
        <f>SUMIF(Data!$B:$B,'FEB ORDERvsPRO'!$C461,Data!$M:$M)</f>
        <v>0</v>
      </c>
      <c r="H461" s="67">
        <f>SUMIF('Returns Data'!$B:$B,'FEB ORDERvsPRO'!$C461,'Returns Data'!$J:$J)</f>
        <v>0</v>
      </c>
      <c r="I461" s="201" t="str">
        <f>IFERROR(Table141516[[#This Row],[Non Processed]]/Table141516[[#This Row],[Orders]],"")</f>
        <v/>
      </c>
    </row>
    <row r="462" spans="5:9" x14ac:dyDescent="0.25">
      <c r="E462" s="67">
        <f>SUMIF(Data!$B:$B,'FEB ORDERvsPRO'!C462,Data!$J:$J)</f>
        <v>0</v>
      </c>
      <c r="F462" s="67">
        <f>SUMIF(Data!$B:$B,'FEB ORDERvsPRO'!$C462,Data!$L:$L)</f>
        <v>0</v>
      </c>
      <c r="G462" s="67">
        <f>SUMIF(Data!$B:$B,'FEB ORDERvsPRO'!$C462,Data!$M:$M)</f>
        <v>0</v>
      </c>
      <c r="H462" s="67">
        <f>SUMIF('Returns Data'!$B:$B,'FEB ORDERvsPRO'!$C462,'Returns Data'!$J:$J)</f>
        <v>0</v>
      </c>
      <c r="I462" s="201" t="str">
        <f>IFERROR(Table141516[[#This Row],[Non Processed]]/Table141516[[#This Row],[Orders]],"")</f>
        <v/>
      </c>
    </row>
    <row r="463" spans="5:9" x14ac:dyDescent="0.25">
      <c r="E463" s="67">
        <f>SUMIF(Data!$B:$B,'FEB ORDERvsPRO'!C463,Data!$J:$J)</f>
        <v>0</v>
      </c>
      <c r="F463" s="67">
        <f>SUMIF(Data!$B:$B,'FEB ORDERvsPRO'!$C463,Data!$L:$L)</f>
        <v>0</v>
      </c>
      <c r="G463" s="67">
        <f>SUMIF(Data!$B:$B,'FEB ORDERvsPRO'!$C463,Data!$M:$M)</f>
        <v>0</v>
      </c>
      <c r="H463" s="67">
        <f>SUMIF('Returns Data'!$B:$B,'FEB ORDERvsPRO'!$C463,'Returns Data'!$J:$J)</f>
        <v>0</v>
      </c>
      <c r="I463" s="201" t="str">
        <f>IFERROR(Table141516[[#This Row],[Non Processed]]/Table141516[[#This Row],[Orders]],"")</f>
        <v/>
      </c>
    </row>
    <row r="464" spans="5:9" x14ac:dyDescent="0.25">
      <c r="E464" s="67">
        <f>SUMIF(Data!$B:$B,'FEB ORDERvsPRO'!C464,Data!$J:$J)</f>
        <v>0</v>
      </c>
      <c r="F464" s="67">
        <f>SUMIF(Data!$B:$B,'FEB ORDERvsPRO'!$C464,Data!$L:$L)</f>
        <v>0</v>
      </c>
      <c r="G464" s="67">
        <f>SUMIF(Data!$B:$B,'FEB ORDERvsPRO'!$C464,Data!$M:$M)</f>
        <v>0</v>
      </c>
      <c r="H464" s="67">
        <f>SUMIF('Returns Data'!$B:$B,'FEB ORDERvsPRO'!$C464,'Returns Data'!$J:$J)</f>
        <v>0</v>
      </c>
      <c r="I464" s="201" t="str">
        <f>IFERROR(Table141516[[#This Row],[Non Processed]]/Table141516[[#This Row],[Orders]],"")</f>
        <v/>
      </c>
    </row>
    <row r="465" spans="5:9" x14ac:dyDescent="0.25">
      <c r="E465" s="67">
        <f>SUMIF(Data!$B:$B,'FEB ORDERvsPRO'!C465,Data!$J:$J)</f>
        <v>0</v>
      </c>
      <c r="F465" s="67">
        <f>SUMIF(Data!$B:$B,'FEB ORDERvsPRO'!$C465,Data!$L:$L)</f>
        <v>0</v>
      </c>
      <c r="G465" s="67">
        <f>SUMIF(Data!$B:$B,'FEB ORDERvsPRO'!$C465,Data!$M:$M)</f>
        <v>0</v>
      </c>
      <c r="H465" s="67">
        <f>SUMIF('Returns Data'!$B:$B,'FEB ORDERvsPRO'!$C465,'Returns Data'!$J:$J)</f>
        <v>0</v>
      </c>
      <c r="I465" s="201" t="str">
        <f>IFERROR(Table141516[[#This Row],[Non Processed]]/Table141516[[#This Row],[Orders]],"")</f>
        <v/>
      </c>
    </row>
    <row r="466" spans="5:9" x14ac:dyDescent="0.25">
      <c r="E466" s="67">
        <f>SUMIF(Data!$B:$B,'FEB ORDERvsPRO'!C466,Data!$J:$J)</f>
        <v>0</v>
      </c>
      <c r="F466" s="67">
        <f>SUMIF(Data!$B:$B,'FEB ORDERvsPRO'!$C466,Data!$L:$L)</f>
        <v>0</v>
      </c>
      <c r="G466" s="67">
        <f>SUMIF(Data!$B:$B,'FEB ORDERvsPRO'!$C466,Data!$M:$M)</f>
        <v>0</v>
      </c>
      <c r="H466" s="67">
        <f>SUMIF('Returns Data'!$B:$B,'FEB ORDERvsPRO'!$C466,'Returns Data'!$J:$J)</f>
        <v>0</v>
      </c>
      <c r="I466" s="201" t="str">
        <f>IFERROR(Table141516[[#This Row],[Non Processed]]/Table141516[[#This Row],[Orders]],"")</f>
        <v/>
      </c>
    </row>
    <row r="467" spans="5:9" x14ac:dyDescent="0.25">
      <c r="E467" s="67">
        <f>SUMIF(Data!$B:$B,'FEB ORDERvsPRO'!C467,Data!$J:$J)</f>
        <v>0</v>
      </c>
      <c r="F467" s="67">
        <f>SUMIF(Data!$B:$B,'FEB ORDERvsPRO'!$C467,Data!$L:$L)</f>
        <v>0</v>
      </c>
      <c r="G467" s="67">
        <f>SUMIF(Data!$B:$B,'FEB ORDERvsPRO'!$C467,Data!$M:$M)</f>
        <v>0</v>
      </c>
      <c r="H467" s="67">
        <f>SUMIF('Returns Data'!$B:$B,'FEB ORDERvsPRO'!$C467,'Returns Data'!$J:$J)</f>
        <v>0</v>
      </c>
      <c r="I467" s="201" t="str">
        <f>IFERROR(Table141516[[#This Row],[Non Processed]]/Table141516[[#This Row],[Orders]],"")</f>
        <v/>
      </c>
    </row>
    <row r="468" spans="5:9" x14ac:dyDescent="0.25">
      <c r="E468" s="67">
        <f>SUMIF(Data!$B:$B,'FEB ORDERvsPRO'!C468,Data!$J:$J)</f>
        <v>0</v>
      </c>
      <c r="F468" s="67">
        <f>SUMIF(Data!$B:$B,'FEB ORDERvsPRO'!$C468,Data!$L:$L)</f>
        <v>0</v>
      </c>
      <c r="G468" s="67">
        <f>SUMIF(Data!$B:$B,'FEB ORDERvsPRO'!$C468,Data!$M:$M)</f>
        <v>0</v>
      </c>
      <c r="H468" s="67">
        <f>SUMIF('Returns Data'!$B:$B,'FEB ORDERvsPRO'!$C468,'Returns Data'!$J:$J)</f>
        <v>0</v>
      </c>
      <c r="I468" s="201" t="str">
        <f>IFERROR(Table141516[[#This Row],[Non Processed]]/Table141516[[#This Row],[Orders]],"")</f>
        <v/>
      </c>
    </row>
    <row r="469" spans="5:9" x14ac:dyDescent="0.25">
      <c r="E469" s="67">
        <f>SUMIF(Data!$B:$B,'FEB ORDERvsPRO'!C469,Data!$J:$J)</f>
        <v>0</v>
      </c>
      <c r="F469" s="67">
        <f>SUMIF(Data!$B:$B,'FEB ORDERvsPRO'!$C469,Data!$L:$L)</f>
        <v>0</v>
      </c>
      <c r="G469" s="67">
        <f>SUMIF(Data!$B:$B,'FEB ORDERvsPRO'!$C469,Data!$M:$M)</f>
        <v>0</v>
      </c>
      <c r="H469" s="67">
        <f>SUMIF('Returns Data'!$B:$B,'FEB ORDERvsPRO'!$C469,'Returns Data'!$J:$J)</f>
        <v>0</v>
      </c>
      <c r="I469" s="201" t="str">
        <f>IFERROR(Table141516[[#This Row],[Non Processed]]/Table141516[[#This Row],[Orders]],"")</f>
        <v/>
      </c>
    </row>
    <row r="470" spans="5:9" x14ac:dyDescent="0.25">
      <c r="E470" s="67">
        <f>SUMIF(Data!$B:$B,'FEB ORDERvsPRO'!C470,Data!$J:$J)</f>
        <v>0</v>
      </c>
      <c r="F470" s="67">
        <f>SUMIF(Data!$B:$B,'FEB ORDERvsPRO'!$C470,Data!$L:$L)</f>
        <v>0</v>
      </c>
      <c r="G470" s="67">
        <f>SUMIF(Data!$B:$B,'FEB ORDERvsPRO'!$C470,Data!$M:$M)</f>
        <v>0</v>
      </c>
      <c r="H470" s="67">
        <f>SUMIF('Returns Data'!$B:$B,'FEB ORDERvsPRO'!$C470,'Returns Data'!$J:$J)</f>
        <v>0</v>
      </c>
      <c r="I470" s="201" t="str">
        <f>IFERROR(Table141516[[#This Row],[Non Processed]]/Table141516[[#This Row],[Orders]],"")</f>
        <v/>
      </c>
    </row>
    <row r="471" spans="5:9" x14ac:dyDescent="0.25">
      <c r="E471" s="67">
        <f>SUMIF(Data!$B:$B,'FEB ORDERvsPRO'!C471,Data!$J:$J)</f>
        <v>0</v>
      </c>
      <c r="F471" s="67">
        <f>SUMIF(Data!$B:$B,'FEB ORDERvsPRO'!$C471,Data!$L:$L)</f>
        <v>0</v>
      </c>
      <c r="G471" s="67">
        <f>SUMIF(Data!$B:$B,'FEB ORDERvsPRO'!$C471,Data!$M:$M)</f>
        <v>0</v>
      </c>
      <c r="H471" s="67">
        <f>SUMIF('Returns Data'!$B:$B,'FEB ORDERvsPRO'!$C471,'Returns Data'!$J:$J)</f>
        <v>0</v>
      </c>
      <c r="I471" s="201" t="str">
        <f>IFERROR(Table141516[[#This Row],[Non Processed]]/Table141516[[#This Row],[Orders]],"")</f>
        <v/>
      </c>
    </row>
    <row r="472" spans="5:9" x14ac:dyDescent="0.25">
      <c r="E472" s="67">
        <f>SUMIF(Data!$B:$B,'FEB ORDERvsPRO'!C472,Data!$J:$J)</f>
        <v>0</v>
      </c>
      <c r="F472" s="67">
        <f>SUMIF(Data!$B:$B,'FEB ORDERvsPRO'!$C472,Data!$L:$L)</f>
        <v>0</v>
      </c>
      <c r="G472" s="67">
        <f>SUMIF(Data!$B:$B,'FEB ORDERvsPRO'!$C472,Data!$M:$M)</f>
        <v>0</v>
      </c>
      <c r="H472" s="67">
        <f>SUMIF('Returns Data'!$B:$B,'FEB ORDERvsPRO'!$C472,'Returns Data'!$J:$J)</f>
        <v>0</v>
      </c>
      <c r="I472" s="201" t="str">
        <f>IFERROR(Table141516[[#This Row],[Non Processed]]/Table141516[[#This Row],[Orders]],"")</f>
        <v/>
      </c>
    </row>
    <row r="473" spans="5:9" x14ac:dyDescent="0.25">
      <c r="E473" s="67">
        <f>SUMIF(Data!$B:$B,'FEB ORDERvsPRO'!C473,Data!$J:$J)</f>
        <v>0</v>
      </c>
      <c r="F473" s="67">
        <f>SUMIF(Data!$B:$B,'FEB ORDERvsPRO'!$C473,Data!$L:$L)</f>
        <v>0</v>
      </c>
      <c r="G473" s="67">
        <f>SUMIF(Data!$B:$B,'FEB ORDERvsPRO'!$C473,Data!$M:$M)</f>
        <v>0</v>
      </c>
      <c r="H473" s="67">
        <f>SUMIF('Returns Data'!$B:$B,'FEB ORDERvsPRO'!$C473,'Returns Data'!$J:$J)</f>
        <v>0</v>
      </c>
      <c r="I473" s="201" t="str">
        <f>IFERROR(Table141516[[#This Row],[Non Processed]]/Table141516[[#This Row],[Orders]],"")</f>
        <v/>
      </c>
    </row>
    <row r="474" spans="5:9" x14ac:dyDescent="0.25">
      <c r="E474" s="67">
        <f>SUMIF(Data!$B:$B,'FEB ORDERvsPRO'!C474,Data!$J:$J)</f>
        <v>0</v>
      </c>
      <c r="F474" s="67">
        <f>SUMIF(Data!$B:$B,'FEB ORDERvsPRO'!$C474,Data!$L:$L)</f>
        <v>0</v>
      </c>
      <c r="G474" s="67">
        <f>SUMIF(Data!$B:$B,'FEB ORDERvsPRO'!$C474,Data!$M:$M)</f>
        <v>0</v>
      </c>
      <c r="H474" s="67">
        <f>SUMIF('Returns Data'!$B:$B,'FEB ORDERvsPRO'!$C474,'Returns Data'!$J:$J)</f>
        <v>0</v>
      </c>
      <c r="I474" s="201" t="str">
        <f>IFERROR(Table141516[[#This Row],[Non Processed]]/Table141516[[#This Row],[Orders]],"")</f>
        <v/>
      </c>
    </row>
    <row r="475" spans="5:9" x14ac:dyDescent="0.25">
      <c r="E475" s="67">
        <f>SUMIF(Data!$B:$B,'FEB ORDERvsPRO'!C475,Data!$J:$J)</f>
        <v>0</v>
      </c>
      <c r="F475" s="67">
        <f>SUMIF(Data!$B:$B,'FEB ORDERvsPRO'!$C475,Data!$L:$L)</f>
        <v>0</v>
      </c>
      <c r="G475" s="67">
        <f>SUMIF(Data!$B:$B,'FEB ORDERvsPRO'!$C475,Data!$M:$M)</f>
        <v>0</v>
      </c>
      <c r="H475" s="67">
        <f>SUMIF('Returns Data'!$B:$B,'FEB ORDERvsPRO'!$C475,'Returns Data'!$J:$J)</f>
        <v>0</v>
      </c>
      <c r="I475" s="201" t="str">
        <f>IFERROR(Table141516[[#This Row],[Non Processed]]/Table141516[[#This Row],[Orders]],"")</f>
        <v/>
      </c>
    </row>
    <row r="476" spans="5:9" x14ac:dyDescent="0.25">
      <c r="E476" s="67">
        <f>SUMIF(Data!$B:$B,'FEB ORDERvsPRO'!C476,Data!$J:$J)</f>
        <v>0</v>
      </c>
      <c r="F476" s="67">
        <f>SUMIF(Data!$B:$B,'FEB ORDERvsPRO'!$C476,Data!$L:$L)</f>
        <v>0</v>
      </c>
      <c r="G476" s="67">
        <f>SUMIF(Data!$B:$B,'FEB ORDERvsPRO'!$C476,Data!$M:$M)</f>
        <v>0</v>
      </c>
      <c r="H476" s="67">
        <f>SUMIF('Returns Data'!$B:$B,'FEB ORDERvsPRO'!$C476,'Returns Data'!$J:$J)</f>
        <v>0</v>
      </c>
      <c r="I476" s="201" t="str">
        <f>IFERROR(Table141516[[#This Row],[Non Processed]]/Table141516[[#This Row],[Orders]],"")</f>
        <v/>
      </c>
    </row>
    <row r="477" spans="5:9" x14ac:dyDescent="0.25">
      <c r="E477" s="67">
        <f>SUMIF(Data!$B:$B,'FEB ORDERvsPRO'!C477,Data!$J:$J)</f>
        <v>0</v>
      </c>
      <c r="F477" s="67">
        <f>SUMIF(Data!$B:$B,'FEB ORDERvsPRO'!$C477,Data!$L:$L)</f>
        <v>0</v>
      </c>
      <c r="G477" s="67">
        <f>SUMIF(Data!$B:$B,'FEB ORDERvsPRO'!$C477,Data!$M:$M)</f>
        <v>0</v>
      </c>
      <c r="H477" s="67">
        <f>SUMIF('Returns Data'!$B:$B,'FEB ORDERvsPRO'!$C477,'Returns Data'!$J:$J)</f>
        <v>0</v>
      </c>
      <c r="I477" s="201" t="str">
        <f>IFERROR(Table141516[[#This Row],[Non Processed]]/Table141516[[#This Row],[Orders]],"")</f>
        <v/>
      </c>
    </row>
    <row r="478" spans="5:9" x14ac:dyDescent="0.25">
      <c r="E478" s="67">
        <f>SUMIF(Data!$B:$B,'FEB ORDERvsPRO'!C478,Data!$J:$J)</f>
        <v>0</v>
      </c>
      <c r="F478" s="67">
        <f>SUMIF(Data!$B:$B,'FEB ORDERvsPRO'!$C478,Data!$L:$L)</f>
        <v>0</v>
      </c>
      <c r="G478" s="67">
        <f>SUMIF(Data!$B:$B,'FEB ORDERvsPRO'!$C478,Data!$M:$M)</f>
        <v>0</v>
      </c>
      <c r="H478" s="67">
        <f>SUMIF('Returns Data'!$B:$B,'FEB ORDERvsPRO'!$C478,'Returns Data'!$J:$J)</f>
        <v>0</v>
      </c>
      <c r="I478" s="201" t="str">
        <f>IFERROR(Table141516[[#This Row],[Non Processed]]/Table141516[[#This Row],[Orders]],"")</f>
        <v/>
      </c>
    </row>
    <row r="479" spans="5:9" x14ac:dyDescent="0.25">
      <c r="E479" s="67">
        <f>SUMIF(Data!$B:$B,'FEB ORDERvsPRO'!C479,Data!$J:$J)</f>
        <v>0</v>
      </c>
      <c r="F479" s="67">
        <f>SUMIF(Data!$B:$B,'FEB ORDERvsPRO'!$C479,Data!$L:$L)</f>
        <v>0</v>
      </c>
      <c r="G479" s="67">
        <f>SUMIF(Data!$B:$B,'FEB ORDERvsPRO'!$C479,Data!$M:$M)</f>
        <v>0</v>
      </c>
      <c r="H479" s="67">
        <f>SUMIF('Returns Data'!$B:$B,'FEB ORDERvsPRO'!$C479,'Returns Data'!$J:$J)</f>
        <v>0</v>
      </c>
      <c r="I479" s="201" t="str">
        <f>IFERROR(Table141516[[#This Row],[Non Processed]]/Table141516[[#This Row],[Orders]],"")</f>
        <v/>
      </c>
    </row>
    <row r="480" spans="5:9" x14ac:dyDescent="0.25">
      <c r="E480" s="67">
        <f>SUMIF(Data!$B:$B,'FEB ORDERvsPRO'!C480,Data!$J:$J)</f>
        <v>0</v>
      </c>
      <c r="F480" s="67">
        <f>SUMIF(Data!$B:$B,'FEB ORDERvsPRO'!$C480,Data!$L:$L)</f>
        <v>0</v>
      </c>
      <c r="G480" s="67">
        <f>SUMIF(Data!$B:$B,'FEB ORDERvsPRO'!$C480,Data!$M:$M)</f>
        <v>0</v>
      </c>
      <c r="H480" s="67">
        <f>SUMIF('Returns Data'!$B:$B,'FEB ORDERvsPRO'!$C480,'Returns Data'!$J:$J)</f>
        <v>0</v>
      </c>
      <c r="I480" s="201" t="str">
        <f>IFERROR(Table141516[[#This Row],[Non Processed]]/Table141516[[#This Row],[Orders]],"")</f>
        <v/>
      </c>
    </row>
    <row r="481" spans="5:9" x14ac:dyDescent="0.25">
      <c r="E481" s="67">
        <f>SUMIF(Data!$B:$B,'FEB ORDERvsPRO'!C481,Data!$J:$J)</f>
        <v>0</v>
      </c>
      <c r="F481" s="67">
        <f>SUMIF(Data!$B:$B,'FEB ORDERvsPRO'!$C481,Data!$L:$L)</f>
        <v>0</v>
      </c>
      <c r="G481" s="67">
        <f>SUMIF(Data!$B:$B,'FEB ORDERvsPRO'!$C481,Data!$M:$M)</f>
        <v>0</v>
      </c>
      <c r="H481" s="67">
        <f>SUMIF('Returns Data'!$B:$B,'FEB ORDERvsPRO'!$C481,'Returns Data'!$J:$J)</f>
        <v>0</v>
      </c>
      <c r="I481" s="201" t="str">
        <f>IFERROR(Table141516[[#This Row],[Non Processed]]/Table141516[[#This Row],[Orders]],"")</f>
        <v/>
      </c>
    </row>
    <row r="482" spans="5:9" x14ac:dyDescent="0.25">
      <c r="E482" s="67">
        <f>SUMIF(Data!$B:$B,'FEB ORDERvsPRO'!C482,Data!$J:$J)</f>
        <v>0</v>
      </c>
      <c r="F482" s="67">
        <f>SUMIF(Data!$B:$B,'FEB ORDERvsPRO'!$C482,Data!$L:$L)</f>
        <v>0</v>
      </c>
      <c r="G482" s="67">
        <f>SUMIF(Data!$B:$B,'FEB ORDERvsPRO'!$C482,Data!$M:$M)</f>
        <v>0</v>
      </c>
      <c r="H482" s="67">
        <f>SUMIF('Returns Data'!$B:$B,'FEB ORDERvsPRO'!$C482,'Returns Data'!$J:$J)</f>
        <v>0</v>
      </c>
      <c r="I482" s="201" t="str">
        <f>IFERROR(Table141516[[#This Row],[Non Processed]]/Table141516[[#This Row],[Orders]],"")</f>
        <v/>
      </c>
    </row>
    <row r="483" spans="5:9" x14ac:dyDescent="0.25">
      <c r="E483" s="67">
        <f>SUMIF(Data!$B:$B,'FEB ORDERvsPRO'!C483,Data!$J:$J)</f>
        <v>0</v>
      </c>
      <c r="F483" s="67">
        <f>SUMIF(Data!$B:$B,'FEB ORDERvsPRO'!$C483,Data!$L:$L)</f>
        <v>0</v>
      </c>
      <c r="G483" s="67">
        <f>SUMIF(Data!$B:$B,'FEB ORDERvsPRO'!$C483,Data!$M:$M)</f>
        <v>0</v>
      </c>
      <c r="H483" s="67">
        <f>SUMIF('Returns Data'!$B:$B,'FEB ORDERvsPRO'!$C483,'Returns Data'!$J:$J)</f>
        <v>0</v>
      </c>
      <c r="I483" s="201" t="str">
        <f>IFERROR(Table141516[[#This Row],[Non Processed]]/Table141516[[#This Row],[Orders]],"")</f>
        <v/>
      </c>
    </row>
    <row r="484" spans="5:9" x14ac:dyDescent="0.25">
      <c r="E484" s="67">
        <f>SUMIF(Data!$B:$B,'FEB ORDERvsPRO'!C484,Data!$J:$J)</f>
        <v>0</v>
      </c>
      <c r="F484" s="67">
        <f>SUMIF(Data!$B:$B,'FEB ORDERvsPRO'!$C484,Data!$L:$L)</f>
        <v>0</v>
      </c>
      <c r="G484" s="67">
        <f>SUMIF(Data!$B:$B,'FEB ORDERvsPRO'!$C484,Data!$M:$M)</f>
        <v>0</v>
      </c>
      <c r="H484" s="67">
        <f>SUMIF('Returns Data'!$B:$B,'FEB ORDERvsPRO'!$C484,'Returns Data'!$J:$J)</f>
        <v>0</v>
      </c>
      <c r="I484" s="201" t="str">
        <f>IFERROR(Table141516[[#This Row],[Non Processed]]/Table141516[[#This Row],[Orders]],"")</f>
        <v/>
      </c>
    </row>
    <row r="485" spans="5:9" x14ac:dyDescent="0.25">
      <c r="E485" s="67">
        <f>SUMIF(Data!$B:$B,'FEB ORDERvsPRO'!C485,Data!$J:$J)</f>
        <v>0</v>
      </c>
      <c r="F485" s="67">
        <f>SUMIF(Data!$B:$B,'FEB ORDERvsPRO'!$C485,Data!$L:$L)</f>
        <v>0</v>
      </c>
      <c r="G485" s="67">
        <f>SUMIF(Data!$B:$B,'FEB ORDERvsPRO'!$C485,Data!$M:$M)</f>
        <v>0</v>
      </c>
      <c r="H485" s="67">
        <f>SUMIF('Returns Data'!$B:$B,'FEB ORDERvsPRO'!$C485,'Returns Data'!$J:$J)</f>
        <v>0</v>
      </c>
      <c r="I485" s="201" t="str">
        <f>IFERROR(Table141516[[#This Row],[Non Processed]]/Table141516[[#This Row],[Orders]],"")</f>
        <v/>
      </c>
    </row>
    <row r="486" spans="5:9" x14ac:dyDescent="0.25">
      <c r="E486" s="67">
        <f>SUMIF(Data!$B:$B,'FEB ORDERvsPRO'!C486,Data!$J:$J)</f>
        <v>0</v>
      </c>
      <c r="F486" s="67">
        <f>SUMIF(Data!$B:$B,'FEB ORDERvsPRO'!$C486,Data!$L:$L)</f>
        <v>0</v>
      </c>
      <c r="G486" s="67">
        <f>SUMIF(Data!$B:$B,'FEB ORDERvsPRO'!$C486,Data!$M:$M)</f>
        <v>0</v>
      </c>
      <c r="H486" s="67">
        <f>SUMIF('Returns Data'!$B:$B,'FEB ORDERvsPRO'!$C486,'Returns Data'!$J:$J)</f>
        <v>0</v>
      </c>
      <c r="I486" s="201" t="str">
        <f>IFERROR(Table141516[[#This Row],[Non Processed]]/Table141516[[#This Row],[Orders]],"")</f>
        <v/>
      </c>
    </row>
    <row r="487" spans="5:9" x14ac:dyDescent="0.25">
      <c r="E487" s="67">
        <f>SUMIF(Data!$B:$B,'FEB ORDERvsPRO'!C487,Data!$J:$J)</f>
        <v>0</v>
      </c>
      <c r="F487" s="67">
        <f>SUMIF(Data!$B:$B,'FEB ORDERvsPRO'!$C487,Data!$L:$L)</f>
        <v>0</v>
      </c>
      <c r="G487" s="67">
        <f>SUMIF(Data!$B:$B,'FEB ORDERvsPRO'!$C487,Data!$M:$M)</f>
        <v>0</v>
      </c>
      <c r="H487" s="67">
        <f>SUMIF('Returns Data'!$B:$B,'FEB ORDERvsPRO'!$C487,'Returns Data'!$J:$J)</f>
        <v>0</v>
      </c>
      <c r="I487" s="201" t="str">
        <f>IFERROR(Table141516[[#This Row],[Non Processed]]/Table141516[[#This Row],[Orders]],"")</f>
        <v/>
      </c>
    </row>
    <row r="488" spans="5:9" x14ac:dyDescent="0.25">
      <c r="E488" s="67">
        <f>SUMIF(Data!$B:$B,'FEB ORDERvsPRO'!C488,Data!$J:$J)</f>
        <v>0</v>
      </c>
      <c r="F488" s="67">
        <f>SUMIF(Data!$B:$B,'FEB ORDERvsPRO'!$C488,Data!$L:$L)</f>
        <v>0</v>
      </c>
      <c r="G488" s="67">
        <f>SUMIF(Data!$B:$B,'FEB ORDERvsPRO'!$C488,Data!$M:$M)</f>
        <v>0</v>
      </c>
      <c r="H488" s="67">
        <f>SUMIF('Returns Data'!$B:$B,'FEB ORDERvsPRO'!$C488,'Returns Data'!$J:$J)</f>
        <v>0</v>
      </c>
      <c r="I488" s="201" t="str">
        <f>IFERROR(Table141516[[#This Row],[Non Processed]]/Table141516[[#This Row],[Orders]],"")</f>
        <v/>
      </c>
    </row>
    <row r="489" spans="5:9" x14ac:dyDescent="0.25">
      <c r="E489" s="67">
        <f>SUMIF(Data!$B:$B,'FEB ORDERvsPRO'!C489,Data!$J:$J)</f>
        <v>0</v>
      </c>
      <c r="F489" s="67">
        <f>SUMIF(Data!$B:$B,'FEB ORDERvsPRO'!$C489,Data!$L:$L)</f>
        <v>0</v>
      </c>
      <c r="G489" s="67">
        <f>SUMIF(Data!$B:$B,'FEB ORDERvsPRO'!$C489,Data!$M:$M)</f>
        <v>0</v>
      </c>
      <c r="H489" s="67">
        <f>SUMIF('Returns Data'!$B:$B,'FEB ORDERvsPRO'!$C489,'Returns Data'!$J:$J)</f>
        <v>0</v>
      </c>
      <c r="I489" s="201" t="str">
        <f>IFERROR(Table141516[[#This Row],[Non Processed]]/Table141516[[#This Row],[Orders]],"")</f>
        <v/>
      </c>
    </row>
    <row r="490" spans="5:9" x14ac:dyDescent="0.25">
      <c r="E490" s="67">
        <f>SUMIF(Data!$B:$B,'FEB ORDERvsPRO'!C490,Data!$J:$J)</f>
        <v>0</v>
      </c>
      <c r="F490" s="67">
        <f>SUMIF(Data!$B:$B,'FEB ORDERvsPRO'!$C490,Data!$L:$L)</f>
        <v>0</v>
      </c>
      <c r="G490" s="67">
        <f>SUMIF(Data!$B:$B,'FEB ORDERvsPRO'!$C490,Data!$M:$M)</f>
        <v>0</v>
      </c>
      <c r="H490" s="67">
        <f>SUMIF('Returns Data'!$B:$B,'FEB ORDERvsPRO'!$C490,'Returns Data'!$J:$J)</f>
        <v>0</v>
      </c>
      <c r="I490" s="201" t="str">
        <f>IFERROR(Table141516[[#This Row],[Non Processed]]/Table141516[[#This Row],[Orders]],"")</f>
        <v/>
      </c>
    </row>
    <row r="491" spans="5:9" x14ac:dyDescent="0.25">
      <c r="E491" s="67">
        <f>SUMIF(Data!$B:$B,'FEB ORDERvsPRO'!C491,Data!$J:$J)</f>
        <v>0</v>
      </c>
      <c r="F491" s="67">
        <f>SUMIF(Data!$B:$B,'FEB ORDERvsPRO'!$C491,Data!$L:$L)</f>
        <v>0</v>
      </c>
      <c r="G491" s="67">
        <f>SUMIF(Data!$B:$B,'FEB ORDERvsPRO'!$C491,Data!$M:$M)</f>
        <v>0</v>
      </c>
      <c r="H491" s="67">
        <f>SUMIF('Returns Data'!$B:$B,'FEB ORDERvsPRO'!$C491,'Returns Data'!$J:$J)</f>
        <v>0</v>
      </c>
      <c r="I491" s="201" t="str">
        <f>IFERROR(Table141516[[#This Row],[Non Processed]]/Table141516[[#This Row],[Orders]],"")</f>
        <v/>
      </c>
    </row>
    <row r="492" spans="5:9" x14ac:dyDescent="0.25">
      <c r="E492" s="67">
        <f>SUMIF(Data!$B:$B,'FEB ORDERvsPRO'!C492,Data!$J:$J)</f>
        <v>0</v>
      </c>
      <c r="F492" s="67">
        <f>SUMIF(Data!$B:$B,'FEB ORDERvsPRO'!$C492,Data!$L:$L)</f>
        <v>0</v>
      </c>
      <c r="G492" s="67">
        <f>SUMIF(Data!$B:$B,'FEB ORDERvsPRO'!$C492,Data!$M:$M)</f>
        <v>0</v>
      </c>
      <c r="H492" s="67">
        <f>SUMIF('Returns Data'!$B:$B,'FEB ORDERvsPRO'!$C492,'Returns Data'!$J:$J)</f>
        <v>0</v>
      </c>
      <c r="I492" s="201" t="str">
        <f>IFERROR(Table141516[[#This Row],[Non Processed]]/Table141516[[#This Row],[Orders]],"")</f>
        <v/>
      </c>
    </row>
    <row r="493" spans="5:9" x14ac:dyDescent="0.25">
      <c r="E493" s="67">
        <f>SUMIF(Data!$B:$B,'FEB ORDERvsPRO'!C493,Data!$J:$J)</f>
        <v>0</v>
      </c>
      <c r="F493" s="67">
        <f>SUMIF(Data!$B:$B,'FEB ORDERvsPRO'!$C493,Data!$L:$L)</f>
        <v>0</v>
      </c>
      <c r="G493" s="67">
        <f>SUMIF(Data!$B:$B,'FEB ORDERvsPRO'!$C493,Data!$M:$M)</f>
        <v>0</v>
      </c>
      <c r="H493" s="67">
        <f>SUMIF('Returns Data'!$B:$B,'FEB ORDERvsPRO'!$C493,'Returns Data'!$J:$J)</f>
        <v>0</v>
      </c>
      <c r="I493" s="201" t="str">
        <f>IFERROR(Table141516[[#This Row],[Non Processed]]/Table141516[[#This Row],[Orders]],"")</f>
        <v/>
      </c>
    </row>
    <row r="494" spans="5:9" x14ac:dyDescent="0.25">
      <c r="E494" s="67">
        <f>SUMIF(Data!$B:$B,'FEB ORDERvsPRO'!C494,Data!$J:$J)</f>
        <v>0</v>
      </c>
      <c r="F494" s="67">
        <f>SUMIF(Data!$B:$B,'FEB ORDERvsPRO'!$C494,Data!$L:$L)</f>
        <v>0</v>
      </c>
      <c r="G494" s="67">
        <f>SUMIF(Data!$B:$B,'FEB ORDERvsPRO'!$C494,Data!$M:$M)</f>
        <v>0</v>
      </c>
      <c r="H494" s="67">
        <f>SUMIF('Returns Data'!$B:$B,'FEB ORDERvsPRO'!$C494,'Returns Data'!$J:$J)</f>
        <v>0</v>
      </c>
      <c r="I494" s="201" t="str">
        <f>IFERROR(Table141516[[#This Row],[Non Processed]]/Table141516[[#This Row],[Orders]],"")</f>
        <v/>
      </c>
    </row>
    <row r="495" spans="5:9" x14ac:dyDescent="0.25">
      <c r="E495" s="67">
        <f>SUMIF(Data!$B:$B,'FEB ORDERvsPRO'!C495,Data!$J:$J)</f>
        <v>0</v>
      </c>
      <c r="F495" s="67">
        <f>SUMIF(Data!$B:$B,'FEB ORDERvsPRO'!$C495,Data!$L:$L)</f>
        <v>0</v>
      </c>
      <c r="G495" s="67">
        <f>SUMIF(Data!$B:$B,'FEB ORDERvsPRO'!$C495,Data!$M:$M)</f>
        <v>0</v>
      </c>
      <c r="H495" s="67">
        <f>SUMIF('Returns Data'!$B:$B,'FEB ORDERvsPRO'!$C495,'Returns Data'!$J:$J)</f>
        <v>0</v>
      </c>
      <c r="I495" s="201" t="str">
        <f>IFERROR(Table141516[[#This Row],[Non Processed]]/Table141516[[#This Row],[Orders]],"")</f>
        <v/>
      </c>
    </row>
    <row r="496" spans="5:9" x14ac:dyDescent="0.25">
      <c r="E496" s="67">
        <f>SUMIF(Data!$B:$B,'FEB ORDERvsPRO'!C496,Data!$J:$J)</f>
        <v>0</v>
      </c>
      <c r="F496" s="67">
        <f>SUMIF(Data!$B:$B,'FEB ORDERvsPRO'!$C496,Data!$L:$L)</f>
        <v>0</v>
      </c>
      <c r="G496" s="67">
        <f>SUMIF(Data!$B:$B,'FEB ORDERvsPRO'!$C496,Data!$M:$M)</f>
        <v>0</v>
      </c>
      <c r="H496" s="67">
        <f>SUMIF('Returns Data'!$B:$B,'FEB ORDERvsPRO'!$C496,'Returns Data'!$J:$J)</f>
        <v>0</v>
      </c>
      <c r="I496" s="201" t="str">
        <f>IFERROR(Table141516[[#This Row],[Non Processed]]/Table141516[[#This Row],[Orders]],"")</f>
        <v/>
      </c>
    </row>
    <row r="497" spans="5:9" x14ac:dyDescent="0.25">
      <c r="E497" s="67">
        <f>SUMIF(Data!$B:$B,'FEB ORDERvsPRO'!C497,Data!$J:$J)</f>
        <v>0</v>
      </c>
      <c r="F497" s="67">
        <f>SUMIF(Data!$B:$B,'FEB ORDERvsPRO'!$C497,Data!$L:$L)</f>
        <v>0</v>
      </c>
      <c r="G497" s="67">
        <f>SUMIF(Data!$B:$B,'FEB ORDERvsPRO'!$C497,Data!$M:$M)</f>
        <v>0</v>
      </c>
      <c r="H497" s="67">
        <f>SUMIF('Returns Data'!$B:$B,'FEB ORDERvsPRO'!$C497,'Returns Data'!$J:$J)</f>
        <v>0</v>
      </c>
      <c r="I497" s="201" t="str">
        <f>IFERROR(Table141516[[#This Row],[Non Processed]]/Table141516[[#This Row],[Orders]],"")</f>
        <v/>
      </c>
    </row>
    <row r="498" spans="5:9" x14ac:dyDescent="0.25">
      <c r="E498" s="67">
        <f>SUMIF(Data!$B:$B,'FEB ORDERvsPRO'!C498,Data!$J:$J)</f>
        <v>0</v>
      </c>
      <c r="F498" s="67">
        <f>SUMIF(Data!$B:$B,'FEB ORDERvsPRO'!$C498,Data!$L:$L)</f>
        <v>0</v>
      </c>
      <c r="G498" s="67">
        <f>SUMIF(Data!$B:$B,'FEB ORDERvsPRO'!$C498,Data!$M:$M)</f>
        <v>0</v>
      </c>
      <c r="H498" s="67">
        <f>SUMIF('Returns Data'!$B:$B,'FEB ORDERvsPRO'!$C498,'Returns Data'!$J:$J)</f>
        <v>0</v>
      </c>
      <c r="I498" s="201" t="str">
        <f>IFERROR(Table141516[[#This Row],[Non Processed]]/Table141516[[#This Row],[Orders]],"")</f>
        <v/>
      </c>
    </row>
    <row r="499" spans="5:9" x14ac:dyDescent="0.25">
      <c r="E499" s="67">
        <f>SUMIF(Data!$B:$B,'FEB ORDERvsPRO'!C499,Data!$J:$J)</f>
        <v>0</v>
      </c>
      <c r="F499" s="67">
        <f>SUMIF(Data!$B:$B,'FEB ORDERvsPRO'!$C499,Data!$L:$L)</f>
        <v>0</v>
      </c>
      <c r="G499" s="67">
        <f>SUMIF(Data!$B:$B,'FEB ORDERvsPRO'!$C499,Data!$M:$M)</f>
        <v>0</v>
      </c>
      <c r="H499" s="67">
        <f>SUMIF('Returns Data'!$B:$B,'FEB ORDERvsPRO'!$C499,'Returns Data'!$J:$J)</f>
        <v>0</v>
      </c>
      <c r="I499" s="201" t="str">
        <f>IFERROR(Table141516[[#This Row],[Non Processed]]/Table141516[[#This Row],[Orders]],"")</f>
        <v/>
      </c>
    </row>
    <row r="500" spans="5:9" x14ac:dyDescent="0.25">
      <c r="E500" s="217">
        <f>SUBTOTAL(109,Table141516[Orders])</f>
        <v>4558681</v>
      </c>
      <c r="F500" s="217">
        <f>SUBTOTAL(109,Table141516[Processed])</f>
        <v>3756969</v>
      </c>
      <c r="G500" s="217">
        <f>SUBTOTAL(109,Table141516[Non Processed])</f>
        <v>581681</v>
      </c>
      <c r="H500" s="217"/>
      <c r="I500" s="218">
        <f>SUBTOTAL(101,Table141516[% Non Processed])</f>
        <v>0.13693040134468615</v>
      </c>
    </row>
  </sheetData>
  <mergeCells count="42">
    <mergeCell ref="J37:J43"/>
    <mergeCell ref="K37:K43"/>
    <mergeCell ref="L37:L43"/>
    <mergeCell ref="M37:M43"/>
    <mergeCell ref="A3:A30"/>
    <mergeCell ref="B37:B43"/>
    <mergeCell ref="B3:B8"/>
    <mergeCell ref="B9:B15"/>
    <mergeCell ref="M30:M36"/>
    <mergeCell ref="M3:M8"/>
    <mergeCell ref="M9:M15"/>
    <mergeCell ref="M16:M22"/>
    <mergeCell ref="K23:K29"/>
    <mergeCell ref="L23:L29"/>
    <mergeCell ref="M23:M29"/>
    <mergeCell ref="K30:K36"/>
    <mergeCell ref="L30:L36"/>
    <mergeCell ref="J3:J8"/>
    <mergeCell ref="J9:J15"/>
    <mergeCell ref="J16:J22"/>
    <mergeCell ref="K3:K8"/>
    <mergeCell ref="L3:L8"/>
    <mergeCell ref="K9:K15"/>
    <mergeCell ref="L9:L15"/>
    <mergeCell ref="K16:K22"/>
    <mergeCell ref="L16:L22"/>
    <mergeCell ref="B16:B22"/>
    <mergeCell ref="B23:B29"/>
    <mergeCell ref="B30:B36"/>
    <mergeCell ref="J23:J29"/>
    <mergeCell ref="J30:J36"/>
    <mergeCell ref="N37:N43"/>
    <mergeCell ref="N3:N8"/>
    <mergeCell ref="N9:N15"/>
    <mergeCell ref="N16:N22"/>
    <mergeCell ref="N23:N29"/>
    <mergeCell ref="N30:N36"/>
    <mergeCell ref="B44:B50"/>
    <mergeCell ref="J44:J50"/>
    <mergeCell ref="K44:K50"/>
    <mergeCell ref="L44:L50"/>
    <mergeCell ref="M44:M50"/>
  </mergeCells>
  <hyperlinks>
    <hyperlink ref="Q1" location="'Final Report'!A1" display="REPORT"/>
  </hyperlinks>
  <pageMargins left="0.7" right="0.7" top="0.75" bottom="0.75" header="0.3" footer="0.3"/>
  <pageSetup orientation="portrait" horizontalDpi="0" verticalDpi="0" r:id="rId1"/>
  <ignoredErrors>
    <ignoredError sqref="F3 F4:F12 F13:F30 F31:I32 G30 F35:I45 G33:I33 G34:I34 F33:F34 F51:I499 F46:H46 F47:H50" calculatedColumn="1"/>
    <ignoredError sqref="K23:M29" formula="1"/>
  </ignoredErrors>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125"/>
  <sheetViews>
    <sheetView zoomScale="80" zoomScaleNormal="80" workbookViewId="0">
      <selection activeCell="C5" sqref="C5:E27"/>
    </sheetView>
  </sheetViews>
  <sheetFormatPr defaultRowHeight="15" x14ac:dyDescent="0.25"/>
  <cols>
    <col min="1" max="1" width="28.85546875" customWidth="1"/>
    <col min="2" max="2" width="20.140625" customWidth="1"/>
    <col min="3" max="4" width="11.28515625" bestFit="1" customWidth="1"/>
    <col min="5" max="5" width="11.5703125" bestFit="1" customWidth="1"/>
    <col min="6" max="6" width="21.5703125" bestFit="1" customWidth="1"/>
    <col min="7" max="7" width="23.5703125" bestFit="1" customWidth="1"/>
    <col min="8" max="8" width="6.5703125" bestFit="1" customWidth="1"/>
    <col min="9" max="53" width="5.5703125" customWidth="1"/>
    <col min="54" max="76" width="6.5703125" customWidth="1"/>
    <col min="77" max="77" width="11.5703125" bestFit="1" customWidth="1"/>
  </cols>
  <sheetData>
    <row r="1" spans="1:8" x14ac:dyDescent="0.25">
      <c r="A1" s="91" t="s">
        <v>223</v>
      </c>
      <c r="B1" t="s" vm="7">
        <v>1079</v>
      </c>
    </row>
    <row r="3" spans="1:8" x14ac:dyDescent="0.25">
      <c r="A3" s="91" t="s">
        <v>759</v>
      </c>
      <c r="C3" s="91" t="s">
        <v>178</v>
      </c>
    </row>
    <row r="4" spans="1:8" x14ac:dyDescent="0.25">
      <c r="A4" s="91" t="s">
        <v>964</v>
      </c>
      <c r="B4" s="91" t="s">
        <v>14</v>
      </c>
      <c r="C4" t="s">
        <v>177</v>
      </c>
      <c r="D4" t="s">
        <v>784</v>
      </c>
      <c r="E4" t="s">
        <v>407</v>
      </c>
      <c r="H4" s="193"/>
    </row>
    <row r="5" spans="1:8" x14ac:dyDescent="0.25">
      <c r="A5" t="s">
        <v>968</v>
      </c>
      <c r="C5" s="113">
        <v>783395</v>
      </c>
      <c r="D5" s="113">
        <v>21510</v>
      </c>
      <c r="E5" s="113">
        <v>804905</v>
      </c>
      <c r="F5" s="187">
        <f>IFERROR((D5-C5)/D5,"")</f>
        <v>-35.420037192003718</v>
      </c>
      <c r="H5" s="193"/>
    </row>
    <row r="6" spans="1:8" x14ac:dyDescent="0.25">
      <c r="A6" t="s">
        <v>965</v>
      </c>
      <c r="C6" s="113">
        <v>249770</v>
      </c>
      <c r="D6" s="113">
        <v>315353</v>
      </c>
      <c r="E6" s="113">
        <v>565123</v>
      </c>
      <c r="F6" s="187">
        <f t="shared" ref="F6:F69" si="0">IFERROR((D6-C6)/D6,"")</f>
        <v>0.20796694497911863</v>
      </c>
      <c r="H6" s="193"/>
    </row>
    <row r="7" spans="1:8" x14ac:dyDescent="0.25">
      <c r="A7" t="s">
        <v>969</v>
      </c>
      <c r="C7" s="113">
        <v>375675</v>
      </c>
      <c r="D7" s="113">
        <v>162210</v>
      </c>
      <c r="E7" s="113">
        <v>537885</v>
      </c>
      <c r="F7" s="187">
        <f t="shared" si="0"/>
        <v>-1.3159792861105974</v>
      </c>
      <c r="H7" s="193"/>
    </row>
    <row r="8" spans="1:8" x14ac:dyDescent="0.25">
      <c r="A8" t="s">
        <v>966</v>
      </c>
      <c r="C8" s="113">
        <v>253240</v>
      </c>
      <c r="D8" s="113">
        <v>181945</v>
      </c>
      <c r="E8" s="113">
        <v>435185</v>
      </c>
      <c r="F8" s="187">
        <f t="shared" si="0"/>
        <v>-0.39184918519332768</v>
      </c>
      <c r="H8" s="193"/>
    </row>
    <row r="9" spans="1:8" x14ac:dyDescent="0.25">
      <c r="A9" t="s">
        <v>967</v>
      </c>
      <c r="C9" s="113">
        <v>306700</v>
      </c>
      <c r="D9" s="113">
        <v>83850</v>
      </c>
      <c r="E9" s="113">
        <v>390550</v>
      </c>
      <c r="F9" s="187">
        <f t="shared" si="0"/>
        <v>-2.6577221228384018</v>
      </c>
      <c r="H9" s="193"/>
    </row>
    <row r="10" spans="1:8" x14ac:dyDescent="0.25">
      <c r="A10" t="s">
        <v>976</v>
      </c>
      <c r="C10" s="113">
        <v>194180</v>
      </c>
      <c r="D10" s="113">
        <v>112240</v>
      </c>
      <c r="E10" s="113">
        <v>306420</v>
      </c>
      <c r="F10" s="187">
        <f t="shared" si="0"/>
        <v>-0.73004276550249469</v>
      </c>
      <c r="H10" s="193"/>
    </row>
    <row r="11" spans="1:8" x14ac:dyDescent="0.25">
      <c r="A11" t="s">
        <v>977</v>
      </c>
      <c r="C11" s="113">
        <v>171700</v>
      </c>
      <c r="D11" s="113">
        <v>50820</v>
      </c>
      <c r="E11" s="113">
        <v>222520</v>
      </c>
      <c r="F11" s="187">
        <f t="shared" si="0"/>
        <v>-2.3785911058638329</v>
      </c>
      <c r="H11" s="193"/>
    </row>
    <row r="12" spans="1:8" x14ac:dyDescent="0.25">
      <c r="A12" t="s">
        <v>972</v>
      </c>
      <c r="C12" s="113">
        <v>61845</v>
      </c>
      <c r="D12" s="113">
        <v>43680</v>
      </c>
      <c r="E12" s="113">
        <v>105525</v>
      </c>
      <c r="F12" s="187">
        <f t="shared" si="0"/>
        <v>-0.41586538461538464</v>
      </c>
      <c r="H12" s="193"/>
    </row>
    <row r="13" spans="1:8" x14ac:dyDescent="0.25">
      <c r="A13" t="s">
        <v>983</v>
      </c>
      <c r="C13" s="113">
        <v>10925</v>
      </c>
      <c r="D13" s="113">
        <v>42170</v>
      </c>
      <c r="E13" s="113">
        <v>53095</v>
      </c>
      <c r="F13" s="187">
        <f t="shared" si="0"/>
        <v>0.74092957078491817</v>
      </c>
      <c r="H13" s="193"/>
    </row>
    <row r="14" spans="1:8" x14ac:dyDescent="0.25">
      <c r="A14" t="s">
        <v>1054</v>
      </c>
      <c r="C14" s="113"/>
      <c r="D14" s="113">
        <v>38035</v>
      </c>
      <c r="E14" s="113">
        <v>38035</v>
      </c>
      <c r="F14" s="187">
        <f t="shared" si="0"/>
        <v>1</v>
      </c>
      <c r="H14" s="193"/>
    </row>
    <row r="15" spans="1:8" x14ac:dyDescent="0.25">
      <c r="A15" t="s">
        <v>971</v>
      </c>
      <c r="C15" s="113">
        <v>10180</v>
      </c>
      <c r="D15" s="113">
        <v>10710</v>
      </c>
      <c r="E15" s="113">
        <v>20890</v>
      </c>
      <c r="F15" s="187">
        <f t="shared" si="0"/>
        <v>4.9486461251167131E-2</v>
      </c>
      <c r="H15" s="193"/>
    </row>
    <row r="16" spans="1:8" x14ac:dyDescent="0.25">
      <c r="A16" t="s">
        <v>984</v>
      </c>
      <c r="C16" s="113">
        <v>19960</v>
      </c>
      <c r="D16" s="113"/>
      <c r="E16" s="113">
        <v>19960</v>
      </c>
      <c r="F16" s="187" t="str">
        <f t="shared" si="0"/>
        <v/>
      </c>
      <c r="H16" s="193"/>
    </row>
    <row r="17" spans="1:8" x14ac:dyDescent="0.25">
      <c r="A17" t="s">
        <v>973</v>
      </c>
      <c r="C17" s="113">
        <v>9880</v>
      </c>
      <c r="D17" s="113">
        <v>8840</v>
      </c>
      <c r="E17" s="113">
        <v>18720</v>
      </c>
      <c r="F17" s="187">
        <f t="shared" si="0"/>
        <v>-0.11764705882352941</v>
      </c>
      <c r="H17" s="193"/>
    </row>
    <row r="18" spans="1:8" x14ac:dyDescent="0.25">
      <c r="A18" t="s">
        <v>978</v>
      </c>
      <c r="C18" s="113">
        <v>15510</v>
      </c>
      <c r="D18" s="113"/>
      <c r="E18" s="113">
        <v>15510</v>
      </c>
      <c r="F18" s="187" t="str">
        <f t="shared" si="0"/>
        <v/>
      </c>
      <c r="H18" s="193"/>
    </row>
    <row r="19" spans="1:8" x14ac:dyDescent="0.25">
      <c r="A19" t="s">
        <v>982</v>
      </c>
      <c r="C19" s="113">
        <v>10380</v>
      </c>
      <c r="D19" s="113">
        <v>2795</v>
      </c>
      <c r="E19" s="113">
        <v>13175</v>
      </c>
      <c r="F19" s="187">
        <f t="shared" si="0"/>
        <v>-2.7137745974955276</v>
      </c>
      <c r="H19" s="193"/>
    </row>
    <row r="20" spans="1:8" x14ac:dyDescent="0.25">
      <c r="A20" t="s">
        <v>980</v>
      </c>
      <c r="C20" s="113">
        <v>3148</v>
      </c>
      <c r="D20" s="113">
        <v>6530</v>
      </c>
      <c r="E20" s="113">
        <v>9678</v>
      </c>
      <c r="F20" s="187">
        <f t="shared" si="0"/>
        <v>0.51791730474732001</v>
      </c>
      <c r="H20" s="193"/>
    </row>
    <row r="21" spans="1:8" x14ac:dyDescent="0.25">
      <c r="A21" t="s">
        <v>981</v>
      </c>
      <c r="C21" s="113">
        <v>3720</v>
      </c>
      <c r="D21" s="113">
        <v>5890</v>
      </c>
      <c r="E21" s="113">
        <v>9610</v>
      </c>
      <c r="F21" s="187">
        <f t="shared" si="0"/>
        <v>0.36842105263157893</v>
      </c>
      <c r="H21" s="193"/>
    </row>
    <row r="22" spans="1:8" x14ac:dyDescent="0.25">
      <c r="A22" t="s">
        <v>974</v>
      </c>
      <c r="C22" s="113">
        <v>1560</v>
      </c>
      <c r="D22" s="113">
        <v>2790</v>
      </c>
      <c r="E22" s="113">
        <v>4350</v>
      </c>
      <c r="F22" s="187">
        <f t="shared" si="0"/>
        <v>0.44086021505376344</v>
      </c>
      <c r="H22" s="193"/>
    </row>
    <row r="23" spans="1:8" x14ac:dyDescent="0.25">
      <c r="A23" t="s">
        <v>975</v>
      </c>
      <c r="C23" s="113">
        <v>1760</v>
      </c>
      <c r="D23" s="113">
        <v>2516</v>
      </c>
      <c r="E23" s="113">
        <v>4276</v>
      </c>
      <c r="F23" s="187">
        <f t="shared" si="0"/>
        <v>0.30047694753577109</v>
      </c>
      <c r="H23" s="193"/>
    </row>
    <row r="24" spans="1:8" x14ac:dyDescent="0.25">
      <c r="A24" t="s">
        <v>970</v>
      </c>
      <c r="C24" s="113">
        <v>2425</v>
      </c>
      <c r="D24" s="113"/>
      <c r="E24" s="113">
        <v>2425</v>
      </c>
      <c r="F24" s="187" t="str">
        <f t="shared" si="0"/>
        <v/>
      </c>
      <c r="H24" s="193"/>
    </row>
    <row r="25" spans="1:8" x14ac:dyDescent="0.25">
      <c r="A25" t="s">
        <v>985</v>
      </c>
      <c r="C25" s="113">
        <v>2295</v>
      </c>
      <c r="D25" s="113"/>
      <c r="E25" s="113">
        <v>2295</v>
      </c>
      <c r="F25" s="187" t="str">
        <f t="shared" si="0"/>
        <v/>
      </c>
    </row>
    <row r="26" spans="1:8" x14ac:dyDescent="0.25">
      <c r="A26" t="s">
        <v>979</v>
      </c>
      <c r="C26" s="113">
        <v>1055</v>
      </c>
      <c r="D26" s="113">
        <v>320</v>
      </c>
      <c r="E26" s="113">
        <v>1375</v>
      </c>
      <c r="F26" s="187">
        <f t="shared" si="0"/>
        <v>-2.296875</v>
      </c>
    </row>
    <row r="27" spans="1:8" x14ac:dyDescent="0.25">
      <c r="A27" t="s">
        <v>892</v>
      </c>
      <c r="C27" s="113">
        <v>260</v>
      </c>
      <c r="D27" s="113"/>
      <c r="E27" s="113">
        <v>260</v>
      </c>
      <c r="F27" s="187" t="str">
        <f t="shared" si="0"/>
        <v/>
      </c>
    </row>
    <row r="28" spans="1:8" x14ac:dyDescent="0.25">
      <c r="A28" t="s">
        <v>407</v>
      </c>
      <c r="C28" s="113">
        <v>2489563</v>
      </c>
      <c r="D28" s="113">
        <v>1092204</v>
      </c>
      <c r="E28" s="113">
        <v>3581767</v>
      </c>
      <c r="F28" s="187">
        <f t="shared" si="0"/>
        <v>-1.2793937762542529</v>
      </c>
    </row>
    <row r="29" spans="1:8" x14ac:dyDescent="0.25">
      <c r="F29" s="187" t="str">
        <f t="shared" si="0"/>
        <v/>
      </c>
    </row>
    <row r="30" spans="1:8" x14ac:dyDescent="0.25">
      <c r="F30" s="187" t="str">
        <f t="shared" si="0"/>
        <v/>
      </c>
    </row>
    <row r="31" spans="1:8" x14ac:dyDescent="0.25">
      <c r="F31" s="187" t="str">
        <f t="shared" si="0"/>
        <v/>
      </c>
    </row>
    <row r="32" spans="1:8" x14ac:dyDescent="0.25">
      <c r="F32" s="187" t="str">
        <f t="shared" si="0"/>
        <v/>
      </c>
    </row>
    <row r="33" spans="6:6" x14ac:dyDescent="0.25">
      <c r="F33" s="187" t="str">
        <f t="shared" si="0"/>
        <v/>
      </c>
    </row>
    <row r="34" spans="6:6" x14ac:dyDescent="0.25">
      <c r="F34" s="187" t="str">
        <f t="shared" si="0"/>
        <v/>
      </c>
    </row>
    <row r="35" spans="6:6" x14ac:dyDescent="0.25">
      <c r="F35" s="187" t="str">
        <f t="shared" si="0"/>
        <v/>
      </c>
    </row>
    <row r="36" spans="6:6" x14ac:dyDescent="0.25">
      <c r="F36" s="187" t="str">
        <f t="shared" si="0"/>
        <v/>
      </c>
    </row>
    <row r="37" spans="6:6" x14ac:dyDescent="0.25">
      <c r="F37" s="187" t="str">
        <f t="shared" si="0"/>
        <v/>
      </c>
    </row>
    <row r="38" spans="6:6" x14ac:dyDescent="0.25">
      <c r="F38" s="187" t="str">
        <f t="shared" si="0"/>
        <v/>
      </c>
    </row>
    <row r="39" spans="6:6" x14ac:dyDescent="0.25">
      <c r="F39" s="187" t="str">
        <f t="shared" si="0"/>
        <v/>
      </c>
    </row>
    <row r="40" spans="6:6" x14ac:dyDescent="0.25">
      <c r="F40" s="187" t="str">
        <f t="shared" si="0"/>
        <v/>
      </c>
    </row>
    <row r="41" spans="6:6" x14ac:dyDescent="0.25">
      <c r="F41" s="187" t="str">
        <f t="shared" si="0"/>
        <v/>
      </c>
    </row>
    <row r="42" spans="6:6" x14ac:dyDescent="0.25">
      <c r="F42" s="187" t="str">
        <f t="shared" si="0"/>
        <v/>
      </c>
    </row>
    <row r="43" spans="6:6" x14ac:dyDescent="0.25">
      <c r="F43" s="187" t="str">
        <f t="shared" si="0"/>
        <v/>
      </c>
    </row>
    <row r="44" spans="6:6" x14ac:dyDescent="0.25">
      <c r="F44" s="187" t="str">
        <f t="shared" si="0"/>
        <v/>
      </c>
    </row>
    <row r="45" spans="6:6" x14ac:dyDescent="0.25">
      <c r="F45" s="187" t="str">
        <f t="shared" si="0"/>
        <v/>
      </c>
    </row>
    <row r="46" spans="6:6" x14ac:dyDescent="0.25">
      <c r="F46" s="187" t="str">
        <f t="shared" si="0"/>
        <v/>
      </c>
    </row>
    <row r="47" spans="6:6" x14ac:dyDescent="0.25">
      <c r="F47" s="187" t="str">
        <f t="shared" si="0"/>
        <v/>
      </c>
    </row>
    <row r="48" spans="6:6" x14ac:dyDescent="0.25">
      <c r="F48" s="187" t="str">
        <f t="shared" si="0"/>
        <v/>
      </c>
    </row>
    <row r="49" spans="6:6" x14ac:dyDescent="0.25">
      <c r="F49" s="187" t="str">
        <f t="shared" si="0"/>
        <v/>
      </c>
    </row>
    <row r="50" spans="6:6" x14ac:dyDescent="0.25">
      <c r="F50" s="187" t="str">
        <f t="shared" si="0"/>
        <v/>
      </c>
    </row>
    <row r="51" spans="6:6" x14ac:dyDescent="0.25">
      <c r="F51" s="187" t="str">
        <f t="shared" si="0"/>
        <v/>
      </c>
    </row>
    <row r="52" spans="6:6" x14ac:dyDescent="0.25">
      <c r="F52" s="187" t="str">
        <f t="shared" si="0"/>
        <v/>
      </c>
    </row>
    <row r="53" spans="6:6" x14ac:dyDescent="0.25">
      <c r="F53" s="187" t="str">
        <f t="shared" si="0"/>
        <v/>
      </c>
    </row>
    <row r="54" spans="6:6" x14ac:dyDescent="0.25">
      <c r="F54" s="187" t="str">
        <f t="shared" si="0"/>
        <v/>
      </c>
    </row>
    <row r="55" spans="6:6" x14ac:dyDescent="0.25">
      <c r="F55" s="187" t="str">
        <f t="shared" si="0"/>
        <v/>
      </c>
    </row>
    <row r="56" spans="6:6" x14ac:dyDescent="0.25">
      <c r="F56" s="187" t="str">
        <f t="shared" si="0"/>
        <v/>
      </c>
    </row>
    <row r="57" spans="6:6" x14ac:dyDescent="0.25">
      <c r="F57" s="187" t="str">
        <f t="shared" si="0"/>
        <v/>
      </c>
    </row>
    <row r="58" spans="6:6" x14ac:dyDescent="0.25">
      <c r="F58" s="187" t="str">
        <f t="shared" si="0"/>
        <v/>
      </c>
    </row>
    <row r="59" spans="6:6" x14ac:dyDescent="0.25">
      <c r="F59" s="187" t="str">
        <f t="shared" si="0"/>
        <v/>
      </c>
    </row>
    <row r="60" spans="6:6" x14ac:dyDescent="0.25">
      <c r="F60" s="187" t="str">
        <f t="shared" si="0"/>
        <v/>
      </c>
    </row>
    <row r="61" spans="6:6" x14ac:dyDescent="0.25">
      <c r="F61" s="187" t="str">
        <f t="shared" si="0"/>
        <v/>
      </c>
    </row>
    <row r="62" spans="6:6" x14ac:dyDescent="0.25">
      <c r="F62" s="187" t="str">
        <f t="shared" si="0"/>
        <v/>
      </c>
    </row>
    <row r="63" spans="6:6" x14ac:dyDescent="0.25">
      <c r="F63" s="187" t="str">
        <f t="shared" si="0"/>
        <v/>
      </c>
    </row>
    <row r="64" spans="6:6" x14ac:dyDescent="0.25">
      <c r="F64" s="187" t="str">
        <f t="shared" si="0"/>
        <v/>
      </c>
    </row>
    <row r="65" spans="6:6" x14ac:dyDescent="0.25">
      <c r="F65" s="187" t="str">
        <f t="shared" si="0"/>
        <v/>
      </c>
    </row>
    <row r="66" spans="6:6" x14ac:dyDescent="0.25">
      <c r="F66" s="187" t="str">
        <f t="shared" si="0"/>
        <v/>
      </c>
    </row>
    <row r="67" spans="6:6" x14ac:dyDescent="0.25">
      <c r="F67" s="187" t="str">
        <f t="shared" si="0"/>
        <v/>
      </c>
    </row>
    <row r="68" spans="6:6" x14ac:dyDescent="0.25">
      <c r="F68" s="187" t="str">
        <f t="shared" si="0"/>
        <v/>
      </c>
    </row>
    <row r="69" spans="6:6" x14ac:dyDescent="0.25">
      <c r="F69" s="187" t="str">
        <f t="shared" si="0"/>
        <v/>
      </c>
    </row>
    <row r="70" spans="6:6" x14ac:dyDescent="0.25">
      <c r="F70" s="187" t="str">
        <f t="shared" ref="F70:F125" si="1">IFERROR((D70-C70)/D70,"")</f>
        <v/>
      </c>
    </row>
    <row r="71" spans="6:6" x14ac:dyDescent="0.25">
      <c r="F71" s="187" t="str">
        <f t="shared" si="1"/>
        <v/>
      </c>
    </row>
    <row r="72" spans="6:6" x14ac:dyDescent="0.25">
      <c r="F72" s="187" t="str">
        <f t="shared" si="1"/>
        <v/>
      </c>
    </row>
    <row r="73" spans="6:6" x14ac:dyDescent="0.25">
      <c r="F73" s="187" t="str">
        <f t="shared" si="1"/>
        <v/>
      </c>
    </row>
    <row r="74" spans="6:6" x14ac:dyDescent="0.25">
      <c r="F74" s="187" t="str">
        <f t="shared" si="1"/>
        <v/>
      </c>
    </row>
    <row r="75" spans="6:6" x14ac:dyDescent="0.25">
      <c r="F75" s="187" t="str">
        <f t="shared" si="1"/>
        <v/>
      </c>
    </row>
    <row r="76" spans="6:6" x14ac:dyDescent="0.25">
      <c r="F76" s="187" t="str">
        <f t="shared" si="1"/>
        <v/>
      </c>
    </row>
    <row r="77" spans="6:6" x14ac:dyDescent="0.25">
      <c r="F77" s="187" t="str">
        <f t="shared" si="1"/>
        <v/>
      </c>
    </row>
    <row r="78" spans="6:6" x14ac:dyDescent="0.25">
      <c r="F78" s="187" t="str">
        <f t="shared" si="1"/>
        <v/>
      </c>
    </row>
    <row r="79" spans="6:6" x14ac:dyDescent="0.25">
      <c r="F79" s="187" t="str">
        <f t="shared" si="1"/>
        <v/>
      </c>
    </row>
    <row r="80" spans="6:6" x14ac:dyDescent="0.25">
      <c r="F80" s="187" t="str">
        <f t="shared" si="1"/>
        <v/>
      </c>
    </row>
    <row r="81" spans="6:6" x14ac:dyDescent="0.25">
      <c r="F81" s="187" t="str">
        <f t="shared" si="1"/>
        <v/>
      </c>
    </row>
    <row r="82" spans="6:6" x14ac:dyDescent="0.25">
      <c r="F82" s="187" t="str">
        <f t="shared" si="1"/>
        <v/>
      </c>
    </row>
    <row r="83" spans="6:6" x14ac:dyDescent="0.25">
      <c r="F83" s="187" t="str">
        <f t="shared" si="1"/>
        <v/>
      </c>
    </row>
    <row r="84" spans="6:6" x14ac:dyDescent="0.25">
      <c r="F84" s="187" t="str">
        <f t="shared" si="1"/>
        <v/>
      </c>
    </row>
    <row r="85" spans="6:6" x14ac:dyDescent="0.25">
      <c r="F85" s="187" t="str">
        <f t="shared" si="1"/>
        <v/>
      </c>
    </row>
    <row r="86" spans="6:6" x14ac:dyDescent="0.25">
      <c r="F86" s="187" t="str">
        <f t="shared" si="1"/>
        <v/>
      </c>
    </row>
    <row r="87" spans="6:6" x14ac:dyDescent="0.25">
      <c r="F87" s="187" t="str">
        <f t="shared" si="1"/>
        <v/>
      </c>
    </row>
    <row r="88" spans="6:6" x14ac:dyDescent="0.25">
      <c r="F88" s="187" t="str">
        <f t="shared" si="1"/>
        <v/>
      </c>
    </row>
    <row r="89" spans="6:6" x14ac:dyDescent="0.25">
      <c r="F89" s="187" t="str">
        <f t="shared" si="1"/>
        <v/>
      </c>
    </row>
    <row r="90" spans="6:6" x14ac:dyDescent="0.25">
      <c r="F90" s="187" t="str">
        <f t="shared" si="1"/>
        <v/>
      </c>
    </row>
    <row r="91" spans="6:6" x14ac:dyDescent="0.25">
      <c r="F91" s="187" t="str">
        <f t="shared" si="1"/>
        <v/>
      </c>
    </row>
    <row r="92" spans="6:6" x14ac:dyDescent="0.25">
      <c r="F92" s="187" t="str">
        <f t="shared" si="1"/>
        <v/>
      </c>
    </row>
    <row r="93" spans="6:6" x14ac:dyDescent="0.25">
      <c r="F93" s="187" t="str">
        <f t="shared" si="1"/>
        <v/>
      </c>
    </row>
    <row r="94" spans="6:6" x14ac:dyDescent="0.25">
      <c r="F94" s="187" t="str">
        <f t="shared" si="1"/>
        <v/>
      </c>
    </row>
    <row r="95" spans="6:6" x14ac:dyDescent="0.25">
      <c r="F95" s="187" t="str">
        <f t="shared" si="1"/>
        <v/>
      </c>
    </row>
    <row r="96" spans="6:6" x14ac:dyDescent="0.25">
      <c r="F96" s="187" t="str">
        <f t="shared" si="1"/>
        <v/>
      </c>
    </row>
    <row r="97" spans="6:6" x14ac:dyDescent="0.25">
      <c r="F97" s="187" t="str">
        <f t="shared" si="1"/>
        <v/>
      </c>
    </row>
    <row r="98" spans="6:6" x14ac:dyDescent="0.25">
      <c r="F98" s="187" t="str">
        <f t="shared" si="1"/>
        <v/>
      </c>
    </row>
    <row r="99" spans="6:6" x14ac:dyDescent="0.25">
      <c r="F99" s="187" t="str">
        <f t="shared" si="1"/>
        <v/>
      </c>
    </row>
    <row r="100" spans="6:6" x14ac:dyDescent="0.25">
      <c r="F100" s="187" t="str">
        <f t="shared" si="1"/>
        <v/>
      </c>
    </row>
    <row r="101" spans="6:6" x14ac:dyDescent="0.25">
      <c r="F101" s="187" t="str">
        <f t="shared" si="1"/>
        <v/>
      </c>
    </row>
    <row r="102" spans="6:6" x14ac:dyDescent="0.25">
      <c r="F102" s="187" t="str">
        <f t="shared" si="1"/>
        <v/>
      </c>
    </row>
    <row r="103" spans="6:6" x14ac:dyDescent="0.25">
      <c r="F103" s="187" t="str">
        <f t="shared" si="1"/>
        <v/>
      </c>
    </row>
    <row r="104" spans="6:6" x14ac:dyDescent="0.25">
      <c r="F104" s="187" t="str">
        <f t="shared" si="1"/>
        <v/>
      </c>
    </row>
    <row r="105" spans="6:6" x14ac:dyDescent="0.25">
      <c r="F105" s="187" t="str">
        <f t="shared" si="1"/>
        <v/>
      </c>
    </row>
    <row r="106" spans="6:6" x14ac:dyDescent="0.25">
      <c r="F106" s="187" t="str">
        <f t="shared" si="1"/>
        <v/>
      </c>
    </row>
    <row r="107" spans="6:6" x14ac:dyDescent="0.25">
      <c r="F107" s="187" t="str">
        <f t="shared" si="1"/>
        <v/>
      </c>
    </row>
    <row r="108" spans="6:6" x14ac:dyDescent="0.25">
      <c r="F108" s="187" t="str">
        <f t="shared" si="1"/>
        <v/>
      </c>
    </row>
    <row r="109" spans="6:6" x14ac:dyDescent="0.25">
      <c r="F109" s="187" t="str">
        <f t="shared" si="1"/>
        <v/>
      </c>
    </row>
    <row r="110" spans="6:6" x14ac:dyDescent="0.25">
      <c r="F110" s="187" t="str">
        <f t="shared" si="1"/>
        <v/>
      </c>
    </row>
    <row r="111" spans="6:6" x14ac:dyDescent="0.25">
      <c r="F111" s="187" t="str">
        <f t="shared" si="1"/>
        <v/>
      </c>
    </row>
    <row r="112" spans="6:6" x14ac:dyDescent="0.25">
      <c r="F112" s="187" t="str">
        <f t="shared" si="1"/>
        <v/>
      </c>
    </row>
    <row r="113" spans="6:6" x14ac:dyDescent="0.25">
      <c r="F113" s="187" t="str">
        <f t="shared" si="1"/>
        <v/>
      </c>
    </row>
    <row r="114" spans="6:6" x14ac:dyDescent="0.25">
      <c r="F114" s="187" t="str">
        <f t="shared" si="1"/>
        <v/>
      </c>
    </row>
    <row r="115" spans="6:6" x14ac:dyDescent="0.25">
      <c r="F115" s="187" t="str">
        <f t="shared" si="1"/>
        <v/>
      </c>
    </row>
    <row r="116" spans="6:6" x14ac:dyDescent="0.25">
      <c r="F116" s="187" t="str">
        <f t="shared" si="1"/>
        <v/>
      </c>
    </row>
    <row r="117" spans="6:6" x14ac:dyDescent="0.25">
      <c r="F117" s="187" t="str">
        <f t="shared" si="1"/>
        <v/>
      </c>
    </row>
    <row r="118" spans="6:6" x14ac:dyDescent="0.25">
      <c r="F118" s="187" t="str">
        <f t="shared" si="1"/>
        <v/>
      </c>
    </row>
    <row r="119" spans="6:6" x14ac:dyDescent="0.25">
      <c r="F119" s="187" t="str">
        <f t="shared" si="1"/>
        <v/>
      </c>
    </row>
    <row r="120" spans="6:6" x14ac:dyDescent="0.25">
      <c r="F120" s="187" t="str">
        <f t="shared" si="1"/>
        <v/>
      </c>
    </row>
    <row r="121" spans="6:6" x14ac:dyDescent="0.25">
      <c r="F121" s="187" t="str">
        <f t="shared" si="1"/>
        <v/>
      </c>
    </row>
    <row r="122" spans="6:6" x14ac:dyDescent="0.25">
      <c r="F122" s="187" t="str">
        <f t="shared" si="1"/>
        <v/>
      </c>
    </row>
    <row r="123" spans="6:6" x14ac:dyDescent="0.25">
      <c r="F123" s="187" t="str">
        <f t="shared" si="1"/>
        <v/>
      </c>
    </row>
    <row r="124" spans="6:6" x14ac:dyDescent="0.25">
      <c r="F124" s="187" t="str">
        <f t="shared" si="1"/>
        <v/>
      </c>
    </row>
    <row r="125" spans="6:6" x14ac:dyDescent="0.25">
      <c r="F125" s="187" t="str">
        <f t="shared" si="1"/>
        <v/>
      </c>
    </row>
  </sheetData>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3:M34"/>
  <sheetViews>
    <sheetView zoomScale="78" zoomScaleNormal="78" workbookViewId="0">
      <selection activeCell="C62" sqref="C62"/>
    </sheetView>
  </sheetViews>
  <sheetFormatPr defaultRowHeight="15" x14ac:dyDescent="0.25"/>
  <cols>
    <col min="1" max="1" width="15.85546875" customWidth="1"/>
    <col min="2" max="2" width="28.140625" customWidth="1"/>
    <col min="3" max="3" width="17.85546875" customWidth="1"/>
    <col min="4" max="4" width="15.85546875" customWidth="1"/>
    <col min="5" max="5" width="28.140625" customWidth="1"/>
    <col min="6" max="6" width="20.5703125" bestFit="1" customWidth="1"/>
    <col min="7" max="7" width="13.5703125" customWidth="1"/>
    <col min="8" max="8" width="28.140625" customWidth="1"/>
    <col min="9" max="9" width="6.7109375" customWidth="1"/>
    <col min="10" max="10" width="11.28515625" customWidth="1"/>
    <col min="11" max="11" width="9.7109375" bestFit="1" customWidth="1"/>
    <col min="12" max="12" width="13.5703125" bestFit="1" customWidth="1"/>
    <col min="13" max="13" width="28.140625" bestFit="1" customWidth="1"/>
    <col min="14" max="15" width="9.7109375" bestFit="1" customWidth="1"/>
    <col min="16" max="17" width="11.28515625" bestFit="1" customWidth="1"/>
  </cols>
  <sheetData>
    <row r="3" spans="1:13" x14ac:dyDescent="0.25">
      <c r="A3" t="s">
        <v>542</v>
      </c>
      <c r="D3" s="92" t="s">
        <v>226</v>
      </c>
      <c r="G3" s="92" t="s">
        <v>227</v>
      </c>
    </row>
    <row r="4" spans="1:13" x14ac:dyDescent="0.25">
      <c r="A4" s="91" t="s">
        <v>541</v>
      </c>
      <c r="B4" t="s">
        <v>489</v>
      </c>
      <c r="D4" s="91" t="s">
        <v>541</v>
      </c>
      <c r="E4" t="s">
        <v>489</v>
      </c>
      <c r="G4" s="91" t="s">
        <v>541</v>
      </c>
      <c r="H4" t="s">
        <v>489</v>
      </c>
      <c r="L4" s="91" t="s">
        <v>541</v>
      </c>
      <c r="M4" t="s">
        <v>489</v>
      </c>
    </row>
    <row r="5" spans="1:13" x14ac:dyDescent="0.25">
      <c r="A5" s="92" t="s">
        <v>22</v>
      </c>
      <c r="B5" s="102">
        <v>23</v>
      </c>
      <c r="D5" s="92" t="s">
        <v>22</v>
      </c>
      <c r="E5" s="102">
        <v>36</v>
      </c>
      <c r="G5" s="92" t="s">
        <v>11</v>
      </c>
      <c r="H5" s="178">
        <v>0.21111111111111111</v>
      </c>
      <c r="L5" s="92" t="s">
        <v>892</v>
      </c>
      <c r="M5" s="178">
        <v>1.8518518518518519E-3</v>
      </c>
    </row>
    <row r="6" spans="1:13" x14ac:dyDescent="0.25">
      <c r="A6" s="92" t="s">
        <v>1</v>
      </c>
      <c r="B6" s="102">
        <v>17</v>
      </c>
      <c r="D6" s="92" t="s">
        <v>1</v>
      </c>
      <c r="E6" s="102">
        <v>28</v>
      </c>
      <c r="G6" s="92" t="s">
        <v>599</v>
      </c>
      <c r="H6" s="178">
        <v>0.17592592592592593</v>
      </c>
      <c r="L6" s="92" t="s">
        <v>177</v>
      </c>
      <c r="M6" s="178">
        <v>0.73703703703703705</v>
      </c>
    </row>
    <row r="7" spans="1:13" x14ac:dyDescent="0.25">
      <c r="A7" s="92" t="s">
        <v>19</v>
      </c>
      <c r="B7" s="102">
        <v>40</v>
      </c>
      <c r="D7" s="92" t="s">
        <v>19</v>
      </c>
      <c r="E7" s="102">
        <v>61</v>
      </c>
      <c r="G7" s="92" t="s">
        <v>111</v>
      </c>
      <c r="H7" s="178">
        <v>0.17407407407407408</v>
      </c>
      <c r="L7" s="92" t="s">
        <v>784</v>
      </c>
      <c r="M7" s="178">
        <v>0.49629629629629629</v>
      </c>
    </row>
    <row r="8" spans="1:13" x14ac:dyDescent="0.25">
      <c r="A8" s="92" t="s">
        <v>11</v>
      </c>
      <c r="B8" s="102">
        <v>24</v>
      </c>
      <c r="D8" s="92" t="s">
        <v>11</v>
      </c>
      <c r="E8" s="102">
        <v>39</v>
      </c>
      <c r="G8" s="92" t="s">
        <v>19</v>
      </c>
      <c r="H8" s="178">
        <v>0.17037037037037037</v>
      </c>
      <c r="L8" s="92" t="s">
        <v>407</v>
      </c>
      <c r="M8" s="178">
        <v>1</v>
      </c>
    </row>
    <row r="9" spans="1:13" x14ac:dyDescent="0.25">
      <c r="A9" s="92" t="s">
        <v>111</v>
      </c>
      <c r="B9" s="102">
        <v>21</v>
      </c>
      <c r="D9" s="92" t="s">
        <v>111</v>
      </c>
      <c r="E9" s="102">
        <v>31</v>
      </c>
      <c r="G9" s="92" t="s">
        <v>22</v>
      </c>
      <c r="H9" s="178">
        <v>0.12222222222222222</v>
      </c>
    </row>
    <row r="10" spans="1:13" x14ac:dyDescent="0.25">
      <c r="A10" s="92" t="s">
        <v>407</v>
      </c>
      <c r="B10" s="102">
        <v>123</v>
      </c>
      <c r="D10" s="92" t="s">
        <v>407</v>
      </c>
      <c r="E10" s="102">
        <v>191</v>
      </c>
      <c r="G10" s="92" t="s">
        <v>1</v>
      </c>
      <c r="H10" s="178">
        <v>0.10740740740740741</v>
      </c>
    </row>
    <row r="11" spans="1:13" x14ac:dyDescent="0.25">
      <c r="G11" s="92" t="s">
        <v>16</v>
      </c>
      <c r="H11" s="178">
        <v>7.5925925925925924E-2</v>
      </c>
    </row>
    <row r="12" spans="1:13" x14ac:dyDescent="0.25">
      <c r="G12" s="92" t="s">
        <v>15</v>
      </c>
      <c r="H12" s="178">
        <v>1.1111111111111112E-2</v>
      </c>
    </row>
    <row r="13" spans="1:13" x14ac:dyDescent="0.25">
      <c r="G13" s="92" t="s">
        <v>536</v>
      </c>
      <c r="H13" s="178">
        <v>5.5555555555555558E-3</v>
      </c>
    </row>
    <row r="14" spans="1:13" x14ac:dyDescent="0.25">
      <c r="G14" s="92" t="s">
        <v>892</v>
      </c>
      <c r="H14" s="178">
        <v>1.8518518518518519E-3</v>
      </c>
    </row>
    <row r="15" spans="1:13" x14ac:dyDescent="0.25">
      <c r="G15" s="92" t="s">
        <v>407</v>
      </c>
      <c r="H15" s="178">
        <v>1</v>
      </c>
    </row>
    <row r="17" spans="1:9" x14ac:dyDescent="0.25">
      <c r="A17" s="91" t="s">
        <v>541</v>
      </c>
      <c r="B17" t="s">
        <v>959</v>
      </c>
      <c r="C17" t="s">
        <v>759</v>
      </c>
      <c r="D17" t="s">
        <v>960</v>
      </c>
    </row>
    <row r="18" spans="1:9" x14ac:dyDescent="0.25">
      <c r="A18" s="92" t="s">
        <v>137</v>
      </c>
      <c r="B18" s="102">
        <v>35</v>
      </c>
      <c r="C18" s="102">
        <v>146730</v>
      </c>
      <c r="D18" s="102">
        <v>22</v>
      </c>
    </row>
    <row r="19" spans="1:9" x14ac:dyDescent="0.25">
      <c r="A19" s="92" t="s">
        <v>236</v>
      </c>
      <c r="B19" s="102">
        <v>29</v>
      </c>
      <c r="C19" s="102">
        <v>171315</v>
      </c>
      <c r="D19" s="102">
        <v>18</v>
      </c>
      <c r="G19" s="2" t="s">
        <v>1072</v>
      </c>
      <c r="H19" s="2" t="s">
        <v>1073</v>
      </c>
      <c r="I19" s="2" t="s">
        <v>1074</v>
      </c>
    </row>
    <row r="20" spans="1:9" x14ac:dyDescent="0.25">
      <c r="A20" s="92" t="s">
        <v>208</v>
      </c>
      <c r="B20" s="102">
        <v>24</v>
      </c>
      <c r="C20" s="102">
        <v>196835</v>
      </c>
      <c r="D20" s="102">
        <v>16</v>
      </c>
      <c r="G20" t="s">
        <v>1070</v>
      </c>
      <c r="H20">
        <v>283</v>
      </c>
      <c r="I20" s="10">
        <f>H20/$H$25</f>
        <v>0.54738878143133463</v>
      </c>
    </row>
    <row r="21" spans="1:9" x14ac:dyDescent="0.25">
      <c r="A21" s="92" t="s">
        <v>131</v>
      </c>
      <c r="B21" s="102">
        <v>28</v>
      </c>
      <c r="C21" s="102">
        <v>97060</v>
      </c>
      <c r="D21" s="102">
        <v>14</v>
      </c>
      <c r="G21" t="s">
        <v>1071</v>
      </c>
      <c r="H21">
        <v>85</v>
      </c>
      <c r="I21" s="10">
        <f t="shared" ref="I21:I24" si="0">H21/$H$25</f>
        <v>0.16441005802707931</v>
      </c>
    </row>
    <row r="22" spans="1:9" x14ac:dyDescent="0.25">
      <c r="A22" s="92" t="s">
        <v>44</v>
      </c>
      <c r="B22" s="102">
        <v>25</v>
      </c>
      <c r="C22" s="102">
        <v>27685</v>
      </c>
      <c r="D22" s="102">
        <v>14</v>
      </c>
      <c r="G22" t="s">
        <v>1065</v>
      </c>
      <c r="H22">
        <v>106</v>
      </c>
      <c r="I22" s="10">
        <f t="shared" si="0"/>
        <v>0.20502901353965183</v>
      </c>
    </row>
    <row r="23" spans="1:9" x14ac:dyDescent="0.25">
      <c r="A23" s="92" t="s">
        <v>237</v>
      </c>
      <c r="B23" s="102">
        <v>14</v>
      </c>
      <c r="C23" s="102">
        <v>23313</v>
      </c>
      <c r="D23" s="102">
        <v>12</v>
      </c>
      <c r="G23" t="s">
        <v>1066</v>
      </c>
      <c r="H23">
        <v>32</v>
      </c>
      <c r="I23" s="10">
        <f t="shared" si="0"/>
        <v>6.1895551257253385E-2</v>
      </c>
    </row>
    <row r="24" spans="1:9" x14ac:dyDescent="0.25">
      <c r="A24" s="92" t="s">
        <v>41</v>
      </c>
      <c r="B24" s="102">
        <v>16</v>
      </c>
      <c r="C24" s="102">
        <v>105135</v>
      </c>
      <c r="D24" s="102">
        <v>12</v>
      </c>
      <c r="G24" t="s">
        <v>1067</v>
      </c>
      <c r="H24">
        <v>11</v>
      </c>
      <c r="I24" s="10">
        <f t="shared" si="0"/>
        <v>2.1276595744680851E-2</v>
      </c>
    </row>
    <row r="25" spans="1:9" x14ac:dyDescent="0.25">
      <c r="A25" s="92" t="s">
        <v>138</v>
      </c>
      <c r="B25" s="102">
        <v>19</v>
      </c>
      <c r="C25" s="102">
        <v>112580</v>
      </c>
      <c r="D25" s="102">
        <v>11</v>
      </c>
      <c r="H25">
        <f>SUM(H20:H24)</f>
        <v>517</v>
      </c>
    </row>
    <row r="26" spans="1:9" x14ac:dyDescent="0.25">
      <c r="A26" s="92" t="s">
        <v>1123</v>
      </c>
      <c r="B26" s="102">
        <v>18</v>
      </c>
      <c r="C26" s="102">
        <v>45240</v>
      </c>
      <c r="D26" s="102">
        <v>11</v>
      </c>
    </row>
    <row r="27" spans="1:9" x14ac:dyDescent="0.25">
      <c r="A27" s="92" t="s">
        <v>239</v>
      </c>
      <c r="B27" s="102">
        <v>15</v>
      </c>
      <c r="C27" s="102">
        <v>42710</v>
      </c>
      <c r="D27" s="102">
        <v>11</v>
      </c>
    </row>
    <row r="28" spans="1:9" x14ac:dyDescent="0.25">
      <c r="A28" s="92" t="s">
        <v>407</v>
      </c>
      <c r="B28" s="102">
        <v>223</v>
      </c>
      <c r="C28" s="102">
        <v>968603</v>
      </c>
      <c r="D28" s="102">
        <v>41</v>
      </c>
    </row>
    <row r="31" spans="1:9" x14ac:dyDescent="0.25">
      <c r="G31" s="91" t="s">
        <v>541</v>
      </c>
      <c r="H31" t="s">
        <v>489</v>
      </c>
    </row>
    <row r="32" spans="1:9" x14ac:dyDescent="0.25">
      <c r="G32" s="92" t="s">
        <v>177</v>
      </c>
      <c r="H32" s="102">
        <v>398</v>
      </c>
    </row>
    <row r="33" spans="7:8" x14ac:dyDescent="0.25">
      <c r="G33" s="92" t="s">
        <v>784</v>
      </c>
      <c r="H33" s="102">
        <v>268</v>
      </c>
    </row>
    <row r="34" spans="7:8" x14ac:dyDescent="0.25">
      <c r="G34" s="92" t="s">
        <v>407</v>
      </c>
      <c r="H34" s="102">
        <v>540</v>
      </c>
    </row>
  </sheetData>
  <pageMargins left="0.7" right="0.7" top="0.75" bottom="0.75" header="0.3" footer="0.3"/>
  <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K34"/>
  <sheetViews>
    <sheetView zoomScale="80" zoomScaleNormal="80" workbookViewId="0">
      <pane ySplit="2" topLeftCell="A9" activePane="bottomLeft" state="frozen"/>
      <selection pane="bottomLeft" activeCell="G21" sqref="G21"/>
    </sheetView>
  </sheetViews>
  <sheetFormatPr defaultRowHeight="15" x14ac:dyDescent="0.25"/>
  <cols>
    <col min="5" max="6" width="11.28515625" bestFit="1" customWidth="1"/>
    <col min="7" max="7" width="14.28515625" customWidth="1"/>
    <col min="8" max="8" width="16.42578125" bestFit="1" customWidth="1"/>
    <col min="9" max="9" width="11.5703125" customWidth="1"/>
    <col min="10" max="10" width="14.28515625" customWidth="1"/>
    <col min="11" max="11" width="12.42578125" customWidth="1"/>
  </cols>
  <sheetData>
    <row r="2" spans="1:11" x14ac:dyDescent="0.25">
      <c r="A2" s="119" t="s">
        <v>42</v>
      </c>
      <c r="B2" s="119" t="s">
        <v>178</v>
      </c>
      <c r="C2" s="119" t="s">
        <v>223</v>
      </c>
      <c r="D2" s="119" t="s">
        <v>179</v>
      </c>
      <c r="E2" s="119" t="s">
        <v>77</v>
      </c>
      <c r="F2" s="119" t="s">
        <v>607</v>
      </c>
      <c r="G2" s="119" t="s">
        <v>613</v>
      </c>
      <c r="H2" s="119" t="s">
        <v>614</v>
      </c>
      <c r="I2" s="119" t="s">
        <v>491</v>
      </c>
      <c r="J2" s="119" t="s">
        <v>611</v>
      </c>
      <c r="K2" s="119" t="s">
        <v>612</v>
      </c>
    </row>
    <row r="3" spans="1:11" x14ac:dyDescent="0.25">
      <c r="A3" s="5">
        <v>44593</v>
      </c>
      <c r="B3" s="5" t="s">
        <v>177</v>
      </c>
      <c r="C3" s="5" t="s">
        <v>75</v>
      </c>
      <c r="D3">
        <v>2022</v>
      </c>
      <c r="E3" s="46">
        <f>SUMIFS(Data!$J:$J,Data!$B:$B,'Delivery '!A3,Data!$C:$C,'Delivery '!B3,Data!$D:$D,'Delivery '!D3)</f>
        <v>41570</v>
      </c>
      <c r="F3" s="46">
        <f>SUMIFS(Data!$L:$L,Data!$B:$B,'Delivery '!A3,Data!$C:$C,'Delivery '!B3,Data!$D:$D,'Delivery '!D3)</f>
        <v>41570</v>
      </c>
      <c r="G3" s="113">
        <f t="shared" ref="G3:G30" si="0">E3-F3</f>
        <v>0</v>
      </c>
      <c r="H3" s="10">
        <f>IFERROR(F3/E3,"")</f>
        <v>1</v>
      </c>
      <c r="I3" s="6">
        <f>F3-J3</f>
        <v>41570</v>
      </c>
      <c r="J3" s="113">
        <f>SUMIFS('Returns Data'!$J:$J,'Returns Data'!$B:$B,'Delivery '!A3,'Returns Data'!$E:$E,'Delivery '!B3)</f>
        <v>0</v>
      </c>
      <c r="K3" s="10">
        <f>IFERROR(I3/E3,"")</f>
        <v>1</v>
      </c>
    </row>
    <row r="4" spans="1:11" x14ac:dyDescent="0.25">
      <c r="A4" s="5">
        <v>44594</v>
      </c>
      <c r="B4" s="5" t="s">
        <v>177</v>
      </c>
      <c r="C4" s="5" t="s">
        <v>75</v>
      </c>
      <c r="D4">
        <v>2022</v>
      </c>
      <c r="E4" s="46">
        <f>SUMIFS(Data!$J:$J,Data!$B:$B,'Delivery '!A4,Data!$C:$C,'Delivery '!B4,Data!$D:$D,'Delivery '!D4)</f>
        <v>32500</v>
      </c>
      <c r="F4" s="46">
        <f>SUMIFS(Data!$L:$L,Data!$B:$B,'Delivery '!A4,Data!$C:$C,'Delivery '!B4,Data!$D:$D,'Delivery '!D4)</f>
        <v>0</v>
      </c>
      <c r="G4" s="113">
        <f t="shared" si="0"/>
        <v>32500</v>
      </c>
      <c r="H4" s="10">
        <f t="shared" ref="H4:H34" si="1">IFERROR(F4/E4,"")</f>
        <v>0</v>
      </c>
      <c r="I4" s="6">
        <f t="shared" ref="I4:I33" si="2">F4-J4</f>
        <v>0</v>
      </c>
      <c r="J4" s="113">
        <f>SUMIFS('Returns Data'!$J:$J,'Returns Data'!$B:$B,'Delivery '!A4,'Returns Data'!$E:$E,'Delivery '!B4)</f>
        <v>0</v>
      </c>
      <c r="K4" s="10">
        <f t="shared" ref="K4:K34" si="3">IFERROR(I4/E4,"")</f>
        <v>0</v>
      </c>
    </row>
    <row r="5" spans="1:11" x14ac:dyDescent="0.25">
      <c r="A5" s="5">
        <v>44595</v>
      </c>
      <c r="B5" s="5" t="s">
        <v>177</v>
      </c>
      <c r="C5" s="5" t="s">
        <v>75</v>
      </c>
      <c r="D5">
        <v>2022</v>
      </c>
      <c r="E5" s="46">
        <f>SUMIFS(Data!$J:$J,Data!$B:$B,'Delivery '!A5,Data!$C:$C,'Delivery '!B5,Data!$D:$D,'Delivery '!D5)</f>
        <v>75878</v>
      </c>
      <c r="F5" s="46">
        <f>SUMIFS(Data!$L:$L,Data!$B:$B,'Delivery '!A5,Data!$C:$C,'Delivery '!B5,Data!$D:$D,'Delivery '!D5)</f>
        <v>0</v>
      </c>
      <c r="G5" s="113">
        <f t="shared" si="0"/>
        <v>75878</v>
      </c>
      <c r="H5" s="10">
        <f t="shared" si="1"/>
        <v>0</v>
      </c>
      <c r="I5" s="6">
        <f t="shared" si="2"/>
        <v>0</v>
      </c>
      <c r="J5" s="113">
        <f>SUMIFS('Returns Data'!$J:$J,'Returns Data'!$B:$B,'Delivery '!A5,'Returns Data'!$E:$E,'Delivery '!B5)</f>
        <v>0</v>
      </c>
      <c r="K5" s="10">
        <f t="shared" si="3"/>
        <v>0</v>
      </c>
    </row>
    <row r="6" spans="1:11" x14ac:dyDescent="0.25">
      <c r="A6" s="5">
        <v>44596</v>
      </c>
      <c r="B6" s="5" t="s">
        <v>177</v>
      </c>
      <c r="C6" s="5" t="s">
        <v>75</v>
      </c>
      <c r="D6">
        <v>2022</v>
      </c>
      <c r="E6" s="46">
        <f>SUMIFS(Data!$J:$J,Data!$B:$B,'Delivery '!A6,Data!$C:$C,'Delivery '!B6,Data!$D:$D,'Delivery '!D6)</f>
        <v>145080</v>
      </c>
      <c r="F6" s="46">
        <f>SUMIFS(Data!$L:$L,Data!$B:$B,'Delivery '!A6,Data!$C:$C,'Delivery '!B6,Data!$D:$D,'Delivery '!D6)</f>
        <v>0</v>
      </c>
      <c r="G6" s="113">
        <f t="shared" si="0"/>
        <v>145080</v>
      </c>
      <c r="H6" s="10">
        <f t="shared" si="1"/>
        <v>0</v>
      </c>
      <c r="I6" s="6">
        <f t="shared" si="2"/>
        <v>0</v>
      </c>
      <c r="J6" s="113">
        <f>SUMIFS('Returns Data'!$J:$J,'Returns Data'!$B:$B,'Delivery '!A6,'Returns Data'!$E:$E,'Delivery '!B6)</f>
        <v>0</v>
      </c>
      <c r="K6" s="10">
        <f t="shared" si="3"/>
        <v>0</v>
      </c>
    </row>
    <row r="7" spans="1:11" x14ac:dyDescent="0.25">
      <c r="A7" s="5">
        <v>44597</v>
      </c>
      <c r="B7" s="5" t="s">
        <v>177</v>
      </c>
      <c r="C7" s="5" t="s">
        <v>75</v>
      </c>
      <c r="D7">
        <v>2022</v>
      </c>
      <c r="E7" s="46">
        <f>SUMIFS(Data!$J:$J,Data!$B:$B,'Delivery '!A7,Data!$C:$C,'Delivery '!B7,Data!$D:$D,'Delivery '!D7)</f>
        <v>123210</v>
      </c>
      <c r="F7" s="46">
        <f>SUMIFS(Data!$L:$L,Data!$B:$B,'Delivery '!A7,Data!$C:$C,'Delivery '!B7,Data!$D:$D,'Delivery '!D7)</f>
        <v>0</v>
      </c>
      <c r="G7" s="113">
        <f t="shared" si="0"/>
        <v>123210</v>
      </c>
      <c r="H7" s="10">
        <f t="shared" si="1"/>
        <v>0</v>
      </c>
      <c r="I7" s="6">
        <f t="shared" si="2"/>
        <v>0</v>
      </c>
      <c r="J7" s="113">
        <f>SUMIFS('Returns Data'!$J:$J,'Returns Data'!$B:$B,'Delivery '!A7,'Returns Data'!$E:$E,'Delivery '!B7)</f>
        <v>0</v>
      </c>
      <c r="K7" s="10">
        <f t="shared" si="3"/>
        <v>0</v>
      </c>
    </row>
    <row r="8" spans="1:11" x14ac:dyDescent="0.25">
      <c r="A8" s="5">
        <v>44598</v>
      </c>
      <c r="B8" s="5" t="s">
        <v>177</v>
      </c>
      <c r="C8" s="5" t="s">
        <v>75</v>
      </c>
      <c r="D8">
        <v>2022</v>
      </c>
      <c r="E8" s="46">
        <f>SUMIFS(Data!$J:$J,Data!$B:$B,'Delivery '!A8,Data!$C:$C,'Delivery '!B8,Data!$D:$D,'Delivery '!D8)</f>
        <v>21780</v>
      </c>
      <c r="F8" s="46">
        <f>SUMIFS(Data!$L:$L,Data!$B:$B,'Delivery '!A8,Data!$C:$C,'Delivery '!B8,Data!$D:$D,'Delivery '!D8)</f>
        <v>0</v>
      </c>
      <c r="G8" s="113">
        <f t="shared" si="0"/>
        <v>21780</v>
      </c>
      <c r="H8" s="10">
        <f t="shared" si="1"/>
        <v>0</v>
      </c>
      <c r="I8" s="6">
        <f t="shared" si="2"/>
        <v>0</v>
      </c>
      <c r="J8" s="113">
        <f>SUMIFS('Returns Data'!$J:$J,'Returns Data'!$B:$B,'Delivery '!A8,'Returns Data'!$E:$E,'Delivery '!B8)</f>
        <v>0</v>
      </c>
      <c r="K8" s="10">
        <f t="shared" si="3"/>
        <v>0</v>
      </c>
    </row>
    <row r="9" spans="1:11" x14ac:dyDescent="0.25">
      <c r="A9" s="5">
        <v>44599</v>
      </c>
      <c r="B9" s="5" t="s">
        <v>177</v>
      </c>
      <c r="C9" s="5" t="s">
        <v>222</v>
      </c>
      <c r="D9">
        <v>2022</v>
      </c>
      <c r="E9" s="46">
        <f>SUMIFS(Data!$J:$J,Data!$B:$B,'Delivery '!A9,Data!$C:$C,'Delivery '!B9,Data!$D:$D,'Delivery '!D9)</f>
        <v>135680</v>
      </c>
      <c r="F9" s="46">
        <f>SUMIFS(Data!$L:$L,Data!$B:$B,'Delivery '!A9,Data!$C:$C,'Delivery '!B9,Data!$D:$D,'Delivery '!D9)</f>
        <v>0</v>
      </c>
      <c r="G9" s="113">
        <f t="shared" si="0"/>
        <v>135680</v>
      </c>
      <c r="H9" s="10">
        <f t="shared" si="1"/>
        <v>0</v>
      </c>
      <c r="I9" s="6">
        <f t="shared" si="2"/>
        <v>-5310</v>
      </c>
      <c r="J9" s="113">
        <f>SUMIFS('Returns Data'!$J:$J,'Returns Data'!$B:$B,'Delivery '!A9,'Returns Data'!$E:$E,'Delivery '!B9)</f>
        <v>5310</v>
      </c>
      <c r="K9" s="10">
        <f t="shared" si="3"/>
        <v>-3.9136202830188677E-2</v>
      </c>
    </row>
    <row r="10" spans="1:11" x14ac:dyDescent="0.25">
      <c r="A10" s="5">
        <v>44600</v>
      </c>
      <c r="B10" s="5" t="s">
        <v>177</v>
      </c>
      <c r="C10" s="5" t="s">
        <v>222</v>
      </c>
      <c r="D10">
        <v>2022</v>
      </c>
      <c r="E10" s="46">
        <f>SUMIFS(Data!$J:$J,Data!$B:$B,'Delivery '!A10,Data!$C:$C,'Delivery '!B10,Data!$D:$D,'Delivery '!D10)</f>
        <v>228600</v>
      </c>
      <c r="F10" s="46">
        <f>SUMIFS(Data!$L:$L,Data!$B:$B,'Delivery '!A10,Data!$C:$C,'Delivery '!B10,Data!$D:$D,'Delivery '!D10)</f>
        <v>0</v>
      </c>
      <c r="G10" s="113">
        <f>E10-F10</f>
        <v>228600</v>
      </c>
      <c r="H10" s="10">
        <f t="shared" si="1"/>
        <v>0</v>
      </c>
      <c r="I10" s="6">
        <f t="shared" si="2"/>
        <v>-60960</v>
      </c>
      <c r="J10" s="113">
        <f>SUMIFS('Returns Data'!$J:$J,'Returns Data'!$B:$B,'Delivery '!A10,'Returns Data'!$E:$E,'Delivery '!B10)</f>
        <v>60960</v>
      </c>
      <c r="K10" s="10">
        <f t="shared" si="3"/>
        <v>-0.26666666666666666</v>
      </c>
    </row>
    <row r="11" spans="1:11" x14ac:dyDescent="0.25">
      <c r="A11" s="5">
        <v>44601</v>
      </c>
      <c r="B11" s="5" t="s">
        <v>177</v>
      </c>
      <c r="C11" s="5" t="s">
        <v>222</v>
      </c>
      <c r="D11">
        <v>2022</v>
      </c>
      <c r="E11" s="46">
        <f>SUMIFS(Data!$J:$J,Data!$B:$B,'Delivery '!A11,Data!$C:$C,'Delivery '!B11,Data!$D:$D,'Delivery '!D11)</f>
        <v>133825</v>
      </c>
      <c r="F11" s="46">
        <f>SUMIFS(Data!$L:$L,Data!$B:$B,'Delivery '!A11,Data!$C:$C,'Delivery '!B11,Data!$D:$D,'Delivery '!D11)</f>
        <v>0</v>
      </c>
      <c r="G11" s="113">
        <f t="shared" si="0"/>
        <v>133825</v>
      </c>
      <c r="H11" s="10">
        <f t="shared" si="1"/>
        <v>0</v>
      </c>
      <c r="I11" s="6">
        <f t="shared" si="2"/>
        <v>0</v>
      </c>
      <c r="J11" s="113">
        <f>SUMIFS('Returns Data'!$J:$J,'Returns Data'!$B:$B,'Delivery '!A11,'Returns Data'!$E:$E,'Delivery '!B11)</f>
        <v>0</v>
      </c>
      <c r="K11" s="10">
        <f t="shared" si="3"/>
        <v>0</v>
      </c>
    </row>
    <row r="12" spans="1:11" x14ac:dyDescent="0.25">
      <c r="A12" s="5">
        <v>44602</v>
      </c>
      <c r="B12" s="5" t="s">
        <v>177</v>
      </c>
      <c r="C12" s="5" t="s">
        <v>222</v>
      </c>
      <c r="D12">
        <v>2022</v>
      </c>
      <c r="E12" s="46">
        <f>SUMIFS(Data!$J:$J,Data!$B:$B,'Delivery '!A12,Data!$C:$C,'Delivery '!B12,Data!$D:$D,'Delivery '!D12)</f>
        <v>128495</v>
      </c>
      <c r="F12" s="46">
        <f>SUMIFS(Data!$L:$L,Data!$B:$B,'Delivery '!A12,Data!$C:$C,'Delivery '!B12,Data!$D:$D,'Delivery '!D12)</f>
        <v>0</v>
      </c>
      <c r="G12" s="113">
        <f t="shared" si="0"/>
        <v>128495</v>
      </c>
      <c r="H12" s="10">
        <f t="shared" si="1"/>
        <v>0</v>
      </c>
      <c r="I12" s="6">
        <f t="shared" si="2"/>
        <v>0</v>
      </c>
      <c r="J12" s="113">
        <f>SUMIFS('Returns Data'!$J:$J,'Returns Data'!$B:$B,'Delivery '!A12,'Returns Data'!$E:$E,'Delivery '!B12)</f>
        <v>0</v>
      </c>
      <c r="K12" s="10">
        <f t="shared" si="3"/>
        <v>0</v>
      </c>
    </row>
    <row r="13" spans="1:11" x14ac:dyDescent="0.25">
      <c r="A13" s="5">
        <v>44603</v>
      </c>
      <c r="B13" s="5" t="s">
        <v>177</v>
      </c>
      <c r="C13" s="5" t="s">
        <v>222</v>
      </c>
      <c r="D13">
        <v>2022</v>
      </c>
      <c r="E13" s="46">
        <f>SUMIFS(Data!$J:$J,Data!$B:$B,'Delivery '!A13,Data!$C:$C,'Delivery '!B13,Data!$D:$D,'Delivery '!D13)</f>
        <v>201515</v>
      </c>
      <c r="F13" s="46">
        <f>SUMIFS(Data!$L:$L,Data!$B:$B,'Delivery '!A13,Data!$C:$C,'Delivery '!B13,Data!$D:$D,'Delivery '!D13)</f>
        <v>150535</v>
      </c>
      <c r="G13" s="113">
        <f t="shared" si="0"/>
        <v>50980</v>
      </c>
      <c r="H13" s="10">
        <f t="shared" si="1"/>
        <v>0.74701635114011367</v>
      </c>
      <c r="I13" s="6">
        <f t="shared" si="2"/>
        <v>140055</v>
      </c>
      <c r="J13" s="113">
        <f>SUMIFS('Returns Data'!$J:$J,'Returns Data'!$B:$B,'Delivery '!A13,'Returns Data'!$E:$E,'Delivery '!B13)</f>
        <v>10480</v>
      </c>
      <c r="K13" s="10">
        <f t="shared" si="3"/>
        <v>0.69501029700022332</v>
      </c>
    </row>
    <row r="14" spans="1:11" x14ac:dyDescent="0.25">
      <c r="A14" s="5">
        <v>44604</v>
      </c>
      <c r="B14" s="5" t="s">
        <v>177</v>
      </c>
      <c r="C14" s="5" t="s">
        <v>222</v>
      </c>
      <c r="D14">
        <v>2022</v>
      </c>
      <c r="E14" s="46">
        <f>SUMIFS(Data!$J:$J,Data!$B:$B,'Delivery '!A14,Data!$C:$C,'Delivery '!B14,Data!$D:$D,'Delivery '!D14)</f>
        <v>136565</v>
      </c>
      <c r="F14" s="46">
        <f>SUMIFS(Data!$L:$L,Data!$B:$B,'Delivery '!A14,Data!$C:$C,'Delivery '!B14,Data!$D:$D,'Delivery '!D14)</f>
        <v>131105</v>
      </c>
      <c r="G14" s="113">
        <f t="shared" si="0"/>
        <v>5460</v>
      </c>
      <c r="H14" s="10">
        <f t="shared" si="1"/>
        <v>0.96001903855306991</v>
      </c>
      <c r="I14" s="6">
        <f t="shared" si="2"/>
        <v>124725</v>
      </c>
      <c r="J14" s="113">
        <f>SUMIFS('Returns Data'!$J:$J,'Returns Data'!$B:$B,'Delivery '!A14,'Returns Data'!$E:$E,'Delivery '!B14)</f>
        <v>6380</v>
      </c>
      <c r="K14" s="10">
        <f t="shared" si="3"/>
        <v>0.91330135832753634</v>
      </c>
    </row>
    <row r="15" spans="1:11" x14ac:dyDescent="0.25">
      <c r="A15" s="5">
        <v>44605</v>
      </c>
      <c r="B15" s="5" t="s">
        <v>177</v>
      </c>
      <c r="C15" s="5" t="s">
        <v>222</v>
      </c>
      <c r="D15">
        <v>2022</v>
      </c>
      <c r="E15" s="46">
        <f>SUMIFS(Data!$J:$J,Data!$B:$B,'Delivery '!A15,Data!$C:$C,'Delivery '!B15,Data!$D:$D,'Delivery '!D15)</f>
        <v>20140</v>
      </c>
      <c r="F15" s="46">
        <f>SUMIFS(Data!$L:$L,Data!$B:$B,'Delivery '!A15,Data!$C:$C,'Delivery '!B15,Data!$D:$D,'Delivery '!D15)</f>
        <v>20140</v>
      </c>
      <c r="G15" s="113">
        <f t="shared" si="0"/>
        <v>0</v>
      </c>
      <c r="H15" s="10">
        <f t="shared" si="1"/>
        <v>1</v>
      </c>
      <c r="I15" s="6">
        <f t="shared" si="2"/>
        <v>20140</v>
      </c>
      <c r="J15" s="113">
        <f>SUMIFS('Returns Data'!$J:$J,'Returns Data'!$B:$B,'Delivery '!A15,'Returns Data'!$E:$E,'Delivery '!B15)</f>
        <v>0</v>
      </c>
      <c r="K15" s="10">
        <f t="shared" si="3"/>
        <v>1</v>
      </c>
    </row>
    <row r="16" spans="1:11" x14ac:dyDescent="0.25">
      <c r="A16" s="5">
        <v>44606</v>
      </c>
      <c r="B16" s="5" t="s">
        <v>177</v>
      </c>
      <c r="C16" s="5" t="s">
        <v>397</v>
      </c>
      <c r="D16">
        <v>2022</v>
      </c>
      <c r="E16" s="46">
        <f>SUMIFS(Data!$J:$J,Data!$B:$B,'Delivery '!A16,Data!$C:$C,'Delivery '!B16,Data!$D:$D,'Delivery '!D16)</f>
        <v>139535</v>
      </c>
      <c r="F16" s="46">
        <f>SUMIFS(Data!$L:$L,Data!$B:$B,'Delivery '!A16,Data!$C:$C,'Delivery '!B16,Data!$D:$D,'Delivery '!D16)</f>
        <v>138615</v>
      </c>
      <c r="G16" s="113">
        <f t="shared" si="0"/>
        <v>920</v>
      </c>
      <c r="H16" s="10">
        <f t="shared" si="1"/>
        <v>0.99340667216110656</v>
      </c>
      <c r="I16" s="6">
        <f t="shared" si="2"/>
        <v>137695</v>
      </c>
      <c r="J16" s="113">
        <f>SUMIFS('Returns Data'!$J:$J,'Returns Data'!$B:$B,'Delivery '!A16,'Returns Data'!$E:$E,'Delivery '!B16)</f>
        <v>920</v>
      </c>
      <c r="K16" s="10">
        <f t="shared" si="3"/>
        <v>0.98681334432221302</v>
      </c>
    </row>
    <row r="17" spans="1:11" x14ac:dyDescent="0.25">
      <c r="A17" s="5">
        <v>44607</v>
      </c>
      <c r="B17" s="5" t="s">
        <v>177</v>
      </c>
      <c r="C17" s="5" t="s">
        <v>397</v>
      </c>
      <c r="D17">
        <v>2022</v>
      </c>
      <c r="E17" s="46">
        <f>SUMIFS(Data!$J:$J,Data!$B:$B,'Delivery '!A17,Data!$C:$C,'Delivery '!B17,Data!$D:$D,'Delivery '!D17)</f>
        <v>236825</v>
      </c>
      <c r="F17" s="46">
        <f>SUMIFS(Data!$L:$L,Data!$B:$B,'Delivery '!A17,Data!$C:$C,'Delivery '!B17,Data!$D:$D,'Delivery '!D17)</f>
        <v>235875</v>
      </c>
      <c r="G17" s="113">
        <f t="shared" si="0"/>
        <v>950</v>
      </c>
      <c r="H17" s="10">
        <f t="shared" si="1"/>
        <v>0.9959885991766072</v>
      </c>
      <c r="I17" s="6">
        <f>F17-J17</f>
        <v>234925</v>
      </c>
      <c r="J17" s="113">
        <f>SUMIFS('Returns Data'!$J:$J,'Returns Data'!$B:$B,'Delivery '!A17,'Returns Data'!$E:$E,'Delivery '!B17)</f>
        <v>950</v>
      </c>
      <c r="K17" s="10">
        <f t="shared" si="3"/>
        <v>0.99197719835321441</v>
      </c>
    </row>
    <row r="18" spans="1:11" x14ac:dyDescent="0.25">
      <c r="A18" s="5">
        <v>44608</v>
      </c>
      <c r="B18" s="5" t="s">
        <v>177</v>
      </c>
      <c r="C18" s="5" t="s">
        <v>397</v>
      </c>
      <c r="D18">
        <v>2022</v>
      </c>
      <c r="E18" s="46">
        <f>SUMIFS(Data!$J:$J,Data!$B:$B,'Delivery '!A18,Data!$C:$C,'Delivery '!B18,Data!$D:$D,'Delivery '!D18)</f>
        <v>128515</v>
      </c>
      <c r="F18" s="46">
        <f>SUMIFS(Data!$L:$L,Data!$B:$B,'Delivery '!A18,Data!$C:$C,'Delivery '!B18,Data!$D:$D,'Delivery '!D18)</f>
        <v>98560</v>
      </c>
      <c r="G18" s="113">
        <f t="shared" si="0"/>
        <v>29955</v>
      </c>
      <c r="H18" s="10">
        <f t="shared" si="1"/>
        <v>0.76691436797261026</v>
      </c>
      <c r="I18" s="6">
        <f t="shared" si="2"/>
        <v>80830</v>
      </c>
      <c r="J18" s="113">
        <f>SUMIFS('Returns Data'!$J:$J,'Returns Data'!$B:$B,'Delivery '!A18,'Returns Data'!$E:$E,'Delivery '!B18)</f>
        <v>17730</v>
      </c>
      <c r="K18" s="10">
        <f>IFERROR(I18/E18,"")</f>
        <v>0.62895381862039446</v>
      </c>
    </row>
    <row r="19" spans="1:11" x14ac:dyDescent="0.25">
      <c r="A19" s="5">
        <v>44609</v>
      </c>
      <c r="B19" s="5" t="s">
        <v>177</v>
      </c>
      <c r="C19" s="5" t="s">
        <v>397</v>
      </c>
      <c r="D19">
        <v>2022</v>
      </c>
      <c r="E19" s="46">
        <f>SUMIFS(Data!$J:$J,Data!$B:$B,'Delivery '!A19,Data!$C:$C,'Delivery '!B19,Data!$D:$D,'Delivery '!D19)</f>
        <v>132010</v>
      </c>
      <c r="F19" s="46">
        <f>SUMIFS(Data!$L:$L,Data!$B:$B,'Delivery '!A19,Data!$C:$C,'Delivery '!B19,Data!$D:$D,'Delivery '!D19)</f>
        <v>128815</v>
      </c>
      <c r="G19" s="113">
        <f t="shared" si="0"/>
        <v>3195</v>
      </c>
      <c r="H19" s="10">
        <f t="shared" si="1"/>
        <v>0.97579728808423605</v>
      </c>
      <c r="I19" s="6">
        <f t="shared" si="2"/>
        <v>114465</v>
      </c>
      <c r="J19" s="113">
        <f>SUMIFS('Returns Data'!$J:$J,'Returns Data'!$B:$B,'Delivery '!A19,'Returns Data'!$E:$E,'Delivery '!B19)</f>
        <v>14350</v>
      </c>
      <c r="K19" s="10">
        <f t="shared" si="3"/>
        <v>0.86709340201499885</v>
      </c>
    </row>
    <row r="20" spans="1:11" x14ac:dyDescent="0.25">
      <c r="A20" s="5">
        <v>44610</v>
      </c>
      <c r="B20" s="5" t="s">
        <v>177</v>
      </c>
      <c r="C20" s="5" t="s">
        <v>397</v>
      </c>
      <c r="D20">
        <v>2022</v>
      </c>
      <c r="E20" s="46">
        <f>SUMIFS(Data!$J:$J,Data!$B:$B,'Delivery '!A20,Data!$C:$C,'Delivery '!B20,Data!$D:$D,'Delivery '!D20)</f>
        <v>152370</v>
      </c>
      <c r="F20" s="46">
        <f>SUMIFS(Data!$L:$L,Data!$B:$B,'Delivery '!A20,Data!$C:$C,'Delivery '!B20,Data!$D:$D,'Delivery '!D20)</f>
        <v>149230</v>
      </c>
      <c r="G20" s="113">
        <f t="shared" si="0"/>
        <v>3140</v>
      </c>
      <c r="H20" s="10">
        <f t="shared" si="1"/>
        <v>0.9793922688193214</v>
      </c>
      <c r="I20" s="6">
        <f t="shared" si="2"/>
        <v>149230</v>
      </c>
      <c r="J20" s="113">
        <f>SUMIFS('Returns Data'!$J:$J,'Returns Data'!$B:$B,'Delivery '!A20,'Returns Data'!$E:$E,'Delivery '!B20)</f>
        <v>0</v>
      </c>
      <c r="K20" s="10">
        <f t="shared" si="3"/>
        <v>0.9793922688193214</v>
      </c>
    </row>
    <row r="21" spans="1:11" x14ac:dyDescent="0.25">
      <c r="A21" s="5">
        <v>44611</v>
      </c>
      <c r="B21" s="5" t="s">
        <v>177</v>
      </c>
      <c r="C21" s="5" t="s">
        <v>397</v>
      </c>
      <c r="D21">
        <v>2022</v>
      </c>
      <c r="E21" s="46">
        <f>SUMIFS(Data!$J:$J,Data!$B:$B,'Delivery '!A21,Data!$C:$C,'Delivery '!B21,Data!$D:$D,'Delivery '!D21)</f>
        <v>119535</v>
      </c>
      <c r="F21" s="46">
        <f>SUMIFS(Data!$L:$L,Data!$B:$B,'Delivery '!A21,Data!$C:$C,'Delivery '!B21,Data!$D:$D,'Delivery '!D21)</f>
        <v>88805</v>
      </c>
      <c r="G21" s="113">
        <f t="shared" si="0"/>
        <v>30730</v>
      </c>
      <c r="H21" s="10">
        <f t="shared" si="1"/>
        <v>0.74292048354038565</v>
      </c>
      <c r="I21" s="6">
        <f t="shared" si="2"/>
        <v>88805</v>
      </c>
      <c r="J21" s="113">
        <f>SUMIFS('Returns Data'!$J:$J,'Returns Data'!$B:$B,'Delivery '!A21,'Returns Data'!$E:$E,'Delivery '!B21)</f>
        <v>0</v>
      </c>
      <c r="K21" s="10">
        <f t="shared" si="3"/>
        <v>0.74292048354038565</v>
      </c>
    </row>
    <row r="22" spans="1:11" x14ac:dyDescent="0.25">
      <c r="A22" s="5">
        <v>44612</v>
      </c>
      <c r="B22" s="5" t="s">
        <v>177</v>
      </c>
      <c r="C22" s="5" t="s">
        <v>397</v>
      </c>
      <c r="D22">
        <v>2022</v>
      </c>
      <c r="E22" s="46">
        <f>SUMIFS(Data!$J:$J,Data!$B:$B,'Delivery '!A22,Data!$C:$C,'Delivery '!B22,Data!$D:$D,'Delivery '!D22)</f>
        <v>20870</v>
      </c>
      <c r="F22" s="46">
        <f>SUMIFS(Data!$L:$L,Data!$B:$B,'Delivery '!A22,Data!$C:$C,'Delivery '!B22,Data!$D:$D,'Delivery '!D22)</f>
        <v>19070</v>
      </c>
      <c r="G22" s="113">
        <f t="shared" si="0"/>
        <v>1800</v>
      </c>
      <c r="H22" s="10">
        <f t="shared" si="1"/>
        <v>0.91375179683756591</v>
      </c>
      <c r="I22" s="6">
        <f t="shared" si="2"/>
        <v>19070</v>
      </c>
      <c r="J22" s="113">
        <f>SUMIFS('Returns Data'!$J:$J,'Returns Data'!$B:$B,'Delivery '!A22,'Returns Data'!$E:$E,'Delivery '!B22)</f>
        <v>0</v>
      </c>
      <c r="K22" s="10">
        <f t="shared" si="3"/>
        <v>0.91375179683756591</v>
      </c>
    </row>
    <row r="23" spans="1:11" x14ac:dyDescent="0.25">
      <c r="A23" s="5">
        <v>44613</v>
      </c>
      <c r="B23" s="5" t="s">
        <v>177</v>
      </c>
      <c r="C23" s="5" t="s">
        <v>545</v>
      </c>
      <c r="D23">
        <v>2022</v>
      </c>
      <c r="E23" s="46">
        <f>SUMIFS(Data!$J:$J,Data!$B:$B,'Delivery '!A23,Data!$C:$C,'Delivery '!B23,Data!$D:$D,'Delivery '!D23)</f>
        <v>137625</v>
      </c>
      <c r="F23" s="46">
        <f>SUMIFS(Data!$L:$L,Data!$B:$B,'Delivery '!A23,Data!$C:$C,'Delivery '!B23,Data!$D:$D,'Delivery '!D23)</f>
        <v>131415</v>
      </c>
      <c r="G23" s="113">
        <f t="shared" si="0"/>
        <v>6210</v>
      </c>
      <c r="H23" s="10">
        <f t="shared" si="1"/>
        <v>0.95487738419618529</v>
      </c>
      <c r="I23" s="6">
        <f t="shared" si="2"/>
        <v>131415</v>
      </c>
      <c r="J23" s="113">
        <f>SUMIFS('Returns Data'!$J:$J,'Returns Data'!$B:$B,'Delivery '!A23,'Returns Data'!$E:$E,'Delivery '!B23)</f>
        <v>0</v>
      </c>
      <c r="K23" s="10">
        <f t="shared" si="3"/>
        <v>0.95487738419618529</v>
      </c>
    </row>
    <row r="24" spans="1:11" x14ac:dyDescent="0.25">
      <c r="A24" s="5">
        <v>44614</v>
      </c>
      <c r="B24" s="5" t="s">
        <v>177</v>
      </c>
      <c r="C24" s="5" t="s">
        <v>545</v>
      </c>
      <c r="D24">
        <v>2022</v>
      </c>
      <c r="E24" s="46">
        <f>SUMIFS(Data!$J:$J,Data!$B:$B,'Delivery '!A24,Data!$C:$C,'Delivery '!B24,Data!$D:$D,'Delivery '!D24)</f>
        <v>119790</v>
      </c>
      <c r="F24" s="46">
        <f>SUMIFS(Data!$L:$L,Data!$B:$B,'Delivery '!A24,Data!$C:$C,'Delivery '!B24,Data!$D:$D,'Delivery '!D24)</f>
        <v>108350</v>
      </c>
      <c r="G24" s="113">
        <f t="shared" si="0"/>
        <v>11440</v>
      </c>
      <c r="H24" s="10">
        <f t="shared" si="1"/>
        <v>0.90449954086317719</v>
      </c>
      <c r="I24" s="6">
        <f>F24-J24</f>
        <v>90020</v>
      </c>
      <c r="J24" s="113">
        <f>SUMIFS('Returns Data'!$J:$J,'Returns Data'!$B:$B,'Delivery '!A24,'Returns Data'!$E:$E,'Delivery '!B24)</f>
        <v>18330</v>
      </c>
      <c r="K24" s="10">
        <f t="shared" si="3"/>
        <v>0.75148175974622256</v>
      </c>
    </row>
    <row r="25" spans="1:11" x14ac:dyDescent="0.25">
      <c r="A25" s="5">
        <v>44615</v>
      </c>
      <c r="B25" s="5" t="s">
        <v>177</v>
      </c>
      <c r="C25" s="5" t="s">
        <v>545</v>
      </c>
      <c r="D25">
        <v>2022</v>
      </c>
      <c r="E25" s="46">
        <f>SUMIFS(Data!$J:$J,Data!$B:$B,'Delivery '!A25,Data!$C:$C,'Delivery '!B25,Data!$D:$D,'Delivery '!D25)</f>
        <v>182450</v>
      </c>
      <c r="F25" s="46">
        <f>SUMIFS(Data!$L:$L,Data!$B:$B,'Delivery '!A25,Data!$C:$C,'Delivery '!B25,Data!$D:$D,'Delivery '!D25)</f>
        <v>177465</v>
      </c>
      <c r="G25" s="113">
        <f t="shared" si="0"/>
        <v>4985</v>
      </c>
      <c r="H25" s="10">
        <f t="shared" si="1"/>
        <v>0.97267744587558236</v>
      </c>
      <c r="I25" s="6">
        <f t="shared" si="2"/>
        <v>150115</v>
      </c>
      <c r="J25" s="113">
        <f>SUMIFS('Returns Data'!$J:$J,'Returns Data'!$B:$B,'Delivery '!A25,'Returns Data'!$E:$E,'Delivery '!B25)</f>
        <v>27350</v>
      </c>
      <c r="K25" s="10">
        <f t="shared" si="3"/>
        <v>0.82277336256508637</v>
      </c>
    </row>
    <row r="26" spans="1:11" x14ac:dyDescent="0.25">
      <c r="A26" s="5">
        <v>44616</v>
      </c>
      <c r="B26" s="5" t="s">
        <v>177</v>
      </c>
      <c r="C26" s="5" t="s">
        <v>545</v>
      </c>
      <c r="D26">
        <v>2022</v>
      </c>
      <c r="E26" s="46">
        <f>SUMIFS(Data!$J:$J,Data!$B:$B,'Delivery '!A26,Data!$C:$C,'Delivery '!B26,Data!$D:$D,'Delivery '!D26)</f>
        <v>179214</v>
      </c>
      <c r="F26" s="46">
        <f>SUMIFS(Data!$L:$L,Data!$B:$B,'Delivery '!A26,Data!$C:$C,'Delivery '!B26,Data!$D:$D,'Delivery '!D26)</f>
        <v>150219</v>
      </c>
      <c r="G26" s="113">
        <f t="shared" si="0"/>
        <v>28995</v>
      </c>
      <c r="H26" s="10">
        <f t="shared" si="1"/>
        <v>0.83821018447219531</v>
      </c>
      <c r="I26" s="6">
        <f t="shared" si="2"/>
        <v>150219</v>
      </c>
      <c r="J26" s="113">
        <f>SUMIFS('Returns Data'!$J:$J,'Returns Data'!$B:$B,'Delivery '!A26,'Returns Data'!$E:$E,'Delivery '!B26)</f>
        <v>0</v>
      </c>
      <c r="K26" s="10">
        <f t="shared" si="3"/>
        <v>0.83821018447219531</v>
      </c>
    </row>
    <row r="27" spans="1:11" x14ac:dyDescent="0.25">
      <c r="A27" s="5">
        <v>44617</v>
      </c>
      <c r="B27" s="5" t="s">
        <v>177</v>
      </c>
      <c r="C27" s="5" t="s">
        <v>545</v>
      </c>
      <c r="D27">
        <v>2022</v>
      </c>
      <c r="E27" s="46">
        <f>SUMIFS(Data!$J:$J,Data!$B:$B,'Delivery '!A27,Data!$C:$C,'Delivery '!B27,Data!$D:$D,'Delivery '!D27)</f>
        <v>142700</v>
      </c>
      <c r="F27" s="46">
        <f>SUMIFS(Data!$L:$L,Data!$B:$B,'Delivery '!A27,Data!$C:$C,'Delivery '!B27,Data!$D:$D,'Delivery '!D27)</f>
        <v>118970</v>
      </c>
      <c r="G27" s="113">
        <f t="shared" si="0"/>
        <v>23730</v>
      </c>
      <c r="H27" s="10">
        <f t="shared" si="1"/>
        <v>0.83370707778556408</v>
      </c>
      <c r="I27" s="6">
        <f t="shared" si="2"/>
        <v>118970</v>
      </c>
      <c r="J27" s="113">
        <f>SUMIFS('Returns Data'!$J:$J,'Returns Data'!$B:$B,'Delivery '!A27,'Returns Data'!$E:$E,'Delivery '!B27)</f>
        <v>0</v>
      </c>
      <c r="K27" s="10">
        <f t="shared" si="3"/>
        <v>0.83370707778556408</v>
      </c>
    </row>
    <row r="28" spans="1:11" x14ac:dyDescent="0.25">
      <c r="A28" s="5">
        <v>44618</v>
      </c>
      <c r="B28" s="5" t="s">
        <v>177</v>
      </c>
      <c r="C28" s="5" t="s">
        <v>545</v>
      </c>
      <c r="D28">
        <v>2022</v>
      </c>
      <c r="E28" s="46">
        <f>SUMIFS(Data!$J:$J,Data!$B:$B,'Delivery '!A28,Data!$C:$C,'Delivery '!B28,Data!$D:$D,'Delivery '!D28)</f>
        <v>192370</v>
      </c>
      <c r="F28" s="46">
        <f>SUMIFS(Data!$L:$L,Data!$B:$B,'Delivery '!A28,Data!$C:$C,'Delivery '!B28,Data!$D:$D,'Delivery '!D28)</f>
        <v>104165</v>
      </c>
      <c r="G28" s="113">
        <f t="shared" si="0"/>
        <v>88205</v>
      </c>
      <c r="H28" s="10">
        <f t="shared" si="1"/>
        <v>0.54148255965067316</v>
      </c>
      <c r="I28" s="6">
        <f t="shared" si="2"/>
        <v>104165</v>
      </c>
      <c r="J28" s="113">
        <f>SUMIFS('Returns Data'!$J:$J,'Returns Data'!$B:$B,'Delivery '!A28,'Returns Data'!$E:$E,'Delivery '!B28)</f>
        <v>0</v>
      </c>
      <c r="K28" s="10">
        <f t="shared" si="3"/>
        <v>0.54148255965067316</v>
      </c>
    </row>
    <row r="29" spans="1:11" x14ac:dyDescent="0.25">
      <c r="A29" s="5">
        <v>44619</v>
      </c>
      <c r="B29" s="5" t="s">
        <v>177</v>
      </c>
      <c r="C29" s="5" t="s">
        <v>545</v>
      </c>
      <c r="D29">
        <v>2022</v>
      </c>
      <c r="E29" s="46">
        <f>SUMIFS(Data!$J:$J,Data!$B:$B,'Delivery '!A29,Data!$C:$C,'Delivery '!B29,Data!$D:$D,'Delivery '!D29)</f>
        <v>22765</v>
      </c>
      <c r="F29" s="46">
        <f>SUMIFS(Data!$L:$L,Data!$B:$B,'Delivery '!A29,Data!$C:$C,'Delivery '!B29,Data!$D:$D,'Delivery '!D29)</f>
        <v>10260</v>
      </c>
      <c r="G29" s="113">
        <f t="shared" si="0"/>
        <v>12505</v>
      </c>
      <c r="H29" s="10">
        <f t="shared" si="1"/>
        <v>0.45069185152646607</v>
      </c>
      <c r="I29" s="6">
        <f t="shared" si="2"/>
        <v>10260</v>
      </c>
      <c r="J29" s="113">
        <f>SUMIFS('Returns Data'!$J:$J,'Returns Data'!$B:$B,'Delivery '!A29,'Returns Data'!$E:$E,'Delivery '!B29)</f>
        <v>0</v>
      </c>
      <c r="K29" s="10">
        <f t="shared" si="3"/>
        <v>0.45069185152646607</v>
      </c>
    </row>
    <row r="30" spans="1:11" x14ac:dyDescent="0.25">
      <c r="A30" s="5">
        <v>44620</v>
      </c>
      <c r="B30" s="5" t="s">
        <v>177</v>
      </c>
      <c r="C30" s="5" t="s">
        <v>545</v>
      </c>
      <c r="D30">
        <v>2022</v>
      </c>
      <c r="E30" s="46">
        <f>SUMIFS(Data!$J:$J,Data!$B:$B,'Delivery '!A30,Data!$C:$C,'Delivery '!B30,Data!$D:$D,'Delivery '!D30)</f>
        <v>135065</v>
      </c>
      <c r="F30" s="46">
        <f>SUMIFS(Data!$L:$L,Data!$B:$B,'Delivery '!A30,Data!$C:$C,'Delivery '!B30,Data!$D:$D,'Delivery '!D30)</f>
        <v>80665</v>
      </c>
      <c r="G30" s="113">
        <f t="shared" si="0"/>
        <v>54400</v>
      </c>
      <c r="H30" s="10">
        <f t="shared" si="1"/>
        <v>0.59723096286972943</v>
      </c>
      <c r="I30" s="6">
        <f t="shared" si="2"/>
        <v>71725</v>
      </c>
      <c r="J30" s="113">
        <f>SUMIFS('Returns Data'!$J:$J,'Returns Data'!$B:$B,'Delivery '!A30,'Returns Data'!$E:$E,'Delivery '!B30)</f>
        <v>8940</v>
      </c>
      <c r="K30" s="10">
        <f t="shared" si="3"/>
        <v>0.53104061007662973</v>
      </c>
    </row>
    <row r="31" spans="1:11" x14ac:dyDescent="0.25">
      <c r="H31" s="10" t="str">
        <f t="shared" si="1"/>
        <v/>
      </c>
      <c r="I31" s="6">
        <f t="shared" si="2"/>
        <v>0</v>
      </c>
      <c r="J31" s="113">
        <f>SUMIFS('Returns Data'!$J:$J,'Returns Data'!$B:$B,'Delivery '!A31,'Returns Data'!$E:$E,'Delivery '!B31)</f>
        <v>0</v>
      </c>
      <c r="K31" s="10" t="str">
        <f t="shared" si="3"/>
        <v/>
      </c>
    </row>
    <row r="32" spans="1:11" x14ac:dyDescent="0.25">
      <c r="H32" s="10" t="str">
        <f t="shared" si="1"/>
        <v/>
      </c>
      <c r="I32" s="6">
        <f t="shared" si="2"/>
        <v>0</v>
      </c>
      <c r="J32" s="113">
        <f>SUMIFS('Returns Data'!$J:$J,'Returns Data'!$B:$B,'Delivery '!A32,'Returns Data'!$E:$E,'Delivery '!B32)</f>
        <v>0</v>
      </c>
      <c r="K32" s="10" t="str">
        <f t="shared" si="3"/>
        <v/>
      </c>
    </row>
    <row r="33" spans="1:11" x14ac:dyDescent="0.25">
      <c r="H33" s="10" t="str">
        <f t="shared" si="1"/>
        <v/>
      </c>
      <c r="I33" s="6">
        <f t="shared" si="2"/>
        <v>0</v>
      </c>
      <c r="J33" s="113">
        <f>SUMIFS('Returns Data'!$J:$J,'Returns Data'!$B:$B,'Delivery '!A33,'Returns Data'!$E:$E,'Delivery '!B33)</f>
        <v>0</v>
      </c>
      <c r="K33" s="10" t="str">
        <f t="shared" si="3"/>
        <v/>
      </c>
    </row>
    <row r="34" spans="1:11" x14ac:dyDescent="0.25">
      <c r="A34" s="246" t="s">
        <v>572</v>
      </c>
      <c r="B34" s="246"/>
      <c r="C34" s="246"/>
      <c r="E34" s="129">
        <f>SUM(E3:E33)</f>
        <v>3466477</v>
      </c>
      <c r="F34" s="129">
        <f t="shared" ref="F34:G34" si="4">SUM(F3:F33)</f>
        <v>2083829</v>
      </c>
      <c r="G34" s="129">
        <f t="shared" si="4"/>
        <v>1382648</v>
      </c>
      <c r="H34" s="118">
        <f t="shared" si="1"/>
        <v>0.60113740838320862</v>
      </c>
      <c r="I34" s="129">
        <f>SUM(I3:I33)</f>
        <v>1912129</v>
      </c>
      <c r="J34" s="129">
        <f>SUM(J3:J33)</f>
        <v>171700</v>
      </c>
      <c r="K34" s="118">
        <f t="shared" si="3"/>
        <v>0.55160585228172576</v>
      </c>
    </row>
  </sheetData>
  <mergeCells count="1">
    <mergeCell ref="A34:C34"/>
  </mergeCells>
  <pageMargins left="0.7" right="0.7" top="0.75" bottom="0.75" header="0.3" footer="0.3"/>
  <pageSetup orientation="portrait" horizontalDpi="360" verticalDpi="360" r:id="rId1"/>
  <ignoredErrors>
    <ignoredError sqref="H34"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I32"/>
  <sheetViews>
    <sheetView zoomScale="73" zoomScaleNormal="73" workbookViewId="0">
      <selection activeCell="G25" sqref="G25"/>
    </sheetView>
  </sheetViews>
  <sheetFormatPr defaultRowHeight="15" x14ac:dyDescent="0.25"/>
  <cols>
    <col min="1" max="1" width="14.42578125" customWidth="1"/>
    <col min="2" max="2" width="20.140625" customWidth="1"/>
    <col min="4" max="4" width="79.5703125" customWidth="1"/>
    <col min="5" max="5" width="20.140625" bestFit="1" customWidth="1"/>
    <col min="7" max="7" width="58" bestFit="1" customWidth="1"/>
    <col min="8" max="8" width="11.5703125" bestFit="1" customWidth="1"/>
  </cols>
  <sheetData>
    <row r="2" spans="1:9" x14ac:dyDescent="0.25">
      <c r="D2" s="91" t="s">
        <v>223</v>
      </c>
      <c r="E2" t="s" vm="1">
        <v>777</v>
      </c>
    </row>
    <row r="3" spans="1:9" x14ac:dyDescent="0.25">
      <c r="A3" s="91" t="s">
        <v>541</v>
      </c>
      <c r="B3" t="s">
        <v>775</v>
      </c>
      <c r="D3" s="91" t="s">
        <v>178</v>
      </c>
      <c r="E3" t="s" vm="4">
        <v>777</v>
      </c>
    </row>
    <row r="4" spans="1:9" x14ac:dyDescent="0.25">
      <c r="A4" s="92" t="s">
        <v>222</v>
      </c>
      <c r="B4" s="102">
        <v>76750</v>
      </c>
    </row>
    <row r="5" spans="1:9" x14ac:dyDescent="0.25">
      <c r="A5" s="92" t="s">
        <v>397</v>
      </c>
      <c r="B5" s="102">
        <v>40330</v>
      </c>
      <c r="D5" s="91" t="s">
        <v>541</v>
      </c>
      <c r="E5" t="s">
        <v>775</v>
      </c>
    </row>
    <row r="6" spans="1:9" x14ac:dyDescent="0.25">
      <c r="A6" s="92" t="s">
        <v>545</v>
      </c>
      <c r="B6" s="102">
        <v>54620</v>
      </c>
      <c r="D6" s="92" t="s">
        <v>295</v>
      </c>
      <c r="E6" s="178">
        <v>0.46513166318125559</v>
      </c>
    </row>
    <row r="7" spans="1:9" x14ac:dyDescent="0.25">
      <c r="A7" s="92" t="s">
        <v>771</v>
      </c>
      <c r="B7" s="102">
        <v>27750</v>
      </c>
      <c r="D7" s="92" t="s">
        <v>780</v>
      </c>
      <c r="E7" s="178">
        <v>8.0747727369723868E-2</v>
      </c>
    </row>
    <row r="8" spans="1:9" x14ac:dyDescent="0.25">
      <c r="A8" s="92" t="s">
        <v>940</v>
      </c>
      <c r="B8" s="102">
        <v>24085</v>
      </c>
      <c r="D8" s="92" t="s">
        <v>778</v>
      </c>
      <c r="E8" s="178">
        <v>6.6642482181725068E-2</v>
      </c>
    </row>
    <row r="9" spans="1:9" x14ac:dyDescent="0.25">
      <c r="A9" s="92" t="s">
        <v>1080</v>
      </c>
      <c r="B9" s="102">
        <v>10775</v>
      </c>
      <c r="D9" s="92" t="s">
        <v>616</v>
      </c>
      <c r="E9" s="178">
        <v>6.6279714907601039E-2</v>
      </c>
    </row>
    <row r="10" spans="1:9" x14ac:dyDescent="0.25">
      <c r="A10" s="92" t="s">
        <v>407</v>
      </c>
      <c r="B10" s="102">
        <v>234310</v>
      </c>
      <c r="D10" s="92" t="s">
        <v>889</v>
      </c>
      <c r="E10" s="178">
        <v>5.6698391020443002E-2</v>
      </c>
      <c r="G10" s="43" t="s">
        <v>781</v>
      </c>
      <c r="H10" s="43" t="s">
        <v>296</v>
      </c>
      <c r="I10" s="42" t="s">
        <v>782</v>
      </c>
    </row>
    <row r="11" spans="1:9" x14ac:dyDescent="0.25">
      <c r="D11" s="92" t="s">
        <v>946</v>
      </c>
      <c r="E11" s="178">
        <v>4.3660108403397208E-2</v>
      </c>
      <c r="G11" s="92" t="s">
        <v>625</v>
      </c>
      <c r="H11" s="46">
        <v>59230</v>
      </c>
      <c r="I11" s="76">
        <f>H11/$H$18</f>
        <v>0.41623330990864371</v>
      </c>
    </row>
    <row r="12" spans="1:9" x14ac:dyDescent="0.25">
      <c r="D12" s="92" t="s">
        <v>830</v>
      </c>
      <c r="E12" s="178">
        <v>2.7783705347616407E-2</v>
      </c>
      <c r="G12" s="92" t="s">
        <v>295</v>
      </c>
      <c r="H12" s="46">
        <v>30375</v>
      </c>
      <c r="I12" s="76">
        <f t="shared" ref="I12:I18" si="0">H12/$H$18</f>
        <v>0.21345748418833452</v>
      </c>
    </row>
    <row r="13" spans="1:9" x14ac:dyDescent="0.25">
      <c r="D13" s="92" t="s">
        <v>892</v>
      </c>
      <c r="E13" s="178">
        <v>2.6332636251120312E-2</v>
      </c>
      <c r="G13" s="92" t="s">
        <v>780</v>
      </c>
      <c r="H13" s="46">
        <v>18920</v>
      </c>
      <c r="I13" s="76">
        <f t="shared" si="0"/>
        <v>0.13295853829936755</v>
      </c>
    </row>
    <row r="14" spans="1:9" x14ac:dyDescent="0.25">
      <c r="D14" s="92" t="s">
        <v>999</v>
      </c>
      <c r="E14" s="178">
        <v>2.3942640092185566E-2</v>
      </c>
      <c r="G14" s="92" t="s">
        <v>616</v>
      </c>
      <c r="H14" s="46">
        <v>15530</v>
      </c>
      <c r="I14" s="76">
        <f t="shared" si="0"/>
        <v>0.10913562895291637</v>
      </c>
    </row>
    <row r="15" spans="1:9" x14ac:dyDescent="0.25">
      <c r="D15" s="92" t="s">
        <v>891</v>
      </c>
      <c r="E15" s="178">
        <v>1.7156758140924416E-2</v>
      </c>
      <c r="G15" s="92" t="s">
        <v>776</v>
      </c>
      <c r="H15" s="46">
        <v>8460</v>
      </c>
      <c r="I15" s="76">
        <f t="shared" si="0"/>
        <v>5.945186226282502E-2</v>
      </c>
    </row>
    <row r="16" spans="1:9" x14ac:dyDescent="0.25">
      <c r="D16" s="92" t="s">
        <v>1000</v>
      </c>
      <c r="E16" s="178">
        <v>1.651658059835261E-2</v>
      </c>
      <c r="G16" s="92" t="s">
        <v>778</v>
      </c>
      <c r="H16" s="46">
        <v>7255</v>
      </c>
      <c r="I16" s="76">
        <f t="shared" si="0"/>
        <v>5.0983836964160222E-2</v>
      </c>
    </row>
    <row r="17" spans="4:9" x14ac:dyDescent="0.25">
      <c r="D17" s="92" t="s">
        <v>1012</v>
      </c>
      <c r="E17" s="178">
        <v>1.3571763902522299E-2</v>
      </c>
      <c r="G17" s="92" t="s">
        <v>779</v>
      </c>
      <c r="H17" s="46">
        <v>2530</v>
      </c>
      <c r="I17" s="76">
        <f t="shared" si="0"/>
        <v>1.7779339423752635E-2</v>
      </c>
    </row>
    <row r="18" spans="4:9" x14ac:dyDescent="0.25">
      <c r="D18" s="92" t="s">
        <v>1120</v>
      </c>
      <c r="E18" s="178">
        <v>1.1779266783321241E-2</v>
      </c>
      <c r="G18" s="150" t="s">
        <v>543</v>
      </c>
      <c r="H18" s="73">
        <f>SUM(H11:H17)</f>
        <v>142300</v>
      </c>
      <c r="I18" s="151">
        <f t="shared" si="0"/>
        <v>1</v>
      </c>
    </row>
    <row r="19" spans="4:9" x14ac:dyDescent="0.25">
      <c r="D19" s="92" t="s">
        <v>1016</v>
      </c>
      <c r="E19" s="178">
        <v>1.0883018223720712E-2</v>
      </c>
    </row>
    <row r="20" spans="4:9" x14ac:dyDescent="0.25">
      <c r="D20" s="92" t="s">
        <v>1001</v>
      </c>
      <c r="E20" s="178">
        <v>1.0883018223720712E-2</v>
      </c>
    </row>
    <row r="21" spans="4:9" x14ac:dyDescent="0.25">
      <c r="D21" s="92" t="s">
        <v>779</v>
      </c>
      <c r="E21" s="178">
        <v>1.0797661218044471E-2</v>
      </c>
    </row>
    <row r="22" spans="4:9" x14ac:dyDescent="0.25">
      <c r="D22" s="92" t="s">
        <v>1002</v>
      </c>
      <c r="E22" s="178">
        <v>1.0584268703853868E-2</v>
      </c>
    </row>
    <row r="23" spans="4:9" x14ac:dyDescent="0.25">
      <c r="D23" s="92" t="s">
        <v>1013</v>
      </c>
      <c r="E23" s="178">
        <v>7.682130510861679E-3</v>
      </c>
    </row>
    <row r="24" spans="4:9" x14ac:dyDescent="0.25">
      <c r="D24" s="92" t="s">
        <v>1118</v>
      </c>
      <c r="E24" s="178">
        <v>6.0176689001749818E-3</v>
      </c>
    </row>
    <row r="25" spans="4:9" x14ac:dyDescent="0.25">
      <c r="D25" s="92" t="s">
        <v>996</v>
      </c>
      <c r="E25" s="178">
        <v>5.9323118944987407E-3</v>
      </c>
    </row>
    <row r="26" spans="4:9" x14ac:dyDescent="0.25">
      <c r="D26" s="92" t="s">
        <v>1117</v>
      </c>
      <c r="E26" s="178">
        <v>5.2921343519269342E-3</v>
      </c>
    </row>
    <row r="27" spans="4:9" x14ac:dyDescent="0.25">
      <c r="D27" s="92" t="s">
        <v>890</v>
      </c>
      <c r="E27" s="178">
        <v>5.121420340574453E-3</v>
      </c>
    </row>
    <row r="28" spans="4:9" x14ac:dyDescent="0.25">
      <c r="D28" s="92" t="s">
        <v>1098</v>
      </c>
      <c r="E28" s="178">
        <v>4.6092783065170076E-3</v>
      </c>
    </row>
    <row r="29" spans="4:9" x14ac:dyDescent="0.25">
      <c r="D29" s="92" t="s">
        <v>1101</v>
      </c>
      <c r="E29" s="178">
        <v>2.6674064273825276E-3</v>
      </c>
    </row>
    <row r="30" spans="4:9" x14ac:dyDescent="0.25">
      <c r="D30" s="92" t="s">
        <v>944</v>
      </c>
      <c r="E30" s="178">
        <v>2.3899961589347444E-3</v>
      </c>
    </row>
    <row r="31" spans="4:9" x14ac:dyDescent="0.25">
      <c r="D31" s="92" t="s">
        <v>997</v>
      </c>
      <c r="E31" s="178">
        <v>8.9624855960052921E-4</v>
      </c>
    </row>
    <row r="32" spans="4:9" x14ac:dyDescent="0.25">
      <c r="D32" s="92" t="s">
        <v>407</v>
      </c>
      <c r="E32" s="178">
        <v>1</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K275"/>
  <sheetViews>
    <sheetView topLeftCell="A156" zoomScale="78" zoomScaleNormal="78" workbookViewId="0">
      <selection activeCell="H177" sqref="H177"/>
    </sheetView>
  </sheetViews>
  <sheetFormatPr defaultRowHeight="15" x14ac:dyDescent="0.25"/>
  <cols>
    <col min="2" max="2" width="12.5703125" customWidth="1"/>
    <col min="3" max="4" width="14.85546875" customWidth="1"/>
    <col min="5" max="6" width="13.7109375" customWidth="1"/>
    <col min="7" max="7" width="15.85546875" bestFit="1" customWidth="1"/>
    <col min="8" max="8" width="30.85546875" customWidth="1"/>
    <col min="9" max="9" width="12.140625" customWidth="1"/>
    <col min="10" max="10" width="18.7109375" style="46" customWidth="1"/>
    <col min="11" max="11" width="51.85546875" bestFit="1" customWidth="1"/>
  </cols>
  <sheetData>
    <row r="1" spans="2:11" x14ac:dyDescent="0.25">
      <c r="J1" s="148"/>
    </row>
    <row r="2" spans="2:11" x14ac:dyDescent="0.25">
      <c r="J2" s="148"/>
    </row>
    <row r="3" spans="2:11" x14ac:dyDescent="0.25">
      <c r="B3" s="2" t="s">
        <v>624</v>
      </c>
      <c r="C3" s="2" t="s">
        <v>627</v>
      </c>
      <c r="D3" s="2" t="s">
        <v>179</v>
      </c>
      <c r="E3" s="2" t="s">
        <v>178</v>
      </c>
      <c r="F3" s="2" t="s">
        <v>223</v>
      </c>
      <c r="G3" s="2" t="s">
        <v>174</v>
      </c>
      <c r="H3" s="2" t="s">
        <v>618</v>
      </c>
      <c r="I3" s="2" t="s">
        <v>619</v>
      </c>
      <c r="J3" s="149" t="s">
        <v>772</v>
      </c>
      <c r="K3" s="2" t="s">
        <v>620</v>
      </c>
    </row>
    <row r="4" spans="2:11" x14ac:dyDescent="0.25">
      <c r="B4" s="5">
        <v>44599</v>
      </c>
      <c r="C4" s="5">
        <v>44600</v>
      </c>
      <c r="D4" s="102">
        <v>2022</v>
      </c>
      <c r="E4" s="5" t="s">
        <v>177</v>
      </c>
      <c r="F4" t="s">
        <v>222</v>
      </c>
      <c r="H4" t="s">
        <v>630</v>
      </c>
      <c r="I4">
        <v>1</v>
      </c>
      <c r="J4" s="46">
        <v>260</v>
      </c>
      <c r="K4" t="s">
        <v>295</v>
      </c>
    </row>
    <row r="5" spans="2:11" x14ac:dyDescent="0.25">
      <c r="B5" s="5">
        <v>44599</v>
      </c>
      <c r="C5" s="5">
        <v>44600</v>
      </c>
      <c r="D5" s="102">
        <v>2022</v>
      </c>
      <c r="E5" s="5" t="s">
        <v>177</v>
      </c>
      <c r="F5" t="s">
        <v>222</v>
      </c>
      <c r="H5" t="s">
        <v>631</v>
      </c>
      <c r="I5">
        <v>2</v>
      </c>
      <c r="J5" s="46">
        <v>1100</v>
      </c>
      <c r="K5" t="s">
        <v>295</v>
      </c>
    </row>
    <row r="6" spans="2:11" x14ac:dyDescent="0.25">
      <c r="B6" s="5">
        <v>44599</v>
      </c>
      <c r="C6" s="5">
        <v>44600</v>
      </c>
      <c r="D6" s="102">
        <v>2022</v>
      </c>
      <c r="E6" s="5" t="s">
        <v>177</v>
      </c>
      <c r="F6" t="s">
        <v>222</v>
      </c>
      <c r="H6" t="s">
        <v>773</v>
      </c>
      <c r="I6">
        <v>5</v>
      </c>
      <c r="J6" s="46">
        <v>2750</v>
      </c>
      <c r="K6" t="s">
        <v>295</v>
      </c>
    </row>
    <row r="7" spans="2:11" x14ac:dyDescent="0.25">
      <c r="B7" s="5">
        <v>44599</v>
      </c>
      <c r="C7" s="5">
        <v>44600</v>
      </c>
      <c r="D7" s="102">
        <v>2022</v>
      </c>
      <c r="E7" s="5" t="s">
        <v>177</v>
      </c>
      <c r="F7" t="s">
        <v>222</v>
      </c>
      <c r="H7" t="s">
        <v>632</v>
      </c>
      <c r="I7">
        <v>2</v>
      </c>
      <c r="J7" s="46">
        <v>1200</v>
      </c>
      <c r="K7" t="s">
        <v>295</v>
      </c>
    </row>
    <row r="8" spans="2:11" x14ac:dyDescent="0.25">
      <c r="B8" s="5">
        <v>44600</v>
      </c>
      <c r="C8" s="5">
        <v>44601</v>
      </c>
      <c r="D8" s="102">
        <v>2022</v>
      </c>
      <c r="E8" s="5" t="s">
        <v>177</v>
      </c>
      <c r="F8" t="s">
        <v>222</v>
      </c>
      <c r="H8" t="s">
        <v>259</v>
      </c>
      <c r="I8" s="75">
        <v>17</v>
      </c>
      <c r="J8" s="46">
        <v>39950</v>
      </c>
      <c r="K8" t="s">
        <v>295</v>
      </c>
    </row>
    <row r="9" spans="2:11" x14ac:dyDescent="0.25">
      <c r="B9" s="5">
        <v>44600</v>
      </c>
      <c r="C9" s="5">
        <v>44601</v>
      </c>
      <c r="D9" s="102">
        <v>2022</v>
      </c>
      <c r="E9" s="5" t="s">
        <v>177</v>
      </c>
      <c r="F9" t="s">
        <v>222</v>
      </c>
      <c r="H9" t="s">
        <v>299</v>
      </c>
      <c r="I9" s="75">
        <v>7</v>
      </c>
      <c r="J9" s="46">
        <v>17150</v>
      </c>
      <c r="K9" t="s">
        <v>295</v>
      </c>
    </row>
    <row r="10" spans="2:11" x14ac:dyDescent="0.25">
      <c r="B10" s="5">
        <v>44600</v>
      </c>
      <c r="C10" s="5">
        <v>44601</v>
      </c>
      <c r="D10" s="102">
        <v>2022</v>
      </c>
      <c r="E10" s="5" t="s">
        <v>177</v>
      </c>
      <c r="F10" t="s">
        <v>222</v>
      </c>
      <c r="H10" t="s">
        <v>298</v>
      </c>
      <c r="I10" s="75">
        <v>2</v>
      </c>
      <c r="J10" s="46">
        <v>2780</v>
      </c>
      <c r="K10" t="s">
        <v>295</v>
      </c>
    </row>
    <row r="11" spans="2:11" x14ac:dyDescent="0.25">
      <c r="B11" s="5">
        <v>44600</v>
      </c>
      <c r="C11" s="5">
        <v>44601</v>
      </c>
      <c r="D11" s="102">
        <v>2022</v>
      </c>
      <c r="E11" s="5" t="s">
        <v>177</v>
      </c>
      <c r="F11" t="s">
        <v>222</v>
      </c>
      <c r="H11" t="s">
        <v>297</v>
      </c>
      <c r="I11" s="75">
        <v>1</v>
      </c>
      <c r="J11" s="46">
        <v>1080</v>
      </c>
    </row>
    <row r="12" spans="2:11" x14ac:dyDescent="0.25">
      <c r="B12" s="5">
        <v>44600</v>
      </c>
      <c r="C12" s="5">
        <v>44601</v>
      </c>
      <c r="D12" s="102">
        <v>2022</v>
      </c>
      <c r="E12" s="5" t="s">
        <v>177</v>
      </c>
      <c r="F12" t="s">
        <v>222</v>
      </c>
      <c r="H12" t="s">
        <v>623</v>
      </c>
      <c r="I12" s="75">
        <v>2</v>
      </c>
    </row>
    <row r="13" spans="2:11" x14ac:dyDescent="0.25">
      <c r="B13" s="5">
        <v>44601</v>
      </c>
      <c r="C13" s="5">
        <v>44602</v>
      </c>
      <c r="D13" s="102">
        <v>2022</v>
      </c>
      <c r="E13" s="5" t="s">
        <v>177</v>
      </c>
      <c r="F13" t="s">
        <v>222</v>
      </c>
      <c r="G13" t="s">
        <v>22</v>
      </c>
      <c r="H13" t="s">
        <v>2</v>
      </c>
    </row>
    <row r="14" spans="2:11" x14ac:dyDescent="0.25">
      <c r="B14" s="5">
        <v>44601</v>
      </c>
      <c r="C14" s="5">
        <v>44602</v>
      </c>
      <c r="D14" s="102">
        <v>2022</v>
      </c>
      <c r="E14" s="5" t="s">
        <v>177</v>
      </c>
      <c r="F14" t="s">
        <v>222</v>
      </c>
      <c r="G14" t="s">
        <v>22</v>
      </c>
      <c r="H14" t="s">
        <v>635</v>
      </c>
      <c r="K14" t="s">
        <v>780</v>
      </c>
    </row>
    <row r="15" spans="2:11" x14ac:dyDescent="0.25">
      <c r="B15" s="5">
        <v>44601</v>
      </c>
      <c r="C15" s="5">
        <v>44602</v>
      </c>
      <c r="D15" s="102">
        <v>2022</v>
      </c>
      <c r="E15" s="5" t="s">
        <v>177</v>
      </c>
      <c r="F15" t="s">
        <v>222</v>
      </c>
      <c r="G15" t="s">
        <v>11</v>
      </c>
      <c r="H15" t="s">
        <v>636</v>
      </c>
      <c r="K15" t="s">
        <v>295</v>
      </c>
    </row>
    <row r="16" spans="2:11" x14ac:dyDescent="0.25">
      <c r="B16" s="5">
        <v>44601</v>
      </c>
      <c r="C16" s="5">
        <v>44602</v>
      </c>
      <c r="D16" s="102">
        <v>2022</v>
      </c>
      <c r="E16" s="5" t="s">
        <v>177</v>
      </c>
      <c r="F16" t="s">
        <v>222</v>
      </c>
      <c r="G16" t="s">
        <v>11</v>
      </c>
      <c r="H16" t="s">
        <v>637</v>
      </c>
    </row>
    <row r="17" spans="2:11" x14ac:dyDescent="0.25">
      <c r="B17" s="5">
        <v>44601</v>
      </c>
      <c r="C17" s="5">
        <v>44602</v>
      </c>
      <c r="D17" s="102">
        <v>2022</v>
      </c>
      <c r="E17" s="5" t="s">
        <v>177</v>
      </c>
      <c r="F17" t="s">
        <v>222</v>
      </c>
      <c r="G17" t="s">
        <v>11</v>
      </c>
      <c r="H17" t="s">
        <v>638</v>
      </c>
    </row>
    <row r="18" spans="2:11" x14ac:dyDescent="0.25">
      <c r="B18" s="5">
        <v>44601</v>
      </c>
      <c r="C18" s="5">
        <v>44602</v>
      </c>
      <c r="D18" s="102">
        <v>2022</v>
      </c>
      <c r="E18" s="5" t="s">
        <v>177</v>
      </c>
      <c r="F18" t="s">
        <v>222</v>
      </c>
      <c r="G18" t="s">
        <v>111</v>
      </c>
      <c r="H18" t="s">
        <v>639</v>
      </c>
      <c r="I18">
        <v>3</v>
      </c>
      <c r="K18" t="s">
        <v>780</v>
      </c>
    </row>
    <row r="19" spans="2:11" x14ac:dyDescent="0.25">
      <c r="B19" s="5">
        <v>44601</v>
      </c>
      <c r="C19" s="5">
        <v>44602</v>
      </c>
      <c r="D19" s="102">
        <v>2022</v>
      </c>
      <c r="E19" s="5" t="s">
        <v>177</v>
      </c>
      <c r="F19" t="s">
        <v>222</v>
      </c>
      <c r="G19" t="s">
        <v>111</v>
      </c>
      <c r="H19" t="s">
        <v>640</v>
      </c>
    </row>
    <row r="20" spans="2:11" x14ac:dyDescent="0.25">
      <c r="B20" s="5">
        <v>44601</v>
      </c>
      <c r="C20" s="5">
        <v>44602</v>
      </c>
      <c r="D20" s="102">
        <v>2022</v>
      </c>
      <c r="E20" s="5" t="s">
        <v>177</v>
      </c>
      <c r="F20" t="s">
        <v>222</v>
      </c>
      <c r="G20" t="s">
        <v>111</v>
      </c>
      <c r="H20" t="s">
        <v>641</v>
      </c>
    </row>
    <row r="21" spans="2:11" x14ac:dyDescent="0.25">
      <c r="B21" s="5">
        <v>44601</v>
      </c>
      <c r="C21" s="5">
        <v>44602</v>
      </c>
      <c r="D21" s="102">
        <v>2022</v>
      </c>
      <c r="E21" s="5" t="s">
        <v>177</v>
      </c>
      <c r="F21" t="s">
        <v>222</v>
      </c>
      <c r="G21" t="s">
        <v>11</v>
      </c>
      <c r="H21" t="s">
        <v>642</v>
      </c>
      <c r="K21" t="s">
        <v>295</v>
      </c>
    </row>
    <row r="22" spans="2:11" x14ac:dyDescent="0.25">
      <c r="B22" s="5">
        <v>44601</v>
      </c>
      <c r="C22" s="5">
        <v>44602</v>
      </c>
      <c r="D22" s="102">
        <v>2022</v>
      </c>
      <c r="E22" s="5" t="s">
        <v>177</v>
      </c>
      <c r="F22" t="s">
        <v>222</v>
      </c>
      <c r="G22" t="s">
        <v>11</v>
      </c>
      <c r="H22" t="s">
        <v>643</v>
      </c>
      <c r="K22" t="s">
        <v>295</v>
      </c>
    </row>
    <row r="23" spans="2:11" x14ac:dyDescent="0.25">
      <c r="B23" s="5">
        <v>44601</v>
      </c>
      <c r="C23" s="5">
        <v>44602</v>
      </c>
      <c r="D23" s="102">
        <v>2022</v>
      </c>
      <c r="E23" s="5" t="s">
        <v>177</v>
      </c>
      <c r="F23" t="s">
        <v>222</v>
      </c>
      <c r="G23" t="s">
        <v>11</v>
      </c>
      <c r="H23" t="s">
        <v>644</v>
      </c>
      <c r="K23" t="s">
        <v>295</v>
      </c>
    </row>
    <row r="24" spans="2:11" x14ac:dyDescent="0.25">
      <c r="B24" s="5">
        <v>44601</v>
      </c>
      <c r="C24" s="5">
        <v>44602</v>
      </c>
      <c r="D24" s="102">
        <v>2022</v>
      </c>
      <c r="E24" s="5" t="s">
        <v>177</v>
      </c>
      <c r="F24" t="s">
        <v>222</v>
      </c>
      <c r="G24" t="s">
        <v>11</v>
      </c>
      <c r="H24" t="s">
        <v>645</v>
      </c>
      <c r="K24" t="s">
        <v>295</v>
      </c>
    </row>
    <row r="25" spans="2:11" x14ac:dyDescent="0.25">
      <c r="B25" s="5">
        <v>44601</v>
      </c>
      <c r="C25" s="5">
        <v>44602</v>
      </c>
      <c r="D25" s="102">
        <v>2022</v>
      </c>
      <c r="E25" s="5" t="s">
        <v>177</v>
      </c>
      <c r="F25" t="s">
        <v>222</v>
      </c>
      <c r="G25" t="s">
        <v>11</v>
      </c>
      <c r="H25" t="s">
        <v>646</v>
      </c>
      <c r="K25" t="s">
        <v>295</v>
      </c>
    </row>
    <row r="26" spans="2:11" x14ac:dyDescent="0.25">
      <c r="B26" s="5">
        <v>44602</v>
      </c>
      <c r="C26" s="5">
        <v>44603</v>
      </c>
      <c r="D26" s="102">
        <v>2022</v>
      </c>
      <c r="E26" s="5" t="s">
        <v>177</v>
      </c>
      <c r="F26" t="s">
        <v>222</v>
      </c>
      <c r="H26" t="s">
        <v>647</v>
      </c>
    </row>
    <row r="27" spans="2:11" x14ac:dyDescent="0.25">
      <c r="B27" s="5">
        <v>44602</v>
      </c>
      <c r="C27" s="5">
        <v>44603</v>
      </c>
      <c r="D27" s="102">
        <v>2022</v>
      </c>
      <c r="E27" s="5" t="s">
        <v>177</v>
      </c>
      <c r="F27" t="s">
        <v>222</v>
      </c>
      <c r="H27" t="s">
        <v>648</v>
      </c>
    </row>
    <row r="28" spans="2:11" x14ac:dyDescent="0.25">
      <c r="B28" s="5">
        <v>44602</v>
      </c>
      <c r="C28" s="5">
        <v>44603</v>
      </c>
      <c r="D28" s="102">
        <v>2022</v>
      </c>
      <c r="E28" s="5" t="s">
        <v>177</v>
      </c>
      <c r="F28" t="s">
        <v>222</v>
      </c>
      <c r="H28" t="s">
        <v>6</v>
      </c>
    </row>
    <row r="29" spans="2:11" x14ac:dyDescent="0.25">
      <c r="B29" s="5">
        <v>44602</v>
      </c>
      <c r="C29" s="5">
        <v>44603</v>
      </c>
      <c r="D29" s="102">
        <v>2022</v>
      </c>
      <c r="E29" s="5" t="s">
        <v>177</v>
      </c>
      <c r="F29" t="s">
        <v>222</v>
      </c>
      <c r="H29" t="s">
        <v>638</v>
      </c>
    </row>
    <row r="30" spans="2:11" x14ac:dyDescent="0.25">
      <c r="B30" s="5">
        <v>44602</v>
      </c>
      <c r="C30" s="5">
        <v>44603</v>
      </c>
      <c r="D30" s="102">
        <v>2022</v>
      </c>
      <c r="E30" s="5" t="s">
        <v>177</v>
      </c>
      <c r="F30" t="s">
        <v>222</v>
      </c>
      <c r="H30" t="s">
        <v>649</v>
      </c>
    </row>
    <row r="31" spans="2:11" x14ac:dyDescent="0.25">
      <c r="B31" s="5">
        <v>44602</v>
      </c>
      <c r="C31" s="5">
        <v>44603</v>
      </c>
      <c r="D31" s="102">
        <v>2022</v>
      </c>
      <c r="E31" s="5" t="s">
        <v>177</v>
      </c>
      <c r="F31" t="s">
        <v>222</v>
      </c>
      <c r="H31" t="s">
        <v>596</v>
      </c>
    </row>
    <row r="32" spans="2:11" x14ac:dyDescent="0.25">
      <c r="B32" s="5">
        <v>44603</v>
      </c>
      <c r="C32" s="5">
        <v>44604</v>
      </c>
      <c r="D32" s="102">
        <v>2022</v>
      </c>
      <c r="E32" s="5" t="s">
        <v>177</v>
      </c>
      <c r="F32" t="s">
        <v>222</v>
      </c>
      <c r="G32" t="s">
        <v>16</v>
      </c>
      <c r="H32" t="s">
        <v>374</v>
      </c>
      <c r="I32" s="75">
        <v>3</v>
      </c>
      <c r="J32" s="46">
        <v>9930</v>
      </c>
      <c r="K32" t="s">
        <v>295</v>
      </c>
    </row>
    <row r="33" spans="2:11" x14ac:dyDescent="0.25">
      <c r="B33" s="5">
        <v>44603</v>
      </c>
      <c r="C33" s="5">
        <v>44604</v>
      </c>
      <c r="D33" s="102">
        <v>2022</v>
      </c>
      <c r="E33" s="5" t="s">
        <v>177</v>
      </c>
      <c r="F33" t="s">
        <v>222</v>
      </c>
      <c r="G33" t="s">
        <v>16</v>
      </c>
      <c r="H33" t="s">
        <v>375</v>
      </c>
      <c r="I33" s="75">
        <v>1</v>
      </c>
      <c r="J33" s="46">
        <v>550</v>
      </c>
      <c r="K33" t="s">
        <v>295</v>
      </c>
    </row>
    <row r="34" spans="2:11" x14ac:dyDescent="0.25">
      <c r="B34" s="5">
        <v>44604</v>
      </c>
      <c r="C34" s="5">
        <v>44606</v>
      </c>
      <c r="D34" s="102">
        <v>2022</v>
      </c>
      <c r="E34" s="5" t="s">
        <v>177</v>
      </c>
      <c r="F34" t="s">
        <v>397</v>
      </c>
      <c r="G34" t="s">
        <v>22</v>
      </c>
      <c r="H34" t="s">
        <v>774</v>
      </c>
      <c r="I34" s="75">
        <v>1</v>
      </c>
      <c r="J34" s="46">
        <v>310</v>
      </c>
      <c r="K34" t="s">
        <v>295</v>
      </c>
    </row>
    <row r="35" spans="2:11" x14ac:dyDescent="0.25">
      <c r="B35" s="5">
        <v>44604</v>
      </c>
      <c r="C35" s="5">
        <v>44606</v>
      </c>
      <c r="D35" s="102">
        <v>2022</v>
      </c>
      <c r="E35" s="5" t="s">
        <v>177</v>
      </c>
      <c r="F35" t="s">
        <v>397</v>
      </c>
      <c r="G35" t="s">
        <v>22</v>
      </c>
      <c r="H35" t="s">
        <v>379</v>
      </c>
      <c r="I35" t="s">
        <v>628</v>
      </c>
      <c r="J35" s="46">
        <v>3310</v>
      </c>
      <c r="K35" t="s">
        <v>295</v>
      </c>
    </row>
    <row r="36" spans="2:11" x14ac:dyDescent="0.25">
      <c r="B36" s="5">
        <v>44604</v>
      </c>
      <c r="C36" s="5">
        <v>44606</v>
      </c>
      <c r="D36" s="102">
        <v>2022</v>
      </c>
      <c r="E36" s="5" t="s">
        <v>177</v>
      </c>
      <c r="F36" t="s">
        <v>397</v>
      </c>
      <c r="G36" t="s">
        <v>22</v>
      </c>
      <c r="H36" t="s">
        <v>349</v>
      </c>
      <c r="I36" t="s">
        <v>629</v>
      </c>
      <c r="J36" s="46">
        <v>1840</v>
      </c>
      <c r="K36" t="s">
        <v>295</v>
      </c>
    </row>
    <row r="37" spans="2:11" x14ac:dyDescent="0.25">
      <c r="B37" s="5">
        <v>44604</v>
      </c>
      <c r="C37" s="5">
        <v>44606</v>
      </c>
      <c r="D37" s="102">
        <v>2022</v>
      </c>
      <c r="E37" s="5" t="s">
        <v>177</v>
      </c>
      <c r="F37" t="s">
        <v>397</v>
      </c>
      <c r="G37" t="s">
        <v>111</v>
      </c>
      <c r="H37" t="s">
        <v>349</v>
      </c>
      <c r="I37" t="s">
        <v>626</v>
      </c>
      <c r="J37" s="46">
        <v>920</v>
      </c>
      <c r="K37" t="s">
        <v>295</v>
      </c>
    </row>
    <row r="38" spans="2:11" x14ac:dyDescent="0.25">
      <c r="B38" s="5">
        <v>44604</v>
      </c>
      <c r="C38" s="5">
        <v>44606</v>
      </c>
      <c r="D38" s="102">
        <v>2022</v>
      </c>
      <c r="E38" s="5" t="s">
        <v>177</v>
      </c>
      <c r="F38" t="s">
        <v>397</v>
      </c>
      <c r="H38" t="s">
        <v>650</v>
      </c>
      <c r="I38">
        <v>9</v>
      </c>
    </row>
    <row r="39" spans="2:11" x14ac:dyDescent="0.25">
      <c r="B39" s="5">
        <v>44604</v>
      </c>
      <c r="C39" s="5">
        <v>44606</v>
      </c>
      <c r="D39" s="102">
        <v>2022</v>
      </c>
      <c r="E39" s="5" t="s">
        <v>177</v>
      </c>
      <c r="F39" t="s">
        <v>397</v>
      </c>
      <c r="H39" t="s">
        <v>633</v>
      </c>
      <c r="I39" t="s">
        <v>651</v>
      </c>
    </row>
    <row r="40" spans="2:11" x14ac:dyDescent="0.25">
      <c r="B40" s="5">
        <v>44604</v>
      </c>
      <c r="C40" s="5">
        <v>44606</v>
      </c>
      <c r="D40" s="102">
        <v>2022</v>
      </c>
      <c r="E40" s="5" t="s">
        <v>177</v>
      </c>
      <c r="F40" t="s">
        <v>397</v>
      </c>
      <c r="H40" t="s">
        <v>652</v>
      </c>
      <c r="I40">
        <v>1</v>
      </c>
    </row>
    <row r="41" spans="2:11" x14ac:dyDescent="0.25">
      <c r="B41" s="5">
        <v>44604</v>
      </c>
      <c r="C41" s="5">
        <v>44606</v>
      </c>
      <c r="D41" s="102">
        <v>2022</v>
      </c>
      <c r="E41" s="5" t="s">
        <v>177</v>
      </c>
      <c r="F41" t="s">
        <v>397</v>
      </c>
      <c r="H41" t="s">
        <v>638</v>
      </c>
      <c r="I41" t="s">
        <v>653</v>
      </c>
    </row>
    <row r="42" spans="2:11" x14ac:dyDescent="0.25">
      <c r="B42" s="5">
        <v>44604</v>
      </c>
      <c r="C42" s="5">
        <v>44606</v>
      </c>
      <c r="D42" s="102">
        <v>2022</v>
      </c>
      <c r="E42" s="5" t="s">
        <v>177</v>
      </c>
      <c r="F42" t="s">
        <v>397</v>
      </c>
      <c r="H42" t="s">
        <v>654</v>
      </c>
      <c r="I42">
        <v>1</v>
      </c>
    </row>
    <row r="43" spans="2:11" x14ac:dyDescent="0.25">
      <c r="B43" s="5">
        <v>44604</v>
      </c>
      <c r="C43" s="5">
        <v>44606</v>
      </c>
      <c r="D43" s="102">
        <v>2022</v>
      </c>
      <c r="E43" s="5" t="s">
        <v>177</v>
      </c>
      <c r="F43" t="s">
        <v>397</v>
      </c>
      <c r="H43" t="s">
        <v>655</v>
      </c>
      <c r="I43">
        <v>1</v>
      </c>
    </row>
    <row r="44" spans="2:11" x14ac:dyDescent="0.25">
      <c r="B44" s="5">
        <v>44604</v>
      </c>
      <c r="C44" s="5">
        <v>44606</v>
      </c>
      <c r="D44" s="102">
        <v>2022</v>
      </c>
      <c r="E44" s="5" t="s">
        <v>177</v>
      </c>
      <c r="F44" t="s">
        <v>397</v>
      </c>
      <c r="H44" t="s">
        <v>656</v>
      </c>
      <c r="I44">
        <v>1</v>
      </c>
    </row>
    <row r="45" spans="2:11" x14ac:dyDescent="0.25">
      <c r="B45" s="5">
        <v>44606</v>
      </c>
      <c r="C45" s="5">
        <v>44607</v>
      </c>
      <c r="D45" s="102">
        <v>2022</v>
      </c>
      <c r="E45" s="5" t="s">
        <v>177</v>
      </c>
      <c r="F45" t="s">
        <v>397</v>
      </c>
      <c r="G45" t="s">
        <v>22</v>
      </c>
      <c r="H45" t="s">
        <v>349</v>
      </c>
      <c r="I45" t="s">
        <v>626</v>
      </c>
      <c r="J45" s="46">
        <v>920</v>
      </c>
      <c r="K45" t="s">
        <v>295</v>
      </c>
    </row>
    <row r="46" spans="2:11" x14ac:dyDescent="0.25">
      <c r="B46" s="5">
        <v>44606</v>
      </c>
      <c r="C46" s="5">
        <v>44607</v>
      </c>
      <c r="D46" s="102">
        <v>2022</v>
      </c>
      <c r="E46" s="5" t="s">
        <v>177</v>
      </c>
      <c r="F46" t="s">
        <v>397</v>
      </c>
      <c r="H46" t="s">
        <v>657</v>
      </c>
      <c r="I46">
        <v>1</v>
      </c>
    </row>
    <row r="47" spans="2:11" x14ac:dyDescent="0.25">
      <c r="B47" s="5">
        <v>44606</v>
      </c>
      <c r="C47" s="5">
        <v>44607</v>
      </c>
      <c r="D47" s="102">
        <v>2022</v>
      </c>
      <c r="E47" s="5" t="s">
        <v>177</v>
      </c>
      <c r="F47" t="s">
        <v>397</v>
      </c>
      <c r="H47" t="s">
        <v>621</v>
      </c>
      <c r="I47">
        <v>1</v>
      </c>
    </row>
    <row r="48" spans="2:11" x14ac:dyDescent="0.25">
      <c r="B48" s="5">
        <v>44606</v>
      </c>
      <c r="C48" s="5">
        <v>44607</v>
      </c>
      <c r="D48" s="102">
        <v>2022</v>
      </c>
      <c r="E48" s="5" t="s">
        <v>177</v>
      </c>
      <c r="F48" t="s">
        <v>397</v>
      </c>
      <c r="H48" t="s">
        <v>650</v>
      </c>
      <c r="I48">
        <v>1</v>
      </c>
    </row>
    <row r="49" spans="2:11" x14ac:dyDescent="0.25">
      <c r="B49" s="5">
        <v>44606</v>
      </c>
      <c r="C49" s="5">
        <v>44607</v>
      </c>
      <c r="D49" s="102">
        <v>2022</v>
      </c>
      <c r="E49" s="5" t="s">
        <v>177</v>
      </c>
      <c r="F49" t="s">
        <v>397</v>
      </c>
      <c r="H49" t="s">
        <v>654</v>
      </c>
      <c r="I49">
        <v>1</v>
      </c>
    </row>
    <row r="50" spans="2:11" x14ac:dyDescent="0.25">
      <c r="B50" s="5">
        <v>44606</v>
      </c>
      <c r="C50" s="5">
        <v>44607</v>
      </c>
      <c r="D50" s="102">
        <v>2022</v>
      </c>
      <c r="E50" s="5" t="s">
        <v>177</v>
      </c>
      <c r="F50" t="s">
        <v>397</v>
      </c>
      <c r="H50" t="s">
        <v>652</v>
      </c>
      <c r="I50">
        <v>2</v>
      </c>
    </row>
    <row r="51" spans="2:11" x14ac:dyDescent="0.25">
      <c r="B51" s="5">
        <v>44607</v>
      </c>
      <c r="C51" s="5">
        <v>44608</v>
      </c>
      <c r="D51" s="102">
        <v>2022</v>
      </c>
      <c r="E51" s="5" t="s">
        <v>177</v>
      </c>
      <c r="F51" t="s">
        <v>397</v>
      </c>
      <c r="G51" t="s">
        <v>111</v>
      </c>
      <c r="H51" t="s">
        <v>53</v>
      </c>
      <c r="I51" t="s">
        <v>626</v>
      </c>
      <c r="J51" s="46">
        <v>950</v>
      </c>
      <c r="K51" t="s">
        <v>295</v>
      </c>
    </row>
    <row r="52" spans="2:11" x14ac:dyDescent="0.25">
      <c r="B52" s="5">
        <v>44607</v>
      </c>
      <c r="C52" s="5">
        <v>44608</v>
      </c>
      <c r="D52" s="102">
        <v>2022</v>
      </c>
      <c r="E52" s="5" t="s">
        <v>177</v>
      </c>
      <c r="F52" t="s">
        <v>397</v>
      </c>
      <c r="H52" t="s">
        <v>658</v>
      </c>
      <c r="I52">
        <v>2</v>
      </c>
    </row>
    <row r="53" spans="2:11" x14ac:dyDescent="0.25">
      <c r="B53" s="5">
        <v>44607</v>
      </c>
      <c r="C53" s="5">
        <v>44608</v>
      </c>
      <c r="D53" s="102">
        <v>2022</v>
      </c>
      <c r="E53" s="5" t="s">
        <v>177</v>
      </c>
      <c r="F53" t="s">
        <v>397</v>
      </c>
      <c r="H53" t="s">
        <v>659</v>
      </c>
      <c r="I53">
        <v>2</v>
      </c>
    </row>
    <row r="54" spans="2:11" x14ac:dyDescent="0.25">
      <c r="B54" s="5">
        <v>44607</v>
      </c>
      <c r="C54" s="5">
        <v>44608</v>
      </c>
      <c r="D54" s="102">
        <v>2022</v>
      </c>
      <c r="E54" s="5" t="s">
        <v>177</v>
      </c>
      <c r="F54" t="s">
        <v>397</v>
      </c>
      <c r="H54" t="s">
        <v>660</v>
      </c>
      <c r="I54">
        <v>1</v>
      </c>
    </row>
    <row r="55" spans="2:11" x14ac:dyDescent="0.25">
      <c r="B55" s="5">
        <v>44607</v>
      </c>
      <c r="C55" s="5">
        <v>44608</v>
      </c>
      <c r="D55" s="102">
        <v>2022</v>
      </c>
      <c r="E55" s="5" t="s">
        <v>177</v>
      </c>
      <c r="F55" t="s">
        <v>397</v>
      </c>
      <c r="H55" t="s">
        <v>661</v>
      </c>
      <c r="I55">
        <v>2</v>
      </c>
    </row>
    <row r="56" spans="2:11" x14ac:dyDescent="0.25">
      <c r="B56" s="5">
        <v>44607</v>
      </c>
      <c r="C56" s="5">
        <v>44608</v>
      </c>
      <c r="D56" s="102">
        <v>2022</v>
      </c>
      <c r="E56" s="5" t="s">
        <v>177</v>
      </c>
      <c r="F56" t="s">
        <v>397</v>
      </c>
      <c r="H56" t="s">
        <v>662</v>
      </c>
      <c r="I56">
        <v>1</v>
      </c>
    </row>
    <row r="57" spans="2:11" x14ac:dyDescent="0.25">
      <c r="B57" s="5">
        <v>44607</v>
      </c>
      <c r="C57" s="5">
        <v>44608</v>
      </c>
      <c r="D57" s="102">
        <v>2022</v>
      </c>
      <c r="E57" s="5" t="s">
        <v>177</v>
      </c>
      <c r="F57" t="s">
        <v>397</v>
      </c>
      <c r="H57" t="s">
        <v>663</v>
      </c>
      <c r="I57">
        <v>2</v>
      </c>
    </row>
    <row r="58" spans="2:11" x14ac:dyDescent="0.25">
      <c r="B58" s="5">
        <v>44607</v>
      </c>
      <c r="C58" s="5">
        <v>44608</v>
      </c>
      <c r="D58" s="102">
        <v>2022</v>
      </c>
      <c r="E58" s="5" t="s">
        <v>177</v>
      </c>
      <c r="F58" t="s">
        <v>397</v>
      </c>
      <c r="H58" t="s">
        <v>664</v>
      </c>
      <c r="I58">
        <v>2</v>
      </c>
    </row>
    <row r="59" spans="2:11" x14ac:dyDescent="0.25">
      <c r="B59" s="5">
        <v>44607</v>
      </c>
      <c r="C59" s="5">
        <v>44608</v>
      </c>
      <c r="D59" s="102">
        <v>2022</v>
      </c>
      <c r="E59" s="5" t="s">
        <v>177</v>
      </c>
      <c r="F59" t="s">
        <v>397</v>
      </c>
      <c r="H59" t="s">
        <v>596</v>
      </c>
      <c r="I59">
        <v>1</v>
      </c>
    </row>
    <row r="60" spans="2:11" x14ac:dyDescent="0.25">
      <c r="B60" s="5">
        <v>44607</v>
      </c>
      <c r="C60" s="5">
        <v>44608</v>
      </c>
      <c r="D60" s="102">
        <v>2022</v>
      </c>
      <c r="E60" s="5" t="s">
        <v>177</v>
      </c>
      <c r="F60" t="s">
        <v>397</v>
      </c>
      <c r="H60" t="s">
        <v>635</v>
      </c>
      <c r="I60">
        <v>1</v>
      </c>
    </row>
    <row r="61" spans="2:11" x14ac:dyDescent="0.25">
      <c r="B61" s="5">
        <v>44607</v>
      </c>
      <c r="C61" s="5">
        <v>44608</v>
      </c>
      <c r="D61" s="102">
        <v>2022</v>
      </c>
      <c r="E61" s="5" t="s">
        <v>177</v>
      </c>
      <c r="F61" t="s">
        <v>397</v>
      </c>
      <c r="H61" t="s">
        <v>665</v>
      </c>
      <c r="I61">
        <v>1</v>
      </c>
    </row>
    <row r="62" spans="2:11" x14ac:dyDescent="0.25">
      <c r="B62" s="5">
        <v>44607</v>
      </c>
      <c r="C62" s="5">
        <v>44608</v>
      </c>
      <c r="D62" s="102">
        <v>2022</v>
      </c>
      <c r="E62" s="5" t="s">
        <v>177</v>
      </c>
      <c r="F62" t="s">
        <v>397</v>
      </c>
      <c r="H62" t="s">
        <v>666</v>
      </c>
      <c r="I62">
        <v>1</v>
      </c>
    </row>
    <row r="63" spans="2:11" x14ac:dyDescent="0.25">
      <c r="B63" s="5">
        <v>44608</v>
      </c>
      <c r="C63" s="5">
        <v>44609</v>
      </c>
      <c r="D63" s="102">
        <v>2022</v>
      </c>
      <c r="E63" s="5" t="s">
        <v>177</v>
      </c>
      <c r="F63" t="s">
        <v>397</v>
      </c>
      <c r="H63" t="s">
        <v>667</v>
      </c>
      <c r="I63" t="s">
        <v>668</v>
      </c>
      <c r="J63" s="46">
        <v>560</v>
      </c>
      <c r="K63" t="s">
        <v>295</v>
      </c>
    </row>
    <row r="64" spans="2:11" x14ac:dyDescent="0.25">
      <c r="B64" s="5">
        <v>44608</v>
      </c>
      <c r="C64" s="5">
        <v>44609</v>
      </c>
      <c r="D64" s="102">
        <v>2022</v>
      </c>
      <c r="E64" s="5" t="s">
        <v>177</v>
      </c>
      <c r="F64" t="s">
        <v>397</v>
      </c>
      <c r="H64" t="s">
        <v>17</v>
      </c>
      <c r="I64">
        <v>1</v>
      </c>
      <c r="J64" s="46">
        <v>2530</v>
      </c>
      <c r="K64" t="s">
        <v>780</v>
      </c>
    </row>
    <row r="65" spans="2:11" x14ac:dyDescent="0.25">
      <c r="B65" s="5">
        <v>44608</v>
      </c>
      <c r="C65" s="5">
        <v>44609</v>
      </c>
      <c r="D65" s="102">
        <v>2022</v>
      </c>
      <c r="E65" s="5" t="s">
        <v>177</v>
      </c>
      <c r="F65" t="s">
        <v>397</v>
      </c>
      <c r="H65" t="s">
        <v>669</v>
      </c>
      <c r="I65" t="s">
        <v>670</v>
      </c>
      <c r="J65" s="46">
        <v>510</v>
      </c>
      <c r="K65" t="s">
        <v>295</v>
      </c>
    </row>
    <row r="66" spans="2:11" x14ac:dyDescent="0.25">
      <c r="B66" s="5">
        <v>44608</v>
      </c>
      <c r="C66" s="5">
        <v>44609</v>
      </c>
      <c r="D66" s="102">
        <v>2022</v>
      </c>
      <c r="E66" s="5" t="s">
        <v>177</v>
      </c>
      <c r="F66" t="s">
        <v>397</v>
      </c>
      <c r="H66" t="s">
        <v>671</v>
      </c>
      <c r="I66">
        <v>1</v>
      </c>
      <c r="J66" s="46">
        <v>1410</v>
      </c>
      <c r="K66" t="s">
        <v>295</v>
      </c>
    </row>
    <row r="67" spans="2:11" x14ac:dyDescent="0.25">
      <c r="B67" s="5">
        <v>44608</v>
      </c>
      <c r="C67" s="5">
        <v>44609</v>
      </c>
      <c r="D67" s="102">
        <v>2022</v>
      </c>
      <c r="E67" s="5" t="s">
        <v>177</v>
      </c>
      <c r="F67" t="s">
        <v>397</v>
      </c>
      <c r="H67" t="s">
        <v>672</v>
      </c>
      <c r="I67">
        <v>1</v>
      </c>
      <c r="J67" s="46">
        <v>1395</v>
      </c>
      <c r="K67" t="s">
        <v>295</v>
      </c>
    </row>
    <row r="68" spans="2:11" x14ac:dyDescent="0.25">
      <c r="B68" s="5">
        <v>44608</v>
      </c>
      <c r="C68" s="5">
        <v>44609</v>
      </c>
      <c r="D68" s="102">
        <v>2022</v>
      </c>
      <c r="E68" s="5" t="s">
        <v>177</v>
      </c>
      <c r="F68" t="s">
        <v>397</v>
      </c>
      <c r="H68" t="s">
        <v>633</v>
      </c>
      <c r="I68">
        <v>1</v>
      </c>
      <c r="J68" s="46">
        <v>1080</v>
      </c>
      <c r="K68" t="s">
        <v>295</v>
      </c>
    </row>
    <row r="69" spans="2:11" x14ac:dyDescent="0.25">
      <c r="B69" s="5">
        <v>44608</v>
      </c>
      <c r="C69" s="5">
        <v>44609</v>
      </c>
      <c r="D69" s="102">
        <v>2022</v>
      </c>
      <c r="E69" s="5" t="s">
        <v>177</v>
      </c>
      <c r="F69" t="s">
        <v>397</v>
      </c>
      <c r="H69" t="s">
        <v>650</v>
      </c>
      <c r="I69">
        <v>1</v>
      </c>
      <c r="J69" s="46">
        <v>4400</v>
      </c>
      <c r="K69" t="s">
        <v>780</v>
      </c>
    </row>
    <row r="70" spans="2:11" x14ac:dyDescent="0.25">
      <c r="B70" s="5">
        <v>44608</v>
      </c>
      <c r="C70" s="5">
        <v>44609</v>
      </c>
      <c r="D70" s="102">
        <v>2022</v>
      </c>
      <c r="E70" s="5" t="s">
        <v>177</v>
      </c>
      <c r="F70" t="s">
        <v>397</v>
      </c>
      <c r="H70" t="s">
        <v>621</v>
      </c>
      <c r="I70">
        <v>1</v>
      </c>
      <c r="J70" s="46">
        <v>4455</v>
      </c>
      <c r="K70" t="s">
        <v>780</v>
      </c>
    </row>
    <row r="71" spans="2:11" x14ac:dyDescent="0.25">
      <c r="B71" s="5">
        <v>44608</v>
      </c>
      <c r="C71" s="5">
        <v>44609</v>
      </c>
      <c r="D71" s="102">
        <v>2022</v>
      </c>
      <c r="E71" s="5" t="s">
        <v>177</v>
      </c>
      <c r="F71" t="s">
        <v>397</v>
      </c>
      <c r="H71" t="s">
        <v>673</v>
      </c>
      <c r="I71">
        <v>1</v>
      </c>
      <c r="J71" s="46">
        <v>1390</v>
      </c>
      <c r="K71" t="s">
        <v>295</v>
      </c>
    </row>
    <row r="72" spans="2:11" x14ac:dyDescent="0.25">
      <c r="B72" s="5">
        <v>44609</v>
      </c>
      <c r="C72" s="5">
        <v>44610</v>
      </c>
      <c r="D72" s="102">
        <v>2022</v>
      </c>
      <c r="E72" s="5" t="s">
        <v>177</v>
      </c>
      <c r="F72" t="s">
        <v>397</v>
      </c>
      <c r="H72" t="s">
        <v>674</v>
      </c>
      <c r="I72">
        <v>1</v>
      </c>
      <c r="J72" s="46">
        <v>1390</v>
      </c>
      <c r="K72" t="s">
        <v>295</v>
      </c>
    </row>
    <row r="73" spans="2:11" x14ac:dyDescent="0.25">
      <c r="B73" s="5">
        <v>44609</v>
      </c>
      <c r="C73" s="5">
        <v>44610</v>
      </c>
      <c r="D73" s="102">
        <v>2022</v>
      </c>
      <c r="E73" s="5" t="s">
        <v>177</v>
      </c>
      <c r="F73" t="s">
        <v>397</v>
      </c>
      <c r="H73" t="s">
        <v>675</v>
      </c>
      <c r="I73">
        <v>1</v>
      </c>
      <c r="J73" s="46">
        <v>625</v>
      </c>
      <c r="K73" t="s">
        <v>295</v>
      </c>
    </row>
    <row r="74" spans="2:11" x14ac:dyDescent="0.25">
      <c r="B74" s="5">
        <v>44609</v>
      </c>
      <c r="C74" s="5">
        <v>44610</v>
      </c>
      <c r="D74" s="102">
        <v>2022</v>
      </c>
      <c r="E74" s="5" t="s">
        <v>177</v>
      </c>
      <c r="F74" t="s">
        <v>397</v>
      </c>
      <c r="H74" t="s">
        <v>676</v>
      </c>
      <c r="J74" s="46">
        <v>1120</v>
      </c>
      <c r="K74" t="s">
        <v>295</v>
      </c>
    </row>
    <row r="75" spans="2:11" x14ac:dyDescent="0.25">
      <c r="B75" s="5">
        <v>44609</v>
      </c>
      <c r="C75" s="5">
        <v>44610</v>
      </c>
      <c r="D75" s="102">
        <v>2022</v>
      </c>
      <c r="E75" s="5" t="s">
        <v>177</v>
      </c>
      <c r="F75" t="s">
        <v>397</v>
      </c>
      <c r="H75" t="s">
        <v>677</v>
      </c>
      <c r="I75">
        <v>1</v>
      </c>
      <c r="J75" s="46">
        <v>3680</v>
      </c>
      <c r="K75" t="s">
        <v>295</v>
      </c>
    </row>
    <row r="76" spans="2:11" x14ac:dyDescent="0.25">
      <c r="B76" s="5">
        <v>44609</v>
      </c>
      <c r="C76" s="5">
        <v>44610</v>
      </c>
      <c r="D76" s="102">
        <v>2022</v>
      </c>
      <c r="E76" s="5" t="s">
        <v>177</v>
      </c>
      <c r="F76" t="s">
        <v>397</v>
      </c>
      <c r="H76" t="s">
        <v>678</v>
      </c>
      <c r="I76">
        <v>1</v>
      </c>
      <c r="J76" s="46">
        <v>1395</v>
      </c>
      <c r="K76" t="s">
        <v>780</v>
      </c>
    </row>
    <row r="77" spans="2:11" x14ac:dyDescent="0.25">
      <c r="B77" s="5">
        <v>44609</v>
      </c>
      <c r="C77" s="5">
        <v>44610</v>
      </c>
      <c r="D77" s="102">
        <v>2022</v>
      </c>
      <c r="E77" s="5" t="s">
        <v>177</v>
      </c>
      <c r="F77" t="s">
        <v>397</v>
      </c>
      <c r="H77" t="s">
        <v>679</v>
      </c>
      <c r="I77">
        <v>1</v>
      </c>
      <c r="J77" s="46">
        <v>1740</v>
      </c>
      <c r="K77" t="s">
        <v>780</v>
      </c>
    </row>
    <row r="78" spans="2:11" x14ac:dyDescent="0.25">
      <c r="B78" s="5">
        <v>44609</v>
      </c>
      <c r="C78" s="5">
        <v>44610</v>
      </c>
      <c r="D78" s="102">
        <v>2022</v>
      </c>
      <c r="E78" s="5" t="s">
        <v>177</v>
      </c>
      <c r="F78" t="s">
        <v>397</v>
      </c>
      <c r="H78" t="s">
        <v>650</v>
      </c>
      <c r="I78">
        <v>1</v>
      </c>
      <c r="J78" s="46">
        <v>4400</v>
      </c>
      <c r="K78" t="s">
        <v>780</v>
      </c>
    </row>
    <row r="79" spans="2:11" x14ac:dyDescent="0.25">
      <c r="B79" s="5">
        <v>44609</v>
      </c>
      <c r="C79" s="5">
        <v>44610</v>
      </c>
      <c r="D79" s="102">
        <v>2022</v>
      </c>
      <c r="E79" s="5" t="s">
        <v>177</v>
      </c>
      <c r="F79" t="s">
        <v>397</v>
      </c>
      <c r="H79" t="s">
        <v>680</v>
      </c>
      <c r="I79" t="s">
        <v>681</v>
      </c>
    </row>
    <row r="80" spans="2:11" x14ac:dyDescent="0.25">
      <c r="B80" s="5">
        <v>44610</v>
      </c>
      <c r="C80" s="5">
        <v>44611</v>
      </c>
      <c r="D80" s="102">
        <v>2022</v>
      </c>
      <c r="E80" s="5" t="s">
        <v>177</v>
      </c>
      <c r="F80" t="s">
        <v>397</v>
      </c>
      <c r="H80" t="s">
        <v>682</v>
      </c>
      <c r="I80">
        <v>3</v>
      </c>
    </row>
    <row r="81" spans="2:9" x14ac:dyDescent="0.25">
      <c r="B81" s="5">
        <v>44610</v>
      </c>
      <c r="C81" s="5">
        <v>44611</v>
      </c>
      <c r="D81" s="102">
        <v>2022</v>
      </c>
      <c r="E81" s="5" t="s">
        <v>177</v>
      </c>
      <c r="F81" t="s">
        <v>397</v>
      </c>
      <c r="H81" t="s">
        <v>683</v>
      </c>
      <c r="I81">
        <v>1</v>
      </c>
    </row>
    <row r="82" spans="2:9" x14ac:dyDescent="0.25">
      <c r="B82" s="5">
        <v>44610</v>
      </c>
      <c r="C82" s="5">
        <v>44611</v>
      </c>
      <c r="D82" s="102">
        <v>2022</v>
      </c>
      <c r="E82" s="5" t="s">
        <v>177</v>
      </c>
      <c r="F82" t="s">
        <v>397</v>
      </c>
      <c r="H82" t="s">
        <v>684</v>
      </c>
      <c r="I82" t="s">
        <v>670</v>
      </c>
    </row>
    <row r="83" spans="2:9" x14ac:dyDescent="0.25">
      <c r="B83" s="5">
        <v>44610</v>
      </c>
      <c r="C83" s="5">
        <v>44611</v>
      </c>
      <c r="D83" s="102">
        <v>2022</v>
      </c>
      <c r="E83" s="5" t="s">
        <v>177</v>
      </c>
      <c r="F83" t="s">
        <v>397</v>
      </c>
      <c r="H83" t="s">
        <v>685</v>
      </c>
      <c r="I83">
        <v>1</v>
      </c>
    </row>
    <row r="84" spans="2:9" x14ac:dyDescent="0.25">
      <c r="B84" s="5">
        <v>44610</v>
      </c>
      <c r="C84" s="5">
        <v>44611</v>
      </c>
      <c r="D84" s="102">
        <v>2022</v>
      </c>
      <c r="E84" s="5" t="s">
        <v>177</v>
      </c>
      <c r="F84" t="s">
        <v>397</v>
      </c>
      <c r="H84" t="s">
        <v>686</v>
      </c>
      <c r="I84">
        <v>1</v>
      </c>
    </row>
    <row r="85" spans="2:9" x14ac:dyDescent="0.25">
      <c r="B85" s="5">
        <v>44610</v>
      </c>
      <c r="C85" s="5">
        <v>44611</v>
      </c>
      <c r="D85" s="102">
        <v>2022</v>
      </c>
      <c r="E85" s="5" t="s">
        <v>177</v>
      </c>
      <c r="F85" t="s">
        <v>397</v>
      </c>
      <c r="H85" t="s">
        <v>679</v>
      </c>
      <c r="I85">
        <v>1</v>
      </c>
    </row>
    <row r="86" spans="2:9" x14ac:dyDescent="0.25">
      <c r="B86" s="5">
        <v>44610</v>
      </c>
      <c r="C86" s="5">
        <v>44611</v>
      </c>
      <c r="D86" s="102">
        <v>2022</v>
      </c>
      <c r="E86" s="5" t="s">
        <v>177</v>
      </c>
      <c r="F86" t="s">
        <v>397</v>
      </c>
      <c r="H86" t="s">
        <v>687</v>
      </c>
      <c r="I86">
        <v>1</v>
      </c>
    </row>
    <row r="87" spans="2:9" x14ac:dyDescent="0.25">
      <c r="B87" s="5">
        <v>44610</v>
      </c>
      <c r="C87" s="5">
        <v>44611</v>
      </c>
      <c r="D87" s="102">
        <v>2022</v>
      </c>
      <c r="E87" s="5" t="s">
        <v>177</v>
      </c>
      <c r="F87" t="s">
        <v>397</v>
      </c>
      <c r="H87" t="s">
        <v>678</v>
      </c>
      <c r="I87">
        <v>1</v>
      </c>
    </row>
    <row r="88" spans="2:9" x14ac:dyDescent="0.25">
      <c r="B88" s="5">
        <v>44610</v>
      </c>
      <c r="C88" s="5">
        <v>44611</v>
      </c>
      <c r="D88" s="102">
        <v>2022</v>
      </c>
      <c r="E88" s="5" t="s">
        <v>177</v>
      </c>
      <c r="F88" t="s">
        <v>397</v>
      </c>
      <c r="H88" t="s">
        <v>688</v>
      </c>
      <c r="I88">
        <v>1</v>
      </c>
    </row>
    <row r="89" spans="2:9" x14ac:dyDescent="0.25">
      <c r="B89" s="5">
        <v>44610</v>
      </c>
      <c r="C89" s="5">
        <v>44611</v>
      </c>
      <c r="D89" s="102">
        <v>2022</v>
      </c>
      <c r="E89" s="5" t="s">
        <v>177</v>
      </c>
      <c r="F89" t="s">
        <v>397</v>
      </c>
      <c r="H89" t="s">
        <v>689</v>
      </c>
      <c r="I89">
        <v>1</v>
      </c>
    </row>
    <row r="90" spans="2:9" x14ac:dyDescent="0.25">
      <c r="B90" s="5">
        <v>44610</v>
      </c>
      <c r="C90" s="5">
        <v>44611</v>
      </c>
      <c r="D90" s="102">
        <v>2022</v>
      </c>
      <c r="E90" s="5" t="s">
        <v>177</v>
      </c>
      <c r="F90" t="s">
        <v>397</v>
      </c>
      <c r="H90" t="s">
        <v>690</v>
      </c>
      <c r="I90">
        <v>1</v>
      </c>
    </row>
    <row r="91" spans="2:9" x14ac:dyDescent="0.25">
      <c r="B91" s="5">
        <v>44610</v>
      </c>
      <c r="C91" s="5">
        <v>44611</v>
      </c>
      <c r="D91" s="102">
        <v>2022</v>
      </c>
      <c r="E91" s="5" t="s">
        <v>177</v>
      </c>
      <c r="F91" t="s">
        <v>397</v>
      </c>
      <c r="H91" t="s">
        <v>691</v>
      </c>
      <c r="I91" t="s">
        <v>670</v>
      </c>
    </row>
    <row r="92" spans="2:9" x14ac:dyDescent="0.25">
      <c r="B92" s="5">
        <v>44611</v>
      </c>
      <c r="C92" s="5">
        <v>44613</v>
      </c>
      <c r="D92" s="102">
        <v>2022</v>
      </c>
      <c r="E92" s="5" t="s">
        <v>177</v>
      </c>
      <c r="F92" t="s">
        <v>545</v>
      </c>
    </row>
    <row r="93" spans="2:9" x14ac:dyDescent="0.25">
      <c r="B93" s="5">
        <v>44611</v>
      </c>
      <c r="C93" s="5">
        <v>44613</v>
      </c>
      <c r="D93" s="102">
        <v>2022</v>
      </c>
      <c r="E93" s="5" t="s">
        <v>177</v>
      </c>
      <c r="F93" s="5" t="s">
        <v>545</v>
      </c>
    </row>
    <row r="94" spans="2:9" x14ac:dyDescent="0.25">
      <c r="B94" s="5">
        <v>44611</v>
      </c>
      <c r="C94" s="5">
        <v>44613</v>
      </c>
      <c r="D94" s="102">
        <v>2022</v>
      </c>
      <c r="E94" s="5" t="s">
        <v>177</v>
      </c>
      <c r="F94" s="5" t="s">
        <v>545</v>
      </c>
    </row>
    <row r="95" spans="2:9" x14ac:dyDescent="0.25">
      <c r="B95" s="5">
        <v>44611</v>
      </c>
      <c r="C95" s="5">
        <v>44613</v>
      </c>
      <c r="D95" s="102">
        <v>2022</v>
      </c>
      <c r="E95" s="5" t="s">
        <v>177</v>
      </c>
      <c r="F95" s="5" t="s">
        <v>545</v>
      </c>
    </row>
    <row r="96" spans="2:9" x14ac:dyDescent="0.25">
      <c r="B96" s="5">
        <v>44611</v>
      </c>
      <c r="C96" s="5">
        <v>44613</v>
      </c>
      <c r="D96" s="102">
        <v>2022</v>
      </c>
      <c r="E96" s="5" t="s">
        <v>177</v>
      </c>
      <c r="F96" s="5" t="s">
        <v>545</v>
      </c>
    </row>
    <row r="97" spans="2:11" x14ac:dyDescent="0.25">
      <c r="B97" s="5">
        <v>44611</v>
      </c>
      <c r="C97" s="5">
        <v>44613</v>
      </c>
      <c r="D97" s="102">
        <v>2022</v>
      </c>
      <c r="E97" s="5" t="s">
        <v>177</v>
      </c>
      <c r="F97" s="5" t="s">
        <v>545</v>
      </c>
    </row>
    <row r="98" spans="2:11" x14ac:dyDescent="0.25">
      <c r="B98" s="5">
        <v>44613</v>
      </c>
      <c r="C98" s="5">
        <v>44614</v>
      </c>
      <c r="D98" s="102">
        <v>2022</v>
      </c>
      <c r="E98" s="5" t="s">
        <v>177</v>
      </c>
      <c r="F98" s="5" t="s">
        <v>545</v>
      </c>
    </row>
    <row r="99" spans="2:11" x14ac:dyDescent="0.25">
      <c r="B99" s="5">
        <v>44613</v>
      </c>
      <c r="C99" s="5">
        <v>44614</v>
      </c>
      <c r="D99" s="102">
        <v>2022</v>
      </c>
      <c r="E99" s="5" t="s">
        <v>177</v>
      </c>
      <c r="F99" s="5" t="s">
        <v>545</v>
      </c>
    </row>
    <row r="100" spans="2:11" x14ac:dyDescent="0.25">
      <c r="B100" s="5">
        <v>44613</v>
      </c>
      <c r="C100" s="5">
        <v>44614</v>
      </c>
      <c r="D100" s="102">
        <v>2022</v>
      </c>
      <c r="E100" s="5" t="s">
        <v>177</v>
      </c>
      <c r="F100" s="5" t="s">
        <v>545</v>
      </c>
    </row>
    <row r="101" spans="2:11" x14ac:dyDescent="0.25">
      <c r="B101" s="5">
        <v>44613</v>
      </c>
      <c r="C101" s="5">
        <v>44614</v>
      </c>
      <c r="D101" s="102">
        <v>2022</v>
      </c>
      <c r="E101" s="5" t="s">
        <v>177</v>
      </c>
      <c r="F101" s="5" t="s">
        <v>545</v>
      </c>
    </row>
    <row r="102" spans="2:11" x14ac:dyDescent="0.25">
      <c r="B102" s="5">
        <v>44613</v>
      </c>
      <c r="C102" s="5">
        <v>44614</v>
      </c>
      <c r="D102" s="102">
        <v>2022</v>
      </c>
      <c r="E102" s="5" t="s">
        <v>177</v>
      </c>
      <c r="F102" s="5" t="s">
        <v>545</v>
      </c>
    </row>
    <row r="103" spans="2:11" x14ac:dyDescent="0.25">
      <c r="B103" s="5">
        <v>44614</v>
      </c>
      <c r="C103" s="5">
        <v>44615</v>
      </c>
      <c r="D103" s="102">
        <v>2022</v>
      </c>
      <c r="E103" s="5" t="s">
        <v>177</v>
      </c>
      <c r="F103" s="5" t="s">
        <v>545</v>
      </c>
      <c r="G103" t="s">
        <v>1</v>
      </c>
      <c r="H103" t="s">
        <v>621</v>
      </c>
      <c r="I103">
        <v>1</v>
      </c>
      <c r="J103" s="46">
        <v>4455</v>
      </c>
      <c r="K103" t="s">
        <v>616</v>
      </c>
    </row>
    <row r="104" spans="2:11" x14ac:dyDescent="0.25">
      <c r="B104" s="5">
        <v>44614</v>
      </c>
      <c r="C104" s="5">
        <v>44615</v>
      </c>
      <c r="D104" s="102">
        <v>2022</v>
      </c>
      <c r="E104" s="5" t="s">
        <v>177</v>
      </c>
      <c r="F104" s="5" t="s">
        <v>545</v>
      </c>
      <c r="G104" t="s">
        <v>22</v>
      </c>
      <c r="H104" t="s">
        <v>622</v>
      </c>
      <c r="I104">
        <v>2</v>
      </c>
      <c r="J104" s="46">
        <v>6620</v>
      </c>
      <c r="K104" t="s">
        <v>616</v>
      </c>
    </row>
    <row r="105" spans="2:11" x14ac:dyDescent="0.25">
      <c r="B105" s="5">
        <v>44614</v>
      </c>
      <c r="C105" s="5">
        <v>44615</v>
      </c>
      <c r="D105" s="102">
        <v>2022</v>
      </c>
      <c r="E105" s="5" t="s">
        <v>177</v>
      </c>
      <c r="F105" s="5" t="s">
        <v>545</v>
      </c>
      <c r="G105" t="s">
        <v>11</v>
      </c>
      <c r="H105" t="s">
        <v>621</v>
      </c>
      <c r="I105">
        <v>1</v>
      </c>
      <c r="J105" s="46">
        <v>4455</v>
      </c>
      <c r="K105" t="s">
        <v>616</v>
      </c>
    </row>
    <row r="106" spans="2:11" x14ac:dyDescent="0.25">
      <c r="B106" s="5">
        <v>44614</v>
      </c>
      <c r="C106" s="5">
        <v>44615</v>
      </c>
      <c r="D106" s="102">
        <v>2022</v>
      </c>
      <c r="E106" s="5" t="s">
        <v>177</v>
      </c>
      <c r="F106" s="5" t="s">
        <v>545</v>
      </c>
      <c r="G106" t="s">
        <v>111</v>
      </c>
      <c r="H106" t="s">
        <v>623</v>
      </c>
      <c r="I106">
        <v>1</v>
      </c>
      <c r="J106" s="46">
        <v>1410</v>
      </c>
      <c r="K106" t="s">
        <v>778</v>
      </c>
    </row>
    <row r="107" spans="2:11" x14ac:dyDescent="0.25">
      <c r="B107" s="5">
        <v>44614</v>
      </c>
      <c r="C107" s="5">
        <v>44615</v>
      </c>
      <c r="D107" s="102">
        <v>2022</v>
      </c>
      <c r="E107" s="5" t="s">
        <v>177</v>
      </c>
      <c r="F107" s="5" t="s">
        <v>545</v>
      </c>
      <c r="G107" t="s">
        <v>111</v>
      </c>
      <c r="H107" t="s">
        <v>26</v>
      </c>
      <c r="I107">
        <v>1</v>
      </c>
      <c r="J107" s="46">
        <v>1390</v>
      </c>
      <c r="K107" t="s">
        <v>778</v>
      </c>
    </row>
    <row r="108" spans="2:11" x14ac:dyDescent="0.25">
      <c r="B108" s="5">
        <v>44615</v>
      </c>
      <c r="C108" s="5">
        <v>44616</v>
      </c>
      <c r="D108" s="102">
        <v>2022</v>
      </c>
      <c r="E108" s="5" t="s">
        <v>177</v>
      </c>
      <c r="F108" s="5" t="s">
        <v>545</v>
      </c>
      <c r="G108" t="s">
        <v>1</v>
      </c>
      <c r="H108" t="s">
        <v>731</v>
      </c>
      <c r="I108">
        <v>1</v>
      </c>
      <c r="J108" s="46">
        <v>1740</v>
      </c>
      <c r="K108" t="s">
        <v>735</v>
      </c>
    </row>
    <row r="109" spans="2:11" x14ac:dyDescent="0.25">
      <c r="B109" s="5">
        <v>44615</v>
      </c>
      <c r="C109" s="5">
        <v>44616</v>
      </c>
      <c r="D109" s="102">
        <v>2022</v>
      </c>
      <c r="E109" s="5" t="s">
        <v>177</v>
      </c>
      <c r="F109" s="5" t="s">
        <v>545</v>
      </c>
      <c r="G109" t="s">
        <v>22</v>
      </c>
      <c r="H109" t="s">
        <v>621</v>
      </c>
      <c r="I109">
        <v>2</v>
      </c>
      <c r="J109" s="46">
        <v>8910</v>
      </c>
      <c r="K109" t="s">
        <v>735</v>
      </c>
    </row>
    <row r="110" spans="2:11" x14ac:dyDescent="0.25">
      <c r="B110" s="5">
        <v>44615</v>
      </c>
      <c r="C110" s="5">
        <v>44616</v>
      </c>
      <c r="D110" s="102">
        <v>2022</v>
      </c>
      <c r="E110" s="5" t="s">
        <v>177</v>
      </c>
      <c r="F110" s="5" t="s">
        <v>545</v>
      </c>
      <c r="G110" t="s">
        <v>22</v>
      </c>
      <c r="H110" t="s">
        <v>732</v>
      </c>
      <c r="I110">
        <v>1</v>
      </c>
      <c r="J110" s="46">
        <v>210</v>
      </c>
      <c r="K110" t="s">
        <v>735</v>
      </c>
    </row>
    <row r="111" spans="2:11" x14ac:dyDescent="0.25">
      <c r="B111" s="5">
        <v>44615</v>
      </c>
      <c r="C111" s="5">
        <v>44616</v>
      </c>
      <c r="D111" s="102">
        <v>2022</v>
      </c>
      <c r="E111" s="5" t="s">
        <v>177</v>
      </c>
      <c r="F111" s="5" t="s">
        <v>545</v>
      </c>
      <c r="G111" t="s">
        <v>22</v>
      </c>
      <c r="H111" t="s">
        <v>733</v>
      </c>
      <c r="I111">
        <v>1</v>
      </c>
      <c r="J111" s="46">
        <v>310</v>
      </c>
      <c r="K111" t="s">
        <v>735</v>
      </c>
    </row>
    <row r="112" spans="2:11" x14ac:dyDescent="0.25">
      <c r="B112" s="5">
        <v>44615</v>
      </c>
      <c r="C112" s="5">
        <v>44616</v>
      </c>
      <c r="D112" s="102">
        <v>2022</v>
      </c>
      <c r="E112" s="5" t="s">
        <v>177</v>
      </c>
      <c r="F112" s="5" t="s">
        <v>545</v>
      </c>
      <c r="G112" t="s">
        <v>22</v>
      </c>
      <c r="H112" t="s">
        <v>597</v>
      </c>
      <c r="I112">
        <v>1</v>
      </c>
      <c r="J112" s="46">
        <v>505</v>
      </c>
      <c r="K112" t="s">
        <v>735</v>
      </c>
    </row>
    <row r="113" spans="2:11" x14ac:dyDescent="0.25">
      <c r="B113" s="5">
        <v>44615</v>
      </c>
      <c r="C113" s="5">
        <v>44616</v>
      </c>
      <c r="D113" s="102">
        <v>2022</v>
      </c>
      <c r="E113" s="5" t="s">
        <v>177</v>
      </c>
      <c r="F113" s="5" t="s">
        <v>545</v>
      </c>
      <c r="G113" t="s">
        <v>22</v>
      </c>
      <c r="H113" t="s">
        <v>734</v>
      </c>
      <c r="I113">
        <v>1</v>
      </c>
      <c r="J113" s="46">
        <v>230</v>
      </c>
      <c r="K113" t="s">
        <v>735</v>
      </c>
    </row>
    <row r="114" spans="2:11" x14ac:dyDescent="0.25">
      <c r="B114" s="5">
        <v>44615</v>
      </c>
      <c r="C114" s="5">
        <v>44616</v>
      </c>
      <c r="D114" s="102">
        <v>2022</v>
      </c>
      <c r="E114" s="5" t="s">
        <v>177</v>
      </c>
      <c r="F114" s="5" t="s">
        <v>545</v>
      </c>
      <c r="G114" t="s">
        <v>11</v>
      </c>
      <c r="H114" t="s">
        <v>736</v>
      </c>
      <c r="I114">
        <v>2</v>
      </c>
      <c r="J114" s="46">
        <v>1200</v>
      </c>
      <c r="K114" t="s">
        <v>945</v>
      </c>
    </row>
    <row r="115" spans="2:11" x14ac:dyDescent="0.25">
      <c r="B115" s="5">
        <v>44615</v>
      </c>
      <c r="C115" s="5">
        <v>44616</v>
      </c>
      <c r="D115" s="102">
        <v>2022</v>
      </c>
      <c r="E115" s="5" t="s">
        <v>177</v>
      </c>
      <c r="F115" s="5" t="s">
        <v>545</v>
      </c>
      <c r="G115" t="s">
        <v>11</v>
      </c>
      <c r="H115" t="s">
        <v>621</v>
      </c>
      <c r="I115">
        <v>1</v>
      </c>
      <c r="J115" s="46">
        <v>4455</v>
      </c>
      <c r="K115" t="s">
        <v>945</v>
      </c>
    </row>
    <row r="116" spans="2:11" x14ac:dyDescent="0.25">
      <c r="B116" s="5">
        <v>44615</v>
      </c>
      <c r="C116" s="5">
        <v>44616</v>
      </c>
      <c r="D116" s="102">
        <v>2022</v>
      </c>
      <c r="E116" s="5" t="s">
        <v>177</v>
      </c>
      <c r="F116" s="5" t="s">
        <v>545</v>
      </c>
      <c r="G116" t="s">
        <v>11</v>
      </c>
      <c r="H116" t="s">
        <v>737</v>
      </c>
      <c r="I116">
        <v>1</v>
      </c>
      <c r="J116" s="46">
        <v>510</v>
      </c>
      <c r="K116" t="s">
        <v>945</v>
      </c>
    </row>
    <row r="117" spans="2:11" x14ac:dyDescent="0.25">
      <c r="B117" s="5">
        <v>44615</v>
      </c>
      <c r="C117" s="5">
        <v>44616</v>
      </c>
      <c r="D117" s="102">
        <v>2022</v>
      </c>
      <c r="E117" s="5" t="s">
        <v>177</v>
      </c>
      <c r="F117" s="5" t="s">
        <v>545</v>
      </c>
      <c r="G117" t="s">
        <v>11</v>
      </c>
      <c r="H117" t="s">
        <v>738</v>
      </c>
      <c r="I117">
        <v>1</v>
      </c>
      <c r="J117" s="46">
        <v>1410</v>
      </c>
      <c r="K117" t="s">
        <v>945</v>
      </c>
    </row>
    <row r="118" spans="2:11" x14ac:dyDescent="0.25">
      <c r="B118" s="5">
        <v>44615</v>
      </c>
      <c r="C118" s="5">
        <v>44616</v>
      </c>
      <c r="D118" s="102">
        <v>2022</v>
      </c>
      <c r="E118" s="5" t="s">
        <v>177</v>
      </c>
      <c r="F118" s="5" t="s">
        <v>545</v>
      </c>
      <c r="G118" t="s">
        <v>11</v>
      </c>
      <c r="H118" t="s">
        <v>659</v>
      </c>
      <c r="I118">
        <v>1</v>
      </c>
      <c r="J118" s="46">
        <v>260</v>
      </c>
      <c r="K118" t="s">
        <v>945</v>
      </c>
    </row>
    <row r="119" spans="2:11" x14ac:dyDescent="0.25">
      <c r="B119" s="5">
        <v>44615</v>
      </c>
      <c r="C119" s="5">
        <v>44616</v>
      </c>
      <c r="D119" s="102">
        <v>2022</v>
      </c>
      <c r="E119" s="5" t="s">
        <v>177</v>
      </c>
      <c r="F119" s="5" t="s">
        <v>545</v>
      </c>
      <c r="G119" t="s">
        <v>11</v>
      </c>
      <c r="H119" t="s">
        <v>739</v>
      </c>
      <c r="I119">
        <v>1</v>
      </c>
      <c r="J119" s="46">
        <v>625</v>
      </c>
      <c r="K119" t="s">
        <v>945</v>
      </c>
    </row>
    <row r="120" spans="2:11" x14ac:dyDescent="0.25">
      <c r="B120" s="5">
        <v>44615</v>
      </c>
      <c r="C120" s="5">
        <v>44616</v>
      </c>
      <c r="D120" s="102">
        <v>2022</v>
      </c>
      <c r="E120" s="5" t="s">
        <v>177</v>
      </c>
      <c r="F120" s="5" t="s">
        <v>545</v>
      </c>
      <c r="G120" t="s">
        <v>111</v>
      </c>
      <c r="H120" t="s">
        <v>740</v>
      </c>
      <c r="I120">
        <v>1</v>
      </c>
      <c r="J120" s="46">
        <v>2530</v>
      </c>
      <c r="K120" t="s">
        <v>779</v>
      </c>
    </row>
    <row r="121" spans="2:11" x14ac:dyDescent="0.25">
      <c r="B121" s="5">
        <v>44615</v>
      </c>
      <c r="C121" s="5">
        <v>44616</v>
      </c>
      <c r="D121" s="102">
        <v>2022</v>
      </c>
      <c r="E121" s="5" t="s">
        <v>177</v>
      </c>
      <c r="F121" s="5" t="s">
        <v>545</v>
      </c>
      <c r="G121" t="s">
        <v>111</v>
      </c>
      <c r="H121" t="s">
        <v>621</v>
      </c>
      <c r="I121">
        <v>1</v>
      </c>
      <c r="J121" s="46">
        <v>4455</v>
      </c>
      <c r="K121" t="s">
        <v>778</v>
      </c>
    </row>
    <row r="122" spans="2:11" x14ac:dyDescent="0.25">
      <c r="B122" s="5">
        <v>44616</v>
      </c>
      <c r="C122" s="5">
        <v>44617</v>
      </c>
      <c r="D122" s="102">
        <v>2022</v>
      </c>
      <c r="E122" s="5" t="s">
        <v>177</v>
      </c>
      <c r="F122" s="5" t="s">
        <v>545</v>
      </c>
    </row>
    <row r="123" spans="2:11" x14ac:dyDescent="0.25">
      <c r="B123" s="5">
        <v>44617</v>
      </c>
      <c r="C123" s="5">
        <v>44618</v>
      </c>
      <c r="D123" s="102">
        <v>2022</v>
      </c>
      <c r="E123" s="5" t="s">
        <v>177</v>
      </c>
      <c r="F123" s="5" t="s">
        <v>545</v>
      </c>
    </row>
    <row r="124" spans="2:11" x14ac:dyDescent="0.25">
      <c r="B124" s="5">
        <v>44618</v>
      </c>
      <c r="C124" s="5">
        <v>44620</v>
      </c>
      <c r="D124" s="102">
        <v>2022</v>
      </c>
      <c r="E124" s="5" t="s">
        <v>177</v>
      </c>
      <c r="F124" s="5" t="s">
        <v>545</v>
      </c>
    </row>
    <row r="125" spans="2:11" x14ac:dyDescent="0.25">
      <c r="B125" s="5">
        <v>44619</v>
      </c>
      <c r="C125" s="5">
        <v>44620</v>
      </c>
      <c r="D125" s="102">
        <v>2022</v>
      </c>
      <c r="E125" s="5" t="s">
        <v>177</v>
      </c>
      <c r="F125" s="5" t="s">
        <v>545</v>
      </c>
    </row>
    <row r="126" spans="2:11" x14ac:dyDescent="0.25">
      <c r="B126" s="5">
        <v>44620</v>
      </c>
      <c r="C126" s="5">
        <v>44621</v>
      </c>
      <c r="D126" s="102">
        <v>2022</v>
      </c>
      <c r="E126" s="5" t="s">
        <v>177</v>
      </c>
      <c r="F126" s="5" t="s">
        <v>545</v>
      </c>
      <c r="G126" t="s">
        <v>19</v>
      </c>
      <c r="H126" t="s">
        <v>738</v>
      </c>
      <c r="I126">
        <v>1</v>
      </c>
      <c r="J126" s="46">
        <v>1410</v>
      </c>
      <c r="K126" t="s">
        <v>778</v>
      </c>
    </row>
    <row r="127" spans="2:11" x14ac:dyDescent="0.25">
      <c r="B127" s="5">
        <v>44620</v>
      </c>
      <c r="C127" s="5">
        <v>44621</v>
      </c>
      <c r="D127" s="102">
        <v>2022</v>
      </c>
      <c r="E127" s="5" t="s">
        <v>177</v>
      </c>
      <c r="F127" s="5" t="s">
        <v>545</v>
      </c>
      <c r="G127" t="s">
        <v>19</v>
      </c>
      <c r="H127" t="s">
        <v>857</v>
      </c>
      <c r="I127">
        <v>1</v>
      </c>
      <c r="J127" s="46">
        <v>1390</v>
      </c>
    </row>
    <row r="128" spans="2:11" x14ac:dyDescent="0.25">
      <c r="B128" s="5">
        <v>44620</v>
      </c>
      <c r="C128" s="5">
        <v>44621</v>
      </c>
      <c r="D128" s="102">
        <v>2022</v>
      </c>
      <c r="E128" s="5" t="s">
        <v>177</v>
      </c>
      <c r="F128" s="5" t="s">
        <v>545</v>
      </c>
      <c r="G128" t="s">
        <v>19</v>
      </c>
      <c r="H128" t="s">
        <v>858</v>
      </c>
      <c r="I128">
        <v>1</v>
      </c>
      <c r="J128" s="46">
        <v>560</v>
      </c>
    </row>
    <row r="129" spans="2:11" x14ac:dyDescent="0.25">
      <c r="B129" s="5">
        <v>44620</v>
      </c>
      <c r="C129" s="5">
        <v>44621</v>
      </c>
      <c r="D129" s="102">
        <v>2022</v>
      </c>
      <c r="E129" s="5" t="s">
        <v>177</v>
      </c>
      <c r="F129" s="5" t="s">
        <v>545</v>
      </c>
      <c r="G129" t="s">
        <v>1</v>
      </c>
      <c r="H129" t="s">
        <v>859</v>
      </c>
      <c r="I129">
        <v>1</v>
      </c>
      <c r="J129" s="46">
        <v>230</v>
      </c>
      <c r="K129" t="s">
        <v>778</v>
      </c>
    </row>
    <row r="130" spans="2:11" x14ac:dyDescent="0.25">
      <c r="B130" s="5">
        <v>44620</v>
      </c>
      <c r="C130" s="5">
        <v>44621</v>
      </c>
      <c r="D130" s="102">
        <v>2022</v>
      </c>
      <c r="E130" s="5" t="s">
        <v>177</v>
      </c>
      <c r="F130" s="5" t="s">
        <v>545</v>
      </c>
      <c r="G130" t="s">
        <v>11</v>
      </c>
      <c r="H130" t="s">
        <v>860</v>
      </c>
      <c r="I130">
        <v>1</v>
      </c>
      <c r="J130" s="46">
        <v>1770</v>
      </c>
      <c r="K130" t="s">
        <v>945</v>
      </c>
    </row>
    <row r="131" spans="2:11" x14ac:dyDescent="0.25">
      <c r="B131" s="5">
        <v>44620</v>
      </c>
      <c r="C131" s="5">
        <v>44621</v>
      </c>
      <c r="D131" s="102">
        <v>2022</v>
      </c>
      <c r="E131" s="5" t="s">
        <v>177</v>
      </c>
      <c r="F131" s="5" t="s">
        <v>545</v>
      </c>
      <c r="G131" t="s">
        <v>11</v>
      </c>
      <c r="H131" t="s">
        <v>677</v>
      </c>
      <c r="I131">
        <v>1</v>
      </c>
      <c r="J131" s="46">
        <v>3580</v>
      </c>
      <c r="K131" t="s">
        <v>778</v>
      </c>
    </row>
    <row r="132" spans="2:11" x14ac:dyDescent="0.25">
      <c r="B132" s="5">
        <v>44621</v>
      </c>
      <c r="C132" s="5">
        <v>44622</v>
      </c>
      <c r="D132" s="102">
        <v>2022</v>
      </c>
      <c r="E132" s="5" t="s">
        <v>784</v>
      </c>
      <c r="F132" s="5" t="s">
        <v>771</v>
      </c>
      <c r="G132" t="s">
        <v>1</v>
      </c>
      <c r="H132" t="s">
        <v>827</v>
      </c>
      <c r="I132">
        <v>3</v>
      </c>
      <c r="J132" s="46">
        <v>3720</v>
      </c>
      <c r="K132" t="s">
        <v>830</v>
      </c>
    </row>
    <row r="133" spans="2:11" x14ac:dyDescent="0.25">
      <c r="B133" s="5">
        <v>44621</v>
      </c>
      <c r="C133" s="5">
        <v>44622</v>
      </c>
      <c r="D133" s="102">
        <v>2022</v>
      </c>
      <c r="E133" s="5" t="s">
        <v>784</v>
      </c>
      <c r="F133" s="5" t="s">
        <v>771</v>
      </c>
      <c r="G133" t="s">
        <v>1</v>
      </c>
      <c r="H133" t="s">
        <v>2</v>
      </c>
      <c r="I133">
        <v>2</v>
      </c>
      <c r="J133" s="46">
        <v>2790</v>
      </c>
      <c r="K133" t="s">
        <v>830</v>
      </c>
    </row>
    <row r="134" spans="2:11" x14ac:dyDescent="0.25">
      <c r="B134" s="5">
        <v>44621</v>
      </c>
      <c r="C134" s="5">
        <v>44622</v>
      </c>
      <c r="D134" s="102">
        <v>2022</v>
      </c>
      <c r="E134" s="5" t="s">
        <v>784</v>
      </c>
      <c r="F134" s="5" t="s">
        <v>771</v>
      </c>
      <c r="G134" t="s">
        <v>19</v>
      </c>
      <c r="H134" t="s">
        <v>647</v>
      </c>
      <c r="I134">
        <v>1</v>
      </c>
      <c r="J134" s="46">
        <v>1390</v>
      </c>
      <c r="K134" t="s">
        <v>778</v>
      </c>
    </row>
    <row r="135" spans="2:11" x14ac:dyDescent="0.25">
      <c r="B135" s="5">
        <v>44621</v>
      </c>
      <c r="C135" s="5">
        <v>44622</v>
      </c>
      <c r="D135" s="102">
        <v>2022</v>
      </c>
      <c r="E135" s="5" t="s">
        <v>784</v>
      </c>
      <c r="F135" s="5" t="s">
        <v>771</v>
      </c>
      <c r="G135" t="s">
        <v>19</v>
      </c>
      <c r="H135" t="s">
        <v>828</v>
      </c>
      <c r="I135">
        <v>1</v>
      </c>
      <c r="J135" s="46">
        <v>290</v>
      </c>
      <c r="K135" t="s">
        <v>778</v>
      </c>
    </row>
    <row r="136" spans="2:11" x14ac:dyDescent="0.25">
      <c r="B136" s="5">
        <v>44621</v>
      </c>
      <c r="C136" s="5">
        <v>44622</v>
      </c>
      <c r="D136" s="102">
        <v>2022</v>
      </c>
      <c r="E136" s="5" t="s">
        <v>784</v>
      </c>
      <c r="F136" s="5" t="s">
        <v>771</v>
      </c>
      <c r="G136" t="s">
        <v>19</v>
      </c>
      <c r="H136" t="s">
        <v>10</v>
      </c>
      <c r="I136">
        <v>1</v>
      </c>
      <c r="J136" s="46">
        <v>260</v>
      </c>
      <c r="K136" t="s">
        <v>778</v>
      </c>
    </row>
    <row r="137" spans="2:11" x14ac:dyDescent="0.25">
      <c r="B137" s="5">
        <v>44621</v>
      </c>
      <c r="C137" s="5">
        <v>44622</v>
      </c>
      <c r="D137" s="102">
        <v>2022</v>
      </c>
      <c r="E137" s="5" t="s">
        <v>784</v>
      </c>
      <c r="F137" s="5" t="s">
        <v>771</v>
      </c>
      <c r="G137" t="s">
        <v>19</v>
      </c>
      <c r="H137" t="s">
        <v>638</v>
      </c>
      <c r="I137">
        <v>2</v>
      </c>
      <c r="J137" s="46">
        <v>1200</v>
      </c>
      <c r="K137" t="s">
        <v>778</v>
      </c>
    </row>
    <row r="138" spans="2:11" x14ac:dyDescent="0.25">
      <c r="B138" s="5">
        <v>44621</v>
      </c>
      <c r="C138" s="5">
        <v>44622</v>
      </c>
      <c r="D138" s="102">
        <v>2022</v>
      </c>
      <c r="E138" s="5" t="s">
        <v>784</v>
      </c>
      <c r="F138" s="5" t="s">
        <v>771</v>
      </c>
      <c r="G138" t="s">
        <v>111</v>
      </c>
      <c r="H138" t="s">
        <v>829</v>
      </c>
      <c r="I138">
        <v>1</v>
      </c>
      <c r="J138" s="46">
        <v>560</v>
      </c>
      <c r="K138" t="s">
        <v>944</v>
      </c>
    </row>
    <row r="139" spans="2:11" x14ac:dyDescent="0.25">
      <c r="B139" s="5">
        <v>44622</v>
      </c>
      <c r="C139" s="5">
        <v>44623</v>
      </c>
      <c r="D139" s="102">
        <v>2022</v>
      </c>
      <c r="E139" s="5" t="s">
        <v>784</v>
      </c>
      <c r="F139" s="5" t="s">
        <v>771</v>
      </c>
      <c r="G139" t="s">
        <v>417</v>
      </c>
      <c r="H139" t="s">
        <v>55</v>
      </c>
      <c r="I139">
        <v>1</v>
      </c>
      <c r="J139" s="46">
        <v>1390</v>
      </c>
    </row>
    <row r="140" spans="2:11" x14ac:dyDescent="0.25">
      <c r="B140" s="5">
        <v>44622</v>
      </c>
      <c r="C140" s="5">
        <v>44623</v>
      </c>
      <c r="D140" s="102">
        <v>2022</v>
      </c>
      <c r="E140" s="5" t="s">
        <v>784</v>
      </c>
      <c r="F140" s="5" t="s">
        <v>771</v>
      </c>
      <c r="G140" t="s">
        <v>417</v>
      </c>
      <c r="H140" t="s">
        <v>123</v>
      </c>
      <c r="I140">
        <v>1</v>
      </c>
      <c r="J140" s="46">
        <v>1750</v>
      </c>
    </row>
    <row r="141" spans="2:11" x14ac:dyDescent="0.25">
      <c r="B141" s="5">
        <v>44622</v>
      </c>
      <c r="C141" s="5">
        <v>44623</v>
      </c>
      <c r="D141" s="102">
        <v>2022</v>
      </c>
      <c r="E141" s="5" t="s">
        <v>784</v>
      </c>
      <c r="F141" s="5" t="s">
        <v>771</v>
      </c>
      <c r="G141" t="s">
        <v>445</v>
      </c>
      <c r="H141" t="s">
        <v>380</v>
      </c>
      <c r="I141">
        <v>2</v>
      </c>
      <c r="J141" s="46">
        <v>1200</v>
      </c>
      <c r="K141" t="s">
        <v>890</v>
      </c>
    </row>
    <row r="142" spans="2:11" x14ac:dyDescent="0.25">
      <c r="B142" s="5">
        <v>44622</v>
      </c>
      <c r="C142" s="5">
        <v>44623</v>
      </c>
      <c r="D142" s="102">
        <v>2022</v>
      </c>
      <c r="E142" s="5" t="s">
        <v>784</v>
      </c>
      <c r="F142" s="5" t="s">
        <v>771</v>
      </c>
      <c r="G142" t="s">
        <v>458</v>
      </c>
      <c r="H142" t="s">
        <v>855</v>
      </c>
      <c r="I142">
        <v>1</v>
      </c>
      <c r="J142" s="46">
        <v>1240</v>
      </c>
      <c r="K142" t="s">
        <v>891</v>
      </c>
    </row>
    <row r="143" spans="2:11" x14ac:dyDescent="0.25">
      <c r="B143" s="5">
        <v>44622</v>
      </c>
      <c r="C143" s="5">
        <v>44623</v>
      </c>
      <c r="D143" s="102">
        <v>2022</v>
      </c>
      <c r="E143" s="5" t="s">
        <v>784</v>
      </c>
      <c r="F143" s="5" t="s">
        <v>771</v>
      </c>
      <c r="G143" t="s">
        <v>458</v>
      </c>
      <c r="H143" t="s">
        <v>55</v>
      </c>
      <c r="I143">
        <v>1</v>
      </c>
      <c r="J143" s="46">
        <v>1390</v>
      </c>
      <c r="K143" t="s">
        <v>891</v>
      </c>
    </row>
    <row r="144" spans="2:11" x14ac:dyDescent="0.25">
      <c r="B144" s="5">
        <v>44625</v>
      </c>
      <c r="C144" s="5">
        <v>44627</v>
      </c>
      <c r="D144" s="102">
        <v>2022</v>
      </c>
      <c r="E144" s="5" t="s">
        <v>784</v>
      </c>
      <c r="F144" s="5" t="s">
        <v>771</v>
      </c>
      <c r="G144" t="s">
        <v>22</v>
      </c>
      <c r="H144" t="s">
        <v>425</v>
      </c>
      <c r="I144">
        <v>1</v>
      </c>
      <c r="J144" s="46">
        <v>210</v>
      </c>
      <c r="K144" t="s">
        <v>997</v>
      </c>
    </row>
    <row r="145" spans="2:11" x14ac:dyDescent="0.25">
      <c r="B145" s="5">
        <v>44625</v>
      </c>
      <c r="C145" s="5">
        <v>44627</v>
      </c>
      <c r="D145" s="102">
        <v>2022</v>
      </c>
      <c r="E145" s="5" t="s">
        <v>784</v>
      </c>
      <c r="F145" s="5" t="s">
        <v>771</v>
      </c>
      <c r="G145" t="s">
        <v>356</v>
      </c>
      <c r="H145" t="s">
        <v>321</v>
      </c>
      <c r="I145">
        <v>2</v>
      </c>
      <c r="J145" s="46">
        <v>5100</v>
      </c>
      <c r="K145" t="s">
        <v>999</v>
      </c>
    </row>
    <row r="146" spans="2:11" x14ac:dyDescent="0.25">
      <c r="B146" s="5">
        <v>44625</v>
      </c>
      <c r="C146" s="5">
        <v>44627</v>
      </c>
      <c r="D146" s="102">
        <v>2022</v>
      </c>
      <c r="E146" s="5" t="s">
        <v>784</v>
      </c>
      <c r="F146" s="5" t="s">
        <v>771</v>
      </c>
      <c r="G146" t="s">
        <v>458</v>
      </c>
      <c r="H146" t="s">
        <v>128</v>
      </c>
      <c r="I146">
        <v>2</v>
      </c>
      <c r="J146" s="46">
        <v>2480</v>
      </c>
      <c r="K146" t="s">
        <v>1000</v>
      </c>
    </row>
    <row r="147" spans="2:11" x14ac:dyDescent="0.25">
      <c r="B147" s="5">
        <v>44625</v>
      </c>
      <c r="C147" s="5">
        <v>44627</v>
      </c>
      <c r="D147" s="102">
        <v>2022</v>
      </c>
      <c r="E147" s="5" t="s">
        <v>784</v>
      </c>
      <c r="F147" s="5" t="s">
        <v>771</v>
      </c>
      <c r="G147" t="s">
        <v>445</v>
      </c>
      <c r="H147" t="s">
        <v>45</v>
      </c>
      <c r="I147">
        <v>1</v>
      </c>
      <c r="J147" s="46">
        <v>1390</v>
      </c>
      <c r="K147" t="s">
        <v>1000</v>
      </c>
    </row>
    <row r="148" spans="2:11" x14ac:dyDescent="0.25">
      <c r="B148" s="5">
        <v>44626</v>
      </c>
      <c r="C148" s="5">
        <v>44627</v>
      </c>
      <c r="D148" s="102">
        <v>2022</v>
      </c>
      <c r="E148" s="5" t="s">
        <v>784</v>
      </c>
      <c r="F148" s="5" t="s">
        <v>771</v>
      </c>
      <c r="G148" t="s">
        <v>417</v>
      </c>
      <c r="H148" t="s">
        <v>45</v>
      </c>
      <c r="I148">
        <v>1</v>
      </c>
      <c r="J148" s="46">
        <v>1390</v>
      </c>
      <c r="K148" t="s">
        <v>996</v>
      </c>
    </row>
    <row r="149" spans="2:11" x14ac:dyDescent="0.25">
      <c r="B149" s="5">
        <v>44627</v>
      </c>
      <c r="C149" s="5">
        <v>44628</v>
      </c>
      <c r="D149" s="102">
        <v>2022</v>
      </c>
      <c r="E149" s="5" t="s">
        <v>784</v>
      </c>
      <c r="F149" s="5" t="s">
        <v>940</v>
      </c>
      <c r="G149" t="s">
        <v>356</v>
      </c>
      <c r="H149" t="s">
        <v>432</v>
      </c>
      <c r="I149">
        <v>1</v>
      </c>
      <c r="J149" s="46">
        <v>3580</v>
      </c>
      <c r="K149" t="s">
        <v>889</v>
      </c>
    </row>
    <row r="150" spans="2:11" x14ac:dyDescent="0.25">
      <c r="B150" s="5">
        <v>44627</v>
      </c>
      <c r="C150" s="5">
        <v>44628</v>
      </c>
      <c r="D150" s="102">
        <v>2022</v>
      </c>
      <c r="E150" s="5" t="s">
        <v>784</v>
      </c>
      <c r="F150" s="5" t="s">
        <v>940</v>
      </c>
      <c r="G150" t="s">
        <v>356</v>
      </c>
      <c r="H150" t="s">
        <v>321</v>
      </c>
      <c r="I150">
        <v>1</v>
      </c>
      <c r="J150" s="46">
        <v>2550</v>
      </c>
      <c r="K150" t="s">
        <v>1001</v>
      </c>
    </row>
    <row r="151" spans="2:11" x14ac:dyDescent="0.25">
      <c r="B151" s="5">
        <v>44627</v>
      </c>
      <c r="C151" s="5">
        <v>44628</v>
      </c>
      <c r="D151" s="102">
        <v>2022</v>
      </c>
      <c r="E151" s="5" t="s">
        <v>784</v>
      </c>
      <c r="F151" s="5" t="s">
        <v>940</v>
      </c>
      <c r="G151" t="s">
        <v>417</v>
      </c>
      <c r="H151" t="s">
        <v>128</v>
      </c>
      <c r="I151">
        <v>2</v>
      </c>
      <c r="J151" s="46">
        <v>2480</v>
      </c>
      <c r="K151" t="s">
        <v>1002</v>
      </c>
    </row>
    <row r="152" spans="2:11" x14ac:dyDescent="0.25">
      <c r="B152" s="5">
        <v>44628</v>
      </c>
      <c r="C152" s="5">
        <v>44629</v>
      </c>
      <c r="D152" s="102">
        <v>2022</v>
      </c>
      <c r="E152" s="5" t="s">
        <v>784</v>
      </c>
      <c r="F152" s="5" t="s">
        <v>940</v>
      </c>
      <c r="G152" t="s">
        <v>356</v>
      </c>
      <c r="H152" t="s">
        <v>321</v>
      </c>
      <c r="I152">
        <v>2</v>
      </c>
      <c r="J152" s="46">
        <v>2550</v>
      </c>
      <c r="K152" t="s">
        <v>1016</v>
      </c>
    </row>
    <row r="153" spans="2:11" x14ac:dyDescent="0.25">
      <c r="B153" s="5">
        <v>44628</v>
      </c>
      <c r="C153" s="5">
        <v>44629</v>
      </c>
      <c r="D153" s="102">
        <v>2022</v>
      </c>
      <c r="E153" s="5" t="s">
        <v>784</v>
      </c>
      <c r="F153" s="5" t="s">
        <v>940</v>
      </c>
      <c r="G153" t="s">
        <v>356</v>
      </c>
      <c r="H153" t="s">
        <v>249</v>
      </c>
      <c r="I153">
        <v>1</v>
      </c>
      <c r="J153" s="46">
        <v>1080</v>
      </c>
      <c r="K153" t="s">
        <v>1012</v>
      </c>
    </row>
    <row r="154" spans="2:11" x14ac:dyDescent="0.25">
      <c r="B154" s="5">
        <v>44628</v>
      </c>
      <c r="C154" s="5">
        <v>44629</v>
      </c>
      <c r="D154" s="102">
        <v>2022</v>
      </c>
      <c r="E154" s="5" t="s">
        <v>784</v>
      </c>
      <c r="F154" s="5" t="s">
        <v>940</v>
      </c>
      <c r="G154" t="s">
        <v>356</v>
      </c>
      <c r="H154" t="s">
        <v>247</v>
      </c>
      <c r="I154">
        <v>2</v>
      </c>
      <c r="J154" s="46">
        <v>1800</v>
      </c>
      <c r="K154" t="s">
        <v>1013</v>
      </c>
    </row>
    <row r="155" spans="2:11" x14ac:dyDescent="0.25">
      <c r="B155" s="5">
        <v>44628</v>
      </c>
      <c r="C155" s="5">
        <v>44629</v>
      </c>
      <c r="D155" s="102">
        <v>2022</v>
      </c>
      <c r="E155" s="5" t="s">
        <v>784</v>
      </c>
      <c r="F155" s="5" t="s">
        <v>940</v>
      </c>
      <c r="G155" t="s">
        <v>445</v>
      </c>
      <c r="H155" t="s">
        <v>125</v>
      </c>
      <c r="I155">
        <v>1</v>
      </c>
      <c r="J155" s="46">
        <v>510</v>
      </c>
      <c r="K155" t="s">
        <v>999</v>
      </c>
    </row>
    <row r="156" spans="2:11" x14ac:dyDescent="0.25">
      <c r="B156" s="5">
        <v>44629</v>
      </c>
      <c r="C156" s="5">
        <v>44631</v>
      </c>
      <c r="D156" s="102">
        <v>2022</v>
      </c>
      <c r="E156" s="5" t="s">
        <v>784</v>
      </c>
      <c r="F156" s="5" t="s">
        <v>940</v>
      </c>
      <c r="G156" t="s">
        <v>900</v>
      </c>
      <c r="H156" t="s">
        <v>249</v>
      </c>
      <c r="I156">
        <v>1</v>
      </c>
      <c r="J156" s="46">
        <v>1080</v>
      </c>
      <c r="K156" t="s">
        <v>1012</v>
      </c>
    </row>
    <row r="157" spans="2:11" x14ac:dyDescent="0.25">
      <c r="B157" s="5">
        <v>44629</v>
      </c>
      <c r="C157" s="5">
        <v>44631</v>
      </c>
      <c r="D157" s="102">
        <v>2022</v>
      </c>
      <c r="E157" s="5" t="s">
        <v>784</v>
      </c>
      <c r="F157" s="5" t="s">
        <v>940</v>
      </c>
      <c r="G157" t="s">
        <v>900</v>
      </c>
      <c r="H157" t="s">
        <v>269</v>
      </c>
      <c r="I157">
        <v>5</v>
      </c>
      <c r="J157" s="46">
        <v>1450</v>
      </c>
      <c r="K157" t="s">
        <v>889</v>
      </c>
    </row>
    <row r="158" spans="2:11" x14ac:dyDescent="0.25">
      <c r="B158" s="5">
        <v>44629</v>
      </c>
      <c r="C158" s="5">
        <v>44631</v>
      </c>
      <c r="D158" s="102">
        <v>2022</v>
      </c>
      <c r="E158" s="5" t="s">
        <v>784</v>
      </c>
      <c r="F158" s="5" t="s">
        <v>940</v>
      </c>
      <c r="G158" t="s">
        <v>458</v>
      </c>
      <c r="H158" t="s">
        <v>127</v>
      </c>
      <c r="I158">
        <v>1</v>
      </c>
      <c r="J158" s="46">
        <v>260</v>
      </c>
      <c r="K158" t="s">
        <v>889</v>
      </c>
    </row>
    <row r="159" spans="2:11" x14ac:dyDescent="0.25">
      <c r="B159" s="5">
        <v>44629</v>
      </c>
      <c r="C159" s="5">
        <v>44631</v>
      </c>
      <c r="D159" s="102">
        <v>2022</v>
      </c>
      <c r="E159" s="5" t="s">
        <v>784</v>
      </c>
      <c r="F159" s="5" t="s">
        <v>940</v>
      </c>
      <c r="G159" t="s">
        <v>417</v>
      </c>
      <c r="H159" t="s">
        <v>45</v>
      </c>
      <c r="I159">
        <v>1</v>
      </c>
      <c r="J159" s="46">
        <v>1390</v>
      </c>
      <c r="K159" t="s">
        <v>891</v>
      </c>
    </row>
    <row r="160" spans="2:11" x14ac:dyDescent="0.25">
      <c r="B160" s="5">
        <v>44629</v>
      </c>
      <c r="C160" s="5">
        <v>44631</v>
      </c>
      <c r="D160" s="102">
        <v>2022</v>
      </c>
      <c r="E160" s="5" t="s">
        <v>784</v>
      </c>
      <c r="F160" s="5" t="s">
        <v>940</v>
      </c>
      <c r="G160" t="s">
        <v>445</v>
      </c>
      <c r="H160" t="s">
        <v>124</v>
      </c>
      <c r="I160">
        <v>1</v>
      </c>
      <c r="J160" s="46">
        <v>625</v>
      </c>
      <c r="K160" t="s">
        <v>1101</v>
      </c>
    </row>
    <row r="161" spans="2:11" x14ac:dyDescent="0.25">
      <c r="B161" s="5">
        <v>44630</v>
      </c>
      <c r="C161" s="5">
        <v>44631</v>
      </c>
      <c r="D161" s="102">
        <v>2022</v>
      </c>
      <c r="E161" s="5" t="s">
        <v>784</v>
      </c>
      <c r="F161" s="5" t="s">
        <v>940</v>
      </c>
      <c r="G161" t="s">
        <v>458</v>
      </c>
      <c r="H161" t="s">
        <v>128</v>
      </c>
      <c r="I161">
        <v>1</v>
      </c>
      <c r="J161" s="46">
        <v>1240</v>
      </c>
      <c r="K161" t="s">
        <v>889</v>
      </c>
    </row>
    <row r="162" spans="2:11" x14ac:dyDescent="0.25">
      <c r="B162" s="5">
        <v>44630</v>
      </c>
      <c r="C162" s="5">
        <v>44631</v>
      </c>
      <c r="D162" s="102">
        <v>2022</v>
      </c>
      <c r="E162" s="5" t="s">
        <v>784</v>
      </c>
      <c r="F162" s="5" t="s">
        <v>940</v>
      </c>
      <c r="G162" t="s">
        <v>417</v>
      </c>
      <c r="H162" t="s">
        <v>249</v>
      </c>
      <c r="I162">
        <v>1</v>
      </c>
      <c r="J162" s="46">
        <v>1080</v>
      </c>
      <c r="K162" t="s">
        <v>1098</v>
      </c>
    </row>
    <row r="163" spans="2:11" x14ac:dyDescent="0.25">
      <c r="B163" s="5">
        <v>44630</v>
      </c>
      <c r="C163" s="5">
        <v>44631</v>
      </c>
      <c r="D163" s="102">
        <v>2022</v>
      </c>
      <c r="E163" s="5" t="s">
        <v>784</v>
      </c>
      <c r="F163" s="5" t="s">
        <v>940</v>
      </c>
      <c r="G163" t="s">
        <v>445</v>
      </c>
      <c r="H163" t="s">
        <v>45</v>
      </c>
      <c r="I163">
        <v>1</v>
      </c>
      <c r="J163" s="46">
        <v>1390</v>
      </c>
      <c r="K163" t="s">
        <v>889</v>
      </c>
    </row>
    <row r="164" spans="2:11" x14ac:dyDescent="0.25">
      <c r="B164" s="5">
        <v>44630</v>
      </c>
      <c r="C164" s="5">
        <v>44631</v>
      </c>
      <c r="D164" s="102">
        <v>2022</v>
      </c>
      <c r="E164" s="5" t="s">
        <v>784</v>
      </c>
      <c r="F164" s="5" t="s">
        <v>940</v>
      </c>
      <c r="G164" t="s">
        <v>445</v>
      </c>
      <c r="H164" t="s">
        <v>125</v>
      </c>
      <c r="I164">
        <v>2</v>
      </c>
      <c r="J164" s="46">
        <v>1020</v>
      </c>
      <c r="K164" t="s">
        <v>1012</v>
      </c>
    </row>
    <row r="165" spans="2:11" x14ac:dyDescent="0.25">
      <c r="B165" s="5">
        <v>44635</v>
      </c>
      <c r="C165" s="5">
        <v>44636</v>
      </c>
      <c r="D165" s="102">
        <v>2022</v>
      </c>
      <c r="E165" s="5" t="s">
        <v>784</v>
      </c>
      <c r="F165" s="5" t="s">
        <v>1080</v>
      </c>
      <c r="G165" t="s">
        <v>356</v>
      </c>
      <c r="H165" t="s">
        <v>45</v>
      </c>
      <c r="I165">
        <v>5</v>
      </c>
      <c r="J165" s="46">
        <v>2780</v>
      </c>
      <c r="K165" t="s">
        <v>889</v>
      </c>
    </row>
    <row r="166" spans="2:11" x14ac:dyDescent="0.25">
      <c r="B166" s="5">
        <v>44635</v>
      </c>
      <c r="C166" s="5">
        <v>44636</v>
      </c>
      <c r="D166" s="102">
        <v>2022</v>
      </c>
      <c r="E166" s="5" t="s">
        <v>784</v>
      </c>
      <c r="F166" s="5" t="s">
        <v>1080</v>
      </c>
      <c r="G166" t="s">
        <v>458</v>
      </c>
      <c r="H166" t="s">
        <v>128</v>
      </c>
      <c r="I166">
        <v>1</v>
      </c>
      <c r="J166" s="46">
        <v>1240</v>
      </c>
      <c r="K166" t="s">
        <v>1117</v>
      </c>
    </row>
    <row r="167" spans="2:11" x14ac:dyDescent="0.25">
      <c r="B167" s="5">
        <v>44635</v>
      </c>
      <c r="C167" s="5">
        <v>44636</v>
      </c>
      <c r="D167" s="102">
        <v>2022</v>
      </c>
      <c r="E167" s="5" t="s">
        <v>784</v>
      </c>
      <c r="F167" s="5" t="s">
        <v>1080</v>
      </c>
      <c r="G167" t="s">
        <v>458</v>
      </c>
      <c r="H167" t="s">
        <v>126</v>
      </c>
      <c r="I167">
        <v>1</v>
      </c>
      <c r="J167" s="46">
        <v>1410</v>
      </c>
      <c r="K167" t="s">
        <v>1118</v>
      </c>
    </row>
    <row r="168" spans="2:11" x14ac:dyDescent="0.25">
      <c r="B168" s="5">
        <v>44635</v>
      </c>
      <c r="C168" s="5">
        <v>44636</v>
      </c>
      <c r="D168" s="102">
        <v>2022</v>
      </c>
      <c r="E168" s="5" t="s">
        <v>784</v>
      </c>
      <c r="F168" s="5" t="s">
        <v>1080</v>
      </c>
      <c r="G168" t="s">
        <v>458</v>
      </c>
      <c r="H168" t="s">
        <v>1045</v>
      </c>
      <c r="I168">
        <v>1</v>
      </c>
      <c r="J168" s="46">
        <v>1195</v>
      </c>
      <c r="K168" t="s">
        <v>889</v>
      </c>
    </row>
    <row r="169" spans="2:11" x14ac:dyDescent="0.25">
      <c r="B169" s="5">
        <v>44635</v>
      </c>
      <c r="C169" s="5">
        <v>44636</v>
      </c>
      <c r="D169" s="102">
        <v>2022</v>
      </c>
      <c r="E169" s="5" t="s">
        <v>784</v>
      </c>
      <c r="F169" s="5" t="s">
        <v>1080</v>
      </c>
      <c r="G169" t="s">
        <v>417</v>
      </c>
      <c r="H169" t="s">
        <v>45</v>
      </c>
      <c r="I169">
        <v>1</v>
      </c>
      <c r="J169" s="46">
        <v>1390</v>
      </c>
      <c r="K169" t="s">
        <v>889</v>
      </c>
    </row>
    <row r="170" spans="2:11" x14ac:dyDescent="0.25">
      <c r="B170" s="5">
        <v>44635</v>
      </c>
      <c r="C170" s="5">
        <v>44636</v>
      </c>
      <c r="D170" s="102">
        <v>2022</v>
      </c>
      <c r="E170" s="5" t="s">
        <v>784</v>
      </c>
      <c r="F170" s="5" t="s">
        <v>1080</v>
      </c>
      <c r="G170" t="s">
        <v>445</v>
      </c>
      <c r="H170" t="s">
        <v>509</v>
      </c>
      <c r="I170">
        <v>2</v>
      </c>
      <c r="J170" s="46">
        <v>260</v>
      </c>
      <c r="K170" t="s">
        <v>1120</v>
      </c>
    </row>
    <row r="171" spans="2:11" x14ac:dyDescent="0.25">
      <c r="B171" s="5">
        <v>44635</v>
      </c>
      <c r="C171" s="5">
        <v>44636</v>
      </c>
      <c r="D171" s="102">
        <v>2022</v>
      </c>
      <c r="E171" s="5" t="s">
        <v>784</v>
      </c>
      <c r="F171" s="5" t="s">
        <v>1080</v>
      </c>
      <c r="G171" t="s">
        <v>445</v>
      </c>
      <c r="H171" t="s">
        <v>58</v>
      </c>
      <c r="I171">
        <v>1</v>
      </c>
      <c r="J171" s="46">
        <v>2500</v>
      </c>
      <c r="K171" t="s">
        <v>1119</v>
      </c>
    </row>
    <row r="172" spans="2:11" x14ac:dyDescent="0.25">
      <c r="B172" s="5"/>
      <c r="C172" s="5"/>
      <c r="D172" s="102">
        <v>2022</v>
      </c>
      <c r="E172" s="5"/>
      <c r="F172" s="5"/>
    </row>
    <row r="173" spans="2:11" x14ac:dyDescent="0.25">
      <c r="B173" s="5"/>
      <c r="C173" s="5"/>
      <c r="D173" s="102">
        <v>2022</v>
      </c>
      <c r="E173" s="5"/>
      <c r="F173" s="5"/>
    </row>
    <row r="174" spans="2:11" x14ac:dyDescent="0.25">
      <c r="B174" s="5"/>
      <c r="C174" s="5"/>
      <c r="D174" s="102">
        <v>2022</v>
      </c>
      <c r="E174" s="5"/>
      <c r="F174" s="5"/>
    </row>
    <row r="175" spans="2:11" x14ac:dyDescent="0.25">
      <c r="B175" s="5"/>
      <c r="C175" s="5"/>
      <c r="D175" s="102">
        <v>2022</v>
      </c>
      <c r="E175" s="5"/>
      <c r="F175" s="5"/>
    </row>
    <row r="176" spans="2:11" x14ac:dyDescent="0.25">
      <c r="B176" s="5"/>
      <c r="C176" s="5"/>
      <c r="D176" s="102">
        <v>2022</v>
      </c>
      <c r="E176" s="5"/>
      <c r="F176" s="5"/>
    </row>
    <row r="177" spans="2:6" x14ac:dyDescent="0.25">
      <c r="B177" s="5"/>
      <c r="C177" s="5"/>
      <c r="D177" s="102">
        <v>2022</v>
      </c>
      <c r="E177" s="5"/>
      <c r="F177" s="5"/>
    </row>
    <row r="178" spans="2:6" x14ac:dyDescent="0.25">
      <c r="B178" s="5"/>
      <c r="C178" s="5"/>
      <c r="D178" s="102">
        <v>2022</v>
      </c>
      <c r="E178" s="5"/>
      <c r="F178" s="5"/>
    </row>
    <row r="179" spans="2:6" x14ac:dyDescent="0.25">
      <c r="B179" s="5"/>
      <c r="C179" s="5"/>
      <c r="D179" s="102">
        <v>2022</v>
      </c>
      <c r="E179" s="5"/>
      <c r="F179" s="5"/>
    </row>
    <row r="180" spans="2:6" x14ac:dyDescent="0.25">
      <c r="B180" s="5"/>
      <c r="C180" s="5"/>
      <c r="D180" s="102">
        <v>2022</v>
      </c>
      <c r="E180" s="5"/>
      <c r="F180" s="5"/>
    </row>
    <row r="181" spans="2:6" x14ac:dyDescent="0.25">
      <c r="B181" s="5"/>
      <c r="C181" s="5"/>
      <c r="D181" s="102">
        <v>2022</v>
      </c>
      <c r="E181" s="5"/>
      <c r="F181" s="5"/>
    </row>
    <row r="182" spans="2:6" x14ac:dyDescent="0.25">
      <c r="B182" s="5"/>
      <c r="C182" s="5"/>
      <c r="D182" s="102">
        <v>2022</v>
      </c>
      <c r="E182" s="5"/>
      <c r="F182" s="5"/>
    </row>
    <row r="183" spans="2:6" x14ac:dyDescent="0.25">
      <c r="B183" s="5"/>
      <c r="C183" s="5"/>
      <c r="D183" s="102">
        <v>2022</v>
      </c>
      <c r="E183" s="5"/>
      <c r="F183" s="5"/>
    </row>
    <row r="184" spans="2:6" x14ac:dyDescent="0.25">
      <c r="B184" s="5"/>
      <c r="C184" s="5"/>
      <c r="D184" s="102">
        <v>2022</v>
      </c>
      <c r="E184" s="5"/>
      <c r="F184" s="5"/>
    </row>
    <row r="185" spans="2:6" x14ac:dyDescent="0.25">
      <c r="B185" s="5"/>
      <c r="C185" s="5"/>
      <c r="D185" s="102">
        <v>2022</v>
      </c>
      <c r="E185" s="5"/>
      <c r="F185" s="5"/>
    </row>
    <row r="186" spans="2:6" x14ac:dyDescent="0.25">
      <c r="B186" s="5"/>
      <c r="C186" s="5"/>
      <c r="D186" s="102">
        <v>2022</v>
      </c>
      <c r="E186" s="5"/>
      <c r="F186" s="5"/>
    </row>
    <row r="187" spans="2:6" x14ac:dyDescent="0.25">
      <c r="B187" s="5"/>
      <c r="C187" s="5"/>
      <c r="D187" s="102">
        <v>2022</v>
      </c>
      <c r="E187" s="5"/>
      <c r="F187" s="5"/>
    </row>
    <row r="188" spans="2:6" x14ac:dyDescent="0.25">
      <c r="B188" s="5"/>
      <c r="C188" s="5"/>
      <c r="D188" s="102">
        <v>2022</v>
      </c>
      <c r="E188" s="5"/>
      <c r="F188" s="5"/>
    </row>
    <row r="189" spans="2:6" x14ac:dyDescent="0.25">
      <c r="B189" s="5"/>
      <c r="C189" s="5"/>
      <c r="D189" s="102">
        <v>2022</v>
      </c>
      <c r="E189" s="5"/>
      <c r="F189" s="5"/>
    </row>
    <row r="190" spans="2:6" x14ac:dyDescent="0.25">
      <c r="B190" s="5"/>
      <c r="C190" s="5"/>
      <c r="D190" s="102">
        <v>2022</v>
      </c>
      <c r="E190" s="5"/>
      <c r="F190" s="5"/>
    </row>
    <row r="191" spans="2:6" x14ac:dyDescent="0.25">
      <c r="B191" s="5"/>
      <c r="C191" s="5"/>
      <c r="D191" s="102">
        <v>2022</v>
      </c>
      <c r="E191" s="5"/>
      <c r="F191" s="5"/>
    </row>
    <row r="192" spans="2:6" x14ac:dyDescent="0.25">
      <c r="B192" s="5"/>
      <c r="C192" s="5"/>
      <c r="D192" s="102">
        <v>2022</v>
      </c>
      <c r="E192" s="5"/>
      <c r="F192" s="5"/>
    </row>
    <row r="193" spans="2:6" x14ac:dyDescent="0.25">
      <c r="B193" s="5"/>
      <c r="C193" s="5"/>
      <c r="D193" s="102">
        <v>2022</v>
      </c>
      <c r="E193" s="5"/>
      <c r="F193" s="5"/>
    </row>
    <row r="194" spans="2:6" x14ac:dyDescent="0.25">
      <c r="B194" s="5"/>
      <c r="C194" s="5"/>
      <c r="D194" s="102">
        <v>2022</v>
      </c>
      <c r="E194" s="5"/>
      <c r="F194" s="5"/>
    </row>
    <row r="195" spans="2:6" x14ac:dyDescent="0.25">
      <c r="B195" s="5"/>
      <c r="C195" s="5"/>
      <c r="D195" s="102">
        <v>2022</v>
      </c>
      <c r="E195" s="5"/>
      <c r="F195" s="5"/>
    </row>
    <row r="196" spans="2:6" x14ac:dyDescent="0.25">
      <c r="B196" s="5"/>
      <c r="C196" s="5"/>
      <c r="D196" s="102">
        <v>2022</v>
      </c>
      <c r="E196" s="5"/>
      <c r="F196" s="5"/>
    </row>
    <row r="197" spans="2:6" x14ac:dyDescent="0.25">
      <c r="B197" s="5"/>
      <c r="C197" s="5"/>
      <c r="D197" s="102">
        <v>2022</v>
      </c>
      <c r="E197" s="5"/>
      <c r="F197" s="5"/>
    </row>
    <row r="198" spans="2:6" x14ac:dyDescent="0.25">
      <c r="B198" s="5"/>
      <c r="C198" s="5"/>
      <c r="D198" s="102">
        <v>2022</v>
      </c>
      <c r="E198" s="5"/>
      <c r="F198" s="5"/>
    </row>
    <row r="199" spans="2:6" x14ac:dyDescent="0.25">
      <c r="B199" s="5"/>
      <c r="C199" s="5"/>
      <c r="D199" s="102">
        <v>2022</v>
      </c>
      <c r="E199" s="5"/>
      <c r="F199" s="5"/>
    </row>
    <row r="200" spans="2:6" x14ac:dyDescent="0.25">
      <c r="B200" s="5"/>
      <c r="C200" s="5"/>
      <c r="D200" s="102">
        <v>2022</v>
      </c>
      <c r="E200" s="5"/>
      <c r="F200" s="5"/>
    </row>
    <row r="201" spans="2:6" x14ac:dyDescent="0.25">
      <c r="B201" s="5"/>
      <c r="C201" s="5"/>
      <c r="D201" s="102">
        <v>2022</v>
      </c>
      <c r="E201" s="5"/>
      <c r="F201" s="5"/>
    </row>
    <row r="202" spans="2:6" x14ac:dyDescent="0.25">
      <c r="B202" s="5"/>
      <c r="C202" s="5"/>
      <c r="D202" s="102">
        <v>2022</v>
      </c>
      <c r="E202" s="5"/>
      <c r="F202" s="5"/>
    </row>
    <row r="203" spans="2:6" x14ac:dyDescent="0.25">
      <c r="B203" s="5"/>
      <c r="C203" s="5"/>
      <c r="D203" s="102">
        <v>2022</v>
      </c>
      <c r="E203" s="5"/>
      <c r="F203" s="5"/>
    </row>
    <row r="204" spans="2:6" x14ac:dyDescent="0.25">
      <c r="B204" s="5"/>
      <c r="C204" s="5"/>
      <c r="D204" s="102">
        <v>2022</v>
      </c>
      <c r="E204" s="5"/>
      <c r="F204" s="5"/>
    </row>
    <row r="205" spans="2:6" x14ac:dyDescent="0.25">
      <c r="B205" s="5"/>
      <c r="C205" s="5"/>
      <c r="D205" s="102">
        <v>2022</v>
      </c>
      <c r="E205" s="5"/>
      <c r="F205" s="5"/>
    </row>
    <row r="206" spans="2:6" x14ac:dyDescent="0.25">
      <c r="B206" s="5"/>
      <c r="C206" s="5"/>
      <c r="D206" s="102">
        <v>2022</v>
      </c>
      <c r="E206" s="5"/>
      <c r="F206" s="5"/>
    </row>
    <row r="207" spans="2:6" x14ac:dyDescent="0.25">
      <c r="B207" s="5"/>
      <c r="C207" s="5"/>
      <c r="D207" s="102">
        <v>2022</v>
      </c>
      <c r="E207" s="5"/>
      <c r="F207" s="5"/>
    </row>
    <row r="208" spans="2:6" x14ac:dyDescent="0.25">
      <c r="B208" s="5"/>
      <c r="C208" s="5"/>
      <c r="D208" s="102">
        <v>2022</v>
      </c>
      <c r="E208" s="5"/>
      <c r="F208" s="5"/>
    </row>
    <row r="209" spans="2:6" x14ac:dyDescent="0.25">
      <c r="B209" s="5"/>
      <c r="C209" s="5"/>
      <c r="D209" s="102">
        <v>2022</v>
      </c>
      <c r="E209" s="5"/>
      <c r="F209" s="5"/>
    </row>
    <row r="210" spans="2:6" x14ac:dyDescent="0.25">
      <c r="B210" s="5"/>
      <c r="C210" s="5"/>
      <c r="D210" s="102">
        <v>2022</v>
      </c>
      <c r="E210" s="5"/>
      <c r="F210" s="5"/>
    </row>
    <row r="211" spans="2:6" x14ac:dyDescent="0.25">
      <c r="B211" s="5"/>
      <c r="C211" s="5"/>
      <c r="D211" s="102">
        <v>2022</v>
      </c>
      <c r="E211" s="5"/>
      <c r="F211" s="5"/>
    </row>
    <row r="212" spans="2:6" x14ac:dyDescent="0.25">
      <c r="B212" s="5"/>
      <c r="C212" s="5"/>
      <c r="D212" s="102">
        <v>2022</v>
      </c>
      <c r="E212" s="5"/>
      <c r="F212" s="5"/>
    </row>
    <row r="213" spans="2:6" x14ac:dyDescent="0.25">
      <c r="B213" s="5"/>
      <c r="C213" s="5"/>
      <c r="D213" s="102">
        <v>2022</v>
      </c>
      <c r="E213" s="5"/>
      <c r="F213" s="5"/>
    </row>
    <row r="214" spans="2:6" x14ac:dyDescent="0.25">
      <c r="B214" s="5"/>
      <c r="C214" s="5"/>
      <c r="D214" s="102">
        <v>2022</v>
      </c>
      <c r="E214" s="5"/>
      <c r="F214" s="5"/>
    </row>
    <row r="215" spans="2:6" x14ac:dyDescent="0.25">
      <c r="B215" s="5"/>
      <c r="C215" s="5"/>
      <c r="D215" s="102">
        <v>2022</v>
      </c>
      <c r="E215" s="5"/>
      <c r="F215" s="5"/>
    </row>
    <row r="216" spans="2:6" x14ac:dyDescent="0.25">
      <c r="B216" s="5"/>
      <c r="C216" s="5"/>
      <c r="D216" s="102">
        <v>2022</v>
      </c>
      <c r="E216" s="5"/>
      <c r="F216" s="5"/>
    </row>
    <row r="217" spans="2:6" x14ac:dyDescent="0.25">
      <c r="B217" s="5"/>
      <c r="C217" s="5"/>
      <c r="D217" s="102">
        <v>2022</v>
      </c>
      <c r="E217" s="5"/>
      <c r="F217" s="5"/>
    </row>
    <row r="218" spans="2:6" x14ac:dyDescent="0.25">
      <c r="B218" s="5"/>
      <c r="C218" s="5"/>
      <c r="D218" s="102">
        <v>2022</v>
      </c>
      <c r="E218" s="5"/>
      <c r="F218" s="5"/>
    </row>
    <row r="219" spans="2:6" x14ac:dyDescent="0.25">
      <c r="B219" s="5"/>
      <c r="C219" s="5"/>
      <c r="D219" s="102">
        <v>2022</v>
      </c>
      <c r="E219" s="5"/>
      <c r="F219" s="5"/>
    </row>
    <row r="220" spans="2:6" x14ac:dyDescent="0.25">
      <c r="B220" s="5"/>
      <c r="C220" s="5"/>
      <c r="D220" s="102">
        <v>2022</v>
      </c>
      <c r="E220" s="5"/>
      <c r="F220" s="5"/>
    </row>
    <row r="221" spans="2:6" x14ac:dyDescent="0.25">
      <c r="B221" s="5"/>
      <c r="C221" s="5"/>
      <c r="D221" s="102">
        <v>2022</v>
      </c>
      <c r="E221" s="5"/>
      <c r="F221" s="5"/>
    </row>
    <row r="222" spans="2:6" x14ac:dyDescent="0.25">
      <c r="B222" s="5"/>
      <c r="C222" s="5"/>
      <c r="D222" s="102">
        <v>2022</v>
      </c>
      <c r="E222" s="5"/>
      <c r="F222" s="5"/>
    </row>
    <row r="223" spans="2:6" x14ac:dyDescent="0.25">
      <c r="B223" s="5"/>
      <c r="C223" s="5"/>
      <c r="D223" s="102">
        <v>2022</v>
      </c>
      <c r="E223" s="5"/>
      <c r="F223" s="5"/>
    </row>
    <row r="224" spans="2:6" x14ac:dyDescent="0.25">
      <c r="B224" s="5"/>
      <c r="C224" s="5"/>
      <c r="D224" s="102">
        <v>2022</v>
      </c>
      <c r="E224" s="5"/>
      <c r="F224" s="5"/>
    </row>
    <row r="225" spans="2:6" x14ac:dyDescent="0.25">
      <c r="B225" s="5"/>
      <c r="C225" s="5"/>
      <c r="D225" s="102">
        <v>2022</v>
      </c>
      <c r="E225" s="5"/>
      <c r="F225" s="5"/>
    </row>
    <row r="226" spans="2:6" x14ac:dyDescent="0.25">
      <c r="B226" s="5"/>
      <c r="C226" s="5"/>
      <c r="D226" s="102">
        <v>2022</v>
      </c>
      <c r="E226" s="5"/>
      <c r="F226" s="5"/>
    </row>
    <row r="227" spans="2:6" x14ac:dyDescent="0.25">
      <c r="B227" s="5"/>
      <c r="C227" s="5"/>
      <c r="D227" s="102">
        <v>2022</v>
      </c>
      <c r="E227" s="5"/>
      <c r="F227" s="5"/>
    </row>
    <row r="228" spans="2:6" x14ac:dyDescent="0.25">
      <c r="B228" s="5"/>
      <c r="C228" s="5"/>
      <c r="D228" s="102">
        <v>2022</v>
      </c>
      <c r="E228" s="5"/>
      <c r="F228" s="5"/>
    </row>
    <row r="229" spans="2:6" x14ac:dyDescent="0.25">
      <c r="B229" s="5"/>
      <c r="C229" s="5"/>
      <c r="D229" s="102">
        <v>2022</v>
      </c>
      <c r="E229" s="5"/>
      <c r="F229" s="5"/>
    </row>
    <row r="230" spans="2:6" x14ac:dyDescent="0.25">
      <c r="B230" s="5"/>
      <c r="C230" s="5"/>
      <c r="D230" s="102">
        <v>2022</v>
      </c>
      <c r="E230" s="5"/>
      <c r="F230" s="5"/>
    </row>
    <row r="231" spans="2:6" x14ac:dyDescent="0.25">
      <c r="B231" s="5"/>
      <c r="C231" s="5"/>
      <c r="D231" s="102">
        <v>2022</v>
      </c>
      <c r="E231" s="5"/>
      <c r="F231" s="5"/>
    </row>
    <row r="232" spans="2:6" x14ac:dyDescent="0.25">
      <c r="B232" s="5"/>
      <c r="C232" s="5"/>
      <c r="D232" s="102">
        <v>2022</v>
      </c>
      <c r="E232" s="5"/>
      <c r="F232" s="5"/>
    </row>
    <row r="233" spans="2:6" x14ac:dyDescent="0.25">
      <c r="B233" s="5"/>
      <c r="C233" s="5"/>
      <c r="D233" s="102">
        <v>2022</v>
      </c>
      <c r="E233" s="5"/>
      <c r="F233" s="5"/>
    </row>
    <row r="234" spans="2:6" x14ac:dyDescent="0.25">
      <c r="B234" s="5"/>
      <c r="C234" s="5"/>
      <c r="D234" s="102">
        <v>2022</v>
      </c>
      <c r="E234" s="5"/>
      <c r="F234" s="5"/>
    </row>
    <row r="235" spans="2:6" x14ac:dyDescent="0.25">
      <c r="B235" s="5"/>
      <c r="C235" s="5"/>
      <c r="D235" s="102">
        <v>2022</v>
      </c>
      <c r="E235" s="5"/>
      <c r="F235" s="5"/>
    </row>
    <row r="236" spans="2:6" x14ac:dyDescent="0.25">
      <c r="B236" s="5"/>
      <c r="C236" s="5"/>
      <c r="D236" s="102">
        <v>2022</v>
      </c>
      <c r="E236" s="5"/>
      <c r="F236" s="5"/>
    </row>
    <row r="237" spans="2:6" x14ac:dyDescent="0.25">
      <c r="B237" s="5"/>
      <c r="C237" s="5"/>
      <c r="D237" s="102">
        <v>2022</v>
      </c>
      <c r="E237" s="5"/>
      <c r="F237" s="5"/>
    </row>
    <row r="238" spans="2:6" x14ac:dyDescent="0.25">
      <c r="B238" s="5"/>
      <c r="C238" s="5"/>
      <c r="D238" s="102">
        <v>2022</v>
      </c>
      <c r="E238" s="5"/>
      <c r="F238" s="5"/>
    </row>
    <row r="239" spans="2:6" x14ac:dyDescent="0.25">
      <c r="B239" s="5"/>
      <c r="C239" s="5"/>
      <c r="D239" s="102">
        <v>2022</v>
      </c>
      <c r="E239" s="5"/>
      <c r="F239" s="5"/>
    </row>
    <row r="240" spans="2:6" x14ac:dyDescent="0.25">
      <c r="B240" s="5"/>
      <c r="C240" s="5"/>
      <c r="D240" s="102">
        <v>2022</v>
      </c>
      <c r="E240" s="5"/>
      <c r="F240" s="5"/>
    </row>
    <row r="241" spans="2:6" x14ac:dyDescent="0.25">
      <c r="B241" s="5"/>
      <c r="C241" s="5"/>
      <c r="D241" s="102">
        <v>2022</v>
      </c>
      <c r="E241" s="5"/>
      <c r="F241" s="5"/>
    </row>
    <row r="242" spans="2:6" x14ac:dyDescent="0.25">
      <c r="B242" s="5"/>
      <c r="C242" s="5"/>
      <c r="D242" s="102">
        <v>2022</v>
      </c>
      <c r="E242" s="5"/>
      <c r="F242" s="5"/>
    </row>
    <row r="243" spans="2:6" x14ac:dyDescent="0.25">
      <c r="B243" s="5"/>
      <c r="C243" s="5"/>
      <c r="D243" s="102">
        <v>2022</v>
      </c>
      <c r="E243" s="5"/>
      <c r="F243" s="5"/>
    </row>
    <row r="244" spans="2:6" x14ac:dyDescent="0.25">
      <c r="B244" s="5"/>
      <c r="C244" s="5"/>
      <c r="D244" s="102">
        <v>2022</v>
      </c>
      <c r="E244" s="5"/>
      <c r="F244" s="5"/>
    </row>
    <row r="245" spans="2:6" x14ac:dyDescent="0.25">
      <c r="B245" s="5"/>
      <c r="C245" s="5"/>
      <c r="D245" s="102">
        <v>2022</v>
      </c>
      <c r="E245" s="5"/>
      <c r="F245" s="5"/>
    </row>
    <row r="246" spans="2:6" x14ac:dyDescent="0.25">
      <c r="B246" s="5"/>
      <c r="C246" s="5"/>
      <c r="D246" s="102">
        <v>2022</v>
      </c>
      <c r="E246" s="5"/>
      <c r="F246" s="5"/>
    </row>
    <row r="247" spans="2:6" x14ac:dyDescent="0.25">
      <c r="B247" s="5"/>
      <c r="C247" s="5"/>
      <c r="D247" s="102">
        <v>2022</v>
      </c>
      <c r="E247" s="5"/>
      <c r="F247" s="5"/>
    </row>
    <row r="248" spans="2:6" x14ac:dyDescent="0.25">
      <c r="B248" s="5"/>
      <c r="C248" s="5"/>
      <c r="D248" s="102">
        <v>2022</v>
      </c>
      <c r="E248" s="5"/>
      <c r="F248" s="5"/>
    </row>
    <row r="249" spans="2:6" x14ac:dyDescent="0.25">
      <c r="B249" s="5"/>
      <c r="C249" s="5"/>
      <c r="D249" s="102">
        <v>2022</v>
      </c>
      <c r="E249" s="5"/>
      <c r="F249" s="5"/>
    </row>
    <row r="250" spans="2:6" x14ac:dyDescent="0.25">
      <c r="B250" s="5"/>
      <c r="C250" s="5"/>
      <c r="D250" s="102">
        <v>2022</v>
      </c>
      <c r="E250" s="5"/>
      <c r="F250" s="5"/>
    </row>
    <row r="251" spans="2:6" x14ac:dyDescent="0.25">
      <c r="B251" s="5"/>
      <c r="C251" s="5"/>
      <c r="D251" s="102">
        <v>2022</v>
      </c>
      <c r="E251" s="5"/>
      <c r="F251" s="5"/>
    </row>
    <row r="252" spans="2:6" x14ac:dyDescent="0.25">
      <c r="B252" s="5"/>
      <c r="C252" s="5"/>
      <c r="D252" s="102">
        <v>2022</v>
      </c>
      <c r="E252" s="5"/>
      <c r="F252" s="5"/>
    </row>
    <row r="253" spans="2:6" x14ac:dyDescent="0.25">
      <c r="B253" s="5"/>
      <c r="C253" s="5"/>
      <c r="D253" s="102">
        <v>2022</v>
      </c>
      <c r="E253" s="5"/>
      <c r="F253" s="5"/>
    </row>
    <row r="254" spans="2:6" x14ac:dyDescent="0.25">
      <c r="B254" s="5"/>
      <c r="C254" s="5"/>
      <c r="D254" s="102">
        <v>2022</v>
      </c>
      <c r="E254" s="5"/>
      <c r="F254" s="5"/>
    </row>
    <row r="255" spans="2:6" x14ac:dyDescent="0.25">
      <c r="B255" s="5"/>
      <c r="C255" s="5"/>
      <c r="D255" s="102">
        <v>2022</v>
      </c>
      <c r="E255" s="5"/>
      <c r="F255" s="5"/>
    </row>
    <row r="256" spans="2:6" x14ac:dyDescent="0.25">
      <c r="B256" s="5"/>
      <c r="C256" s="5"/>
      <c r="D256" s="102">
        <v>2022</v>
      </c>
      <c r="E256" s="5"/>
      <c r="F256" s="5"/>
    </row>
    <row r="257" spans="2:6" x14ac:dyDescent="0.25">
      <c r="B257" s="5"/>
      <c r="C257" s="5"/>
      <c r="D257" s="102">
        <v>2022</v>
      </c>
      <c r="E257" s="5"/>
      <c r="F257" s="5"/>
    </row>
    <row r="258" spans="2:6" x14ac:dyDescent="0.25">
      <c r="B258" s="5"/>
      <c r="C258" s="5"/>
      <c r="D258" s="102">
        <v>2022</v>
      </c>
      <c r="E258" s="5"/>
      <c r="F258" s="5"/>
    </row>
    <row r="259" spans="2:6" x14ac:dyDescent="0.25">
      <c r="B259" s="5"/>
      <c r="C259" s="5"/>
      <c r="D259" s="102">
        <v>2022</v>
      </c>
      <c r="E259" s="5"/>
      <c r="F259" s="5"/>
    </row>
    <row r="260" spans="2:6" x14ac:dyDescent="0.25">
      <c r="B260" s="5"/>
      <c r="C260" s="5"/>
      <c r="D260" s="102">
        <v>2022</v>
      </c>
      <c r="E260" s="5"/>
      <c r="F260" s="5"/>
    </row>
    <row r="261" spans="2:6" x14ac:dyDescent="0.25">
      <c r="B261" s="5"/>
      <c r="C261" s="5"/>
      <c r="D261" s="102">
        <v>2022</v>
      </c>
      <c r="E261" s="5"/>
      <c r="F261" s="5"/>
    </row>
    <row r="262" spans="2:6" x14ac:dyDescent="0.25">
      <c r="B262" s="5"/>
      <c r="C262" s="5"/>
      <c r="D262" s="102">
        <v>2022</v>
      </c>
      <c r="E262" s="5"/>
      <c r="F262" s="5"/>
    </row>
    <row r="263" spans="2:6" x14ac:dyDescent="0.25">
      <c r="B263" s="5"/>
      <c r="C263" s="5"/>
      <c r="D263" s="102">
        <v>2022</v>
      </c>
      <c r="E263" s="5"/>
      <c r="F263" s="5"/>
    </row>
    <row r="264" spans="2:6" x14ac:dyDescent="0.25">
      <c r="B264" s="5"/>
      <c r="C264" s="5"/>
      <c r="D264" s="102">
        <v>2022</v>
      </c>
      <c r="E264" s="5"/>
      <c r="F264" s="5"/>
    </row>
    <row r="265" spans="2:6" x14ac:dyDescent="0.25">
      <c r="B265" s="5"/>
      <c r="C265" s="5"/>
      <c r="D265" s="102">
        <v>2022</v>
      </c>
      <c r="E265" s="5"/>
      <c r="F265" s="5"/>
    </row>
    <row r="266" spans="2:6" x14ac:dyDescent="0.25">
      <c r="B266" s="5"/>
      <c r="C266" s="5"/>
      <c r="D266" s="102">
        <v>2022</v>
      </c>
      <c r="E266" s="5"/>
      <c r="F266" s="5"/>
    </row>
    <row r="267" spans="2:6" x14ac:dyDescent="0.25">
      <c r="B267" s="5"/>
      <c r="C267" s="5"/>
      <c r="D267" s="102">
        <v>2022</v>
      </c>
      <c r="E267" s="5"/>
      <c r="F267" s="5"/>
    </row>
    <row r="268" spans="2:6" x14ac:dyDescent="0.25">
      <c r="B268" s="5"/>
      <c r="C268" s="5"/>
      <c r="D268" s="102">
        <v>2022</v>
      </c>
      <c r="E268" s="5"/>
      <c r="F268" s="5"/>
    </row>
    <row r="269" spans="2:6" x14ac:dyDescent="0.25">
      <c r="B269" s="5"/>
      <c r="C269" s="5"/>
      <c r="D269" s="102">
        <v>2022</v>
      </c>
      <c r="E269" s="5"/>
      <c r="F269" s="5"/>
    </row>
    <row r="270" spans="2:6" x14ac:dyDescent="0.25">
      <c r="B270" s="5"/>
      <c r="C270" s="5"/>
      <c r="D270" s="102">
        <v>2022</v>
      </c>
      <c r="E270" s="5"/>
      <c r="F270" s="5"/>
    </row>
    <row r="271" spans="2:6" x14ac:dyDescent="0.25">
      <c r="B271" s="5"/>
      <c r="C271" s="5"/>
      <c r="D271" s="102">
        <v>2022</v>
      </c>
      <c r="E271" s="5"/>
      <c r="F271" s="5"/>
    </row>
    <row r="272" spans="2:6" x14ac:dyDescent="0.25">
      <c r="B272" s="5"/>
      <c r="C272" s="5"/>
      <c r="D272" s="102">
        <v>2022</v>
      </c>
      <c r="E272" s="5"/>
      <c r="F272" s="5"/>
    </row>
    <row r="273" spans="2:6" x14ac:dyDescent="0.25">
      <c r="B273" s="5"/>
      <c r="C273" s="5"/>
      <c r="D273" s="102">
        <v>2022</v>
      </c>
      <c r="E273" s="5"/>
      <c r="F273" s="5"/>
    </row>
    <row r="274" spans="2:6" x14ac:dyDescent="0.25">
      <c r="B274" s="5"/>
      <c r="C274" s="5"/>
      <c r="D274" s="102">
        <v>2022</v>
      </c>
      <c r="E274" s="5"/>
      <c r="F274" s="5"/>
    </row>
    <row r="275" spans="2:6" x14ac:dyDescent="0.25">
      <c r="B275" s="5"/>
      <c r="C275" s="5"/>
      <c r="D275" s="102">
        <v>2022</v>
      </c>
      <c r="E275" s="5"/>
      <c r="F275" s="5"/>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10"/>
  <sheetViews>
    <sheetView workbookViewId="0">
      <selection activeCell="J11" sqref="J11"/>
    </sheetView>
  </sheetViews>
  <sheetFormatPr defaultRowHeight="15" x14ac:dyDescent="0.25"/>
  <cols>
    <col min="1" max="1" width="41.85546875" bestFit="1" customWidth="1"/>
    <col min="2" max="2" width="19.140625" bestFit="1" customWidth="1"/>
  </cols>
  <sheetData>
    <row r="1" spans="1:2" x14ac:dyDescent="0.25">
      <c r="A1" s="91" t="s">
        <v>223</v>
      </c>
      <c r="B1" t="s" vm="2">
        <v>777</v>
      </c>
    </row>
    <row r="2" spans="1:2" x14ac:dyDescent="0.25">
      <c r="A2" s="91" t="s">
        <v>178</v>
      </c>
      <c r="B2" t="s" vm="3">
        <v>777</v>
      </c>
    </row>
    <row r="4" spans="1:2" x14ac:dyDescent="0.25">
      <c r="A4" s="91" t="s">
        <v>541</v>
      </c>
      <c r="B4" t="s">
        <v>939</v>
      </c>
    </row>
    <row r="5" spans="1:2" x14ac:dyDescent="0.25">
      <c r="A5" s="92" t="s">
        <v>625</v>
      </c>
      <c r="B5" s="178">
        <v>0.78179876899886946</v>
      </c>
    </row>
    <row r="6" spans="1:2" x14ac:dyDescent="0.25">
      <c r="A6" s="92" t="s">
        <v>571</v>
      </c>
      <c r="B6" s="178">
        <v>9.0867981409370677E-2</v>
      </c>
    </row>
    <row r="7" spans="1:2" x14ac:dyDescent="0.25">
      <c r="A7" s="92" t="s">
        <v>748</v>
      </c>
      <c r="B7" s="178">
        <v>6.8521542519783943E-2</v>
      </c>
    </row>
    <row r="8" spans="1:2" x14ac:dyDescent="0.25">
      <c r="A8" s="92" t="s">
        <v>998</v>
      </c>
      <c r="B8" s="178">
        <v>4.9993719381987191E-2</v>
      </c>
    </row>
    <row r="9" spans="1:2" x14ac:dyDescent="0.25">
      <c r="A9" s="92" t="s">
        <v>1014</v>
      </c>
      <c r="B9" s="178">
        <v>8.8179876899886957E-3</v>
      </c>
    </row>
    <row r="10" spans="1:2" x14ac:dyDescent="0.25">
      <c r="A10" s="92" t="s">
        <v>407</v>
      </c>
      <c r="B10" s="178">
        <v>1</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1848"/>
  <sheetViews>
    <sheetView zoomScale="77" zoomScaleNormal="77" workbookViewId="0">
      <selection activeCell="G6" sqref="G6"/>
    </sheetView>
  </sheetViews>
  <sheetFormatPr defaultRowHeight="15" x14ac:dyDescent="0.25"/>
  <cols>
    <col min="5" max="5" width="15.85546875" bestFit="1" customWidth="1"/>
    <col min="6" max="6" width="14.5703125" customWidth="1"/>
    <col min="7" max="7" width="40.140625" customWidth="1"/>
    <col min="8" max="8" width="40.140625" style="92" customWidth="1"/>
    <col min="9" max="9" width="12.42578125" customWidth="1"/>
    <col min="10" max="10" width="11" customWidth="1"/>
    <col min="11" max="12" width="13.140625" style="1" customWidth="1"/>
    <col min="13" max="13" width="14.7109375" bestFit="1" customWidth="1"/>
    <col min="14" max="14" width="16" customWidth="1"/>
    <col min="15" max="15" width="24.42578125" customWidth="1"/>
    <col min="16" max="16" width="22.42578125" customWidth="1"/>
    <col min="19" max="19" width="12.42578125" bestFit="1" customWidth="1"/>
    <col min="25" max="25" width="16.7109375" bestFit="1" customWidth="1"/>
  </cols>
  <sheetData>
    <row r="1" spans="1:16" x14ac:dyDescent="0.25">
      <c r="A1" s="2"/>
      <c r="B1" s="2" t="s">
        <v>42</v>
      </c>
      <c r="C1" s="2" t="s">
        <v>178</v>
      </c>
      <c r="D1" s="2" t="s">
        <v>179</v>
      </c>
      <c r="E1" s="2" t="s">
        <v>0</v>
      </c>
      <c r="F1" s="2" t="s">
        <v>3</v>
      </c>
      <c r="G1" s="2" t="s">
        <v>14</v>
      </c>
      <c r="H1" s="179" t="s">
        <v>964</v>
      </c>
      <c r="I1" s="2" t="s">
        <v>499</v>
      </c>
      <c r="J1" s="2" t="s">
        <v>43</v>
      </c>
      <c r="K1" s="51" t="s">
        <v>223</v>
      </c>
      <c r="L1" s="51" t="s">
        <v>520</v>
      </c>
      <c r="M1" s="2" t="s">
        <v>567</v>
      </c>
      <c r="N1" s="2" t="s">
        <v>609</v>
      </c>
      <c r="O1" s="2" t="s">
        <v>615</v>
      </c>
      <c r="P1" s="159" t="s">
        <v>888</v>
      </c>
    </row>
    <row r="2" spans="1:16" ht="15" customHeight="1" x14ac:dyDescent="0.25">
      <c r="B2" s="5">
        <v>44593</v>
      </c>
      <c r="C2" s="5" t="s">
        <v>177</v>
      </c>
      <c r="D2" s="35">
        <v>2022</v>
      </c>
      <c r="E2" t="s">
        <v>1</v>
      </c>
      <c r="F2" t="s">
        <v>4</v>
      </c>
      <c r="G2" s="24" t="s">
        <v>192</v>
      </c>
      <c r="H2" s="24" t="s">
        <v>976</v>
      </c>
      <c r="I2" s="24"/>
      <c r="J2" s="46">
        <v>2700</v>
      </c>
      <c r="K2" s="50" t="s">
        <v>75</v>
      </c>
      <c r="L2" s="46">
        <v>2700</v>
      </c>
      <c r="M2" s="46"/>
    </row>
    <row r="3" spans="1:16" ht="15" customHeight="1" x14ac:dyDescent="0.25">
      <c r="B3" s="5">
        <v>44593</v>
      </c>
      <c r="C3" s="5" t="s">
        <v>177</v>
      </c>
      <c r="D3" s="35">
        <v>2022</v>
      </c>
      <c r="E3" t="s">
        <v>1</v>
      </c>
      <c r="F3" t="s">
        <v>5</v>
      </c>
      <c r="G3" s="24" t="s">
        <v>120</v>
      </c>
      <c r="H3" s="24" t="s">
        <v>968</v>
      </c>
      <c r="I3" s="24"/>
      <c r="J3" s="46">
        <v>4295</v>
      </c>
      <c r="K3" s="50" t="s">
        <v>75</v>
      </c>
      <c r="L3" s="46">
        <v>4295</v>
      </c>
      <c r="M3" s="46"/>
    </row>
    <row r="4" spans="1:16" ht="15" customHeight="1" x14ac:dyDescent="0.25">
      <c r="B4" s="5">
        <v>44593</v>
      </c>
      <c r="C4" s="5" t="s">
        <v>177</v>
      </c>
      <c r="D4" s="35">
        <v>2022</v>
      </c>
      <c r="E4" t="s">
        <v>1</v>
      </c>
      <c r="F4" t="s">
        <v>5</v>
      </c>
      <c r="G4" t="s">
        <v>125</v>
      </c>
      <c r="H4" s="92" t="s">
        <v>971</v>
      </c>
      <c r="J4" s="46">
        <v>500</v>
      </c>
      <c r="K4" s="50" t="s">
        <v>75</v>
      </c>
      <c r="L4" s="46">
        <v>500</v>
      </c>
      <c r="M4" s="46"/>
    </row>
    <row r="5" spans="1:16" ht="15" customHeight="1" x14ac:dyDescent="0.25">
      <c r="B5" s="5">
        <v>44593</v>
      </c>
      <c r="C5" s="5" t="s">
        <v>177</v>
      </c>
      <c r="D5" s="35">
        <v>2022</v>
      </c>
      <c r="E5" t="s">
        <v>1</v>
      </c>
      <c r="F5" t="s">
        <v>7</v>
      </c>
      <c r="G5" t="s">
        <v>50</v>
      </c>
      <c r="H5" s="92" t="s">
        <v>969</v>
      </c>
      <c r="J5" s="46">
        <v>4980</v>
      </c>
      <c r="K5" s="50" t="s">
        <v>75</v>
      </c>
      <c r="L5" s="46">
        <v>4980</v>
      </c>
      <c r="M5" s="46"/>
    </row>
    <row r="6" spans="1:16" ht="15" customHeight="1" x14ac:dyDescent="0.25">
      <c r="B6" s="5">
        <v>44593</v>
      </c>
      <c r="C6" s="5" t="s">
        <v>177</v>
      </c>
      <c r="D6" s="35">
        <v>2022</v>
      </c>
      <c r="E6" t="s">
        <v>1</v>
      </c>
      <c r="F6" t="s">
        <v>7</v>
      </c>
      <c r="G6" t="s">
        <v>96</v>
      </c>
      <c r="H6" s="92" t="s">
        <v>967</v>
      </c>
      <c r="J6" s="46">
        <v>2400</v>
      </c>
      <c r="K6" s="50" t="s">
        <v>75</v>
      </c>
      <c r="L6" s="46">
        <v>2400</v>
      </c>
      <c r="M6" s="46"/>
    </row>
    <row r="7" spans="1:16" ht="15" customHeight="1" x14ac:dyDescent="0.25">
      <c r="B7" s="5">
        <v>44593</v>
      </c>
      <c r="C7" s="5" t="s">
        <v>177</v>
      </c>
      <c r="D7" s="35">
        <v>2022</v>
      </c>
      <c r="E7" t="s">
        <v>1</v>
      </c>
      <c r="F7" t="s">
        <v>7</v>
      </c>
      <c r="G7" t="s">
        <v>62</v>
      </c>
      <c r="H7" s="92" t="s">
        <v>980</v>
      </c>
      <c r="J7" s="46">
        <v>210</v>
      </c>
      <c r="K7" s="50" t="s">
        <v>75</v>
      </c>
      <c r="L7" s="46">
        <v>210</v>
      </c>
      <c r="M7" s="46"/>
    </row>
    <row r="8" spans="1:16" ht="15" customHeight="1" x14ac:dyDescent="0.25">
      <c r="B8" s="5">
        <v>44593</v>
      </c>
      <c r="C8" s="5" t="s">
        <v>177</v>
      </c>
      <c r="D8" s="35">
        <v>2022</v>
      </c>
      <c r="E8" t="s">
        <v>1</v>
      </c>
      <c r="F8" t="s">
        <v>8</v>
      </c>
      <c r="G8" s="24" t="s">
        <v>192</v>
      </c>
      <c r="H8" s="24" t="s">
        <v>976</v>
      </c>
      <c r="I8" s="24"/>
      <c r="J8" s="46">
        <v>1350</v>
      </c>
      <c r="K8" s="50" t="s">
        <v>75</v>
      </c>
      <c r="L8" s="46">
        <v>1350</v>
      </c>
      <c r="M8" s="46"/>
    </row>
    <row r="9" spans="1:16" ht="15" customHeight="1" x14ac:dyDescent="0.25">
      <c r="B9" s="5">
        <v>44593</v>
      </c>
      <c r="C9" s="5" t="s">
        <v>177</v>
      </c>
      <c r="D9" s="35">
        <v>2022</v>
      </c>
      <c r="E9" t="s">
        <v>1</v>
      </c>
      <c r="F9" t="s">
        <v>9</v>
      </c>
      <c r="G9" t="s">
        <v>45</v>
      </c>
      <c r="H9" s="92" t="s">
        <v>965</v>
      </c>
      <c r="J9" s="46">
        <v>1360</v>
      </c>
      <c r="K9" s="50" t="s">
        <v>75</v>
      </c>
      <c r="L9" s="46">
        <v>1360</v>
      </c>
      <c r="M9" s="46"/>
    </row>
    <row r="10" spans="1:16" ht="15" customHeight="1" x14ac:dyDescent="0.25">
      <c r="B10" s="5">
        <v>44593</v>
      </c>
      <c r="C10" s="5" t="s">
        <v>177</v>
      </c>
      <c r="D10" s="35">
        <v>2022</v>
      </c>
      <c r="E10" t="s">
        <v>1</v>
      </c>
      <c r="F10" t="s">
        <v>9</v>
      </c>
      <c r="G10" t="s">
        <v>122</v>
      </c>
      <c r="H10" s="92" t="s">
        <v>973</v>
      </c>
      <c r="J10" s="46">
        <v>260</v>
      </c>
      <c r="K10" s="50" t="s">
        <v>75</v>
      </c>
      <c r="L10" s="46">
        <v>260</v>
      </c>
      <c r="M10" s="46"/>
    </row>
    <row r="11" spans="1:16" ht="15" customHeight="1" x14ac:dyDescent="0.25">
      <c r="B11" s="5">
        <v>44593</v>
      </c>
      <c r="C11" s="5" t="s">
        <v>177</v>
      </c>
      <c r="D11" s="35">
        <v>2022</v>
      </c>
      <c r="E11" t="s">
        <v>11</v>
      </c>
      <c r="F11" t="s">
        <v>12</v>
      </c>
      <c r="G11" t="s">
        <v>45</v>
      </c>
      <c r="H11" s="92" t="s">
        <v>965</v>
      </c>
      <c r="J11" s="46">
        <v>1390</v>
      </c>
      <c r="K11" s="50" t="s">
        <v>75</v>
      </c>
      <c r="L11" s="46">
        <v>1390</v>
      </c>
      <c r="M11" s="46"/>
    </row>
    <row r="12" spans="1:16" ht="15" customHeight="1" x14ac:dyDescent="0.25">
      <c r="B12" s="5">
        <v>44593</v>
      </c>
      <c r="C12" s="5" t="s">
        <v>177</v>
      </c>
      <c r="D12" s="35">
        <v>2022</v>
      </c>
      <c r="E12" t="s">
        <v>11</v>
      </c>
      <c r="F12" t="s">
        <v>13</v>
      </c>
      <c r="G12" s="24" t="s">
        <v>120</v>
      </c>
      <c r="H12" s="24" t="s">
        <v>968</v>
      </c>
      <c r="I12" s="24"/>
      <c r="J12" s="46">
        <v>4295</v>
      </c>
      <c r="K12" s="50" t="s">
        <v>75</v>
      </c>
      <c r="L12" s="46">
        <v>4295</v>
      </c>
      <c r="M12" s="46"/>
    </row>
    <row r="13" spans="1:16" ht="15" customHeight="1" x14ac:dyDescent="0.25">
      <c r="B13" s="5">
        <v>44593</v>
      </c>
      <c r="C13" s="5" t="s">
        <v>177</v>
      </c>
      <c r="D13" s="35">
        <v>2022</v>
      </c>
      <c r="E13" t="s">
        <v>16</v>
      </c>
      <c r="F13" t="s">
        <v>24</v>
      </c>
      <c r="G13" t="s">
        <v>58</v>
      </c>
      <c r="H13" s="92" t="s">
        <v>969</v>
      </c>
      <c r="J13" s="46">
        <v>2490</v>
      </c>
      <c r="K13" s="50" t="s">
        <v>75</v>
      </c>
      <c r="L13" s="46">
        <v>2490</v>
      </c>
      <c r="M13" s="46"/>
    </row>
    <row r="14" spans="1:16" ht="15" customHeight="1" x14ac:dyDescent="0.25">
      <c r="B14" s="5">
        <v>44593</v>
      </c>
      <c r="C14" s="5" t="s">
        <v>177</v>
      </c>
      <c r="D14" s="35">
        <v>2022</v>
      </c>
      <c r="E14" t="s">
        <v>16</v>
      </c>
      <c r="F14" t="s">
        <v>24</v>
      </c>
      <c r="G14" t="s">
        <v>50</v>
      </c>
      <c r="H14" s="92" t="s">
        <v>969</v>
      </c>
      <c r="J14" s="46">
        <v>2490</v>
      </c>
      <c r="K14" s="50" t="s">
        <v>75</v>
      </c>
      <c r="L14" s="46">
        <v>2490</v>
      </c>
      <c r="M14" s="46"/>
    </row>
    <row r="15" spans="1:16" ht="15" customHeight="1" x14ac:dyDescent="0.25">
      <c r="B15" s="5">
        <v>44593</v>
      </c>
      <c r="C15" s="5" t="s">
        <v>177</v>
      </c>
      <c r="D15" s="35">
        <v>2022</v>
      </c>
      <c r="E15" t="s">
        <v>16</v>
      </c>
      <c r="F15" t="s">
        <v>24</v>
      </c>
      <c r="G15" t="s">
        <v>96</v>
      </c>
      <c r="H15" s="92" t="s">
        <v>967</v>
      </c>
      <c r="J15" s="46">
        <v>2400</v>
      </c>
      <c r="K15" s="50" t="s">
        <v>75</v>
      </c>
      <c r="L15" s="46">
        <v>2400</v>
      </c>
      <c r="M15" s="46"/>
    </row>
    <row r="16" spans="1:16" ht="15" customHeight="1" x14ac:dyDescent="0.25">
      <c r="B16" s="5">
        <v>44593</v>
      </c>
      <c r="C16" s="5" t="s">
        <v>177</v>
      </c>
      <c r="D16" s="35">
        <v>2022</v>
      </c>
      <c r="E16" t="s">
        <v>16</v>
      </c>
      <c r="F16" t="s">
        <v>24</v>
      </c>
      <c r="G16" t="s">
        <v>18</v>
      </c>
      <c r="H16" s="92" t="s">
        <v>985</v>
      </c>
      <c r="J16" s="46">
        <v>2200</v>
      </c>
      <c r="K16" s="50" t="s">
        <v>75</v>
      </c>
      <c r="L16" s="46">
        <v>2200</v>
      </c>
      <c r="M16" s="46"/>
    </row>
    <row r="17" spans="2:13" ht="15" customHeight="1" x14ac:dyDescent="0.25">
      <c r="B17" s="5">
        <v>44593</v>
      </c>
      <c r="C17" s="5" t="s">
        <v>177</v>
      </c>
      <c r="D17" s="35">
        <v>2022</v>
      </c>
      <c r="E17" t="s">
        <v>19</v>
      </c>
      <c r="F17" t="s">
        <v>20</v>
      </c>
      <c r="G17" t="s">
        <v>58</v>
      </c>
      <c r="H17" s="92" t="s">
        <v>969</v>
      </c>
      <c r="J17" s="46">
        <v>2490</v>
      </c>
      <c r="K17" s="50" t="s">
        <v>75</v>
      </c>
      <c r="L17" s="46">
        <v>2490</v>
      </c>
      <c r="M17" s="46"/>
    </row>
    <row r="18" spans="2:13" ht="15" customHeight="1" x14ac:dyDescent="0.25">
      <c r="B18" s="5">
        <v>44593</v>
      </c>
      <c r="C18" s="5" t="s">
        <v>177</v>
      </c>
      <c r="D18" s="35">
        <v>2022</v>
      </c>
      <c r="E18" t="s">
        <v>19</v>
      </c>
      <c r="F18" t="s">
        <v>20</v>
      </c>
      <c r="G18" t="s">
        <v>122</v>
      </c>
      <c r="H18" s="92" t="s">
        <v>973</v>
      </c>
      <c r="J18" s="46">
        <v>260</v>
      </c>
      <c r="K18" s="50" t="s">
        <v>75</v>
      </c>
      <c r="L18" s="46">
        <v>260</v>
      </c>
      <c r="M18" s="46"/>
    </row>
    <row r="19" spans="2:13" ht="15" customHeight="1" x14ac:dyDescent="0.25">
      <c r="B19" s="5">
        <v>44593</v>
      </c>
      <c r="C19" s="5" t="s">
        <v>177</v>
      </c>
      <c r="D19" s="35">
        <v>2022</v>
      </c>
      <c r="E19" t="s">
        <v>19</v>
      </c>
      <c r="F19" t="s">
        <v>20</v>
      </c>
      <c r="G19" t="s">
        <v>121</v>
      </c>
      <c r="H19" s="92" t="s">
        <v>982</v>
      </c>
      <c r="J19" s="46">
        <v>230</v>
      </c>
      <c r="K19" s="50" t="s">
        <v>75</v>
      </c>
      <c r="L19" s="46">
        <v>230</v>
      </c>
      <c r="M19" s="46"/>
    </row>
    <row r="20" spans="2:13" ht="15" customHeight="1" x14ac:dyDescent="0.25">
      <c r="B20" s="5">
        <v>44593</v>
      </c>
      <c r="C20" s="5" t="s">
        <v>177</v>
      </c>
      <c r="D20" s="35">
        <v>2022</v>
      </c>
      <c r="E20" t="s">
        <v>19</v>
      </c>
      <c r="F20" t="s">
        <v>21</v>
      </c>
      <c r="G20" t="s">
        <v>50</v>
      </c>
      <c r="H20" s="92" t="s">
        <v>969</v>
      </c>
      <c r="J20" s="46">
        <v>2490</v>
      </c>
      <c r="K20" s="50" t="s">
        <v>75</v>
      </c>
      <c r="L20" s="46">
        <v>2490</v>
      </c>
      <c r="M20" s="46"/>
    </row>
    <row r="21" spans="2:13" ht="15" customHeight="1" x14ac:dyDescent="0.25">
      <c r="B21" s="5">
        <v>44593</v>
      </c>
      <c r="C21" s="5" t="s">
        <v>177</v>
      </c>
      <c r="D21" s="35">
        <v>2022</v>
      </c>
      <c r="E21" t="s">
        <v>22</v>
      </c>
      <c r="F21" t="s">
        <v>23</v>
      </c>
      <c r="G21" t="s">
        <v>45</v>
      </c>
      <c r="H21" s="92" t="s">
        <v>965</v>
      </c>
      <c r="J21" s="46">
        <v>2780</v>
      </c>
      <c r="K21" s="50" t="s">
        <v>75</v>
      </c>
      <c r="L21" s="46">
        <v>2780</v>
      </c>
      <c r="M21" s="46"/>
    </row>
    <row r="22" spans="2:13" ht="15" customHeight="1" x14ac:dyDescent="0.25">
      <c r="B22" s="5">
        <v>44594</v>
      </c>
      <c r="C22" s="5" t="s">
        <v>177</v>
      </c>
      <c r="D22" s="35">
        <v>2022</v>
      </c>
      <c r="E22" t="s">
        <v>11</v>
      </c>
      <c r="F22" t="s">
        <v>25</v>
      </c>
      <c r="G22" t="s">
        <v>45</v>
      </c>
      <c r="H22" s="92" t="s">
        <v>965</v>
      </c>
      <c r="J22" s="46">
        <v>1390</v>
      </c>
      <c r="K22" s="50" t="s">
        <v>75</v>
      </c>
      <c r="L22" s="46"/>
      <c r="M22" s="46"/>
    </row>
    <row r="23" spans="2:13" ht="15" customHeight="1" x14ac:dyDescent="0.25">
      <c r="B23" s="5">
        <v>44594</v>
      </c>
      <c r="C23" s="5" t="s">
        <v>177</v>
      </c>
      <c r="D23" s="35">
        <v>2022</v>
      </c>
      <c r="E23" t="s">
        <v>11</v>
      </c>
      <c r="F23" t="s">
        <v>27</v>
      </c>
      <c r="G23" t="s">
        <v>416</v>
      </c>
      <c r="H23" s="24" t="s">
        <v>968</v>
      </c>
      <c r="J23" s="46">
        <v>4370</v>
      </c>
      <c r="K23" s="50" t="s">
        <v>75</v>
      </c>
      <c r="L23" s="46"/>
      <c r="M23" s="46"/>
    </row>
    <row r="24" spans="2:13" ht="15" customHeight="1" x14ac:dyDescent="0.25">
      <c r="B24" s="5">
        <v>44594</v>
      </c>
      <c r="C24" s="5" t="s">
        <v>177</v>
      </c>
      <c r="D24" s="35">
        <v>2022</v>
      </c>
      <c r="E24" t="s">
        <v>11</v>
      </c>
      <c r="F24" t="s">
        <v>27</v>
      </c>
      <c r="G24" t="s">
        <v>53</v>
      </c>
      <c r="H24" s="92" t="s">
        <v>984</v>
      </c>
      <c r="J24" s="46">
        <v>950</v>
      </c>
      <c r="K24" s="50" t="s">
        <v>75</v>
      </c>
      <c r="L24" s="46"/>
      <c r="M24" s="46"/>
    </row>
    <row r="25" spans="2:13" ht="15" customHeight="1" x14ac:dyDescent="0.25">
      <c r="B25" s="5">
        <v>44594</v>
      </c>
      <c r="C25" s="5" t="s">
        <v>177</v>
      </c>
      <c r="D25" s="35">
        <v>2022</v>
      </c>
      <c r="E25" t="s">
        <v>22</v>
      </c>
      <c r="F25" t="s">
        <v>28</v>
      </c>
      <c r="G25" t="s">
        <v>249</v>
      </c>
      <c r="H25" s="92" t="s">
        <v>972</v>
      </c>
      <c r="J25" s="46">
        <v>1095</v>
      </c>
      <c r="K25" s="50" t="s">
        <v>75</v>
      </c>
      <c r="L25" s="46"/>
      <c r="M25" s="46"/>
    </row>
    <row r="26" spans="2:13" ht="15" customHeight="1" x14ac:dyDescent="0.25">
      <c r="B26" s="5">
        <v>44594</v>
      </c>
      <c r="C26" s="5" t="s">
        <v>177</v>
      </c>
      <c r="D26" s="35">
        <v>2022</v>
      </c>
      <c r="E26" t="s">
        <v>19</v>
      </c>
      <c r="F26" t="s">
        <v>29</v>
      </c>
      <c r="G26" t="s">
        <v>50</v>
      </c>
      <c r="H26" s="92" t="s">
        <v>969</v>
      </c>
      <c r="J26" s="46">
        <v>2490</v>
      </c>
      <c r="K26" s="50" t="s">
        <v>75</v>
      </c>
      <c r="L26" s="46"/>
      <c r="M26" s="46"/>
    </row>
    <row r="27" spans="2:13" ht="15" customHeight="1" x14ac:dyDescent="0.25">
      <c r="B27" s="5">
        <v>44594</v>
      </c>
      <c r="C27" s="5" t="s">
        <v>177</v>
      </c>
      <c r="D27" s="35">
        <v>2022</v>
      </c>
      <c r="E27" t="s">
        <v>19</v>
      </c>
      <c r="F27" t="s">
        <v>30</v>
      </c>
      <c r="G27" s="24" t="s">
        <v>120</v>
      </c>
      <c r="H27" s="24" t="s">
        <v>968</v>
      </c>
      <c r="I27" s="24"/>
      <c r="J27" s="46">
        <v>4295</v>
      </c>
      <c r="K27" s="50" t="s">
        <v>75</v>
      </c>
      <c r="L27" s="46"/>
      <c r="M27" s="46"/>
    </row>
    <row r="28" spans="2:13" ht="15" customHeight="1" x14ac:dyDescent="0.25">
      <c r="B28" s="5">
        <v>44594</v>
      </c>
      <c r="C28" s="5" t="s">
        <v>177</v>
      </c>
      <c r="D28" s="35">
        <v>2022</v>
      </c>
      <c r="E28" t="s">
        <v>15</v>
      </c>
      <c r="F28" t="s">
        <v>31</v>
      </c>
      <c r="G28" t="s">
        <v>62</v>
      </c>
      <c r="H28" s="92" t="s">
        <v>980</v>
      </c>
      <c r="J28" s="46">
        <v>420</v>
      </c>
      <c r="K28" s="50" t="s">
        <v>75</v>
      </c>
      <c r="L28" s="46"/>
      <c r="M28" s="46"/>
    </row>
    <row r="29" spans="2:13" ht="15" customHeight="1" x14ac:dyDescent="0.25">
      <c r="B29" s="5">
        <v>44594</v>
      </c>
      <c r="C29" s="5" t="s">
        <v>177</v>
      </c>
      <c r="D29" s="35">
        <v>2022</v>
      </c>
      <c r="E29" t="s">
        <v>15</v>
      </c>
      <c r="F29" t="s">
        <v>31</v>
      </c>
      <c r="G29" s="24" t="s">
        <v>192</v>
      </c>
      <c r="H29" s="24" t="s">
        <v>976</v>
      </c>
      <c r="I29" s="24"/>
      <c r="J29" s="46">
        <v>1350</v>
      </c>
      <c r="K29" s="50" t="s">
        <v>75</v>
      </c>
      <c r="L29" s="46"/>
      <c r="M29" s="46"/>
    </row>
    <row r="30" spans="2:13" ht="15" customHeight="1" x14ac:dyDescent="0.25">
      <c r="B30" s="5">
        <v>44594</v>
      </c>
      <c r="C30" s="5" t="s">
        <v>177</v>
      </c>
      <c r="D30" s="35">
        <v>2022</v>
      </c>
      <c r="E30" t="s">
        <v>15</v>
      </c>
      <c r="F30" t="s">
        <v>31</v>
      </c>
      <c r="G30" t="s">
        <v>47</v>
      </c>
      <c r="H30" s="92" t="s">
        <v>972</v>
      </c>
      <c r="J30" s="46">
        <v>600</v>
      </c>
      <c r="K30" s="50" t="s">
        <v>75</v>
      </c>
      <c r="L30" s="46"/>
      <c r="M30" s="46"/>
    </row>
    <row r="31" spans="2:13" ht="15" customHeight="1" x14ac:dyDescent="0.25">
      <c r="B31" s="5">
        <v>44594</v>
      </c>
      <c r="C31" s="5" t="s">
        <v>177</v>
      </c>
      <c r="D31" s="35">
        <v>2022</v>
      </c>
      <c r="E31" t="s">
        <v>15</v>
      </c>
      <c r="F31" t="s">
        <v>32</v>
      </c>
      <c r="G31" t="s">
        <v>47</v>
      </c>
      <c r="H31" s="92" t="s">
        <v>972</v>
      </c>
      <c r="J31" s="46">
        <v>600</v>
      </c>
      <c r="K31" s="50" t="s">
        <v>75</v>
      </c>
      <c r="L31" s="46"/>
      <c r="M31" s="46"/>
    </row>
    <row r="32" spans="2:13" ht="15" customHeight="1" x14ac:dyDescent="0.25">
      <c r="B32" s="5">
        <v>44594</v>
      </c>
      <c r="C32" s="5" t="s">
        <v>177</v>
      </c>
      <c r="D32" s="35">
        <v>2022</v>
      </c>
      <c r="E32" t="s">
        <v>15</v>
      </c>
      <c r="F32" t="s">
        <v>33</v>
      </c>
      <c r="G32" s="24" t="s">
        <v>192</v>
      </c>
      <c r="H32" s="24" t="s">
        <v>976</v>
      </c>
      <c r="I32" s="24"/>
      <c r="J32" s="46">
        <v>1350</v>
      </c>
      <c r="K32" s="50" t="s">
        <v>75</v>
      </c>
      <c r="L32" s="46"/>
      <c r="M32" s="46"/>
    </row>
    <row r="33" spans="2:13" ht="15" customHeight="1" x14ac:dyDescent="0.25">
      <c r="B33" s="5">
        <v>44594</v>
      </c>
      <c r="C33" s="5" t="s">
        <v>177</v>
      </c>
      <c r="D33" s="35">
        <v>2022</v>
      </c>
      <c r="E33" t="s">
        <v>15</v>
      </c>
      <c r="F33" t="s">
        <v>33</v>
      </c>
      <c r="G33" t="s">
        <v>323</v>
      </c>
      <c r="H33" s="92" t="s">
        <v>981</v>
      </c>
      <c r="J33" s="46">
        <v>310</v>
      </c>
      <c r="K33" s="50" t="s">
        <v>75</v>
      </c>
      <c r="L33" s="46"/>
      <c r="M33" s="46"/>
    </row>
    <row r="34" spans="2:13" ht="15" customHeight="1" x14ac:dyDescent="0.25">
      <c r="B34" s="5">
        <v>44594</v>
      </c>
      <c r="C34" s="5" t="s">
        <v>177</v>
      </c>
      <c r="D34" s="35">
        <v>2022</v>
      </c>
      <c r="E34" t="s">
        <v>15</v>
      </c>
      <c r="F34" t="s">
        <v>34</v>
      </c>
      <c r="G34" t="s">
        <v>323</v>
      </c>
      <c r="H34" s="92" t="s">
        <v>981</v>
      </c>
      <c r="J34" s="46">
        <v>310</v>
      </c>
      <c r="K34" s="50" t="s">
        <v>75</v>
      </c>
      <c r="L34" s="46"/>
      <c r="M34" s="46"/>
    </row>
    <row r="35" spans="2:13" ht="15" customHeight="1" x14ac:dyDescent="0.25">
      <c r="B35" s="5">
        <v>44594</v>
      </c>
      <c r="C35" s="5" t="s">
        <v>177</v>
      </c>
      <c r="D35" s="35">
        <v>2022</v>
      </c>
      <c r="E35" t="s">
        <v>15</v>
      </c>
      <c r="F35" t="s">
        <v>35</v>
      </c>
      <c r="G35" t="s">
        <v>249</v>
      </c>
      <c r="H35" s="92" t="s">
        <v>972</v>
      </c>
      <c r="J35" s="46">
        <v>1095</v>
      </c>
      <c r="K35" s="50" t="s">
        <v>75</v>
      </c>
      <c r="L35" s="46"/>
      <c r="M35" s="46"/>
    </row>
    <row r="36" spans="2:13" ht="15" customHeight="1" x14ac:dyDescent="0.25">
      <c r="B36" s="5">
        <v>44594</v>
      </c>
      <c r="C36" s="5" t="s">
        <v>177</v>
      </c>
      <c r="D36" s="35">
        <v>2022</v>
      </c>
      <c r="E36" t="s">
        <v>15</v>
      </c>
      <c r="F36" t="s">
        <v>36</v>
      </c>
      <c r="G36" t="s">
        <v>53</v>
      </c>
      <c r="H36" s="92" t="s">
        <v>984</v>
      </c>
      <c r="J36" s="46">
        <v>950</v>
      </c>
      <c r="K36" s="50" t="s">
        <v>75</v>
      </c>
      <c r="L36" s="46"/>
      <c r="M36" s="46"/>
    </row>
    <row r="37" spans="2:13" ht="15" customHeight="1" x14ac:dyDescent="0.25">
      <c r="B37" s="5">
        <v>44594</v>
      </c>
      <c r="C37" s="5" t="s">
        <v>177</v>
      </c>
      <c r="D37" s="35">
        <v>2022</v>
      </c>
      <c r="E37" t="s">
        <v>1</v>
      </c>
      <c r="F37" t="s">
        <v>37</v>
      </c>
      <c r="G37" t="s">
        <v>123</v>
      </c>
      <c r="H37" s="92" t="s">
        <v>966</v>
      </c>
      <c r="J37" s="46">
        <v>1720</v>
      </c>
      <c r="K37" s="50" t="s">
        <v>75</v>
      </c>
      <c r="L37" s="46"/>
      <c r="M37" s="46"/>
    </row>
    <row r="38" spans="2:13" ht="15" customHeight="1" x14ac:dyDescent="0.25">
      <c r="B38" s="5">
        <v>44594</v>
      </c>
      <c r="C38" s="5" t="s">
        <v>177</v>
      </c>
      <c r="D38" s="35">
        <v>2022</v>
      </c>
      <c r="E38" t="s">
        <v>1</v>
      </c>
      <c r="F38" t="s">
        <v>38</v>
      </c>
      <c r="G38" s="24" t="s">
        <v>120</v>
      </c>
      <c r="H38" s="24" t="s">
        <v>968</v>
      </c>
      <c r="I38" s="24"/>
      <c r="J38" s="46">
        <v>4295</v>
      </c>
      <c r="K38" s="50" t="s">
        <v>75</v>
      </c>
      <c r="L38" s="46"/>
      <c r="M38" s="46"/>
    </row>
    <row r="39" spans="2:13" ht="15" customHeight="1" x14ac:dyDescent="0.25">
      <c r="B39" s="5">
        <v>44594</v>
      </c>
      <c r="C39" s="5" t="s">
        <v>177</v>
      </c>
      <c r="D39" s="35">
        <v>2022</v>
      </c>
      <c r="E39" t="s">
        <v>1</v>
      </c>
      <c r="F39" t="s">
        <v>39</v>
      </c>
      <c r="G39" t="s">
        <v>40</v>
      </c>
      <c r="H39" s="92" t="s">
        <v>967</v>
      </c>
      <c r="J39" s="46">
        <v>2200</v>
      </c>
      <c r="K39" s="50" t="s">
        <v>75</v>
      </c>
      <c r="L39" s="46"/>
      <c r="M39" s="46"/>
    </row>
    <row r="40" spans="2:13" ht="15" customHeight="1" x14ac:dyDescent="0.25">
      <c r="B40" s="5">
        <v>44594</v>
      </c>
      <c r="C40" s="5" t="s">
        <v>177</v>
      </c>
      <c r="D40" s="35">
        <v>2022</v>
      </c>
      <c r="E40" t="s">
        <v>1</v>
      </c>
      <c r="F40" t="s">
        <v>41</v>
      </c>
      <c r="G40" t="s">
        <v>96</v>
      </c>
      <c r="H40" s="92" t="s">
        <v>967</v>
      </c>
      <c r="J40" s="46">
        <v>2400</v>
      </c>
      <c r="K40" s="50" t="s">
        <v>75</v>
      </c>
      <c r="L40" s="46"/>
      <c r="M40" s="46"/>
    </row>
    <row r="41" spans="2:13" ht="15" customHeight="1" x14ac:dyDescent="0.25">
      <c r="B41" s="5">
        <v>44594</v>
      </c>
      <c r="C41" s="5" t="s">
        <v>177</v>
      </c>
      <c r="D41" s="35">
        <v>2022</v>
      </c>
      <c r="E41" t="s">
        <v>1</v>
      </c>
      <c r="F41" t="s">
        <v>41</v>
      </c>
      <c r="G41" t="s">
        <v>323</v>
      </c>
      <c r="H41" s="92" t="s">
        <v>981</v>
      </c>
      <c r="J41" s="46">
        <v>310</v>
      </c>
      <c r="K41" s="50" t="s">
        <v>75</v>
      </c>
      <c r="L41" s="46"/>
      <c r="M41" s="46"/>
    </row>
    <row r="42" spans="2:13" ht="15" customHeight="1" x14ac:dyDescent="0.25">
      <c r="B42" s="5">
        <v>44595</v>
      </c>
      <c r="C42" s="5" t="s">
        <v>177</v>
      </c>
      <c r="D42" s="35">
        <v>2022</v>
      </c>
      <c r="E42" t="s">
        <v>11</v>
      </c>
      <c r="F42" t="s">
        <v>44</v>
      </c>
      <c r="G42" t="s">
        <v>45</v>
      </c>
      <c r="H42" s="92" t="s">
        <v>965</v>
      </c>
      <c r="J42" s="46">
        <v>1390</v>
      </c>
      <c r="K42" s="50" t="s">
        <v>75</v>
      </c>
      <c r="L42" s="46"/>
      <c r="M42" s="46"/>
    </row>
    <row r="43" spans="2:13" ht="15" customHeight="1" x14ac:dyDescent="0.25">
      <c r="B43" s="5">
        <v>44595</v>
      </c>
      <c r="C43" s="5" t="s">
        <v>177</v>
      </c>
      <c r="D43" s="35">
        <v>2022</v>
      </c>
      <c r="E43" t="s">
        <v>11</v>
      </c>
      <c r="F43" t="s">
        <v>46</v>
      </c>
      <c r="G43" t="s">
        <v>47</v>
      </c>
      <c r="H43" s="92" t="s">
        <v>972</v>
      </c>
      <c r="J43" s="46">
        <v>600</v>
      </c>
      <c r="K43" s="50" t="s">
        <v>75</v>
      </c>
      <c r="L43" s="46"/>
      <c r="M43" s="46"/>
    </row>
    <row r="44" spans="2:13" ht="15" customHeight="1" x14ac:dyDescent="0.25">
      <c r="B44" s="5">
        <v>44595</v>
      </c>
      <c r="C44" s="5" t="s">
        <v>177</v>
      </c>
      <c r="D44" s="35">
        <v>2022</v>
      </c>
      <c r="E44" t="s">
        <v>22</v>
      </c>
      <c r="F44" t="s">
        <v>48</v>
      </c>
      <c r="G44" t="s">
        <v>49</v>
      </c>
      <c r="H44" s="92" t="s">
        <v>966</v>
      </c>
      <c r="J44" s="46">
        <v>1750</v>
      </c>
      <c r="K44" s="50" t="s">
        <v>75</v>
      </c>
      <c r="L44" s="46"/>
      <c r="M44" s="46"/>
    </row>
    <row r="45" spans="2:13" ht="15" customHeight="1" x14ac:dyDescent="0.25">
      <c r="B45" s="5">
        <v>44595</v>
      </c>
      <c r="C45" s="5" t="s">
        <v>177</v>
      </c>
      <c r="D45" s="35">
        <v>2022</v>
      </c>
      <c r="E45" t="s">
        <v>22</v>
      </c>
      <c r="F45" t="s">
        <v>48</v>
      </c>
      <c r="G45" t="s">
        <v>50</v>
      </c>
      <c r="H45" s="92" t="s">
        <v>969</v>
      </c>
      <c r="J45" s="46">
        <v>2490</v>
      </c>
      <c r="K45" s="50" t="s">
        <v>75</v>
      </c>
      <c r="L45" s="46"/>
      <c r="M45" s="46"/>
    </row>
    <row r="46" spans="2:13" ht="15" customHeight="1" x14ac:dyDescent="0.25">
      <c r="B46" s="5">
        <v>44595</v>
      </c>
      <c r="C46" s="5" t="s">
        <v>177</v>
      </c>
      <c r="D46" s="35">
        <v>2022</v>
      </c>
      <c r="E46" t="s">
        <v>22</v>
      </c>
      <c r="F46" t="s">
        <v>48</v>
      </c>
      <c r="G46" t="s">
        <v>45</v>
      </c>
      <c r="H46" s="92" t="s">
        <v>965</v>
      </c>
      <c r="J46" s="46">
        <v>1390</v>
      </c>
      <c r="K46" s="50" t="s">
        <v>75</v>
      </c>
      <c r="L46" s="46"/>
      <c r="M46" s="46"/>
    </row>
    <row r="47" spans="2:13" ht="15" customHeight="1" x14ac:dyDescent="0.25">
      <c r="B47" s="5">
        <v>44595</v>
      </c>
      <c r="C47" s="5" t="s">
        <v>177</v>
      </c>
      <c r="D47" s="35">
        <v>2022</v>
      </c>
      <c r="E47" t="s">
        <v>22</v>
      </c>
      <c r="F47" t="s">
        <v>51</v>
      </c>
      <c r="G47" t="s">
        <v>45</v>
      </c>
      <c r="H47" s="92" t="s">
        <v>965</v>
      </c>
      <c r="J47" s="46">
        <v>4170</v>
      </c>
      <c r="K47" s="50" t="s">
        <v>75</v>
      </c>
      <c r="L47" s="46"/>
      <c r="M47" s="46"/>
    </row>
    <row r="48" spans="2:13" ht="15" customHeight="1" x14ac:dyDescent="0.25">
      <c r="B48" s="5">
        <v>44595</v>
      </c>
      <c r="C48" s="5" t="s">
        <v>177</v>
      </c>
      <c r="D48" s="35">
        <v>2022</v>
      </c>
      <c r="E48" t="s">
        <v>22</v>
      </c>
      <c r="F48" t="s">
        <v>52</v>
      </c>
      <c r="G48" t="s">
        <v>53</v>
      </c>
      <c r="H48" s="92" t="s">
        <v>984</v>
      </c>
      <c r="J48" s="46">
        <v>1900</v>
      </c>
      <c r="K48" s="50" t="s">
        <v>75</v>
      </c>
      <c r="L48" s="46"/>
      <c r="M48" s="46"/>
    </row>
    <row r="49" spans="2:13" ht="15" customHeight="1" x14ac:dyDescent="0.25">
      <c r="B49" s="5">
        <v>44595</v>
      </c>
      <c r="C49" s="5" t="s">
        <v>177</v>
      </c>
      <c r="D49" s="35">
        <v>2022</v>
      </c>
      <c r="E49" t="s">
        <v>19</v>
      </c>
      <c r="F49" t="s">
        <v>54</v>
      </c>
      <c r="G49" t="s">
        <v>55</v>
      </c>
      <c r="H49" s="92" t="s">
        <v>965</v>
      </c>
      <c r="J49" s="46">
        <v>1395</v>
      </c>
      <c r="K49" s="50" t="s">
        <v>75</v>
      </c>
      <c r="L49" s="46"/>
      <c r="M49" s="46"/>
    </row>
    <row r="50" spans="2:13" ht="15" customHeight="1" x14ac:dyDescent="0.25">
      <c r="B50" s="5">
        <v>44595</v>
      </c>
      <c r="C50" s="5" t="s">
        <v>177</v>
      </c>
      <c r="D50" s="35">
        <v>2022</v>
      </c>
      <c r="E50" t="s">
        <v>1</v>
      </c>
      <c r="F50" t="s">
        <v>56</v>
      </c>
      <c r="G50" t="s">
        <v>45</v>
      </c>
      <c r="H50" s="92" t="s">
        <v>965</v>
      </c>
      <c r="J50" s="46">
        <v>13900</v>
      </c>
      <c r="K50" s="50" t="s">
        <v>75</v>
      </c>
      <c r="L50" s="46"/>
      <c r="M50" s="46"/>
    </row>
    <row r="51" spans="2:13" ht="15" customHeight="1" x14ac:dyDescent="0.25">
      <c r="B51" s="5">
        <v>44595</v>
      </c>
      <c r="C51" s="5" t="s">
        <v>177</v>
      </c>
      <c r="D51" s="35">
        <v>2022</v>
      </c>
      <c r="E51" t="s">
        <v>1</v>
      </c>
      <c r="F51" t="s">
        <v>57</v>
      </c>
      <c r="G51" t="s">
        <v>58</v>
      </c>
      <c r="H51" s="92" t="s">
        <v>969</v>
      </c>
      <c r="J51" s="46">
        <v>2490</v>
      </c>
      <c r="K51" s="50" t="s">
        <v>75</v>
      </c>
      <c r="L51" s="46"/>
      <c r="M51" s="46"/>
    </row>
    <row r="52" spans="2:13" ht="15" customHeight="1" x14ac:dyDescent="0.25">
      <c r="B52" s="5">
        <v>44595</v>
      </c>
      <c r="C52" s="5" t="s">
        <v>177</v>
      </c>
      <c r="D52" s="35">
        <v>2022</v>
      </c>
      <c r="E52" t="s">
        <v>1</v>
      </c>
      <c r="F52" t="s">
        <v>57</v>
      </c>
      <c r="G52" t="s">
        <v>50</v>
      </c>
      <c r="H52" s="92" t="s">
        <v>969</v>
      </c>
      <c r="J52" s="46">
        <v>2490</v>
      </c>
      <c r="K52" s="50" t="s">
        <v>75</v>
      </c>
      <c r="L52" s="46"/>
      <c r="M52" s="46"/>
    </row>
    <row r="53" spans="2:13" ht="15" customHeight="1" x14ac:dyDescent="0.25">
      <c r="B53" s="5">
        <v>44595</v>
      </c>
      <c r="C53" s="5" t="s">
        <v>177</v>
      </c>
      <c r="D53" s="35">
        <v>2022</v>
      </c>
      <c r="E53" t="s">
        <v>1</v>
      </c>
      <c r="F53" t="s">
        <v>59</v>
      </c>
      <c r="G53" t="s">
        <v>45</v>
      </c>
      <c r="H53" s="92" t="s">
        <v>965</v>
      </c>
      <c r="J53" s="46">
        <v>1390</v>
      </c>
      <c r="K53" s="50" t="s">
        <v>75</v>
      </c>
      <c r="L53" s="46"/>
      <c r="M53" s="46"/>
    </row>
    <row r="54" spans="2:13" ht="15" customHeight="1" x14ac:dyDescent="0.25">
      <c r="B54" s="5">
        <v>44595</v>
      </c>
      <c r="C54" s="5" t="s">
        <v>177</v>
      </c>
      <c r="D54" s="35">
        <v>2022</v>
      </c>
      <c r="E54" t="s">
        <v>1</v>
      </c>
      <c r="F54" t="s">
        <v>60</v>
      </c>
      <c r="G54" t="s">
        <v>126</v>
      </c>
      <c r="H54" s="92" t="s">
        <v>965</v>
      </c>
      <c r="J54" s="46">
        <v>1390</v>
      </c>
      <c r="K54" s="50" t="s">
        <v>75</v>
      </c>
      <c r="L54" s="46"/>
      <c r="M54" s="46"/>
    </row>
    <row r="55" spans="2:13" ht="15" customHeight="1" x14ac:dyDescent="0.25">
      <c r="B55" s="5">
        <v>44595</v>
      </c>
      <c r="C55" s="5" t="s">
        <v>177</v>
      </c>
      <c r="D55" s="35">
        <v>2022</v>
      </c>
      <c r="E55" t="s">
        <v>1</v>
      </c>
      <c r="F55" t="s">
        <v>61</v>
      </c>
      <c r="G55" t="s">
        <v>123</v>
      </c>
      <c r="H55" s="92" t="s">
        <v>966</v>
      </c>
      <c r="J55" s="46">
        <v>5560</v>
      </c>
      <c r="K55" s="50" t="s">
        <v>75</v>
      </c>
      <c r="L55" s="46"/>
      <c r="M55" s="46"/>
    </row>
    <row r="56" spans="2:13" ht="15" customHeight="1" x14ac:dyDescent="0.25">
      <c r="B56" s="5">
        <v>44595</v>
      </c>
      <c r="C56" s="5" t="s">
        <v>177</v>
      </c>
      <c r="D56" s="35">
        <v>2022</v>
      </c>
      <c r="E56" t="s">
        <v>1</v>
      </c>
      <c r="F56" t="s">
        <v>61</v>
      </c>
      <c r="G56" t="s">
        <v>62</v>
      </c>
      <c r="H56" s="92" t="s">
        <v>980</v>
      </c>
      <c r="J56" s="46">
        <v>838</v>
      </c>
      <c r="K56" s="50" t="s">
        <v>75</v>
      </c>
      <c r="L56" s="46"/>
      <c r="M56" s="46"/>
    </row>
    <row r="57" spans="2:13" ht="15" customHeight="1" x14ac:dyDescent="0.25">
      <c r="B57" s="5">
        <v>44595</v>
      </c>
      <c r="C57" s="5" t="s">
        <v>177</v>
      </c>
      <c r="D57" s="35">
        <v>2022</v>
      </c>
      <c r="E57" t="s">
        <v>1</v>
      </c>
      <c r="F57" t="s">
        <v>61</v>
      </c>
      <c r="G57" t="s">
        <v>50</v>
      </c>
      <c r="H57" s="92" t="s">
        <v>969</v>
      </c>
      <c r="J57" s="46">
        <v>2490</v>
      </c>
      <c r="K57" s="50" t="s">
        <v>75</v>
      </c>
      <c r="L57" s="46"/>
      <c r="M57" s="46"/>
    </row>
    <row r="58" spans="2:13" ht="15" customHeight="1" x14ac:dyDescent="0.25">
      <c r="B58" s="5">
        <v>44595</v>
      </c>
      <c r="C58" s="5" t="s">
        <v>177</v>
      </c>
      <c r="D58" s="35">
        <v>2022</v>
      </c>
      <c r="E58" t="s">
        <v>16</v>
      </c>
      <c r="F58" t="s">
        <v>63</v>
      </c>
      <c r="G58" t="s">
        <v>40</v>
      </c>
      <c r="H58" s="92" t="s">
        <v>967</v>
      </c>
      <c r="J58" s="46">
        <v>22000</v>
      </c>
      <c r="K58" s="50" t="s">
        <v>75</v>
      </c>
      <c r="L58" s="46"/>
      <c r="M58" s="46"/>
    </row>
    <row r="59" spans="2:13" ht="15" customHeight="1" x14ac:dyDescent="0.25">
      <c r="B59" s="5">
        <v>44595</v>
      </c>
      <c r="C59" s="5" t="s">
        <v>177</v>
      </c>
      <c r="D59" s="35">
        <v>2022</v>
      </c>
      <c r="E59" t="s">
        <v>16</v>
      </c>
      <c r="F59" t="s">
        <v>64</v>
      </c>
      <c r="G59" t="s">
        <v>40</v>
      </c>
      <c r="H59" s="92" t="s">
        <v>967</v>
      </c>
      <c r="J59" s="46">
        <v>2200</v>
      </c>
      <c r="K59" s="50" t="s">
        <v>75</v>
      </c>
      <c r="L59" s="46"/>
      <c r="M59" s="46"/>
    </row>
    <row r="60" spans="2:13" ht="15" customHeight="1" x14ac:dyDescent="0.25">
      <c r="B60" s="5">
        <v>44595</v>
      </c>
      <c r="C60" s="5" t="s">
        <v>177</v>
      </c>
      <c r="D60" s="35">
        <v>2022</v>
      </c>
      <c r="E60" t="s">
        <v>16</v>
      </c>
      <c r="F60" t="s">
        <v>65</v>
      </c>
      <c r="G60" t="s">
        <v>49</v>
      </c>
      <c r="H60" s="92" t="s">
        <v>966</v>
      </c>
      <c r="J60" s="46">
        <v>1750</v>
      </c>
      <c r="K60" s="50" t="s">
        <v>75</v>
      </c>
      <c r="L60" s="46"/>
      <c r="M60" s="46"/>
    </row>
    <row r="61" spans="2:13" ht="15" customHeight="1" x14ac:dyDescent="0.25">
      <c r="B61" s="5">
        <v>44595</v>
      </c>
      <c r="C61" s="5" t="s">
        <v>177</v>
      </c>
      <c r="D61" s="35">
        <v>2022</v>
      </c>
      <c r="E61" t="s">
        <v>16</v>
      </c>
      <c r="F61" t="s">
        <v>66</v>
      </c>
      <c r="G61" s="24" t="s">
        <v>120</v>
      </c>
      <c r="H61" s="24" t="s">
        <v>968</v>
      </c>
      <c r="I61" s="24"/>
      <c r="J61" s="46">
        <v>4295</v>
      </c>
      <c r="K61" s="50" t="s">
        <v>75</v>
      </c>
      <c r="L61" s="46"/>
      <c r="M61" s="46"/>
    </row>
    <row r="62" spans="2:13" ht="15" customHeight="1" x14ac:dyDescent="0.25">
      <c r="B62" s="5">
        <v>44596</v>
      </c>
      <c r="C62" s="5" t="s">
        <v>177</v>
      </c>
      <c r="D62" s="35">
        <v>2022</v>
      </c>
      <c r="E62" t="s">
        <v>11</v>
      </c>
      <c r="F62" t="s">
        <v>44</v>
      </c>
      <c r="G62" t="s">
        <v>126</v>
      </c>
      <c r="H62" s="92" t="s">
        <v>965</v>
      </c>
      <c r="J62" s="46">
        <v>1410</v>
      </c>
      <c r="K62" s="50" t="s">
        <v>75</v>
      </c>
      <c r="L62" s="46"/>
      <c r="M62" s="46"/>
    </row>
    <row r="63" spans="2:13" ht="15" customHeight="1" x14ac:dyDescent="0.25">
      <c r="B63" s="5">
        <v>44596</v>
      </c>
      <c r="C63" s="5" t="s">
        <v>177</v>
      </c>
      <c r="D63" s="35">
        <v>2022</v>
      </c>
      <c r="E63" t="s">
        <v>11</v>
      </c>
      <c r="F63" t="s">
        <v>108</v>
      </c>
      <c r="G63" t="s">
        <v>53</v>
      </c>
      <c r="H63" s="92" t="s">
        <v>984</v>
      </c>
      <c r="J63" s="46">
        <v>950</v>
      </c>
      <c r="K63" s="50" t="s">
        <v>75</v>
      </c>
      <c r="L63" s="46"/>
      <c r="M63" s="46"/>
    </row>
    <row r="64" spans="2:13" ht="15" customHeight="1" x14ac:dyDescent="0.25">
      <c r="B64" s="5">
        <v>44596</v>
      </c>
      <c r="C64" s="5" t="s">
        <v>177</v>
      </c>
      <c r="D64" s="35">
        <v>2022</v>
      </c>
      <c r="E64" t="s">
        <v>11</v>
      </c>
      <c r="F64" t="s">
        <v>107</v>
      </c>
      <c r="G64" t="s">
        <v>47</v>
      </c>
      <c r="H64" s="92" t="s">
        <v>972</v>
      </c>
      <c r="J64" s="46">
        <v>600</v>
      </c>
      <c r="K64" s="50" t="s">
        <v>75</v>
      </c>
      <c r="L64" s="46"/>
      <c r="M64" s="46"/>
    </row>
    <row r="65" spans="2:13" ht="15" customHeight="1" x14ac:dyDescent="0.25">
      <c r="B65" s="5">
        <v>44596</v>
      </c>
      <c r="C65" s="5" t="s">
        <v>177</v>
      </c>
      <c r="D65" s="35">
        <v>2022</v>
      </c>
      <c r="E65" t="s">
        <v>11</v>
      </c>
      <c r="F65" t="s">
        <v>107</v>
      </c>
      <c r="G65" t="s">
        <v>249</v>
      </c>
      <c r="H65" s="92" t="s">
        <v>972</v>
      </c>
      <c r="J65" s="46">
        <v>1080</v>
      </c>
      <c r="K65" s="50" t="s">
        <v>75</v>
      </c>
      <c r="L65" s="46"/>
      <c r="M65" s="46"/>
    </row>
    <row r="66" spans="2:13" ht="15" customHeight="1" x14ac:dyDescent="0.25">
      <c r="B66" s="5">
        <v>44596</v>
      </c>
      <c r="C66" s="5" t="s">
        <v>177</v>
      </c>
      <c r="D66" s="35">
        <v>2022</v>
      </c>
      <c r="E66" t="s">
        <v>11</v>
      </c>
      <c r="F66" t="s">
        <v>107</v>
      </c>
      <c r="G66" t="s">
        <v>250</v>
      </c>
      <c r="H66" s="92" t="s">
        <v>979</v>
      </c>
      <c r="J66" s="46">
        <v>320</v>
      </c>
      <c r="K66" s="50" t="s">
        <v>75</v>
      </c>
      <c r="L66" s="46"/>
      <c r="M66" s="46"/>
    </row>
    <row r="67" spans="2:13" ht="15" customHeight="1" x14ac:dyDescent="0.25">
      <c r="B67" s="5">
        <v>44596</v>
      </c>
      <c r="C67" s="5" t="s">
        <v>177</v>
      </c>
      <c r="D67" s="35">
        <v>2022</v>
      </c>
      <c r="E67" t="s">
        <v>11</v>
      </c>
      <c r="F67" t="s">
        <v>106</v>
      </c>
      <c r="G67" s="24" t="s">
        <v>120</v>
      </c>
      <c r="H67" s="24" t="s">
        <v>968</v>
      </c>
      <c r="I67" s="24"/>
      <c r="J67" s="46">
        <v>4295</v>
      </c>
      <c r="K67" s="50" t="s">
        <v>75</v>
      </c>
      <c r="L67" s="46"/>
      <c r="M67" s="46"/>
    </row>
    <row r="68" spans="2:13" ht="15" customHeight="1" x14ac:dyDescent="0.25">
      <c r="B68" s="5">
        <v>44596</v>
      </c>
      <c r="C68" s="5" t="s">
        <v>177</v>
      </c>
      <c r="D68" s="35">
        <v>2022</v>
      </c>
      <c r="E68" t="s">
        <v>11</v>
      </c>
      <c r="F68" t="s">
        <v>106</v>
      </c>
      <c r="G68" t="s">
        <v>247</v>
      </c>
      <c r="H68" s="92" t="s">
        <v>966</v>
      </c>
      <c r="J68" s="46">
        <v>1740</v>
      </c>
      <c r="K68" s="50" t="s">
        <v>75</v>
      </c>
      <c r="L68" s="46"/>
      <c r="M68" s="46"/>
    </row>
    <row r="69" spans="2:13" ht="15" customHeight="1" x14ac:dyDescent="0.25">
      <c r="B69" s="5">
        <v>44596</v>
      </c>
      <c r="C69" s="5" t="s">
        <v>177</v>
      </c>
      <c r="D69" s="35">
        <v>2022</v>
      </c>
      <c r="E69" t="s">
        <v>19</v>
      </c>
      <c r="F69" t="s">
        <v>105</v>
      </c>
      <c r="G69" t="s">
        <v>125</v>
      </c>
      <c r="H69" s="92" t="s">
        <v>971</v>
      </c>
      <c r="J69" s="46">
        <v>510</v>
      </c>
      <c r="K69" s="50" t="s">
        <v>75</v>
      </c>
      <c r="L69" s="46"/>
      <c r="M69" s="46"/>
    </row>
    <row r="70" spans="2:13" ht="15" customHeight="1" x14ac:dyDescent="0.25">
      <c r="B70" s="5">
        <v>44596</v>
      </c>
      <c r="C70" s="5" t="s">
        <v>177</v>
      </c>
      <c r="D70" s="35">
        <v>2022</v>
      </c>
      <c r="E70" t="s">
        <v>19</v>
      </c>
      <c r="F70" t="s">
        <v>105</v>
      </c>
      <c r="G70" t="s">
        <v>47</v>
      </c>
      <c r="H70" s="92" t="s">
        <v>972</v>
      </c>
      <c r="J70" s="46">
        <v>600</v>
      </c>
      <c r="K70" s="50" t="s">
        <v>75</v>
      </c>
      <c r="L70" s="46"/>
      <c r="M70" s="46"/>
    </row>
    <row r="71" spans="2:13" ht="15" customHeight="1" x14ac:dyDescent="0.25">
      <c r="B71" s="5">
        <v>44596</v>
      </c>
      <c r="C71" s="5" t="s">
        <v>177</v>
      </c>
      <c r="D71" s="35">
        <v>2022</v>
      </c>
      <c r="E71" t="s">
        <v>19</v>
      </c>
      <c r="F71" t="s">
        <v>104</v>
      </c>
      <c r="G71" t="s">
        <v>58</v>
      </c>
      <c r="H71" s="92" t="s">
        <v>969</v>
      </c>
      <c r="J71" s="46">
        <v>2450</v>
      </c>
      <c r="K71" s="50" t="s">
        <v>75</v>
      </c>
      <c r="L71" s="46"/>
      <c r="M71" s="46"/>
    </row>
    <row r="72" spans="2:13" ht="15" customHeight="1" x14ac:dyDescent="0.25">
      <c r="B72" s="5">
        <v>44596</v>
      </c>
      <c r="C72" s="5" t="s">
        <v>177</v>
      </c>
      <c r="D72" s="35">
        <v>2022</v>
      </c>
      <c r="E72" t="s">
        <v>19</v>
      </c>
      <c r="F72" t="s">
        <v>103</v>
      </c>
      <c r="G72" s="24" t="s">
        <v>120</v>
      </c>
      <c r="H72" s="24" t="s">
        <v>968</v>
      </c>
      <c r="I72" s="24"/>
      <c r="J72" s="46">
        <v>4295</v>
      </c>
      <c r="K72" s="50" t="s">
        <v>75</v>
      </c>
      <c r="L72" s="46"/>
      <c r="M72" s="46"/>
    </row>
    <row r="73" spans="2:13" ht="15" customHeight="1" x14ac:dyDescent="0.25">
      <c r="B73" s="5">
        <v>44596</v>
      </c>
      <c r="C73" s="5" t="s">
        <v>177</v>
      </c>
      <c r="D73" s="35">
        <v>2022</v>
      </c>
      <c r="E73" t="s">
        <v>19</v>
      </c>
      <c r="F73" t="s">
        <v>102</v>
      </c>
      <c r="G73" t="s">
        <v>247</v>
      </c>
      <c r="H73" s="92" t="s">
        <v>966</v>
      </c>
      <c r="J73" s="46">
        <v>1740</v>
      </c>
      <c r="K73" s="50" t="s">
        <v>75</v>
      </c>
      <c r="L73" s="46"/>
      <c r="M73" s="46"/>
    </row>
    <row r="74" spans="2:13" ht="15" customHeight="1" x14ac:dyDescent="0.25">
      <c r="B74" s="5">
        <v>44596</v>
      </c>
      <c r="C74" s="5" t="s">
        <v>177</v>
      </c>
      <c r="D74" s="35">
        <v>2022</v>
      </c>
      <c r="E74" t="s">
        <v>19</v>
      </c>
      <c r="F74" t="s">
        <v>102</v>
      </c>
      <c r="G74" t="s">
        <v>122</v>
      </c>
      <c r="H74" s="92" t="s">
        <v>973</v>
      </c>
      <c r="J74" s="46">
        <v>260</v>
      </c>
      <c r="K74" s="50" t="s">
        <v>75</v>
      </c>
      <c r="L74" s="46"/>
      <c r="M74" s="46"/>
    </row>
    <row r="75" spans="2:13" ht="15" customHeight="1" x14ac:dyDescent="0.25">
      <c r="B75" s="5">
        <v>44596</v>
      </c>
      <c r="C75" s="5" t="s">
        <v>177</v>
      </c>
      <c r="D75" s="35">
        <v>2022</v>
      </c>
      <c r="E75" t="s">
        <v>19</v>
      </c>
      <c r="F75" t="s">
        <v>101</v>
      </c>
      <c r="G75" t="s">
        <v>100</v>
      </c>
      <c r="H75" s="92" t="s">
        <v>979</v>
      </c>
      <c r="J75" s="46">
        <v>95</v>
      </c>
      <c r="K75" s="50" t="s">
        <v>75</v>
      </c>
      <c r="L75" s="46"/>
      <c r="M75" s="46"/>
    </row>
    <row r="76" spans="2:13" ht="15" customHeight="1" x14ac:dyDescent="0.25">
      <c r="B76" s="5">
        <v>44596</v>
      </c>
      <c r="C76" s="5" t="s">
        <v>177</v>
      </c>
      <c r="D76" s="35">
        <v>2022</v>
      </c>
      <c r="E76" t="s">
        <v>19</v>
      </c>
      <c r="F76" t="s">
        <v>101</v>
      </c>
      <c r="G76" t="s">
        <v>99</v>
      </c>
      <c r="H76" s="92" t="s">
        <v>985</v>
      </c>
      <c r="J76" s="46">
        <v>95</v>
      </c>
      <c r="K76" s="50" t="s">
        <v>75</v>
      </c>
      <c r="L76" s="46"/>
      <c r="M76" s="46"/>
    </row>
    <row r="77" spans="2:13" ht="15" customHeight="1" x14ac:dyDescent="0.25">
      <c r="B77" s="5">
        <v>44596</v>
      </c>
      <c r="C77" s="5" t="s">
        <v>177</v>
      </c>
      <c r="D77" s="35">
        <v>2022</v>
      </c>
      <c r="E77" t="s">
        <v>16</v>
      </c>
      <c r="F77" t="s">
        <v>98</v>
      </c>
      <c r="G77" t="s">
        <v>53</v>
      </c>
      <c r="H77" s="92" t="s">
        <v>984</v>
      </c>
      <c r="J77" s="46">
        <v>950</v>
      </c>
      <c r="K77" s="50" t="s">
        <v>75</v>
      </c>
      <c r="L77" s="46"/>
      <c r="M77" s="46"/>
    </row>
    <row r="78" spans="2:13" ht="15" customHeight="1" x14ac:dyDescent="0.25">
      <c r="B78" s="5">
        <v>44596</v>
      </c>
      <c r="C78" s="5" t="s">
        <v>177</v>
      </c>
      <c r="D78" s="35">
        <v>2022</v>
      </c>
      <c r="E78" t="s">
        <v>16</v>
      </c>
      <c r="F78" t="s">
        <v>64</v>
      </c>
      <c r="G78" t="s">
        <v>96</v>
      </c>
      <c r="H78" s="92" t="s">
        <v>967</v>
      </c>
      <c r="J78" s="46">
        <v>4700</v>
      </c>
      <c r="K78" s="50" t="s">
        <v>75</v>
      </c>
      <c r="L78" s="46"/>
      <c r="M78" s="46"/>
    </row>
    <row r="79" spans="2:13" ht="15" customHeight="1" x14ac:dyDescent="0.25">
      <c r="B79" s="5">
        <v>44596</v>
      </c>
      <c r="C79" s="5" t="s">
        <v>177</v>
      </c>
      <c r="D79" s="35">
        <v>2022</v>
      </c>
      <c r="E79" t="s">
        <v>16</v>
      </c>
      <c r="F79" t="s">
        <v>97</v>
      </c>
      <c r="G79" t="s">
        <v>96</v>
      </c>
      <c r="H79" s="92" t="s">
        <v>967</v>
      </c>
      <c r="J79" s="46">
        <v>4700</v>
      </c>
      <c r="K79" s="50" t="s">
        <v>75</v>
      </c>
      <c r="L79" s="46"/>
      <c r="M79" s="46"/>
    </row>
    <row r="80" spans="2:13" ht="15" customHeight="1" x14ac:dyDescent="0.25">
      <c r="B80" s="5">
        <v>44596</v>
      </c>
      <c r="C80" s="5" t="s">
        <v>177</v>
      </c>
      <c r="D80" s="35">
        <v>2022</v>
      </c>
      <c r="E80" t="s">
        <v>16</v>
      </c>
      <c r="F80" t="s">
        <v>95</v>
      </c>
      <c r="G80" t="s">
        <v>408</v>
      </c>
      <c r="H80" s="92" t="s">
        <v>977</v>
      </c>
      <c r="J80" s="46">
        <v>1100</v>
      </c>
      <c r="K80" s="50" t="s">
        <v>75</v>
      </c>
      <c r="L80" s="46"/>
      <c r="M80" s="46"/>
    </row>
    <row r="81" spans="2:13" ht="15" customHeight="1" x14ac:dyDescent="0.25">
      <c r="B81" s="5">
        <v>44596</v>
      </c>
      <c r="C81" s="5" t="s">
        <v>177</v>
      </c>
      <c r="D81" s="35">
        <v>2022</v>
      </c>
      <c r="E81" t="s">
        <v>22</v>
      </c>
      <c r="F81" t="s">
        <v>94</v>
      </c>
      <c r="G81" t="s">
        <v>125</v>
      </c>
      <c r="H81" s="92" t="s">
        <v>971</v>
      </c>
      <c r="I81">
        <v>1</v>
      </c>
      <c r="J81" s="46">
        <v>510</v>
      </c>
      <c r="K81" s="50" t="s">
        <v>75</v>
      </c>
      <c r="L81" s="46"/>
      <c r="M81" s="46"/>
    </row>
    <row r="82" spans="2:13" ht="15" customHeight="1" x14ac:dyDescent="0.25">
      <c r="B82" s="5">
        <v>44596</v>
      </c>
      <c r="C82" s="5" t="s">
        <v>177</v>
      </c>
      <c r="D82" s="35">
        <v>2022</v>
      </c>
      <c r="E82" t="s">
        <v>22</v>
      </c>
      <c r="F82" t="s">
        <v>93</v>
      </c>
      <c r="G82" t="s">
        <v>47</v>
      </c>
      <c r="H82" s="92" t="s">
        <v>972</v>
      </c>
      <c r="I82">
        <v>1</v>
      </c>
      <c r="J82" s="46">
        <v>600</v>
      </c>
      <c r="K82" s="50" t="s">
        <v>75</v>
      </c>
      <c r="L82" s="46"/>
      <c r="M82" s="46"/>
    </row>
    <row r="83" spans="2:13" ht="15" customHeight="1" x14ac:dyDescent="0.25">
      <c r="B83" s="5">
        <v>44596</v>
      </c>
      <c r="C83" s="5" t="s">
        <v>177</v>
      </c>
      <c r="D83" s="35">
        <v>2022</v>
      </c>
      <c r="E83" t="s">
        <v>22</v>
      </c>
      <c r="F83" t="s">
        <v>93</v>
      </c>
      <c r="G83" t="s">
        <v>125</v>
      </c>
      <c r="H83" s="92" t="s">
        <v>971</v>
      </c>
      <c r="I83">
        <v>1</v>
      </c>
      <c r="J83" s="46">
        <v>510</v>
      </c>
      <c r="K83" s="50" t="s">
        <v>75</v>
      </c>
      <c r="L83" s="46"/>
      <c r="M83" s="46"/>
    </row>
    <row r="84" spans="2:13" ht="15" customHeight="1" x14ac:dyDescent="0.25">
      <c r="B84" s="5">
        <v>44596</v>
      </c>
      <c r="C84" s="5" t="s">
        <v>177</v>
      </c>
      <c r="D84" s="35">
        <v>2022</v>
      </c>
      <c r="E84" t="s">
        <v>22</v>
      </c>
      <c r="F84" t="s">
        <v>92</v>
      </c>
      <c r="G84" t="s">
        <v>130</v>
      </c>
      <c r="H84" s="92" t="s">
        <v>978</v>
      </c>
      <c r="I84">
        <v>1</v>
      </c>
      <c r="J84" s="46">
        <v>830</v>
      </c>
      <c r="K84" s="50" t="s">
        <v>75</v>
      </c>
      <c r="L84" s="46"/>
      <c r="M84" s="46"/>
    </row>
    <row r="85" spans="2:13" ht="15" customHeight="1" x14ac:dyDescent="0.25">
      <c r="B85" s="5">
        <v>44596</v>
      </c>
      <c r="C85" s="5" t="s">
        <v>177</v>
      </c>
      <c r="D85" s="35">
        <v>2022</v>
      </c>
      <c r="E85" t="s">
        <v>22</v>
      </c>
      <c r="F85" t="s">
        <v>91</v>
      </c>
      <c r="G85" t="s">
        <v>125</v>
      </c>
      <c r="H85" s="92" t="s">
        <v>971</v>
      </c>
      <c r="I85">
        <v>1</v>
      </c>
      <c r="J85" s="46">
        <v>510</v>
      </c>
      <c r="K85" s="50" t="s">
        <v>75</v>
      </c>
      <c r="L85" s="46"/>
      <c r="M85" s="46"/>
    </row>
    <row r="86" spans="2:13" ht="15" customHeight="1" x14ac:dyDescent="0.25">
      <c r="B86" s="5">
        <v>44596</v>
      </c>
      <c r="C86" s="5" t="s">
        <v>177</v>
      </c>
      <c r="D86" s="35">
        <v>2022</v>
      </c>
      <c r="E86" t="s">
        <v>22</v>
      </c>
      <c r="F86" t="s">
        <v>91</v>
      </c>
      <c r="G86" t="s">
        <v>47</v>
      </c>
      <c r="H86" s="92" t="s">
        <v>972</v>
      </c>
      <c r="J86" s="46">
        <v>600</v>
      </c>
      <c r="K86" s="50" t="s">
        <v>75</v>
      </c>
      <c r="L86" s="46"/>
      <c r="M86" s="46"/>
    </row>
    <row r="87" spans="2:13" ht="15" customHeight="1" x14ac:dyDescent="0.25">
      <c r="B87" s="5">
        <v>44596</v>
      </c>
      <c r="C87" s="5" t="s">
        <v>177</v>
      </c>
      <c r="D87" s="35">
        <v>2022</v>
      </c>
      <c r="E87" t="s">
        <v>111</v>
      </c>
      <c r="F87" t="s">
        <v>90</v>
      </c>
      <c r="G87" s="24" t="s">
        <v>193</v>
      </c>
      <c r="H87" s="92" t="s">
        <v>967</v>
      </c>
      <c r="I87" s="24"/>
      <c r="J87" s="46">
        <v>4700</v>
      </c>
      <c r="K87" s="50" t="s">
        <v>75</v>
      </c>
      <c r="L87" s="46"/>
      <c r="M87" s="46"/>
    </row>
    <row r="88" spans="2:13" ht="15" customHeight="1" x14ac:dyDescent="0.25">
      <c r="B88" s="5">
        <v>44596</v>
      </c>
      <c r="C88" s="5" t="s">
        <v>177</v>
      </c>
      <c r="D88" s="35">
        <v>2022</v>
      </c>
      <c r="E88" t="s">
        <v>111</v>
      </c>
      <c r="F88" t="s">
        <v>90</v>
      </c>
      <c r="G88" t="s">
        <v>349</v>
      </c>
      <c r="H88" s="92" t="s">
        <v>978</v>
      </c>
      <c r="J88" s="46">
        <v>920</v>
      </c>
      <c r="K88" s="50" t="s">
        <v>75</v>
      </c>
      <c r="L88" s="46"/>
      <c r="M88" s="46"/>
    </row>
    <row r="89" spans="2:13" ht="15" customHeight="1" x14ac:dyDescent="0.25">
      <c r="B89" s="5">
        <v>44596</v>
      </c>
      <c r="C89" s="5" t="s">
        <v>177</v>
      </c>
      <c r="D89" s="35">
        <v>2022</v>
      </c>
      <c r="E89" t="s">
        <v>111</v>
      </c>
      <c r="F89" t="s">
        <v>89</v>
      </c>
      <c r="G89" t="s">
        <v>58</v>
      </c>
      <c r="H89" s="92" t="s">
        <v>969</v>
      </c>
      <c r="J89" s="46">
        <v>2450</v>
      </c>
      <c r="K89" s="50" t="s">
        <v>75</v>
      </c>
      <c r="L89" s="46"/>
      <c r="M89" s="46"/>
    </row>
    <row r="90" spans="2:13" ht="15" customHeight="1" x14ac:dyDescent="0.25">
      <c r="B90" s="5">
        <v>44596</v>
      </c>
      <c r="C90" s="5" t="s">
        <v>177</v>
      </c>
      <c r="D90" s="35">
        <v>2022</v>
      </c>
      <c r="E90" t="s">
        <v>111</v>
      </c>
      <c r="F90" t="s">
        <v>89</v>
      </c>
      <c r="G90" t="s">
        <v>88</v>
      </c>
      <c r="H90" s="92" t="s">
        <v>974</v>
      </c>
      <c r="J90" s="46">
        <v>720</v>
      </c>
      <c r="K90" s="50" t="s">
        <v>75</v>
      </c>
      <c r="L90" s="46"/>
      <c r="M90" s="46"/>
    </row>
    <row r="91" spans="2:13" ht="15" customHeight="1" x14ac:dyDescent="0.25">
      <c r="B91" s="5">
        <v>44596</v>
      </c>
      <c r="C91" s="5" t="s">
        <v>177</v>
      </c>
      <c r="D91" s="35">
        <v>2022</v>
      </c>
      <c r="E91" t="s">
        <v>111</v>
      </c>
      <c r="F91" t="s">
        <v>89</v>
      </c>
      <c r="G91" t="s">
        <v>839</v>
      </c>
      <c r="H91" s="92" t="s">
        <v>974</v>
      </c>
      <c r="J91" s="46">
        <v>420</v>
      </c>
      <c r="K91" s="50" t="s">
        <v>75</v>
      </c>
      <c r="L91" s="46"/>
      <c r="M91" s="46"/>
    </row>
    <row r="92" spans="2:13" ht="15" customHeight="1" x14ac:dyDescent="0.25">
      <c r="B92" s="5">
        <v>44596</v>
      </c>
      <c r="C92" s="5" t="s">
        <v>177</v>
      </c>
      <c r="D92" s="35">
        <v>2022</v>
      </c>
      <c r="E92" t="s">
        <v>1</v>
      </c>
      <c r="F92" t="s">
        <v>87</v>
      </c>
      <c r="G92" s="24" t="s">
        <v>120</v>
      </c>
      <c r="H92" s="24" t="s">
        <v>968</v>
      </c>
      <c r="I92" s="25">
        <v>5</v>
      </c>
      <c r="J92" s="46">
        <v>21475</v>
      </c>
      <c r="K92" s="50" t="s">
        <v>75</v>
      </c>
      <c r="L92" s="46"/>
      <c r="M92" s="46"/>
    </row>
    <row r="93" spans="2:13" ht="15" customHeight="1" x14ac:dyDescent="0.25">
      <c r="B93" s="5">
        <v>44596</v>
      </c>
      <c r="C93" s="5" t="s">
        <v>177</v>
      </c>
      <c r="D93" s="35">
        <v>2022</v>
      </c>
      <c r="E93" t="s">
        <v>1</v>
      </c>
      <c r="F93" t="s">
        <v>86</v>
      </c>
      <c r="G93" s="24" t="s">
        <v>120</v>
      </c>
      <c r="H93" s="24" t="s">
        <v>968</v>
      </c>
      <c r="I93" s="25">
        <v>2</v>
      </c>
      <c r="J93" s="46">
        <v>8590</v>
      </c>
      <c r="K93" s="50" t="s">
        <v>75</v>
      </c>
      <c r="L93" s="46"/>
      <c r="M93" s="46"/>
    </row>
    <row r="94" spans="2:13" ht="15" customHeight="1" x14ac:dyDescent="0.25">
      <c r="B94" s="5">
        <v>44596</v>
      </c>
      <c r="C94" s="5" t="s">
        <v>177</v>
      </c>
      <c r="D94" s="35">
        <v>2022</v>
      </c>
      <c r="E94" t="s">
        <v>1</v>
      </c>
      <c r="F94" t="s">
        <v>41</v>
      </c>
      <c r="G94" s="24" t="s">
        <v>120</v>
      </c>
      <c r="H94" s="24" t="s">
        <v>968</v>
      </c>
      <c r="I94" s="25">
        <v>5</v>
      </c>
      <c r="J94" s="46">
        <v>42950</v>
      </c>
      <c r="K94" s="50" t="s">
        <v>75</v>
      </c>
      <c r="L94" s="46"/>
      <c r="M94" s="46"/>
    </row>
    <row r="95" spans="2:13" ht="15" customHeight="1" x14ac:dyDescent="0.25">
      <c r="B95" s="5">
        <v>44596</v>
      </c>
      <c r="C95" s="5" t="s">
        <v>177</v>
      </c>
      <c r="D95" s="35">
        <v>2022</v>
      </c>
      <c r="E95" t="s">
        <v>1</v>
      </c>
      <c r="F95" t="s">
        <v>41</v>
      </c>
      <c r="G95" t="s">
        <v>49</v>
      </c>
      <c r="H95" s="92" t="s">
        <v>966</v>
      </c>
      <c r="I95">
        <v>1</v>
      </c>
      <c r="J95" s="46">
        <v>1740</v>
      </c>
      <c r="K95" s="50" t="s">
        <v>75</v>
      </c>
      <c r="L95" s="46"/>
      <c r="M95" s="46"/>
    </row>
    <row r="96" spans="2:13" ht="15" customHeight="1" x14ac:dyDescent="0.25">
      <c r="B96" s="5">
        <v>44596</v>
      </c>
      <c r="C96" s="5" t="s">
        <v>177</v>
      </c>
      <c r="D96" s="35">
        <v>2022</v>
      </c>
      <c r="E96" t="s">
        <v>1</v>
      </c>
      <c r="F96" t="s">
        <v>85</v>
      </c>
      <c r="G96" t="s">
        <v>45</v>
      </c>
      <c r="H96" s="92" t="s">
        <v>965</v>
      </c>
      <c r="I96">
        <v>1</v>
      </c>
      <c r="J96" s="46">
        <v>1390</v>
      </c>
      <c r="K96" s="50" t="s">
        <v>75</v>
      </c>
      <c r="L96" s="46"/>
      <c r="M96" s="46"/>
    </row>
    <row r="97" spans="2:15" ht="15" customHeight="1" x14ac:dyDescent="0.25">
      <c r="B97" s="5">
        <v>44596</v>
      </c>
      <c r="C97" s="5" t="s">
        <v>177</v>
      </c>
      <c r="D97" s="35">
        <v>2022</v>
      </c>
      <c r="E97" t="s">
        <v>1</v>
      </c>
      <c r="F97" t="s">
        <v>84</v>
      </c>
      <c r="G97" t="s">
        <v>126</v>
      </c>
      <c r="H97" s="92" t="s">
        <v>965</v>
      </c>
      <c r="I97">
        <v>1</v>
      </c>
      <c r="J97" s="46">
        <v>1410</v>
      </c>
      <c r="K97" s="50" t="s">
        <v>75</v>
      </c>
      <c r="L97" s="46"/>
      <c r="M97" s="46"/>
    </row>
    <row r="98" spans="2:15" ht="15" customHeight="1" x14ac:dyDescent="0.25">
      <c r="B98" s="5">
        <v>44596</v>
      </c>
      <c r="C98" s="5" t="s">
        <v>177</v>
      </c>
      <c r="D98" s="35">
        <v>2022</v>
      </c>
      <c r="E98" t="s">
        <v>1</v>
      </c>
      <c r="F98" t="s">
        <v>83</v>
      </c>
      <c r="G98" s="24" t="s">
        <v>120</v>
      </c>
      <c r="H98" s="24" t="s">
        <v>968</v>
      </c>
      <c r="I98" s="24"/>
      <c r="J98" s="46">
        <v>21475</v>
      </c>
      <c r="K98" s="50" t="s">
        <v>75</v>
      </c>
      <c r="L98" s="46"/>
      <c r="M98" s="46"/>
    </row>
    <row r="99" spans="2:15" ht="15" customHeight="1" x14ac:dyDescent="0.25">
      <c r="B99" s="5">
        <v>44596</v>
      </c>
      <c r="C99" s="5" t="s">
        <v>177</v>
      </c>
      <c r="D99" s="35">
        <v>2022</v>
      </c>
      <c r="E99" t="s">
        <v>1</v>
      </c>
      <c r="F99" t="s">
        <v>82</v>
      </c>
      <c r="G99" t="s">
        <v>45</v>
      </c>
      <c r="H99" s="92" t="s">
        <v>965</v>
      </c>
      <c r="I99">
        <v>1</v>
      </c>
      <c r="J99" s="46">
        <v>1390</v>
      </c>
      <c r="K99" s="50" t="s">
        <v>75</v>
      </c>
      <c r="L99" s="46"/>
      <c r="M99" s="46"/>
    </row>
    <row r="100" spans="2:15" ht="15" customHeight="1" x14ac:dyDescent="0.25">
      <c r="B100" s="5">
        <v>44597</v>
      </c>
      <c r="C100" s="5" t="s">
        <v>177</v>
      </c>
      <c r="D100" s="35">
        <v>2022</v>
      </c>
      <c r="E100" t="s">
        <v>22</v>
      </c>
      <c r="F100" t="s">
        <v>131</v>
      </c>
      <c r="G100" t="s">
        <v>45</v>
      </c>
      <c r="H100" s="92" t="s">
        <v>965</v>
      </c>
      <c r="I100">
        <v>5</v>
      </c>
      <c r="J100" s="46">
        <v>6950</v>
      </c>
      <c r="K100" s="50" t="s">
        <v>75</v>
      </c>
      <c r="L100" s="46"/>
      <c r="M100" s="46"/>
    </row>
    <row r="101" spans="2:15" ht="15" customHeight="1" x14ac:dyDescent="0.25">
      <c r="B101" s="5">
        <v>44597</v>
      </c>
      <c r="C101" s="5" t="s">
        <v>177</v>
      </c>
      <c r="D101" s="35">
        <v>2022</v>
      </c>
      <c r="E101" t="s">
        <v>22</v>
      </c>
      <c r="F101" t="s">
        <v>131</v>
      </c>
      <c r="G101" t="s">
        <v>256</v>
      </c>
      <c r="H101" s="92" t="s">
        <v>977</v>
      </c>
      <c r="I101">
        <v>2</v>
      </c>
      <c r="J101" s="46">
        <v>2560</v>
      </c>
      <c r="K101" s="50" t="s">
        <v>75</v>
      </c>
      <c r="L101" s="46"/>
      <c r="M101" s="46"/>
    </row>
    <row r="102" spans="2:15" ht="15" customHeight="1" x14ac:dyDescent="0.25">
      <c r="B102" s="5">
        <v>44597</v>
      </c>
      <c r="C102" s="5" t="s">
        <v>177</v>
      </c>
      <c r="D102" s="35">
        <v>2022</v>
      </c>
      <c r="E102" t="s">
        <v>22</v>
      </c>
      <c r="F102" t="s">
        <v>131</v>
      </c>
      <c r="G102" t="s">
        <v>364</v>
      </c>
      <c r="H102" s="92" t="s">
        <v>972</v>
      </c>
      <c r="I102">
        <v>2</v>
      </c>
      <c r="J102" s="46">
        <v>1200</v>
      </c>
      <c r="K102" s="50" t="s">
        <v>75</v>
      </c>
      <c r="L102" s="46"/>
      <c r="M102" s="46"/>
    </row>
    <row r="103" spans="2:15" ht="15" customHeight="1" x14ac:dyDescent="0.25">
      <c r="B103" s="5">
        <v>44597</v>
      </c>
      <c r="C103" s="5" t="s">
        <v>177</v>
      </c>
      <c r="D103" s="35">
        <v>2022</v>
      </c>
      <c r="E103" t="s">
        <v>22</v>
      </c>
      <c r="F103" t="s">
        <v>131</v>
      </c>
      <c r="G103" s="24" t="s">
        <v>120</v>
      </c>
      <c r="H103" s="24" t="s">
        <v>968</v>
      </c>
      <c r="I103">
        <v>1</v>
      </c>
      <c r="J103" s="46">
        <v>4295</v>
      </c>
      <c r="K103" s="50" t="s">
        <v>75</v>
      </c>
      <c r="L103" s="46"/>
      <c r="M103" s="46"/>
    </row>
    <row r="104" spans="2:15" ht="15" customHeight="1" x14ac:dyDescent="0.25">
      <c r="B104" s="5">
        <v>44597</v>
      </c>
      <c r="C104" s="5" t="s">
        <v>177</v>
      </c>
      <c r="D104" s="35">
        <v>2022</v>
      </c>
      <c r="E104" t="s">
        <v>22</v>
      </c>
      <c r="F104" t="s">
        <v>132</v>
      </c>
      <c r="G104" t="s">
        <v>47</v>
      </c>
      <c r="H104" s="92" t="s">
        <v>972</v>
      </c>
      <c r="I104">
        <v>1</v>
      </c>
      <c r="J104" s="46">
        <v>600</v>
      </c>
      <c r="K104" s="50" t="s">
        <v>75</v>
      </c>
      <c r="L104" s="46"/>
      <c r="M104" s="46"/>
    </row>
    <row r="105" spans="2:15" ht="15" customHeight="1" x14ac:dyDescent="0.25">
      <c r="B105" s="5">
        <v>44597</v>
      </c>
      <c r="C105" s="5" t="s">
        <v>177</v>
      </c>
      <c r="D105" s="35">
        <v>2022</v>
      </c>
      <c r="E105" t="s">
        <v>22</v>
      </c>
      <c r="F105" t="s">
        <v>132</v>
      </c>
      <c r="G105" t="s">
        <v>53</v>
      </c>
      <c r="H105" s="92" t="s">
        <v>984</v>
      </c>
      <c r="I105">
        <v>1</v>
      </c>
      <c r="J105" s="46">
        <v>950</v>
      </c>
      <c r="K105" s="50" t="s">
        <v>75</v>
      </c>
      <c r="L105" s="46"/>
      <c r="M105" s="46"/>
    </row>
    <row r="106" spans="2:15" ht="15" customHeight="1" x14ac:dyDescent="0.25">
      <c r="B106" s="5">
        <v>44597</v>
      </c>
      <c r="C106" s="5" t="s">
        <v>177</v>
      </c>
      <c r="D106" s="35">
        <v>2022</v>
      </c>
      <c r="E106" t="s">
        <v>22</v>
      </c>
      <c r="F106" t="s">
        <v>132</v>
      </c>
      <c r="G106" t="s">
        <v>128</v>
      </c>
      <c r="H106" s="92" t="s">
        <v>965</v>
      </c>
      <c r="I106">
        <v>1</v>
      </c>
      <c r="J106" s="46">
        <v>1270</v>
      </c>
      <c r="K106" s="50" t="s">
        <v>75</v>
      </c>
      <c r="L106" s="46"/>
      <c r="M106" s="46"/>
    </row>
    <row r="107" spans="2:15" ht="15" customHeight="1" x14ac:dyDescent="0.25">
      <c r="B107" s="5">
        <v>44597</v>
      </c>
      <c r="C107" s="5" t="s">
        <v>177</v>
      </c>
      <c r="D107" s="35">
        <v>2022</v>
      </c>
      <c r="E107" t="s">
        <v>22</v>
      </c>
      <c r="F107" t="s">
        <v>133</v>
      </c>
      <c r="G107" t="s">
        <v>122</v>
      </c>
      <c r="H107" s="92" t="s">
        <v>973</v>
      </c>
      <c r="I107">
        <v>1</v>
      </c>
      <c r="J107" s="46">
        <v>260</v>
      </c>
      <c r="K107" s="50" t="s">
        <v>75</v>
      </c>
      <c r="L107" s="46"/>
      <c r="M107" s="46"/>
    </row>
    <row r="108" spans="2:15" ht="15" customHeight="1" x14ac:dyDescent="0.25">
      <c r="B108" s="5">
        <v>44597</v>
      </c>
      <c r="C108" s="5" t="s">
        <v>177</v>
      </c>
      <c r="D108" s="35">
        <v>2022</v>
      </c>
      <c r="E108" t="s">
        <v>22</v>
      </c>
      <c r="F108" t="s">
        <v>133</v>
      </c>
      <c r="G108" t="s">
        <v>127</v>
      </c>
      <c r="H108" s="92" t="s">
        <v>973</v>
      </c>
      <c r="I108">
        <v>1</v>
      </c>
      <c r="J108" s="46">
        <v>260</v>
      </c>
      <c r="K108" s="50" t="s">
        <v>75</v>
      </c>
      <c r="L108" s="46"/>
      <c r="M108" s="46"/>
    </row>
    <row r="109" spans="2:15" ht="15" customHeight="1" x14ac:dyDescent="0.25">
      <c r="B109" s="5">
        <v>44597</v>
      </c>
      <c r="C109" s="5" t="s">
        <v>177</v>
      </c>
      <c r="D109" s="35">
        <v>2022</v>
      </c>
      <c r="E109" t="s">
        <v>22</v>
      </c>
      <c r="F109" t="s">
        <v>133</v>
      </c>
      <c r="G109" t="s">
        <v>284</v>
      </c>
      <c r="H109" s="92" t="s">
        <v>977</v>
      </c>
      <c r="I109">
        <v>1</v>
      </c>
      <c r="J109" s="46">
        <v>550</v>
      </c>
      <c r="K109" s="50" t="s">
        <v>75</v>
      </c>
      <c r="L109" s="46"/>
      <c r="M109" s="46"/>
    </row>
    <row r="110" spans="2:15" ht="15" customHeight="1" x14ac:dyDescent="0.25">
      <c r="B110" s="5">
        <v>44597</v>
      </c>
      <c r="C110" s="5" t="s">
        <v>177</v>
      </c>
      <c r="D110" s="35">
        <v>2022</v>
      </c>
      <c r="E110" t="s">
        <v>22</v>
      </c>
      <c r="F110" t="s">
        <v>134</v>
      </c>
      <c r="G110" t="s">
        <v>406</v>
      </c>
      <c r="H110" s="92" t="s">
        <v>977</v>
      </c>
      <c r="I110">
        <v>1</v>
      </c>
      <c r="J110" s="46">
        <v>3250</v>
      </c>
      <c r="K110" s="50" t="s">
        <v>75</v>
      </c>
      <c r="L110" s="46"/>
      <c r="M110" s="46"/>
    </row>
    <row r="111" spans="2:15" ht="15" customHeight="1" x14ac:dyDescent="0.25">
      <c r="B111" s="5">
        <v>44597</v>
      </c>
      <c r="C111" s="5" t="s">
        <v>177</v>
      </c>
      <c r="D111" s="35">
        <v>2022</v>
      </c>
      <c r="E111" t="s">
        <v>22</v>
      </c>
      <c r="F111" t="s">
        <v>135</v>
      </c>
      <c r="G111" t="s">
        <v>123</v>
      </c>
      <c r="H111" s="92" t="s">
        <v>966</v>
      </c>
      <c r="I111">
        <v>10</v>
      </c>
      <c r="J111" s="46">
        <v>17000</v>
      </c>
      <c r="K111" s="50" t="s">
        <v>75</v>
      </c>
      <c r="L111" s="46"/>
      <c r="M111" s="46"/>
    </row>
    <row r="112" spans="2:15" ht="15" customHeight="1" x14ac:dyDescent="0.25">
      <c r="B112" s="5">
        <v>44597</v>
      </c>
      <c r="C112" s="5" t="s">
        <v>177</v>
      </c>
      <c r="D112" s="35">
        <v>2022</v>
      </c>
      <c r="E112" t="s">
        <v>1</v>
      </c>
      <c r="F112" t="s">
        <v>136</v>
      </c>
      <c r="G112" s="24" t="s">
        <v>120</v>
      </c>
      <c r="H112" s="24" t="s">
        <v>968</v>
      </c>
      <c r="I112">
        <v>6</v>
      </c>
      <c r="J112" s="46">
        <v>25770</v>
      </c>
      <c r="K112" s="50" t="s">
        <v>75</v>
      </c>
      <c r="L112" s="46"/>
      <c r="M112" s="46">
        <v>25770</v>
      </c>
      <c r="N112" s="46"/>
      <c r="O112" t="s">
        <v>571</v>
      </c>
    </row>
    <row r="113" spans="2:13" ht="15" customHeight="1" x14ac:dyDescent="0.25">
      <c r="B113" s="5">
        <v>44597</v>
      </c>
      <c r="C113" s="5" t="s">
        <v>177</v>
      </c>
      <c r="D113" s="35">
        <v>2022</v>
      </c>
      <c r="E113" t="s">
        <v>1</v>
      </c>
      <c r="F113" t="s">
        <v>136</v>
      </c>
      <c r="G113" t="s">
        <v>50</v>
      </c>
      <c r="H113" s="92" t="s">
        <v>969</v>
      </c>
      <c r="I113">
        <v>1</v>
      </c>
      <c r="J113" s="46">
        <v>2500</v>
      </c>
      <c r="K113" s="50" t="s">
        <v>75</v>
      </c>
      <c r="L113" s="46"/>
      <c r="M113" s="46"/>
    </row>
    <row r="114" spans="2:13" ht="15" customHeight="1" x14ac:dyDescent="0.25">
      <c r="B114" s="5">
        <v>44597</v>
      </c>
      <c r="C114" s="5" t="s">
        <v>177</v>
      </c>
      <c r="D114" s="35">
        <v>2022</v>
      </c>
      <c r="E114" t="s">
        <v>1</v>
      </c>
      <c r="F114" t="s">
        <v>136</v>
      </c>
      <c r="G114" t="s">
        <v>127</v>
      </c>
      <c r="H114" s="92" t="s">
        <v>973</v>
      </c>
      <c r="I114">
        <v>1</v>
      </c>
      <c r="J114" s="46">
        <v>260</v>
      </c>
      <c r="K114" s="50" t="s">
        <v>75</v>
      </c>
      <c r="L114" s="46"/>
      <c r="M114" s="46"/>
    </row>
    <row r="115" spans="2:13" ht="15" customHeight="1" x14ac:dyDescent="0.25">
      <c r="B115" s="5">
        <v>44597</v>
      </c>
      <c r="C115" s="5" t="s">
        <v>177</v>
      </c>
      <c r="D115" s="35">
        <v>2022</v>
      </c>
      <c r="E115" t="s">
        <v>1</v>
      </c>
      <c r="F115" t="s">
        <v>137</v>
      </c>
      <c r="G115" t="s">
        <v>45</v>
      </c>
      <c r="H115" s="92" t="s">
        <v>965</v>
      </c>
      <c r="I115">
        <v>1</v>
      </c>
      <c r="J115" s="46">
        <v>1390</v>
      </c>
      <c r="K115" s="50" t="s">
        <v>75</v>
      </c>
      <c r="L115" s="46"/>
      <c r="M115" s="46"/>
    </row>
    <row r="116" spans="2:13" ht="15" customHeight="1" x14ac:dyDescent="0.25">
      <c r="B116" s="5">
        <v>44597</v>
      </c>
      <c r="C116" s="5" t="s">
        <v>177</v>
      </c>
      <c r="D116" s="35">
        <v>2022</v>
      </c>
      <c r="E116" t="s">
        <v>1</v>
      </c>
      <c r="F116" t="s">
        <v>138</v>
      </c>
      <c r="G116" t="s">
        <v>123</v>
      </c>
      <c r="H116" s="92" t="s">
        <v>966</v>
      </c>
      <c r="I116">
        <v>2</v>
      </c>
      <c r="J116" s="46">
        <v>3400</v>
      </c>
      <c r="K116" s="50" t="s">
        <v>75</v>
      </c>
      <c r="L116" s="46"/>
      <c r="M116" s="46"/>
    </row>
    <row r="117" spans="2:13" ht="15" customHeight="1" x14ac:dyDescent="0.25">
      <c r="B117" s="5">
        <v>44597</v>
      </c>
      <c r="C117" s="5" t="s">
        <v>177</v>
      </c>
      <c r="D117" s="35">
        <v>2022</v>
      </c>
      <c r="E117" t="s">
        <v>1</v>
      </c>
      <c r="F117" t="s">
        <v>138</v>
      </c>
      <c r="G117" s="24" t="s">
        <v>120</v>
      </c>
      <c r="H117" s="24" t="s">
        <v>968</v>
      </c>
      <c r="I117">
        <v>2</v>
      </c>
      <c r="J117" s="46">
        <v>8590</v>
      </c>
      <c r="K117" s="50" t="s">
        <v>75</v>
      </c>
      <c r="L117" s="46"/>
      <c r="M117" s="46"/>
    </row>
    <row r="118" spans="2:13" ht="15" customHeight="1" x14ac:dyDescent="0.25">
      <c r="B118" s="5">
        <v>44597</v>
      </c>
      <c r="C118" s="5" t="s">
        <v>177</v>
      </c>
      <c r="D118" s="35">
        <v>2022</v>
      </c>
      <c r="E118" t="s">
        <v>19</v>
      </c>
      <c r="F118" t="s">
        <v>139</v>
      </c>
      <c r="G118" t="s">
        <v>50</v>
      </c>
      <c r="H118" s="92" t="s">
        <v>969</v>
      </c>
      <c r="I118">
        <v>1</v>
      </c>
      <c r="J118" s="46">
        <v>2450</v>
      </c>
      <c r="K118" s="50" t="s">
        <v>75</v>
      </c>
      <c r="L118" s="46"/>
      <c r="M118" s="46"/>
    </row>
    <row r="119" spans="2:13" ht="15" customHeight="1" x14ac:dyDescent="0.25">
      <c r="B119" s="5">
        <v>44597</v>
      </c>
      <c r="C119" s="5" t="s">
        <v>177</v>
      </c>
      <c r="D119" s="35">
        <v>2022</v>
      </c>
      <c r="E119" t="s">
        <v>19</v>
      </c>
      <c r="F119" t="s">
        <v>139</v>
      </c>
      <c r="G119" t="s">
        <v>126</v>
      </c>
      <c r="H119" s="92" t="s">
        <v>965</v>
      </c>
      <c r="I119">
        <v>1</v>
      </c>
      <c r="J119" s="46">
        <v>1410</v>
      </c>
      <c r="K119" s="50" t="s">
        <v>75</v>
      </c>
      <c r="L119" s="46"/>
      <c r="M119" s="46"/>
    </row>
    <row r="120" spans="2:13" ht="15" customHeight="1" x14ac:dyDescent="0.25">
      <c r="B120" s="5">
        <v>44597</v>
      </c>
      <c r="C120" s="5" t="s">
        <v>177</v>
      </c>
      <c r="D120" s="35">
        <v>2022</v>
      </c>
      <c r="E120" t="s">
        <v>19</v>
      </c>
      <c r="F120" t="s">
        <v>139</v>
      </c>
      <c r="G120" t="s">
        <v>125</v>
      </c>
      <c r="H120" s="92" t="s">
        <v>971</v>
      </c>
      <c r="I120">
        <v>1</v>
      </c>
      <c r="J120" s="46">
        <v>510</v>
      </c>
      <c r="K120" s="50" t="s">
        <v>75</v>
      </c>
      <c r="L120" s="46"/>
      <c r="M120" s="46"/>
    </row>
    <row r="121" spans="2:13" ht="15" customHeight="1" x14ac:dyDescent="0.25">
      <c r="B121" s="5">
        <v>44597</v>
      </c>
      <c r="C121" s="5" t="s">
        <v>177</v>
      </c>
      <c r="D121" s="35">
        <v>2022</v>
      </c>
      <c r="E121" t="s">
        <v>19</v>
      </c>
      <c r="F121" t="s">
        <v>140</v>
      </c>
      <c r="G121" t="s">
        <v>49</v>
      </c>
      <c r="H121" s="92" t="s">
        <v>966</v>
      </c>
      <c r="I121">
        <v>1</v>
      </c>
      <c r="J121" s="46">
        <v>1750</v>
      </c>
      <c r="K121" s="50" t="s">
        <v>75</v>
      </c>
      <c r="L121" s="46"/>
      <c r="M121" s="46"/>
    </row>
    <row r="122" spans="2:13" ht="15" customHeight="1" x14ac:dyDescent="0.25">
      <c r="B122" s="5">
        <v>44597</v>
      </c>
      <c r="C122" s="5" t="s">
        <v>177</v>
      </c>
      <c r="D122" s="35">
        <v>2022</v>
      </c>
      <c r="E122" t="s">
        <v>19</v>
      </c>
      <c r="F122" t="s">
        <v>141</v>
      </c>
      <c r="G122" t="s">
        <v>124</v>
      </c>
      <c r="H122" s="92" t="s">
        <v>982</v>
      </c>
      <c r="I122">
        <v>1</v>
      </c>
      <c r="J122" s="46">
        <v>620</v>
      </c>
      <c r="K122" s="50" t="s">
        <v>75</v>
      </c>
      <c r="L122" s="46"/>
      <c r="M122" s="46"/>
    </row>
    <row r="123" spans="2:13" ht="15" customHeight="1" x14ac:dyDescent="0.25">
      <c r="B123" s="5">
        <v>44597</v>
      </c>
      <c r="C123" s="5" t="s">
        <v>177</v>
      </c>
      <c r="D123" s="35">
        <v>2022</v>
      </c>
      <c r="E123" t="s">
        <v>19</v>
      </c>
      <c r="F123" t="s">
        <v>141</v>
      </c>
      <c r="G123" t="s">
        <v>45</v>
      </c>
      <c r="H123" s="92" t="s">
        <v>965</v>
      </c>
      <c r="I123">
        <v>1</v>
      </c>
      <c r="J123" s="46">
        <v>1390</v>
      </c>
      <c r="K123" s="50" t="s">
        <v>75</v>
      </c>
      <c r="L123" s="46"/>
      <c r="M123" s="46"/>
    </row>
    <row r="124" spans="2:13" ht="15" customHeight="1" x14ac:dyDescent="0.25">
      <c r="B124" s="5">
        <v>44597</v>
      </c>
      <c r="C124" s="5" t="s">
        <v>177</v>
      </c>
      <c r="D124" s="35">
        <v>2022</v>
      </c>
      <c r="E124" t="s">
        <v>19</v>
      </c>
      <c r="F124" t="s">
        <v>142</v>
      </c>
      <c r="G124" t="s">
        <v>123</v>
      </c>
      <c r="H124" s="92" t="s">
        <v>966</v>
      </c>
      <c r="I124">
        <v>1</v>
      </c>
      <c r="J124" s="46">
        <v>1720</v>
      </c>
      <c r="K124" s="50" t="s">
        <v>75</v>
      </c>
      <c r="L124" s="46"/>
      <c r="M124" s="46"/>
    </row>
    <row r="125" spans="2:13" ht="15" customHeight="1" x14ac:dyDescent="0.25">
      <c r="B125" s="5">
        <v>44597</v>
      </c>
      <c r="C125" s="5" t="s">
        <v>177</v>
      </c>
      <c r="D125" s="35">
        <v>2022</v>
      </c>
      <c r="E125" t="s">
        <v>19</v>
      </c>
      <c r="F125" t="s">
        <v>142</v>
      </c>
      <c r="G125" t="s">
        <v>122</v>
      </c>
      <c r="H125" s="92" t="s">
        <v>973</v>
      </c>
      <c r="I125">
        <v>1</v>
      </c>
      <c r="J125" s="46">
        <v>260</v>
      </c>
      <c r="K125" s="50" t="s">
        <v>75</v>
      </c>
      <c r="L125" s="46"/>
      <c r="M125" s="46"/>
    </row>
    <row r="126" spans="2:13" ht="15" customHeight="1" x14ac:dyDescent="0.25">
      <c r="B126" s="5">
        <v>44597</v>
      </c>
      <c r="C126" s="5" t="s">
        <v>177</v>
      </c>
      <c r="D126" s="35">
        <v>2022</v>
      </c>
      <c r="E126" t="s">
        <v>19</v>
      </c>
      <c r="F126" t="s">
        <v>142</v>
      </c>
      <c r="G126" t="s">
        <v>121</v>
      </c>
      <c r="H126" s="92" t="s">
        <v>982</v>
      </c>
      <c r="I126">
        <v>1</v>
      </c>
      <c r="J126" s="46">
        <v>230</v>
      </c>
      <c r="K126" s="50" t="s">
        <v>75</v>
      </c>
      <c r="L126" s="46"/>
      <c r="M126" s="46"/>
    </row>
    <row r="127" spans="2:13" ht="15" customHeight="1" x14ac:dyDescent="0.25">
      <c r="B127" s="5">
        <v>44597</v>
      </c>
      <c r="C127" s="5" t="s">
        <v>177</v>
      </c>
      <c r="D127" s="35">
        <v>2022</v>
      </c>
      <c r="E127" t="s">
        <v>19</v>
      </c>
      <c r="F127" t="s">
        <v>143</v>
      </c>
      <c r="G127" s="24" t="s">
        <v>120</v>
      </c>
      <c r="H127" s="24" t="s">
        <v>968</v>
      </c>
      <c r="I127">
        <v>1</v>
      </c>
      <c r="J127" s="46">
        <v>4295</v>
      </c>
      <c r="K127" s="50" t="s">
        <v>75</v>
      </c>
      <c r="L127" s="46"/>
      <c r="M127" s="46"/>
    </row>
    <row r="128" spans="2:13" ht="15" customHeight="1" x14ac:dyDescent="0.25">
      <c r="B128" s="5">
        <v>44597</v>
      </c>
      <c r="C128" s="5" t="s">
        <v>177</v>
      </c>
      <c r="D128" s="35">
        <v>2022</v>
      </c>
      <c r="E128" t="s">
        <v>111</v>
      </c>
      <c r="F128" t="s">
        <v>89</v>
      </c>
      <c r="G128" t="s">
        <v>58</v>
      </c>
      <c r="H128" s="92" t="s">
        <v>969</v>
      </c>
      <c r="I128">
        <v>1</v>
      </c>
      <c r="J128" s="46">
        <v>2450</v>
      </c>
      <c r="K128" s="50" t="s">
        <v>75</v>
      </c>
      <c r="L128" s="46"/>
      <c r="M128" s="46"/>
    </row>
    <row r="129" spans="2:13" ht="15" customHeight="1" x14ac:dyDescent="0.25">
      <c r="B129" s="5">
        <v>44597</v>
      </c>
      <c r="C129" s="5" t="s">
        <v>177</v>
      </c>
      <c r="D129" s="35">
        <v>2022</v>
      </c>
      <c r="E129" t="s">
        <v>111</v>
      </c>
      <c r="F129" t="s">
        <v>144</v>
      </c>
      <c r="G129" s="24" t="s">
        <v>120</v>
      </c>
      <c r="H129" s="24" t="s">
        <v>968</v>
      </c>
      <c r="I129">
        <v>2</v>
      </c>
      <c r="J129" s="46">
        <v>8590</v>
      </c>
      <c r="K129" s="50" t="s">
        <v>75</v>
      </c>
      <c r="L129" s="46"/>
      <c r="M129" s="46"/>
    </row>
    <row r="130" spans="2:13" ht="15" customHeight="1" x14ac:dyDescent="0.25">
      <c r="B130" s="5">
        <v>44597</v>
      </c>
      <c r="C130" s="5" t="s">
        <v>177</v>
      </c>
      <c r="D130" s="35">
        <v>2022</v>
      </c>
      <c r="E130" t="s">
        <v>111</v>
      </c>
      <c r="F130" t="s">
        <v>145</v>
      </c>
      <c r="G130" t="s">
        <v>53</v>
      </c>
      <c r="H130" s="92" t="s">
        <v>984</v>
      </c>
      <c r="I130">
        <v>1</v>
      </c>
      <c r="J130" s="46">
        <v>950</v>
      </c>
      <c r="K130" s="50" t="s">
        <v>75</v>
      </c>
      <c r="L130" s="46"/>
      <c r="M130" s="46"/>
    </row>
    <row r="131" spans="2:13" ht="15" customHeight="1" x14ac:dyDescent="0.25">
      <c r="B131" s="5">
        <v>44597</v>
      </c>
      <c r="C131" s="5" t="s">
        <v>177</v>
      </c>
      <c r="D131" s="35">
        <v>2022</v>
      </c>
      <c r="E131" t="s">
        <v>16</v>
      </c>
      <c r="F131" t="s">
        <v>98</v>
      </c>
      <c r="G131" t="s">
        <v>265</v>
      </c>
      <c r="H131" s="24" t="s">
        <v>976</v>
      </c>
      <c r="I131">
        <v>1</v>
      </c>
      <c r="J131" s="46">
        <v>1000</v>
      </c>
      <c r="K131" s="50" t="s">
        <v>75</v>
      </c>
      <c r="L131" s="46"/>
      <c r="M131" s="46"/>
    </row>
    <row r="132" spans="2:13" ht="15" customHeight="1" x14ac:dyDescent="0.25">
      <c r="B132" s="5">
        <v>44597</v>
      </c>
      <c r="C132" s="5" t="s">
        <v>177</v>
      </c>
      <c r="D132" s="35">
        <v>2022</v>
      </c>
      <c r="E132" t="s">
        <v>16</v>
      </c>
      <c r="F132" t="s">
        <v>146</v>
      </c>
      <c r="G132" t="s">
        <v>364</v>
      </c>
      <c r="H132" s="92" t="s">
        <v>972</v>
      </c>
      <c r="I132">
        <v>2</v>
      </c>
      <c r="J132" s="46">
        <v>1200</v>
      </c>
      <c r="K132" s="50" t="s">
        <v>75</v>
      </c>
      <c r="L132" s="46"/>
      <c r="M132" s="46"/>
    </row>
    <row r="133" spans="2:13" ht="15" customHeight="1" x14ac:dyDescent="0.25">
      <c r="B133" s="5">
        <v>44597</v>
      </c>
      <c r="C133" s="5" t="s">
        <v>177</v>
      </c>
      <c r="D133" s="35">
        <v>2022</v>
      </c>
      <c r="E133" t="s">
        <v>16</v>
      </c>
      <c r="F133" t="s">
        <v>147</v>
      </c>
      <c r="G133" t="s">
        <v>249</v>
      </c>
      <c r="H133" s="92" t="s">
        <v>972</v>
      </c>
      <c r="I133">
        <v>1</v>
      </c>
      <c r="J133" s="46">
        <v>1080</v>
      </c>
      <c r="K133" s="50" t="s">
        <v>75</v>
      </c>
      <c r="L133" s="46"/>
      <c r="M133" s="46"/>
    </row>
    <row r="134" spans="2:13" ht="15" customHeight="1" x14ac:dyDescent="0.25">
      <c r="B134" s="5">
        <v>44597</v>
      </c>
      <c r="C134" s="5" t="s">
        <v>177</v>
      </c>
      <c r="D134" s="35">
        <v>2022</v>
      </c>
      <c r="E134" t="s">
        <v>16</v>
      </c>
      <c r="F134" t="s">
        <v>148</v>
      </c>
      <c r="G134" t="s">
        <v>50</v>
      </c>
      <c r="H134" s="92" t="s">
        <v>969</v>
      </c>
      <c r="I134">
        <v>5</v>
      </c>
      <c r="J134" s="46">
        <v>12250</v>
      </c>
      <c r="K134" s="50" t="s">
        <v>75</v>
      </c>
      <c r="L134" s="46"/>
      <c r="M134" s="46"/>
    </row>
    <row r="135" spans="2:13" ht="15" customHeight="1" x14ac:dyDescent="0.25">
      <c r="B135" s="5">
        <v>44598</v>
      </c>
      <c r="C135" s="5" t="s">
        <v>177</v>
      </c>
      <c r="D135" s="35">
        <v>2022</v>
      </c>
      <c r="E135" t="s">
        <v>11</v>
      </c>
      <c r="F135" t="s">
        <v>149</v>
      </c>
      <c r="G135" t="s">
        <v>53</v>
      </c>
      <c r="H135" s="92" t="s">
        <v>984</v>
      </c>
      <c r="I135">
        <v>1</v>
      </c>
      <c r="J135" s="46">
        <v>950</v>
      </c>
      <c r="K135" s="50" t="s">
        <v>75</v>
      </c>
      <c r="L135" s="46"/>
      <c r="M135" s="46"/>
    </row>
    <row r="136" spans="2:13" ht="15" customHeight="1" x14ac:dyDescent="0.25">
      <c r="B136" s="5">
        <v>44598</v>
      </c>
      <c r="C136" s="5" t="s">
        <v>177</v>
      </c>
      <c r="D136" s="35">
        <v>2022</v>
      </c>
      <c r="E136" t="s">
        <v>11</v>
      </c>
      <c r="F136" t="s">
        <v>44</v>
      </c>
      <c r="G136" t="s">
        <v>130</v>
      </c>
      <c r="H136" s="92" t="s">
        <v>978</v>
      </c>
      <c r="I136">
        <v>1</v>
      </c>
      <c r="J136" s="46">
        <v>830</v>
      </c>
      <c r="K136" s="50" t="s">
        <v>75</v>
      </c>
      <c r="L136" s="46"/>
      <c r="M136" s="46"/>
    </row>
    <row r="137" spans="2:13" ht="15" customHeight="1" x14ac:dyDescent="0.25">
      <c r="B137" s="5">
        <v>44598</v>
      </c>
      <c r="C137" s="5" t="s">
        <v>177</v>
      </c>
      <c r="D137" s="35">
        <v>2022</v>
      </c>
      <c r="E137" t="s">
        <v>11</v>
      </c>
      <c r="F137" t="s">
        <v>44</v>
      </c>
      <c r="G137" t="s">
        <v>124</v>
      </c>
      <c r="H137" s="92" t="s">
        <v>982</v>
      </c>
      <c r="I137">
        <v>1</v>
      </c>
      <c r="J137" s="46">
        <v>625</v>
      </c>
      <c r="K137" s="50" t="s">
        <v>75</v>
      </c>
      <c r="L137" s="46"/>
      <c r="M137" s="46"/>
    </row>
    <row r="138" spans="2:13" ht="15" customHeight="1" x14ac:dyDescent="0.25">
      <c r="B138" s="5">
        <v>44598</v>
      </c>
      <c r="C138" s="5" t="s">
        <v>177</v>
      </c>
      <c r="D138" s="35">
        <v>2022</v>
      </c>
      <c r="E138" t="s">
        <v>11</v>
      </c>
      <c r="F138" t="s">
        <v>150</v>
      </c>
      <c r="G138" t="s">
        <v>53</v>
      </c>
      <c r="H138" s="92" t="s">
        <v>984</v>
      </c>
      <c r="I138">
        <v>1</v>
      </c>
      <c r="J138" s="46">
        <v>950</v>
      </c>
      <c r="K138" s="50" t="s">
        <v>75</v>
      </c>
      <c r="L138" s="46"/>
      <c r="M138" s="46"/>
    </row>
    <row r="139" spans="2:13" ht="15" customHeight="1" x14ac:dyDescent="0.25">
      <c r="B139" s="5">
        <v>44598</v>
      </c>
      <c r="C139" s="5" t="s">
        <v>177</v>
      </c>
      <c r="D139" s="35">
        <v>2022</v>
      </c>
      <c r="E139" t="s">
        <v>11</v>
      </c>
      <c r="F139" t="s">
        <v>150</v>
      </c>
      <c r="G139" t="s">
        <v>47</v>
      </c>
      <c r="H139" s="92" t="s">
        <v>972</v>
      </c>
      <c r="I139">
        <v>1</v>
      </c>
      <c r="J139" s="46">
        <v>600</v>
      </c>
      <c r="K139" s="50" t="s">
        <v>75</v>
      </c>
      <c r="L139" s="46"/>
      <c r="M139" s="46"/>
    </row>
    <row r="140" spans="2:13" ht="15" customHeight="1" x14ac:dyDescent="0.25">
      <c r="B140" s="5">
        <v>44598</v>
      </c>
      <c r="C140" s="5" t="s">
        <v>177</v>
      </c>
      <c r="D140" s="35">
        <v>2022</v>
      </c>
      <c r="E140" t="s">
        <v>11</v>
      </c>
      <c r="F140" t="s">
        <v>151</v>
      </c>
      <c r="G140" t="s">
        <v>125</v>
      </c>
      <c r="H140" s="92" t="s">
        <v>971</v>
      </c>
      <c r="I140">
        <v>1</v>
      </c>
      <c r="J140" s="46">
        <v>510</v>
      </c>
      <c r="K140" s="50" t="s">
        <v>75</v>
      </c>
      <c r="L140" s="46"/>
      <c r="M140" s="46"/>
    </row>
    <row r="141" spans="2:13" ht="15" customHeight="1" x14ac:dyDescent="0.25">
      <c r="B141" s="5">
        <v>44598</v>
      </c>
      <c r="C141" s="5" t="s">
        <v>177</v>
      </c>
      <c r="D141" s="35">
        <v>2022</v>
      </c>
      <c r="E141" t="s">
        <v>11</v>
      </c>
      <c r="F141" t="s">
        <v>152</v>
      </c>
      <c r="G141" t="s">
        <v>47</v>
      </c>
      <c r="H141" s="92" t="s">
        <v>972</v>
      </c>
      <c r="I141">
        <v>1</v>
      </c>
      <c r="J141" s="46">
        <v>600</v>
      </c>
      <c r="K141" s="50" t="s">
        <v>75</v>
      </c>
      <c r="L141" s="46"/>
      <c r="M141" s="46"/>
    </row>
    <row r="142" spans="2:13" ht="15" customHeight="1" x14ac:dyDescent="0.25">
      <c r="B142" s="5">
        <v>44598</v>
      </c>
      <c r="C142" s="5" t="s">
        <v>177</v>
      </c>
      <c r="D142" s="35">
        <v>2022</v>
      </c>
      <c r="E142" t="s">
        <v>11</v>
      </c>
      <c r="F142" t="s">
        <v>153</v>
      </c>
      <c r="G142" t="s">
        <v>45</v>
      </c>
      <c r="H142" s="92" t="s">
        <v>965</v>
      </c>
      <c r="I142">
        <v>1</v>
      </c>
      <c r="J142" s="46">
        <v>1390</v>
      </c>
      <c r="K142" s="50" t="s">
        <v>75</v>
      </c>
      <c r="L142" s="46"/>
      <c r="M142" s="46"/>
    </row>
    <row r="143" spans="2:13" ht="15" customHeight="1" x14ac:dyDescent="0.25">
      <c r="B143" s="5">
        <v>44598</v>
      </c>
      <c r="C143" s="5" t="s">
        <v>177</v>
      </c>
      <c r="D143" s="35">
        <v>2022</v>
      </c>
      <c r="E143" t="s">
        <v>11</v>
      </c>
      <c r="F143" t="s">
        <v>154</v>
      </c>
      <c r="G143" t="s">
        <v>122</v>
      </c>
      <c r="H143" s="92" t="s">
        <v>973</v>
      </c>
      <c r="I143">
        <v>1</v>
      </c>
      <c r="J143" s="46">
        <v>260</v>
      </c>
      <c r="K143" s="50" t="s">
        <v>75</v>
      </c>
      <c r="L143" s="46"/>
      <c r="M143" s="46"/>
    </row>
    <row r="144" spans="2:13" ht="15" customHeight="1" x14ac:dyDescent="0.25">
      <c r="B144" s="5">
        <v>44598</v>
      </c>
      <c r="C144" s="5" t="s">
        <v>177</v>
      </c>
      <c r="D144" s="35">
        <v>2022</v>
      </c>
      <c r="E144" t="s">
        <v>11</v>
      </c>
      <c r="F144" t="s">
        <v>154</v>
      </c>
      <c r="G144" t="s">
        <v>47</v>
      </c>
      <c r="H144" s="92" t="s">
        <v>972</v>
      </c>
      <c r="I144">
        <v>1</v>
      </c>
      <c r="J144" s="46">
        <v>600</v>
      </c>
      <c r="K144" s="50" t="s">
        <v>75</v>
      </c>
      <c r="L144" s="46"/>
      <c r="M144" s="46"/>
    </row>
    <row r="145" spans="2:13" ht="15" customHeight="1" x14ac:dyDescent="0.25">
      <c r="B145" s="5">
        <v>44598</v>
      </c>
      <c r="C145" s="5" t="s">
        <v>177</v>
      </c>
      <c r="D145" s="35">
        <v>2022</v>
      </c>
      <c r="E145" t="s">
        <v>111</v>
      </c>
      <c r="F145" t="s">
        <v>155</v>
      </c>
      <c r="G145" t="s">
        <v>121</v>
      </c>
      <c r="H145" s="92" t="s">
        <v>982</v>
      </c>
      <c r="I145">
        <v>1</v>
      </c>
      <c r="J145" s="46">
        <v>230</v>
      </c>
      <c r="K145" s="50" t="s">
        <v>75</v>
      </c>
      <c r="L145" s="46"/>
      <c r="M145" s="46"/>
    </row>
    <row r="146" spans="2:13" ht="15" customHeight="1" x14ac:dyDescent="0.25">
      <c r="B146" s="5">
        <v>44598</v>
      </c>
      <c r="C146" s="5" t="s">
        <v>177</v>
      </c>
      <c r="D146" s="35">
        <v>2022</v>
      </c>
      <c r="E146" t="s">
        <v>111</v>
      </c>
      <c r="F146" t="s">
        <v>155</v>
      </c>
      <c r="G146" t="s">
        <v>129</v>
      </c>
      <c r="H146" s="92" t="s">
        <v>970</v>
      </c>
      <c r="I146">
        <v>1</v>
      </c>
      <c r="J146" s="46">
        <v>2425</v>
      </c>
      <c r="K146" s="50" t="s">
        <v>75</v>
      </c>
      <c r="L146" s="46"/>
      <c r="M146" s="46"/>
    </row>
    <row r="147" spans="2:13" ht="15" customHeight="1" x14ac:dyDescent="0.25">
      <c r="B147" s="5">
        <v>44598</v>
      </c>
      <c r="C147" s="5" t="s">
        <v>177</v>
      </c>
      <c r="D147" s="35">
        <v>2022</v>
      </c>
      <c r="E147" t="s">
        <v>111</v>
      </c>
      <c r="F147" t="s">
        <v>156</v>
      </c>
      <c r="G147" t="s">
        <v>128</v>
      </c>
      <c r="H147" s="92" t="s">
        <v>965</v>
      </c>
      <c r="I147">
        <v>1</v>
      </c>
      <c r="J147" s="46">
        <v>1250</v>
      </c>
      <c r="K147" s="50" t="s">
        <v>75</v>
      </c>
      <c r="L147" s="46"/>
      <c r="M147" s="46"/>
    </row>
    <row r="148" spans="2:13" ht="15" customHeight="1" x14ac:dyDescent="0.25">
      <c r="B148" s="5">
        <v>44598</v>
      </c>
      <c r="C148" s="5" t="s">
        <v>177</v>
      </c>
      <c r="D148" s="35">
        <v>2022</v>
      </c>
      <c r="E148" t="s">
        <v>1</v>
      </c>
      <c r="F148" t="s">
        <v>157</v>
      </c>
      <c r="G148" s="24" t="s">
        <v>120</v>
      </c>
      <c r="H148" s="24" t="s">
        <v>968</v>
      </c>
      <c r="I148">
        <v>1</v>
      </c>
      <c r="J148" s="46">
        <v>4295</v>
      </c>
      <c r="K148" s="50" t="s">
        <v>75</v>
      </c>
      <c r="L148" s="46"/>
      <c r="M148" s="46"/>
    </row>
    <row r="149" spans="2:13" ht="15" customHeight="1" x14ac:dyDescent="0.25">
      <c r="B149" s="5">
        <v>44598</v>
      </c>
      <c r="C149" s="5" t="s">
        <v>177</v>
      </c>
      <c r="D149" s="35">
        <v>2022</v>
      </c>
      <c r="E149" t="s">
        <v>1</v>
      </c>
      <c r="F149" t="s">
        <v>157</v>
      </c>
      <c r="G149" t="s">
        <v>50</v>
      </c>
      <c r="H149" s="92" t="s">
        <v>969</v>
      </c>
      <c r="I149">
        <v>1</v>
      </c>
      <c r="J149" s="46">
        <v>2425</v>
      </c>
      <c r="K149" s="50" t="s">
        <v>75</v>
      </c>
      <c r="L149" s="46"/>
      <c r="M149" s="46"/>
    </row>
    <row r="150" spans="2:13" ht="15" customHeight="1" x14ac:dyDescent="0.25">
      <c r="B150" s="5">
        <v>44598</v>
      </c>
      <c r="C150" s="5" t="s">
        <v>177</v>
      </c>
      <c r="D150" s="35">
        <v>2022</v>
      </c>
      <c r="E150" t="s">
        <v>1</v>
      </c>
      <c r="F150" t="s">
        <v>157</v>
      </c>
      <c r="G150" t="s">
        <v>58</v>
      </c>
      <c r="H150" s="92" t="s">
        <v>969</v>
      </c>
      <c r="I150">
        <v>1</v>
      </c>
      <c r="J150" s="46">
        <v>2450</v>
      </c>
      <c r="K150" s="50" t="s">
        <v>75</v>
      </c>
      <c r="L150" s="46"/>
      <c r="M150" s="46"/>
    </row>
    <row r="151" spans="2:13" ht="15" customHeight="1" x14ac:dyDescent="0.25">
      <c r="B151" s="5">
        <v>44598</v>
      </c>
      <c r="C151" s="5" t="s">
        <v>177</v>
      </c>
      <c r="D151" s="35">
        <v>2022</v>
      </c>
      <c r="E151" t="s">
        <v>1</v>
      </c>
      <c r="F151" t="s">
        <v>157</v>
      </c>
      <c r="G151" t="s">
        <v>55</v>
      </c>
      <c r="H151" s="92" t="s">
        <v>965</v>
      </c>
      <c r="I151">
        <v>1</v>
      </c>
      <c r="J151" s="46">
        <v>1390</v>
      </c>
      <c r="K151" s="50" t="s">
        <v>75</v>
      </c>
      <c r="L151" s="46"/>
      <c r="M151" s="46"/>
    </row>
    <row r="152" spans="2:13" ht="15" customHeight="1" x14ac:dyDescent="0.25">
      <c r="B152" s="5">
        <v>44599</v>
      </c>
      <c r="C152" s="5" t="s">
        <v>177</v>
      </c>
      <c r="D152" s="35">
        <v>2022</v>
      </c>
      <c r="E152" t="s">
        <v>22</v>
      </c>
      <c r="F152" s="24" t="s">
        <v>181</v>
      </c>
      <c r="G152" t="s">
        <v>47</v>
      </c>
      <c r="H152" s="92" t="s">
        <v>972</v>
      </c>
      <c r="I152">
        <v>1</v>
      </c>
      <c r="J152" s="47">
        <v>600</v>
      </c>
      <c r="K152" s="50" t="s">
        <v>222</v>
      </c>
      <c r="L152" s="46"/>
      <c r="M152" s="46"/>
    </row>
    <row r="153" spans="2:13" ht="15" customHeight="1" x14ac:dyDescent="0.25">
      <c r="B153" s="5">
        <v>44599</v>
      </c>
      <c r="C153" s="5" t="s">
        <v>177</v>
      </c>
      <c r="D153" s="35">
        <v>2022</v>
      </c>
      <c r="E153" t="s">
        <v>22</v>
      </c>
      <c r="F153" s="24" t="s">
        <v>182</v>
      </c>
      <c r="G153" s="24" t="s">
        <v>53</v>
      </c>
      <c r="H153" s="92" t="s">
        <v>984</v>
      </c>
      <c r="I153">
        <v>1</v>
      </c>
      <c r="J153" s="47">
        <v>950</v>
      </c>
      <c r="K153" s="50" t="s">
        <v>222</v>
      </c>
      <c r="L153" s="46"/>
      <c r="M153" s="46"/>
    </row>
    <row r="154" spans="2:13" ht="15" customHeight="1" x14ac:dyDescent="0.25">
      <c r="B154" s="5">
        <v>44599</v>
      </c>
      <c r="C154" s="5" t="s">
        <v>177</v>
      </c>
      <c r="D154" s="35">
        <v>2022</v>
      </c>
      <c r="E154" t="s">
        <v>22</v>
      </c>
      <c r="F154" s="24" t="s">
        <v>182</v>
      </c>
      <c r="G154" s="24" t="s">
        <v>184</v>
      </c>
      <c r="H154" s="92" t="s">
        <v>977</v>
      </c>
      <c r="I154">
        <v>1</v>
      </c>
      <c r="J154" s="47">
        <v>1200</v>
      </c>
      <c r="K154" s="50" t="s">
        <v>222</v>
      </c>
      <c r="L154" s="46"/>
      <c r="M154" s="46"/>
    </row>
    <row r="155" spans="2:13" ht="15" customHeight="1" x14ac:dyDescent="0.25">
      <c r="B155" s="5">
        <v>44599</v>
      </c>
      <c r="C155" s="5" t="s">
        <v>177</v>
      </c>
      <c r="D155" s="35">
        <v>2022</v>
      </c>
      <c r="E155" t="s">
        <v>22</v>
      </c>
      <c r="F155" s="24" t="s">
        <v>183</v>
      </c>
      <c r="G155" t="s">
        <v>409</v>
      </c>
      <c r="H155" s="92" t="s">
        <v>977</v>
      </c>
      <c r="I155">
        <v>1</v>
      </c>
      <c r="J155" s="47">
        <v>550</v>
      </c>
      <c r="K155" s="50" t="s">
        <v>222</v>
      </c>
      <c r="L155" s="46"/>
      <c r="M155" s="46"/>
    </row>
    <row r="156" spans="2:13" ht="15" customHeight="1" x14ac:dyDescent="0.25">
      <c r="B156" s="5">
        <v>44599</v>
      </c>
      <c r="C156" s="5" t="s">
        <v>177</v>
      </c>
      <c r="D156" s="35">
        <v>2022</v>
      </c>
      <c r="E156" t="s">
        <v>1</v>
      </c>
      <c r="F156" s="24" t="s">
        <v>185</v>
      </c>
      <c r="G156" s="24" t="s">
        <v>192</v>
      </c>
      <c r="H156" s="24" t="s">
        <v>976</v>
      </c>
      <c r="I156">
        <v>1</v>
      </c>
      <c r="J156" s="47">
        <v>1350</v>
      </c>
      <c r="K156" s="50" t="s">
        <v>222</v>
      </c>
      <c r="L156" s="46"/>
      <c r="M156" s="46"/>
    </row>
    <row r="157" spans="2:13" ht="15" customHeight="1" x14ac:dyDescent="0.25">
      <c r="B157" s="5">
        <v>44599</v>
      </c>
      <c r="C157" s="5" t="s">
        <v>177</v>
      </c>
      <c r="D157" s="35">
        <v>2022</v>
      </c>
      <c r="E157" t="s">
        <v>1</v>
      </c>
      <c r="F157" s="24" t="s">
        <v>186</v>
      </c>
      <c r="G157" s="24" t="s">
        <v>193</v>
      </c>
      <c r="H157" s="92" t="s">
        <v>967</v>
      </c>
      <c r="I157">
        <v>1</v>
      </c>
      <c r="J157" s="47">
        <v>2350</v>
      </c>
      <c r="K157" s="50" t="s">
        <v>222</v>
      </c>
      <c r="L157" s="46"/>
      <c r="M157" s="46"/>
    </row>
    <row r="158" spans="2:13" ht="15" customHeight="1" x14ac:dyDescent="0.25">
      <c r="B158" s="5">
        <v>44599</v>
      </c>
      <c r="C158" s="5" t="s">
        <v>177</v>
      </c>
      <c r="D158" s="35">
        <v>2022</v>
      </c>
      <c r="E158" t="s">
        <v>1</v>
      </c>
      <c r="F158" s="24" t="s">
        <v>186</v>
      </c>
      <c r="G158" t="s">
        <v>409</v>
      </c>
      <c r="H158" s="92" t="s">
        <v>977</v>
      </c>
      <c r="I158">
        <v>1</v>
      </c>
      <c r="J158" s="47">
        <v>1010</v>
      </c>
      <c r="K158" s="50" t="s">
        <v>222</v>
      </c>
      <c r="L158" s="46"/>
      <c r="M158" s="46"/>
    </row>
    <row r="159" spans="2:13" ht="15" customHeight="1" x14ac:dyDescent="0.25">
      <c r="B159" s="5">
        <v>44599</v>
      </c>
      <c r="C159" s="5" t="s">
        <v>177</v>
      </c>
      <c r="D159" s="35">
        <v>2022</v>
      </c>
      <c r="E159" t="s">
        <v>1</v>
      </c>
      <c r="F159" s="24" t="s">
        <v>187</v>
      </c>
      <c r="G159" t="s">
        <v>126</v>
      </c>
      <c r="H159" s="92" t="s">
        <v>965</v>
      </c>
      <c r="I159">
        <v>1</v>
      </c>
      <c r="J159" s="47">
        <v>1410</v>
      </c>
      <c r="K159" s="50" t="s">
        <v>222</v>
      </c>
      <c r="L159" s="46"/>
      <c r="M159" s="46"/>
    </row>
    <row r="160" spans="2:13" ht="15" customHeight="1" x14ac:dyDescent="0.25">
      <c r="B160" s="5">
        <v>44599</v>
      </c>
      <c r="C160" s="5" t="s">
        <v>177</v>
      </c>
      <c r="D160" s="35">
        <v>2022</v>
      </c>
      <c r="E160" t="s">
        <v>1</v>
      </c>
      <c r="F160" s="24" t="s">
        <v>138</v>
      </c>
      <c r="G160" s="24" t="s">
        <v>194</v>
      </c>
      <c r="H160" s="24" t="s">
        <v>968</v>
      </c>
      <c r="I160">
        <v>10</v>
      </c>
      <c r="J160" s="47">
        <v>23000</v>
      </c>
      <c r="K160" s="50" t="s">
        <v>222</v>
      </c>
      <c r="L160" s="46"/>
      <c r="M160" s="46"/>
    </row>
    <row r="161" spans="2:13" ht="15" customHeight="1" x14ac:dyDescent="0.25">
      <c r="B161" s="5">
        <v>44599</v>
      </c>
      <c r="C161" s="5" t="s">
        <v>177</v>
      </c>
      <c r="D161" s="35">
        <v>2022</v>
      </c>
      <c r="E161" t="s">
        <v>1</v>
      </c>
      <c r="F161" s="24" t="s">
        <v>136</v>
      </c>
      <c r="G161" s="24" t="s">
        <v>49</v>
      </c>
      <c r="H161" s="92" t="s">
        <v>966</v>
      </c>
      <c r="I161">
        <v>1</v>
      </c>
      <c r="J161" s="47">
        <v>1750</v>
      </c>
      <c r="K161" s="50" t="s">
        <v>222</v>
      </c>
      <c r="L161" s="46"/>
      <c r="M161" s="46"/>
    </row>
    <row r="162" spans="2:13" ht="15" customHeight="1" x14ac:dyDescent="0.25">
      <c r="B162" s="5">
        <v>44599</v>
      </c>
      <c r="C162" s="5" t="s">
        <v>177</v>
      </c>
      <c r="D162" s="35">
        <v>2022</v>
      </c>
      <c r="E162" t="s">
        <v>1</v>
      </c>
      <c r="F162" s="24" t="s">
        <v>188</v>
      </c>
      <c r="G162" s="24" t="s">
        <v>128</v>
      </c>
      <c r="H162" s="92" t="s">
        <v>965</v>
      </c>
      <c r="I162">
        <v>1</v>
      </c>
      <c r="J162" s="47">
        <v>1250</v>
      </c>
      <c r="K162" s="50" t="s">
        <v>222</v>
      </c>
      <c r="L162" s="46"/>
      <c r="M162" s="46"/>
    </row>
    <row r="163" spans="2:13" ht="15" customHeight="1" x14ac:dyDescent="0.25">
      <c r="B163" s="5">
        <v>44599</v>
      </c>
      <c r="C163" s="5" t="s">
        <v>177</v>
      </c>
      <c r="D163" s="35">
        <v>2022</v>
      </c>
      <c r="E163" t="s">
        <v>1</v>
      </c>
      <c r="F163" s="24" t="s">
        <v>189</v>
      </c>
      <c r="G163" t="s">
        <v>409</v>
      </c>
      <c r="H163" s="92" t="s">
        <v>977</v>
      </c>
      <c r="I163">
        <v>1</v>
      </c>
      <c r="J163" s="47">
        <v>1010</v>
      </c>
      <c r="K163" s="50" t="s">
        <v>222</v>
      </c>
      <c r="L163" s="46"/>
      <c r="M163" s="46"/>
    </row>
    <row r="164" spans="2:13" ht="15" customHeight="1" x14ac:dyDescent="0.25">
      <c r="B164" s="5">
        <v>44599</v>
      </c>
      <c r="C164" s="5" t="s">
        <v>177</v>
      </c>
      <c r="D164" s="35">
        <v>2022</v>
      </c>
      <c r="E164" t="s">
        <v>1</v>
      </c>
      <c r="F164" s="24" t="s">
        <v>190</v>
      </c>
      <c r="G164" s="24" t="s">
        <v>195</v>
      </c>
      <c r="H164" s="92" t="s">
        <v>977</v>
      </c>
      <c r="I164">
        <v>1</v>
      </c>
      <c r="J164" s="47">
        <v>3250</v>
      </c>
      <c r="K164" s="50" t="s">
        <v>222</v>
      </c>
      <c r="L164" s="46"/>
      <c r="M164" s="46"/>
    </row>
    <row r="165" spans="2:13" ht="15" customHeight="1" x14ac:dyDescent="0.25">
      <c r="B165" s="5">
        <v>44599</v>
      </c>
      <c r="C165" s="5" t="s">
        <v>177</v>
      </c>
      <c r="D165" s="35">
        <v>2022</v>
      </c>
      <c r="E165" t="s">
        <v>1</v>
      </c>
      <c r="F165" s="24" t="s">
        <v>190</v>
      </c>
      <c r="G165" s="24" t="s">
        <v>120</v>
      </c>
      <c r="H165" s="24" t="s">
        <v>968</v>
      </c>
      <c r="I165">
        <v>1</v>
      </c>
      <c r="J165" s="47">
        <v>4350</v>
      </c>
      <c r="K165" s="50" t="s">
        <v>222</v>
      </c>
      <c r="L165" s="46"/>
      <c r="M165" s="46"/>
    </row>
    <row r="166" spans="2:13" ht="15" customHeight="1" x14ac:dyDescent="0.25">
      <c r="B166" s="5">
        <v>44599</v>
      </c>
      <c r="C166" s="5" t="s">
        <v>177</v>
      </c>
      <c r="D166" s="35">
        <v>2022</v>
      </c>
      <c r="E166" t="s">
        <v>1</v>
      </c>
      <c r="F166" s="24" t="s">
        <v>190</v>
      </c>
      <c r="G166" t="s">
        <v>256</v>
      </c>
      <c r="H166" s="92" t="s">
        <v>977</v>
      </c>
      <c r="I166">
        <v>1</v>
      </c>
      <c r="J166" s="47">
        <v>1280</v>
      </c>
      <c r="K166" s="50" t="s">
        <v>222</v>
      </c>
      <c r="L166" s="46"/>
      <c r="M166" s="46"/>
    </row>
    <row r="167" spans="2:13" ht="15" customHeight="1" x14ac:dyDescent="0.25">
      <c r="B167" s="5">
        <v>44599</v>
      </c>
      <c r="C167" s="5" t="s">
        <v>177</v>
      </c>
      <c r="D167" s="35">
        <v>2022</v>
      </c>
      <c r="E167" t="s">
        <v>1</v>
      </c>
      <c r="F167" s="24" t="s">
        <v>137</v>
      </c>
      <c r="G167" s="24" t="s">
        <v>120</v>
      </c>
      <c r="H167" s="24" t="s">
        <v>968</v>
      </c>
      <c r="I167">
        <v>2</v>
      </c>
      <c r="J167" s="47">
        <v>8700</v>
      </c>
      <c r="K167" s="50" t="s">
        <v>222</v>
      </c>
      <c r="L167" s="46"/>
      <c r="M167" s="46"/>
    </row>
    <row r="168" spans="2:13" ht="15" customHeight="1" x14ac:dyDescent="0.25">
      <c r="B168" s="5">
        <v>44599</v>
      </c>
      <c r="C168" s="5" t="s">
        <v>177</v>
      </c>
      <c r="D168" s="35">
        <v>2022</v>
      </c>
      <c r="E168" t="s">
        <v>1</v>
      </c>
      <c r="F168" s="24" t="s">
        <v>191</v>
      </c>
      <c r="G168" t="s">
        <v>45</v>
      </c>
      <c r="H168" s="92" t="s">
        <v>965</v>
      </c>
      <c r="I168">
        <v>1</v>
      </c>
      <c r="J168" s="47">
        <v>1390</v>
      </c>
      <c r="K168" s="50" t="s">
        <v>222</v>
      </c>
      <c r="L168" s="46"/>
      <c r="M168" s="46"/>
    </row>
    <row r="169" spans="2:13" ht="15" customHeight="1" x14ac:dyDescent="0.25">
      <c r="B169" s="5">
        <v>44599</v>
      </c>
      <c r="C169" s="5" t="s">
        <v>177</v>
      </c>
      <c r="D169" s="35">
        <v>2022</v>
      </c>
      <c r="E169" t="s">
        <v>19</v>
      </c>
      <c r="F169" s="24" t="s">
        <v>139</v>
      </c>
      <c r="G169" t="s">
        <v>47</v>
      </c>
      <c r="H169" s="92" t="s">
        <v>972</v>
      </c>
      <c r="I169">
        <v>1</v>
      </c>
      <c r="J169" s="47">
        <v>600</v>
      </c>
      <c r="K169" s="50" t="s">
        <v>222</v>
      </c>
      <c r="L169" s="46"/>
      <c r="M169" s="46"/>
    </row>
    <row r="170" spans="2:13" ht="15" customHeight="1" x14ac:dyDescent="0.25">
      <c r="B170" s="5">
        <v>44599</v>
      </c>
      <c r="C170" s="5" t="s">
        <v>177</v>
      </c>
      <c r="D170" s="35">
        <v>2022</v>
      </c>
      <c r="E170" t="s">
        <v>19</v>
      </c>
      <c r="F170" s="24" t="s">
        <v>139</v>
      </c>
      <c r="G170" s="24" t="s">
        <v>128</v>
      </c>
      <c r="H170" s="92" t="s">
        <v>965</v>
      </c>
      <c r="I170">
        <v>1</v>
      </c>
      <c r="J170" s="47">
        <v>1250</v>
      </c>
      <c r="K170" s="50" t="s">
        <v>222</v>
      </c>
      <c r="L170" s="46"/>
      <c r="M170" s="46"/>
    </row>
    <row r="171" spans="2:13" ht="15" customHeight="1" x14ac:dyDescent="0.25">
      <c r="B171" s="5">
        <v>44599</v>
      </c>
      <c r="C171" s="5" t="s">
        <v>177</v>
      </c>
      <c r="D171" s="35">
        <v>2022</v>
      </c>
      <c r="E171" t="s">
        <v>19</v>
      </c>
      <c r="F171" s="24" t="s">
        <v>139</v>
      </c>
      <c r="G171" t="s">
        <v>45</v>
      </c>
      <c r="H171" s="92" t="s">
        <v>965</v>
      </c>
      <c r="I171">
        <v>1</v>
      </c>
      <c r="J171" s="47">
        <v>1390</v>
      </c>
      <c r="K171" s="50" t="s">
        <v>222</v>
      </c>
      <c r="L171" s="46"/>
      <c r="M171" s="46"/>
    </row>
    <row r="172" spans="2:13" ht="15" customHeight="1" x14ac:dyDescent="0.25">
      <c r="B172" s="5">
        <v>44599</v>
      </c>
      <c r="C172" s="5" t="s">
        <v>177</v>
      </c>
      <c r="D172" s="35">
        <v>2022</v>
      </c>
      <c r="E172" t="s">
        <v>19</v>
      </c>
      <c r="F172" s="24" t="s">
        <v>196</v>
      </c>
      <c r="G172" s="24" t="s">
        <v>55</v>
      </c>
      <c r="H172" s="92" t="s">
        <v>965</v>
      </c>
      <c r="I172">
        <v>1</v>
      </c>
      <c r="J172" s="47">
        <v>1390</v>
      </c>
      <c r="K172" s="50" t="s">
        <v>222</v>
      </c>
      <c r="L172" s="46"/>
      <c r="M172" s="46"/>
    </row>
    <row r="173" spans="2:13" ht="15" customHeight="1" x14ac:dyDescent="0.25">
      <c r="B173" s="5">
        <v>44599</v>
      </c>
      <c r="C173" s="5" t="s">
        <v>177</v>
      </c>
      <c r="D173" s="35">
        <v>2022</v>
      </c>
      <c r="E173" t="s">
        <v>19</v>
      </c>
      <c r="F173" s="24" t="s">
        <v>196</v>
      </c>
      <c r="G173" t="s">
        <v>45</v>
      </c>
      <c r="H173" s="92" t="s">
        <v>965</v>
      </c>
      <c r="I173">
        <v>1</v>
      </c>
      <c r="J173" s="47">
        <v>1390</v>
      </c>
      <c r="K173" s="50" t="s">
        <v>222</v>
      </c>
      <c r="L173" s="46"/>
      <c r="M173" s="46"/>
    </row>
    <row r="174" spans="2:13" ht="15" customHeight="1" x14ac:dyDescent="0.25">
      <c r="B174" s="5">
        <v>44599</v>
      </c>
      <c r="C174" s="5" t="s">
        <v>177</v>
      </c>
      <c r="D174" s="35">
        <v>2022</v>
      </c>
      <c r="E174" t="s">
        <v>19</v>
      </c>
      <c r="F174" s="24" t="s">
        <v>197</v>
      </c>
      <c r="G174" t="s">
        <v>58</v>
      </c>
      <c r="H174" s="92" t="s">
        <v>969</v>
      </c>
      <c r="I174">
        <v>1</v>
      </c>
      <c r="J174" s="47">
        <v>2450</v>
      </c>
      <c r="K174" s="50" t="s">
        <v>222</v>
      </c>
      <c r="L174" s="46"/>
      <c r="M174" s="46"/>
    </row>
    <row r="175" spans="2:13" ht="15" customHeight="1" x14ac:dyDescent="0.25">
      <c r="B175" s="5">
        <v>44599</v>
      </c>
      <c r="C175" s="5" t="s">
        <v>177</v>
      </c>
      <c r="D175" s="35">
        <v>2022</v>
      </c>
      <c r="E175" t="s">
        <v>19</v>
      </c>
      <c r="F175" s="24" t="s">
        <v>198</v>
      </c>
      <c r="G175" s="24" t="s">
        <v>124</v>
      </c>
      <c r="H175" s="92" t="s">
        <v>982</v>
      </c>
      <c r="I175">
        <v>1</v>
      </c>
      <c r="J175" s="47">
        <v>625</v>
      </c>
      <c r="K175" s="50" t="s">
        <v>222</v>
      </c>
      <c r="L175" s="46"/>
      <c r="M175" s="46"/>
    </row>
    <row r="176" spans="2:13" ht="15" customHeight="1" x14ac:dyDescent="0.25">
      <c r="B176" s="5">
        <v>44599</v>
      </c>
      <c r="C176" s="5" t="s">
        <v>177</v>
      </c>
      <c r="D176" s="35">
        <v>2022</v>
      </c>
      <c r="E176" t="s">
        <v>19</v>
      </c>
      <c r="F176" s="24" t="s">
        <v>198</v>
      </c>
      <c r="G176" s="24" t="s">
        <v>122</v>
      </c>
      <c r="H176" s="92" t="s">
        <v>973</v>
      </c>
      <c r="I176">
        <v>1</v>
      </c>
      <c r="J176" s="47">
        <v>260</v>
      </c>
      <c r="K176" s="50" t="s">
        <v>222</v>
      </c>
      <c r="L176" s="46"/>
      <c r="M176" s="46"/>
    </row>
    <row r="177" spans="2:13" ht="15" customHeight="1" x14ac:dyDescent="0.25">
      <c r="B177" s="5">
        <v>44599</v>
      </c>
      <c r="C177" s="5" t="s">
        <v>177</v>
      </c>
      <c r="D177" s="35">
        <v>2022</v>
      </c>
      <c r="E177" t="s">
        <v>19</v>
      </c>
      <c r="F177" s="24" t="s">
        <v>143</v>
      </c>
      <c r="G177" t="s">
        <v>47</v>
      </c>
      <c r="H177" s="92" t="s">
        <v>972</v>
      </c>
      <c r="I177">
        <v>2</v>
      </c>
      <c r="J177" s="47">
        <v>1200</v>
      </c>
      <c r="K177" s="50" t="s">
        <v>222</v>
      </c>
      <c r="L177" s="46"/>
      <c r="M177" s="46"/>
    </row>
    <row r="178" spans="2:13" ht="15" customHeight="1" x14ac:dyDescent="0.25">
      <c r="B178" s="5">
        <v>44599</v>
      </c>
      <c r="C178" s="5" t="s">
        <v>177</v>
      </c>
      <c r="D178" s="35">
        <v>2022</v>
      </c>
      <c r="E178" t="s">
        <v>19</v>
      </c>
      <c r="F178" s="24" t="s">
        <v>30</v>
      </c>
      <c r="G178" t="s">
        <v>58</v>
      </c>
      <c r="H178" s="92" t="s">
        <v>969</v>
      </c>
      <c r="I178">
        <v>1</v>
      </c>
      <c r="J178" s="47">
        <v>2450</v>
      </c>
      <c r="K178" s="50" t="s">
        <v>222</v>
      </c>
      <c r="L178" s="46"/>
      <c r="M178" s="46"/>
    </row>
    <row r="179" spans="2:13" ht="15" customHeight="1" x14ac:dyDescent="0.25">
      <c r="B179" s="5">
        <v>44599</v>
      </c>
      <c r="C179" s="5" t="s">
        <v>177</v>
      </c>
      <c r="D179" s="35">
        <v>2022</v>
      </c>
      <c r="E179" t="s">
        <v>19</v>
      </c>
      <c r="F179" s="24" t="s">
        <v>199</v>
      </c>
      <c r="G179" t="s">
        <v>50</v>
      </c>
      <c r="H179" s="92" t="s">
        <v>969</v>
      </c>
      <c r="I179">
        <v>4</v>
      </c>
      <c r="J179" s="47">
        <v>9800</v>
      </c>
      <c r="K179" s="50" t="s">
        <v>222</v>
      </c>
      <c r="L179" s="46"/>
      <c r="M179" s="46"/>
    </row>
    <row r="180" spans="2:13" ht="15" customHeight="1" x14ac:dyDescent="0.25">
      <c r="B180" s="5">
        <v>44599</v>
      </c>
      <c r="C180" s="5" t="s">
        <v>177</v>
      </c>
      <c r="D180" s="35">
        <v>2022</v>
      </c>
      <c r="E180" t="s">
        <v>19</v>
      </c>
      <c r="F180" s="24" t="s">
        <v>200</v>
      </c>
      <c r="G180" s="24" t="s">
        <v>124</v>
      </c>
      <c r="H180" s="92" t="s">
        <v>982</v>
      </c>
      <c r="I180">
        <v>1</v>
      </c>
      <c r="J180" s="47">
        <v>625</v>
      </c>
      <c r="K180" s="50" t="s">
        <v>222</v>
      </c>
      <c r="L180" s="46"/>
      <c r="M180" s="46"/>
    </row>
    <row r="181" spans="2:13" ht="15" customHeight="1" x14ac:dyDescent="0.25">
      <c r="B181" s="5">
        <v>44599</v>
      </c>
      <c r="C181" s="5" t="s">
        <v>177</v>
      </c>
      <c r="D181" s="35">
        <v>2022</v>
      </c>
      <c r="E181" t="s">
        <v>19</v>
      </c>
      <c r="F181" s="24" t="s">
        <v>201</v>
      </c>
      <c r="G181" t="s">
        <v>126</v>
      </c>
      <c r="H181" s="92" t="s">
        <v>965</v>
      </c>
      <c r="I181">
        <v>1</v>
      </c>
      <c r="J181" s="47">
        <v>1410</v>
      </c>
      <c r="K181" s="50" t="s">
        <v>222</v>
      </c>
      <c r="L181" s="46"/>
      <c r="M181" s="46"/>
    </row>
    <row r="182" spans="2:13" ht="15" customHeight="1" x14ac:dyDescent="0.25">
      <c r="B182" s="5">
        <v>44599</v>
      </c>
      <c r="C182" s="5" t="s">
        <v>177</v>
      </c>
      <c r="D182" s="35">
        <v>2022</v>
      </c>
      <c r="E182" t="s">
        <v>11</v>
      </c>
      <c r="F182" s="24" t="s">
        <v>202</v>
      </c>
      <c r="G182" s="24" t="s">
        <v>128</v>
      </c>
      <c r="H182" s="92" t="s">
        <v>965</v>
      </c>
      <c r="I182">
        <v>1</v>
      </c>
      <c r="J182" s="47">
        <v>1280</v>
      </c>
      <c r="K182" s="50" t="s">
        <v>222</v>
      </c>
      <c r="L182" s="46"/>
      <c r="M182" s="46"/>
    </row>
    <row r="183" spans="2:13" ht="15" customHeight="1" x14ac:dyDescent="0.25">
      <c r="B183" s="5">
        <v>44599</v>
      </c>
      <c r="C183" s="5" t="s">
        <v>177</v>
      </c>
      <c r="D183" s="35">
        <v>2022</v>
      </c>
      <c r="E183" t="s">
        <v>11</v>
      </c>
      <c r="F183" s="24" t="s">
        <v>202</v>
      </c>
      <c r="G183" s="24" t="s">
        <v>195</v>
      </c>
      <c r="H183" s="92" t="s">
        <v>977</v>
      </c>
      <c r="I183">
        <v>1</v>
      </c>
      <c r="J183" s="47">
        <v>3260</v>
      </c>
      <c r="K183" s="50" t="s">
        <v>222</v>
      </c>
      <c r="L183" s="46"/>
      <c r="M183" s="46"/>
    </row>
    <row r="184" spans="2:13" ht="15" customHeight="1" x14ac:dyDescent="0.25">
      <c r="B184" s="5">
        <v>44599</v>
      </c>
      <c r="C184" s="5" t="s">
        <v>177</v>
      </c>
      <c r="D184" s="35">
        <v>2022</v>
      </c>
      <c r="E184" t="s">
        <v>11</v>
      </c>
      <c r="F184" s="24" t="s">
        <v>203</v>
      </c>
      <c r="G184" s="24" t="s">
        <v>121</v>
      </c>
      <c r="H184" s="92" t="s">
        <v>982</v>
      </c>
      <c r="I184">
        <v>1</v>
      </c>
      <c r="J184" s="47">
        <v>230</v>
      </c>
      <c r="K184" s="50" t="s">
        <v>222</v>
      </c>
      <c r="L184" s="46"/>
      <c r="M184" s="46"/>
    </row>
    <row r="185" spans="2:13" ht="15" customHeight="1" x14ac:dyDescent="0.25">
      <c r="B185" s="5">
        <v>44599</v>
      </c>
      <c r="C185" s="5" t="s">
        <v>177</v>
      </c>
      <c r="D185" s="35">
        <v>2022</v>
      </c>
      <c r="E185" t="s">
        <v>11</v>
      </c>
      <c r="F185" s="24" t="s">
        <v>204</v>
      </c>
      <c r="G185" s="24" t="s">
        <v>209</v>
      </c>
      <c r="H185" s="92" t="s">
        <v>977</v>
      </c>
      <c r="I185">
        <v>1</v>
      </c>
      <c r="J185" s="47">
        <v>550</v>
      </c>
      <c r="K185" s="50" t="s">
        <v>222</v>
      </c>
      <c r="L185" s="46"/>
      <c r="M185" s="46"/>
    </row>
    <row r="186" spans="2:13" ht="15" customHeight="1" x14ac:dyDescent="0.25">
      <c r="B186" s="5">
        <v>44599</v>
      </c>
      <c r="C186" s="5" t="s">
        <v>177</v>
      </c>
      <c r="D186" s="35">
        <v>2022</v>
      </c>
      <c r="E186" t="s">
        <v>11</v>
      </c>
      <c r="F186" s="24" t="s">
        <v>204</v>
      </c>
      <c r="G186" t="s">
        <v>409</v>
      </c>
      <c r="H186" s="92" t="s">
        <v>977</v>
      </c>
      <c r="I186">
        <v>1</v>
      </c>
      <c r="J186" s="47">
        <v>550</v>
      </c>
      <c r="K186" s="50" t="s">
        <v>222</v>
      </c>
      <c r="L186" s="46"/>
      <c r="M186" s="46"/>
    </row>
    <row r="187" spans="2:13" ht="15" customHeight="1" x14ac:dyDescent="0.25">
      <c r="B187" s="5">
        <v>44599</v>
      </c>
      <c r="C187" s="5" t="s">
        <v>177</v>
      </c>
      <c r="D187" s="35">
        <v>2022</v>
      </c>
      <c r="E187" t="s">
        <v>11</v>
      </c>
      <c r="F187" s="24" t="s">
        <v>204</v>
      </c>
      <c r="G187" s="24" t="s">
        <v>53</v>
      </c>
      <c r="H187" s="92" t="s">
        <v>984</v>
      </c>
      <c r="I187">
        <v>1</v>
      </c>
      <c r="J187" s="47">
        <v>950</v>
      </c>
      <c r="K187" s="50" t="s">
        <v>222</v>
      </c>
      <c r="L187" s="46"/>
      <c r="M187" s="46"/>
    </row>
    <row r="188" spans="2:13" ht="15" customHeight="1" x14ac:dyDescent="0.25">
      <c r="B188" s="5">
        <v>44599</v>
      </c>
      <c r="C188" s="5" t="s">
        <v>177</v>
      </c>
      <c r="D188" s="35">
        <v>2022</v>
      </c>
      <c r="E188" t="s">
        <v>11</v>
      </c>
      <c r="F188" s="24" t="s">
        <v>205</v>
      </c>
      <c r="G188" t="s">
        <v>409</v>
      </c>
      <c r="H188" s="92" t="s">
        <v>977</v>
      </c>
      <c r="I188">
        <v>1</v>
      </c>
      <c r="J188" s="47">
        <v>550</v>
      </c>
      <c r="K188" s="50" t="s">
        <v>222</v>
      </c>
      <c r="L188" s="46"/>
      <c r="M188" s="46"/>
    </row>
    <row r="189" spans="2:13" ht="15" customHeight="1" x14ac:dyDescent="0.25">
      <c r="B189" s="5">
        <v>44599</v>
      </c>
      <c r="C189" s="5" t="s">
        <v>177</v>
      </c>
      <c r="D189" s="35">
        <v>2022</v>
      </c>
      <c r="E189" t="s">
        <v>11</v>
      </c>
      <c r="F189" s="24" t="s">
        <v>205</v>
      </c>
      <c r="G189" t="s">
        <v>126</v>
      </c>
      <c r="H189" s="92" t="s">
        <v>965</v>
      </c>
      <c r="I189">
        <v>1</v>
      </c>
      <c r="J189" s="47">
        <v>1410</v>
      </c>
      <c r="K189" s="50" t="s">
        <v>222</v>
      </c>
      <c r="L189" s="46"/>
      <c r="M189" s="46"/>
    </row>
    <row r="190" spans="2:13" ht="15" customHeight="1" x14ac:dyDescent="0.25">
      <c r="B190" s="5">
        <v>44599</v>
      </c>
      <c r="C190" s="5" t="s">
        <v>177</v>
      </c>
      <c r="D190" s="35">
        <v>2022</v>
      </c>
      <c r="E190" t="s">
        <v>11</v>
      </c>
      <c r="F190" s="24" t="s">
        <v>206</v>
      </c>
      <c r="G190" s="24" t="s">
        <v>128</v>
      </c>
      <c r="H190" s="92" t="s">
        <v>965</v>
      </c>
      <c r="I190">
        <v>1</v>
      </c>
      <c r="J190" s="47">
        <v>1250</v>
      </c>
      <c r="K190" s="50" t="s">
        <v>222</v>
      </c>
      <c r="L190" s="46"/>
      <c r="M190" s="46"/>
    </row>
    <row r="191" spans="2:13" ht="15" customHeight="1" x14ac:dyDescent="0.25">
      <c r="B191" s="5">
        <v>44599</v>
      </c>
      <c r="C191" s="5" t="s">
        <v>177</v>
      </c>
      <c r="D191" s="35">
        <v>2022</v>
      </c>
      <c r="E191" t="s">
        <v>11</v>
      </c>
      <c r="F191" s="24" t="s">
        <v>206</v>
      </c>
      <c r="G191" s="24" t="s">
        <v>195</v>
      </c>
      <c r="H191" s="92" t="s">
        <v>977</v>
      </c>
      <c r="I191">
        <v>1</v>
      </c>
      <c r="J191" s="47">
        <v>3250</v>
      </c>
      <c r="K191" s="50" t="s">
        <v>222</v>
      </c>
      <c r="L191" s="46"/>
      <c r="M191" s="46"/>
    </row>
    <row r="192" spans="2:13" ht="15" customHeight="1" x14ac:dyDescent="0.25">
      <c r="B192" s="5">
        <v>44599</v>
      </c>
      <c r="C192" s="5" t="s">
        <v>177</v>
      </c>
      <c r="D192" s="35">
        <v>2022</v>
      </c>
      <c r="E192" t="s">
        <v>11</v>
      </c>
      <c r="F192" s="24" t="s">
        <v>207</v>
      </c>
      <c r="G192" t="s">
        <v>45</v>
      </c>
      <c r="H192" s="92" t="s">
        <v>965</v>
      </c>
      <c r="I192">
        <v>1</v>
      </c>
      <c r="J192" s="47">
        <v>1390</v>
      </c>
      <c r="K192" s="50" t="s">
        <v>222</v>
      </c>
      <c r="L192" s="46"/>
      <c r="M192" s="46"/>
    </row>
    <row r="193" spans="2:13" ht="15" customHeight="1" x14ac:dyDescent="0.25">
      <c r="B193" s="5">
        <v>44599</v>
      </c>
      <c r="C193" s="5" t="s">
        <v>177</v>
      </c>
      <c r="D193" s="35">
        <v>2022</v>
      </c>
      <c r="E193" t="s">
        <v>11</v>
      </c>
      <c r="F193" s="24" t="s">
        <v>208</v>
      </c>
      <c r="G193" t="s">
        <v>409</v>
      </c>
      <c r="H193" s="92" t="s">
        <v>977</v>
      </c>
      <c r="I193">
        <v>2</v>
      </c>
      <c r="J193" s="47">
        <v>1100</v>
      </c>
      <c r="K193" s="50" t="s">
        <v>222</v>
      </c>
      <c r="L193" s="46"/>
      <c r="M193" s="46"/>
    </row>
    <row r="194" spans="2:13" ht="15" customHeight="1" x14ac:dyDescent="0.25">
      <c r="B194" s="5">
        <v>44599</v>
      </c>
      <c r="C194" s="5" t="s">
        <v>177</v>
      </c>
      <c r="D194" s="35">
        <v>2022</v>
      </c>
      <c r="E194" t="s">
        <v>111</v>
      </c>
      <c r="F194" s="24" t="s">
        <v>210</v>
      </c>
      <c r="G194" t="s">
        <v>58</v>
      </c>
      <c r="H194" s="92" t="s">
        <v>969</v>
      </c>
      <c r="I194">
        <v>1</v>
      </c>
      <c r="J194" s="47">
        <v>2450</v>
      </c>
      <c r="K194" s="50" t="s">
        <v>222</v>
      </c>
      <c r="L194" s="46"/>
      <c r="M194" s="46"/>
    </row>
    <row r="195" spans="2:13" ht="15" customHeight="1" x14ac:dyDescent="0.25">
      <c r="B195" s="5">
        <v>44599</v>
      </c>
      <c r="C195" s="5" t="s">
        <v>177</v>
      </c>
      <c r="D195" s="35">
        <v>2022</v>
      </c>
      <c r="E195" t="s">
        <v>111</v>
      </c>
      <c r="F195" s="24" t="s">
        <v>211</v>
      </c>
      <c r="G195" t="s">
        <v>58</v>
      </c>
      <c r="H195" s="92" t="s">
        <v>969</v>
      </c>
      <c r="I195">
        <v>1</v>
      </c>
      <c r="J195" s="47">
        <v>2450</v>
      </c>
      <c r="K195" s="50" t="s">
        <v>222</v>
      </c>
      <c r="L195" s="46"/>
      <c r="M195" s="46"/>
    </row>
    <row r="196" spans="2:13" ht="15" customHeight="1" x14ac:dyDescent="0.25">
      <c r="B196" s="5">
        <v>44599</v>
      </c>
      <c r="C196" s="5" t="s">
        <v>177</v>
      </c>
      <c r="D196" s="35">
        <v>2022</v>
      </c>
      <c r="E196" t="s">
        <v>111</v>
      </c>
      <c r="F196" s="24" t="s">
        <v>211</v>
      </c>
      <c r="G196" t="s">
        <v>50</v>
      </c>
      <c r="H196" s="92" t="s">
        <v>969</v>
      </c>
      <c r="I196">
        <v>1</v>
      </c>
      <c r="J196" s="47">
        <v>2500</v>
      </c>
      <c r="K196" s="50" t="s">
        <v>222</v>
      </c>
      <c r="L196" s="46"/>
      <c r="M196" s="46"/>
    </row>
    <row r="197" spans="2:13" ht="15" customHeight="1" x14ac:dyDescent="0.25">
      <c r="B197" s="5">
        <v>44599</v>
      </c>
      <c r="C197" s="5" t="s">
        <v>177</v>
      </c>
      <c r="D197" s="35">
        <v>2022</v>
      </c>
      <c r="E197" t="s">
        <v>111</v>
      </c>
      <c r="F197" s="24" t="s">
        <v>212</v>
      </c>
      <c r="G197" s="24" t="s">
        <v>120</v>
      </c>
      <c r="H197" s="24" t="s">
        <v>968</v>
      </c>
      <c r="I197">
        <v>1</v>
      </c>
      <c r="J197" s="47">
        <v>4350</v>
      </c>
      <c r="K197" s="50" t="s">
        <v>222</v>
      </c>
      <c r="L197" s="46"/>
      <c r="M197" s="46"/>
    </row>
    <row r="198" spans="2:13" ht="15" customHeight="1" x14ac:dyDescent="0.25">
      <c r="B198" s="5">
        <v>44599</v>
      </c>
      <c r="C198" s="5" t="s">
        <v>177</v>
      </c>
      <c r="D198" s="35">
        <v>2022</v>
      </c>
      <c r="E198" t="s">
        <v>111</v>
      </c>
      <c r="F198" s="24" t="s">
        <v>212</v>
      </c>
      <c r="G198" t="s">
        <v>123</v>
      </c>
      <c r="H198" s="92" t="s">
        <v>966</v>
      </c>
      <c r="I198">
        <v>1</v>
      </c>
      <c r="J198" s="47">
        <v>1700</v>
      </c>
      <c r="K198" s="50" t="s">
        <v>222</v>
      </c>
      <c r="L198" s="46"/>
      <c r="M198" s="46"/>
    </row>
    <row r="199" spans="2:13" ht="15" customHeight="1" x14ac:dyDescent="0.25">
      <c r="B199" s="5">
        <v>44599</v>
      </c>
      <c r="C199" s="5" t="s">
        <v>177</v>
      </c>
      <c r="D199" s="35">
        <v>2022</v>
      </c>
      <c r="E199" t="s">
        <v>111</v>
      </c>
      <c r="F199" s="24" t="s">
        <v>213</v>
      </c>
      <c r="G199" t="s">
        <v>256</v>
      </c>
      <c r="H199" s="92" t="s">
        <v>977</v>
      </c>
      <c r="I199">
        <v>1</v>
      </c>
      <c r="J199" s="47">
        <v>1280</v>
      </c>
      <c r="K199" s="50" t="s">
        <v>222</v>
      </c>
      <c r="L199" s="46"/>
      <c r="M199" s="46"/>
    </row>
    <row r="200" spans="2:13" ht="15" customHeight="1" x14ac:dyDescent="0.25">
      <c r="B200" s="5">
        <v>44599</v>
      </c>
      <c r="C200" s="5" t="s">
        <v>177</v>
      </c>
      <c r="D200" s="35">
        <v>2022</v>
      </c>
      <c r="E200" t="s">
        <v>111</v>
      </c>
      <c r="F200" s="24" t="s">
        <v>213</v>
      </c>
      <c r="G200" s="24" t="s">
        <v>195</v>
      </c>
      <c r="H200" s="92" t="s">
        <v>977</v>
      </c>
      <c r="I200">
        <v>1</v>
      </c>
      <c r="J200" s="47">
        <v>3260</v>
      </c>
      <c r="K200" s="50" t="s">
        <v>222</v>
      </c>
      <c r="L200" s="46"/>
      <c r="M200" s="46"/>
    </row>
    <row r="201" spans="2:13" ht="15" customHeight="1" x14ac:dyDescent="0.25">
      <c r="B201" s="5">
        <v>44599</v>
      </c>
      <c r="C201" s="5" t="s">
        <v>177</v>
      </c>
      <c r="D201" s="35">
        <v>2022</v>
      </c>
      <c r="E201" t="s">
        <v>111</v>
      </c>
      <c r="F201" s="24" t="s">
        <v>214</v>
      </c>
      <c r="G201" t="s">
        <v>45</v>
      </c>
      <c r="H201" s="92" t="s">
        <v>965</v>
      </c>
      <c r="I201">
        <v>1</v>
      </c>
      <c r="J201" s="47">
        <v>1390</v>
      </c>
      <c r="K201" s="50" t="s">
        <v>222</v>
      </c>
      <c r="L201" s="46"/>
      <c r="M201" s="46"/>
    </row>
    <row r="202" spans="2:13" ht="15" customHeight="1" x14ac:dyDescent="0.25">
      <c r="B202" s="5">
        <v>44599</v>
      </c>
      <c r="C202" s="5" t="s">
        <v>177</v>
      </c>
      <c r="D202" s="35">
        <v>2022</v>
      </c>
      <c r="E202" t="s">
        <v>111</v>
      </c>
      <c r="F202" s="24" t="s">
        <v>214</v>
      </c>
      <c r="G202" s="24" t="s">
        <v>53</v>
      </c>
      <c r="H202" s="92" t="s">
        <v>984</v>
      </c>
      <c r="I202">
        <v>1</v>
      </c>
      <c r="J202" s="47">
        <v>950</v>
      </c>
      <c r="K202" s="50" t="s">
        <v>222</v>
      </c>
      <c r="L202" s="46"/>
      <c r="M202" s="46"/>
    </row>
    <row r="203" spans="2:13" ht="15" customHeight="1" x14ac:dyDescent="0.25">
      <c r="B203" s="5">
        <v>44599</v>
      </c>
      <c r="C203" s="5" t="s">
        <v>177</v>
      </c>
      <c r="D203" s="35">
        <v>2022</v>
      </c>
      <c r="E203" t="s">
        <v>111</v>
      </c>
      <c r="F203" s="24" t="s">
        <v>215</v>
      </c>
      <c r="G203" s="24" t="s">
        <v>53</v>
      </c>
      <c r="H203" s="92" t="s">
        <v>984</v>
      </c>
      <c r="I203">
        <v>1</v>
      </c>
      <c r="J203" s="47">
        <v>950</v>
      </c>
      <c r="K203" s="50" t="s">
        <v>222</v>
      </c>
      <c r="L203" s="46"/>
      <c r="M203" s="46"/>
    </row>
    <row r="204" spans="2:13" ht="15" customHeight="1" x14ac:dyDescent="0.25">
      <c r="B204" s="5">
        <v>44599</v>
      </c>
      <c r="C204" s="5" t="s">
        <v>177</v>
      </c>
      <c r="D204" s="35">
        <v>2022</v>
      </c>
      <c r="E204" t="s">
        <v>111</v>
      </c>
      <c r="F204" s="24" t="s">
        <v>216</v>
      </c>
      <c r="G204" s="24" t="s">
        <v>193</v>
      </c>
      <c r="H204" s="92" t="s">
        <v>967</v>
      </c>
      <c r="I204">
        <v>1</v>
      </c>
      <c r="J204" s="47">
        <v>2350</v>
      </c>
      <c r="K204" s="50" t="s">
        <v>222</v>
      </c>
      <c r="L204" s="46"/>
      <c r="M204" s="46"/>
    </row>
    <row r="205" spans="2:13" ht="15" customHeight="1" x14ac:dyDescent="0.25">
      <c r="B205" s="5">
        <v>44599</v>
      </c>
      <c r="C205" s="5" t="s">
        <v>177</v>
      </c>
      <c r="D205" s="35">
        <v>2022</v>
      </c>
      <c r="E205" t="s">
        <v>111</v>
      </c>
      <c r="F205" s="24" t="s">
        <v>217</v>
      </c>
      <c r="G205" s="24" t="s">
        <v>53</v>
      </c>
      <c r="H205" s="92" t="s">
        <v>984</v>
      </c>
      <c r="I205">
        <v>1</v>
      </c>
      <c r="J205" s="47">
        <v>950</v>
      </c>
      <c r="K205" s="50" t="s">
        <v>222</v>
      </c>
      <c r="L205" s="46"/>
      <c r="M205" s="46"/>
    </row>
    <row r="206" spans="2:13" ht="15" customHeight="1" x14ac:dyDescent="0.25">
      <c r="B206" s="5">
        <v>44599</v>
      </c>
      <c r="C206" s="5" t="s">
        <v>177</v>
      </c>
      <c r="D206" s="35">
        <v>2022</v>
      </c>
      <c r="E206" t="s">
        <v>111</v>
      </c>
      <c r="F206" s="24" t="s">
        <v>218</v>
      </c>
      <c r="G206" t="s">
        <v>45</v>
      </c>
      <c r="H206" s="92" t="s">
        <v>965</v>
      </c>
      <c r="I206">
        <v>5</v>
      </c>
      <c r="J206" s="47">
        <v>6950</v>
      </c>
      <c r="K206" s="50" t="s">
        <v>222</v>
      </c>
      <c r="L206" s="46"/>
      <c r="M206" s="46"/>
    </row>
    <row r="207" spans="2:13" ht="15" customHeight="1" x14ac:dyDescent="0.25">
      <c r="B207" s="5">
        <v>44599</v>
      </c>
      <c r="C207" s="5" t="s">
        <v>177</v>
      </c>
      <c r="D207" s="35">
        <v>2022</v>
      </c>
      <c r="E207" t="s">
        <v>111</v>
      </c>
      <c r="F207" s="24" t="s">
        <v>218</v>
      </c>
      <c r="G207" t="s">
        <v>47</v>
      </c>
      <c r="H207" s="92" t="s">
        <v>972</v>
      </c>
      <c r="I207">
        <v>2</v>
      </c>
      <c r="J207" s="47">
        <v>1200</v>
      </c>
      <c r="K207" s="50" t="s">
        <v>222</v>
      </c>
      <c r="L207" s="46"/>
      <c r="M207" s="46"/>
    </row>
    <row r="208" spans="2:13" ht="15" customHeight="1" x14ac:dyDescent="0.25">
      <c r="B208" s="5">
        <v>44599</v>
      </c>
      <c r="C208" s="5" t="s">
        <v>177</v>
      </c>
      <c r="D208" s="35">
        <v>2022</v>
      </c>
      <c r="E208" t="s">
        <v>16</v>
      </c>
      <c r="F208" s="22" t="s">
        <v>219</v>
      </c>
      <c r="G208" s="22" t="s">
        <v>49</v>
      </c>
      <c r="H208" s="92" t="s">
        <v>966</v>
      </c>
      <c r="I208">
        <v>1</v>
      </c>
      <c r="J208" s="48">
        <v>1740</v>
      </c>
      <c r="K208" s="50" t="s">
        <v>222</v>
      </c>
      <c r="L208" s="46"/>
      <c r="M208" s="46"/>
    </row>
    <row r="209" spans="2:13" ht="15" customHeight="1" x14ac:dyDescent="0.25">
      <c r="B209" s="5">
        <v>44599</v>
      </c>
      <c r="C209" s="5" t="s">
        <v>177</v>
      </c>
      <c r="D209" s="35">
        <v>2022</v>
      </c>
      <c r="E209" t="s">
        <v>16</v>
      </c>
      <c r="F209" s="22" t="s">
        <v>220</v>
      </c>
      <c r="G209" t="s">
        <v>247</v>
      </c>
      <c r="H209" s="92" t="s">
        <v>966</v>
      </c>
      <c r="I209">
        <v>1</v>
      </c>
      <c r="J209" s="48">
        <v>1720</v>
      </c>
      <c r="K209" s="50" t="s">
        <v>222</v>
      </c>
      <c r="L209" s="46"/>
      <c r="M209" s="46"/>
    </row>
    <row r="210" spans="2:13" ht="15" customHeight="1" x14ac:dyDescent="0.25">
      <c r="B210" s="5">
        <v>44599</v>
      </c>
      <c r="C210" s="5" t="s">
        <v>177</v>
      </c>
      <c r="D210" s="35">
        <v>2022</v>
      </c>
      <c r="E210" t="s">
        <v>16</v>
      </c>
      <c r="F210" s="22" t="s">
        <v>221</v>
      </c>
      <c r="G210" s="22" t="s">
        <v>49</v>
      </c>
      <c r="H210" s="92" t="s">
        <v>966</v>
      </c>
      <c r="I210">
        <v>2</v>
      </c>
      <c r="J210" s="48">
        <v>3480</v>
      </c>
      <c r="K210" s="50" t="s">
        <v>222</v>
      </c>
      <c r="L210" s="46"/>
      <c r="M210" s="46"/>
    </row>
    <row r="211" spans="2:13" ht="15" customHeight="1" x14ac:dyDescent="0.25">
      <c r="B211" s="5">
        <v>44600</v>
      </c>
      <c r="C211" s="5" t="s">
        <v>177</v>
      </c>
      <c r="D211" s="35">
        <v>2022</v>
      </c>
      <c r="E211" t="s">
        <v>22</v>
      </c>
      <c r="F211" t="s">
        <v>234</v>
      </c>
      <c r="G211" t="s">
        <v>409</v>
      </c>
      <c r="H211" s="92" t="s">
        <v>977</v>
      </c>
      <c r="I211">
        <v>1</v>
      </c>
      <c r="J211" s="46">
        <v>1100</v>
      </c>
      <c r="K211" s="50" t="s">
        <v>222</v>
      </c>
      <c r="L211" s="46"/>
      <c r="M211" s="46"/>
    </row>
    <row r="212" spans="2:13" ht="15" customHeight="1" x14ac:dyDescent="0.25">
      <c r="B212" s="5">
        <v>44600</v>
      </c>
      <c r="C212" s="5" t="s">
        <v>177</v>
      </c>
      <c r="D212" s="35">
        <v>2022</v>
      </c>
      <c r="E212" t="s">
        <v>22</v>
      </c>
      <c r="F212" t="s">
        <v>234</v>
      </c>
      <c r="G212" t="s">
        <v>58</v>
      </c>
      <c r="H212" s="92" t="s">
        <v>969</v>
      </c>
      <c r="I212">
        <v>1</v>
      </c>
      <c r="J212" s="46">
        <v>2450</v>
      </c>
      <c r="K212" s="50" t="s">
        <v>222</v>
      </c>
      <c r="L212" s="46"/>
      <c r="M212" s="46"/>
    </row>
    <row r="213" spans="2:13" ht="15" customHeight="1" x14ac:dyDescent="0.25">
      <c r="B213" s="5">
        <v>44600</v>
      </c>
      <c r="C213" s="5" t="s">
        <v>177</v>
      </c>
      <c r="D213" s="35">
        <v>2022</v>
      </c>
      <c r="E213" t="s">
        <v>22</v>
      </c>
      <c r="F213" t="s">
        <v>235</v>
      </c>
      <c r="G213" t="s">
        <v>58</v>
      </c>
      <c r="H213" s="92" t="s">
        <v>969</v>
      </c>
      <c r="I213">
        <v>1</v>
      </c>
      <c r="J213" s="46">
        <v>2450</v>
      </c>
      <c r="K213" s="50" t="s">
        <v>222</v>
      </c>
      <c r="L213" s="46"/>
      <c r="M213" s="46"/>
    </row>
    <row r="214" spans="2:13" ht="15" customHeight="1" x14ac:dyDescent="0.25">
      <c r="B214" s="5">
        <v>44600</v>
      </c>
      <c r="C214" s="5" t="s">
        <v>177</v>
      </c>
      <c r="D214" s="35">
        <v>2022</v>
      </c>
      <c r="E214" t="s">
        <v>22</v>
      </c>
      <c r="F214" t="s">
        <v>236</v>
      </c>
      <c r="G214" t="s">
        <v>120</v>
      </c>
      <c r="H214" s="24" t="s">
        <v>968</v>
      </c>
      <c r="I214">
        <v>1</v>
      </c>
      <c r="J214" s="46">
        <v>4350</v>
      </c>
      <c r="K214" s="50" t="s">
        <v>222</v>
      </c>
      <c r="L214" s="46"/>
      <c r="M214" s="46"/>
    </row>
    <row r="215" spans="2:13" ht="15" customHeight="1" x14ac:dyDescent="0.25">
      <c r="B215" s="5">
        <v>44600</v>
      </c>
      <c r="C215" s="5" t="s">
        <v>177</v>
      </c>
      <c r="D215" s="35">
        <v>2022</v>
      </c>
      <c r="E215" t="s">
        <v>22</v>
      </c>
      <c r="F215" t="s">
        <v>237</v>
      </c>
      <c r="G215" t="s">
        <v>58</v>
      </c>
      <c r="H215" s="92" t="s">
        <v>969</v>
      </c>
      <c r="I215">
        <v>1</v>
      </c>
      <c r="J215" s="46">
        <v>2450</v>
      </c>
      <c r="K215" s="50" t="s">
        <v>222</v>
      </c>
      <c r="L215" s="46"/>
      <c r="M215" s="46"/>
    </row>
    <row r="216" spans="2:13" ht="15" customHeight="1" x14ac:dyDescent="0.25">
      <c r="B216" s="5">
        <v>44600</v>
      </c>
      <c r="C216" s="5" t="s">
        <v>177</v>
      </c>
      <c r="D216" s="35">
        <v>2022</v>
      </c>
      <c r="E216" t="s">
        <v>22</v>
      </c>
      <c r="F216" t="s">
        <v>134</v>
      </c>
      <c r="G216" t="s">
        <v>123</v>
      </c>
      <c r="H216" s="92" t="s">
        <v>966</v>
      </c>
      <c r="I216">
        <v>1</v>
      </c>
      <c r="J216" s="46">
        <v>1720</v>
      </c>
      <c r="K216" s="50" t="s">
        <v>222</v>
      </c>
      <c r="L216" s="46"/>
      <c r="M216" s="46"/>
    </row>
    <row r="217" spans="2:13" ht="15" customHeight="1" x14ac:dyDescent="0.25">
      <c r="B217" s="5">
        <v>44600</v>
      </c>
      <c r="C217" s="5" t="s">
        <v>177</v>
      </c>
      <c r="D217" s="35">
        <v>2022</v>
      </c>
      <c r="E217" t="s">
        <v>22</v>
      </c>
      <c r="F217" t="s">
        <v>134</v>
      </c>
      <c r="G217" t="s">
        <v>45</v>
      </c>
      <c r="H217" s="92" t="s">
        <v>965</v>
      </c>
      <c r="I217">
        <v>1</v>
      </c>
      <c r="J217" s="46">
        <v>1390</v>
      </c>
      <c r="K217" s="50" t="s">
        <v>222</v>
      </c>
      <c r="L217" s="46"/>
      <c r="M217" s="46"/>
    </row>
    <row r="218" spans="2:13" ht="15" customHeight="1" x14ac:dyDescent="0.25">
      <c r="B218" s="5">
        <v>44600</v>
      </c>
      <c r="C218" s="5" t="s">
        <v>177</v>
      </c>
      <c r="D218" s="35">
        <v>2022</v>
      </c>
      <c r="E218" t="s">
        <v>22</v>
      </c>
      <c r="F218" t="s">
        <v>52</v>
      </c>
      <c r="G218" t="s">
        <v>53</v>
      </c>
      <c r="H218" s="92" t="s">
        <v>984</v>
      </c>
      <c r="I218">
        <v>1</v>
      </c>
      <c r="J218" s="46">
        <v>950</v>
      </c>
      <c r="K218" s="50" t="s">
        <v>222</v>
      </c>
      <c r="L218" s="46"/>
      <c r="M218" s="46"/>
    </row>
    <row r="219" spans="2:13" ht="15" customHeight="1" x14ac:dyDescent="0.25">
      <c r="B219" s="5">
        <v>44600</v>
      </c>
      <c r="C219" s="5" t="s">
        <v>177</v>
      </c>
      <c r="D219" s="35">
        <v>2022</v>
      </c>
      <c r="E219" t="s">
        <v>22</v>
      </c>
      <c r="F219" t="s">
        <v>238</v>
      </c>
      <c r="G219" t="s">
        <v>125</v>
      </c>
      <c r="H219" s="92" t="s">
        <v>971</v>
      </c>
      <c r="I219">
        <v>1</v>
      </c>
      <c r="J219" s="46">
        <v>510</v>
      </c>
      <c r="K219" s="50" t="s">
        <v>222</v>
      </c>
      <c r="L219" s="46"/>
      <c r="M219" s="46"/>
    </row>
    <row r="220" spans="2:13" ht="15" customHeight="1" x14ac:dyDescent="0.25">
      <c r="B220" s="5">
        <v>44600</v>
      </c>
      <c r="C220" s="5" t="s">
        <v>177</v>
      </c>
      <c r="D220" s="35">
        <v>2022</v>
      </c>
      <c r="E220" t="s">
        <v>22</v>
      </c>
      <c r="F220" t="s">
        <v>238</v>
      </c>
      <c r="G220" t="s">
        <v>50</v>
      </c>
      <c r="H220" s="92" t="s">
        <v>969</v>
      </c>
      <c r="I220">
        <v>1</v>
      </c>
      <c r="J220" s="46">
        <v>2450</v>
      </c>
      <c r="K220" s="50" t="s">
        <v>222</v>
      </c>
      <c r="L220" s="46"/>
      <c r="M220" s="46"/>
    </row>
    <row r="221" spans="2:13" ht="15" customHeight="1" x14ac:dyDescent="0.25">
      <c r="B221" s="5">
        <v>44600</v>
      </c>
      <c r="C221" s="5" t="s">
        <v>177</v>
      </c>
      <c r="D221" s="35">
        <v>2022</v>
      </c>
      <c r="E221" t="s">
        <v>22</v>
      </c>
      <c r="F221" t="s">
        <v>131</v>
      </c>
      <c r="G221" t="s">
        <v>120</v>
      </c>
      <c r="H221" s="24" t="s">
        <v>968</v>
      </c>
      <c r="I221">
        <v>1</v>
      </c>
      <c r="J221" s="46">
        <v>4350</v>
      </c>
      <c r="K221" s="50" t="s">
        <v>222</v>
      </c>
      <c r="L221" s="46"/>
      <c r="M221" s="46"/>
    </row>
    <row r="222" spans="2:13" ht="15" customHeight="1" x14ac:dyDescent="0.25">
      <c r="B222" s="5">
        <v>44600</v>
      </c>
      <c r="C222" s="5" t="s">
        <v>177</v>
      </c>
      <c r="D222" s="35">
        <v>2022</v>
      </c>
      <c r="E222" t="s">
        <v>22</v>
      </c>
      <c r="F222" t="s">
        <v>131</v>
      </c>
      <c r="G222" t="s">
        <v>274</v>
      </c>
      <c r="H222" s="92" t="s">
        <v>966</v>
      </c>
      <c r="I222">
        <v>1</v>
      </c>
      <c r="J222" s="46">
        <v>1760</v>
      </c>
      <c r="K222" s="50" t="s">
        <v>222</v>
      </c>
      <c r="L222" s="46"/>
      <c r="M222" s="46"/>
    </row>
    <row r="223" spans="2:13" ht="15" customHeight="1" x14ac:dyDescent="0.25">
      <c r="B223" s="5">
        <v>44600</v>
      </c>
      <c r="C223" s="5" t="s">
        <v>177</v>
      </c>
      <c r="D223" s="35">
        <v>2022</v>
      </c>
      <c r="E223" t="s">
        <v>22</v>
      </c>
      <c r="F223" t="s">
        <v>239</v>
      </c>
      <c r="G223" t="s">
        <v>58</v>
      </c>
      <c r="H223" s="92" t="s">
        <v>969</v>
      </c>
      <c r="I223">
        <v>1</v>
      </c>
      <c r="J223" s="46">
        <v>2450</v>
      </c>
      <c r="K223" s="50" t="s">
        <v>222</v>
      </c>
      <c r="L223" s="46"/>
      <c r="M223" s="46"/>
    </row>
    <row r="224" spans="2:13" ht="15" customHeight="1" x14ac:dyDescent="0.25">
      <c r="B224" s="5">
        <v>44600</v>
      </c>
      <c r="C224" s="5" t="s">
        <v>177</v>
      </c>
      <c r="D224" s="35">
        <v>2022</v>
      </c>
      <c r="E224" t="s">
        <v>22</v>
      </c>
      <c r="F224" t="s">
        <v>239</v>
      </c>
      <c r="G224" t="s">
        <v>50</v>
      </c>
      <c r="H224" s="92" t="s">
        <v>969</v>
      </c>
      <c r="I224">
        <v>1</v>
      </c>
      <c r="J224" s="46">
        <v>2450</v>
      </c>
      <c r="K224" s="50" t="s">
        <v>222</v>
      </c>
      <c r="L224" s="46"/>
      <c r="M224" s="46"/>
    </row>
    <row r="225" spans="2:13" ht="15" customHeight="1" x14ac:dyDescent="0.25">
      <c r="B225" s="5">
        <v>44600</v>
      </c>
      <c r="C225" s="5" t="s">
        <v>177</v>
      </c>
      <c r="D225" s="35">
        <v>2022</v>
      </c>
      <c r="E225" t="s">
        <v>1</v>
      </c>
      <c r="F225" t="s">
        <v>185</v>
      </c>
      <c r="G225" t="s">
        <v>45</v>
      </c>
      <c r="H225" s="92" t="s">
        <v>965</v>
      </c>
      <c r="I225">
        <v>1</v>
      </c>
      <c r="J225" s="46">
        <v>1390</v>
      </c>
      <c r="K225" s="50" t="s">
        <v>222</v>
      </c>
      <c r="L225" s="46"/>
      <c r="M225" s="46"/>
    </row>
    <row r="226" spans="2:13" ht="15" customHeight="1" x14ac:dyDescent="0.25">
      <c r="B226" s="5">
        <v>44600</v>
      </c>
      <c r="C226" s="5" t="s">
        <v>177</v>
      </c>
      <c r="D226" s="35">
        <v>2022</v>
      </c>
      <c r="E226" t="s">
        <v>1</v>
      </c>
      <c r="F226" t="s">
        <v>185</v>
      </c>
      <c r="G226" t="s">
        <v>47</v>
      </c>
      <c r="H226" s="92" t="s">
        <v>972</v>
      </c>
      <c r="I226">
        <v>1</v>
      </c>
      <c r="J226" s="46">
        <v>600</v>
      </c>
      <c r="K226" s="50" t="s">
        <v>222</v>
      </c>
      <c r="L226" s="46"/>
      <c r="M226" s="46"/>
    </row>
    <row r="227" spans="2:13" ht="15" customHeight="1" x14ac:dyDescent="0.25">
      <c r="B227" s="5">
        <v>44600</v>
      </c>
      <c r="C227" s="5" t="s">
        <v>177</v>
      </c>
      <c r="D227" s="35">
        <v>2022</v>
      </c>
      <c r="E227" t="s">
        <v>1</v>
      </c>
      <c r="F227" t="s">
        <v>240</v>
      </c>
      <c r="G227" s="24" t="s">
        <v>192</v>
      </c>
      <c r="H227" s="24" t="s">
        <v>976</v>
      </c>
      <c r="I227">
        <v>1</v>
      </c>
      <c r="J227" s="46">
        <v>1350</v>
      </c>
      <c r="K227" s="50" t="s">
        <v>222</v>
      </c>
      <c r="L227" s="46"/>
      <c r="M227" s="46"/>
    </row>
    <row r="228" spans="2:13" ht="15" customHeight="1" x14ac:dyDescent="0.25">
      <c r="B228" s="5">
        <v>44600</v>
      </c>
      <c r="C228" s="5" t="s">
        <v>177</v>
      </c>
      <c r="D228" s="35">
        <v>2022</v>
      </c>
      <c r="E228" t="s">
        <v>1</v>
      </c>
      <c r="F228" t="s">
        <v>240</v>
      </c>
      <c r="G228" t="s">
        <v>58</v>
      </c>
      <c r="H228" s="92" t="s">
        <v>969</v>
      </c>
      <c r="I228">
        <v>1</v>
      </c>
      <c r="J228" s="46">
        <v>2450</v>
      </c>
      <c r="K228" s="50" t="s">
        <v>222</v>
      </c>
      <c r="L228" s="46"/>
      <c r="M228" s="46"/>
    </row>
    <row r="229" spans="2:13" ht="15" customHeight="1" x14ac:dyDescent="0.25">
      <c r="B229" s="5">
        <v>44600</v>
      </c>
      <c r="C229" s="5" t="s">
        <v>177</v>
      </c>
      <c r="D229" s="35">
        <v>2022</v>
      </c>
      <c r="E229" t="s">
        <v>1</v>
      </c>
      <c r="F229" t="s">
        <v>240</v>
      </c>
      <c r="G229" t="s">
        <v>50</v>
      </c>
      <c r="H229" s="92" t="s">
        <v>969</v>
      </c>
      <c r="I229">
        <v>1</v>
      </c>
      <c r="J229" s="46">
        <v>2450</v>
      </c>
      <c r="K229" s="50" t="s">
        <v>222</v>
      </c>
      <c r="L229" s="46"/>
      <c r="M229" s="46"/>
    </row>
    <row r="230" spans="2:13" ht="15" customHeight="1" x14ac:dyDescent="0.25">
      <c r="B230" s="5">
        <v>44600</v>
      </c>
      <c r="C230" s="5" t="s">
        <v>177</v>
      </c>
      <c r="D230" s="35">
        <v>2022</v>
      </c>
      <c r="E230" t="s">
        <v>1</v>
      </c>
      <c r="F230" t="s">
        <v>241</v>
      </c>
      <c r="G230" t="s">
        <v>120</v>
      </c>
      <c r="H230" s="24" t="s">
        <v>968</v>
      </c>
      <c r="I230">
        <v>7</v>
      </c>
      <c r="J230" s="46">
        <v>30450</v>
      </c>
      <c r="K230" s="50" t="s">
        <v>222</v>
      </c>
      <c r="L230" s="46"/>
      <c r="M230" s="46"/>
    </row>
    <row r="231" spans="2:13" ht="15" customHeight="1" x14ac:dyDescent="0.25">
      <c r="B231" s="5">
        <v>44600</v>
      </c>
      <c r="C231" s="5" t="s">
        <v>177</v>
      </c>
      <c r="D231" s="35">
        <v>2022</v>
      </c>
      <c r="E231" t="s">
        <v>1</v>
      </c>
      <c r="F231" t="s">
        <v>241</v>
      </c>
      <c r="G231" t="s">
        <v>123</v>
      </c>
      <c r="H231" s="92" t="s">
        <v>966</v>
      </c>
      <c r="I231">
        <v>7</v>
      </c>
      <c r="J231" s="46">
        <v>12180</v>
      </c>
      <c r="K231" s="50" t="s">
        <v>222</v>
      </c>
      <c r="L231" s="46"/>
      <c r="M231" s="46"/>
    </row>
    <row r="232" spans="2:13" ht="15" customHeight="1" x14ac:dyDescent="0.25">
      <c r="B232" s="5">
        <v>44600</v>
      </c>
      <c r="C232" s="5" t="s">
        <v>177</v>
      </c>
      <c r="D232" s="35">
        <v>2022</v>
      </c>
      <c r="E232" t="s">
        <v>1</v>
      </c>
      <c r="F232" t="s">
        <v>241</v>
      </c>
      <c r="G232" t="s">
        <v>49</v>
      </c>
      <c r="H232" s="92" t="s">
        <v>966</v>
      </c>
      <c r="I232">
        <v>7</v>
      </c>
      <c r="J232" s="46">
        <v>12250</v>
      </c>
      <c r="K232" s="50" t="s">
        <v>222</v>
      </c>
      <c r="L232" s="46"/>
      <c r="M232" s="46"/>
    </row>
    <row r="233" spans="2:13" ht="15" customHeight="1" x14ac:dyDescent="0.25">
      <c r="B233" s="5">
        <v>44600</v>
      </c>
      <c r="C233" s="5" t="s">
        <v>177</v>
      </c>
      <c r="D233" s="35">
        <v>2022</v>
      </c>
      <c r="E233" t="s">
        <v>1</v>
      </c>
      <c r="F233" t="s">
        <v>137</v>
      </c>
      <c r="G233" t="s">
        <v>50</v>
      </c>
      <c r="H233" s="92" t="s">
        <v>969</v>
      </c>
      <c r="I233">
        <v>1</v>
      </c>
      <c r="J233" s="46">
        <v>2450</v>
      </c>
      <c r="K233" s="50" t="s">
        <v>222</v>
      </c>
      <c r="L233" s="46"/>
      <c r="M233" s="46"/>
    </row>
    <row r="234" spans="2:13" ht="15" customHeight="1" x14ac:dyDescent="0.25">
      <c r="B234" s="5">
        <v>44600</v>
      </c>
      <c r="C234" s="5" t="s">
        <v>177</v>
      </c>
      <c r="D234" s="35">
        <v>2022</v>
      </c>
      <c r="E234" t="s">
        <v>19</v>
      </c>
      <c r="F234" t="s">
        <v>242</v>
      </c>
      <c r="G234" t="s">
        <v>247</v>
      </c>
      <c r="H234" s="92" t="s">
        <v>966</v>
      </c>
      <c r="I234">
        <v>1</v>
      </c>
      <c r="J234" s="46">
        <v>1740</v>
      </c>
      <c r="K234" s="50" t="s">
        <v>222</v>
      </c>
      <c r="L234" s="46"/>
      <c r="M234" s="46"/>
    </row>
    <row r="235" spans="2:13" ht="15" customHeight="1" x14ac:dyDescent="0.25">
      <c r="B235" s="5">
        <v>44600</v>
      </c>
      <c r="C235" s="5" t="s">
        <v>177</v>
      </c>
      <c r="D235" s="35">
        <v>2022</v>
      </c>
      <c r="E235" t="s">
        <v>19</v>
      </c>
      <c r="F235" t="s">
        <v>243</v>
      </c>
      <c r="G235" t="s">
        <v>121</v>
      </c>
      <c r="H235" s="92" t="s">
        <v>982</v>
      </c>
      <c r="I235">
        <v>1</v>
      </c>
      <c r="J235" s="46">
        <v>230</v>
      </c>
      <c r="K235" s="50" t="s">
        <v>222</v>
      </c>
      <c r="L235" s="46"/>
      <c r="M235" s="46"/>
    </row>
    <row r="236" spans="2:13" ht="15" customHeight="1" x14ac:dyDescent="0.25">
      <c r="B236" s="5">
        <v>44600</v>
      </c>
      <c r="C236" s="5" t="s">
        <v>177</v>
      </c>
      <c r="D236" s="35">
        <v>2022</v>
      </c>
      <c r="E236" t="s">
        <v>19</v>
      </c>
      <c r="F236" t="s">
        <v>243</v>
      </c>
      <c r="G236" t="s">
        <v>123</v>
      </c>
      <c r="H236" s="92" t="s">
        <v>966</v>
      </c>
      <c r="I236">
        <v>1</v>
      </c>
      <c r="J236" s="46">
        <v>1740</v>
      </c>
      <c r="K236" s="50" t="s">
        <v>222</v>
      </c>
      <c r="L236" s="46"/>
      <c r="M236" s="46"/>
    </row>
    <row r="237" spans="2:13" ht="15" customHeight="1" x14ac:dyDescent="0.25">
      <c r="B237" s="5">
        <v>44600</v>
      </c>
      <c r="C237" s="5" t="s">
        <v>177</v>
      </c>
      <c r="D237" s="35">
        <v>2022</v>
      </c>
      <c r="E237" t="s">
        <v>19</v>
      </c>
      <c r="F237" t="s">
        <v>244</v>
      </c>
      <c r="G237" t="s">
        <v>45</v>
      </c>
      <c r="H237" s="92" t="s">
        <v>965</v>
      </c>
      <c r="I237">
        <v>1</v>
      </c>
      <c r="J237" s="46">
        <v>1390</v>
      </c>
      <c r="K237" s="50" t="s">
        <v>222</v>
      </c>
      <c r="L237" s="46"/>
      <c r="M237" s="46"/>
    </row>
    <row r="238" spans="2:13" ht="15" customHeight="1" x14ac:dyDescent="0.25">
      <c r="B238" s="5">
        <v>44600</v>
      </c>
      <c r="C238" s="5" t="s">
        <v>177</v>
      </c>
      <c r="D238" s="35">
        <v>2022</v>
      </c>
      <c r="E238" t="s">
        <v>19</v>
      </c>
      <c r="F238" t="s">
        <v>245</v>
      </c>
      <c r="G238" t="s">
        <v>45</v>
      </c>
      <c r="H238" s="92" t="s">
        <v>965</v>
      </c>
      <c r="I238">
        <v>2</v>
      </c>
      <c r="J238" s="46">
        <v>2780</v>
      </c>
      <c r="K238" s="50" t="s">
        <v>222</v>
      </c>
      <c r="L238" s="46"/>
      <c r="M238" s="46"/>
    </row>
    <row r="239" spans="2:13" ht="15" customHeight="1" x14ac:dyDescent="0.25">
      <c r="B239" s="5">
        <v>44600</v>
      </c>
      <c r="C239" s="5" t="s">
        <v>177</v>
      </c>
      <c r="D239" s="35">
        <v>2022</v>
      </c>
      <c r="E239" t="s">
        <v>19</v>
      </c>
      <c r="F239" t="s">
        <v>245</v>
      </c>
      <c r="G239" t="s">
        <v>50</v>
      </c>
      <c r="H239" s="92" t="s">
        <v>969</v>
      </c>
      <c r="I239">
        <v>1</v>
      </c>
      <c r="J239" s="46">
        <v>2450</v>
      </c>
      <c r="K239" s="50" t="s">
        <v>222</v>
      </c>
      <c r="L239" s="46"/>
      <c r="M239" s="46"/>
    </row>
    <row r="240" spans="2:13" ht="15" customHeight="1" x14ac:dyDescent="0.25">
      <c r="B240" s="5">
        <v>44600</v>
      </c>
      <c r="C240" s="5" t="s">
        <v>177</v>
      </c>
      <c r="D240" s="35">
        <v>2022</v>
      </c>
      <c r="E240" t="s">
        <v>19</v>
      </c>
      <c r="F240" t="s">
        <v>246</v>
      </c>
      <c r="G240" t="s">
        <v>122</v>
      </c>
      <c r="H240" s="92" t="s">
        <v>973</v>
      </c>
      <c r="I240">
        <v>1</v>
      </c>
      <c r="J240" s="46">
        <v>260</v>
      </c>
      <c r="K240" s="50" t="s">
        <v>222</v>
      </c>
      <c r="L240" s="46"/>
      <c r="M240" s="46"/>
    </row>
    <row r="241" spans="2:13" ht="15" customHeight="1" x14ac:dyDescent="0.25">
      <c r="B241" s="5">
        <v>44600</v>
      </c>
      <c r="C241" s="5" t="s">
        <v>177</v>
      </c>
      <c r="D241" s="35">
        <v>2022</v>
      </c>
      <c r="E241" t="s">
        <v>19</v>
      </c>
      <c r="F241" t="s">
        <v>246</v>
      </c>
      <c r="G241" t="s">
        <v>47</v>
      </c>
      <c r="H241" s="92" t="s">
        <v>972</v>
      </c>
      <c r="I241">
        <v>1</v>
      </c>
      <c r="J241" s="46">
        <v>600</v>
      </c>
      <c r="K241" s="50" t="s">
        <v>222</v>
      </c>
      <c r="L241" s="46"/>
      <c r="M241" s="46"/>
    </row>
    <row r="242" spans="2:13" ht="15" customHeight="1" x14ac:dyDescent="0.25">
      <c r="B242" s="5">
        <v>44600</v>
      </c>
      <c r="C242" s="5" t="s">
        <v>177</v>
      </c>
      <c r="D242" s="35">
        <v>2022</v>
      </c>
      <c r="E242" t="s">
        <v>19</v>
      </c>
      <c r="F242" t="s">
        <v>246</v>
      </c>
      <c r="G242" t="s">
        <v>50</v>
      </c>
      <c r="H242" s="92" t="s">
        <v>969</v>
      </c>
      <c r="I242">
        <v>1</v>
      </c>
      <c r="J242" s="46">
        <v>2450</v>
      </c>
      <c r="K242" s="50" t="s">
        <v>222</v>
      </c>
      <c r="L242" s="46"/>
      <c r="M242" s="46"/>
    </row>
    <row r="243" spans="2:13" ht="15" customHeight="1" x14ac:dyDescent="0.25">
      <c r="B243" s="5">
        <v>44600</v>
      </c>
      <c r="C243" s="5" t="s">
        <v>177</v>
      </c>
      <c r="D243" s="35">
        <v>2022</v>
      </c>
      <c r="E243" t="s">
        <v>19</v>
      </c>
      <c r="F243" t="s">
        <v>246</v>
      </c>
      <c r="G243" t="s">
        <v>123</v>
      </c>
      <c r="H243" s="92" t="s">
        <v>966</v>
      </c>
      <c r="I243">
        <v>1</v>
      </c>
      <c r="J243" s="46">
        <v>1740</v>
      </c>
      <c r="K243" s="50" t="s">
        <v>222</v>
      </c>
      <c r="L243" s="46"/>
      <c r="M243" s="46"/>
    </row>
    <row r="244" spans="2:13" ht="15" customHeight="1" x14ac:dyDescent="0.25">
      <c r="B244" s="5">
        <v>44600</v>
      </c>
      <c r="C244" s="5" t="s">
        <v>177</v>
      </c>
      <c r="D244" s="35">
        <v>2022</v>
      </c>
      <c r="E244" t="s">
        <v>19</v>
      </c>
      <c r="F244" t="s">
        <v>1123</v>
      </c>
      <c r="G244" t="s">
        <v>123</v>
      </c>
      <c r="H244" s="92" t="s">
        <v>966</v>
      </c>
      <c r="I244">
        <v>1</v>
      </c>
      <c r="J244" s="46">
        <v>1740</v>
      </c>
      <c r="K244" s="50" t="s">
        <v>222</v>
      </c>
      <c r="L244" s="46"/>
      <c r="M244" s="46"/>
    </row>
    <row r="245" spans="2:13" ht="15" customHeight="1" x14ac:dyDescent="0.25">
      <c r="B245" s="5">
        <v>44600</v>
      </c>
      <c r="C245" s="5" t="s">
        <v>177</v>
      </c>
      <c r="D245" s="35">
        <v>2022</v>
      </c>
      <c r="E245" t="s">
        <v>19</v>
      </c>
      <c r="F245" t="s">
        <v>1123</v>
      </c>
      <c r="G245" t="s">
        <v>58</v>
      </c>
      <c r="H245" s="92" t="s">
        <v>969</v>
      </c>
      <c r="I245">
        <v>1</v>
      </c>
      <c r="J245" s="46">
        <v>2450</v>
      </c>
      <c r="K245" s="50" t="s">
        <v>222</v>
      </c>
      <c r="L245" s="46"/>
      <c r="M245" s="46"/>
    </row>
    <row r="246" spans="2:13" ht="15" customHeight="1" x14ac:dyDescent="0.25">
      <c r="B246" s="5">
        <v>44600</v>
      </c>
      <c r="C246" s="5" t="s">
        <v>177</v>
      </c>
      <c r="D246" s="35">
        <v>2022</v>
      </c>
      <c r="E246" t="s">
        <v>19</v>
      </c>
      <c r="F246" t="s">
        <v>1123</v>
      </c>
      <c r="G246" t="s">
        <v>50</v>
      </c>
      <c r="H246" s="92" t="s">
        <v>969</v>
      </c>
      <c r="I246">
        <v>1</v>
      </c>
      <c r="J246" s="46">
        <v>2450</v>
      </c>
      <c r="K246" s="50" t="s">
        <v>222</v>
      </c>
      <c r="L246" s="46"/>
      <c r="M246" s="46"/>
    </row>
    <row r="247" spans="2:13" ht="15" customHeight="1" x14ac:dyDescent="0.25">
      <c r="B247" s="5">
        <v>44600</v>
      </c>
      <c r="C247" s="5" t="s">
        <v>177</v>
      </c>
      <c r="D247" s="35">
        <v>2022</v>
      </c>
      <c r="E247" t="s">
        <v>19</v>
      </c>
      <c r="F247" t="s">
        <v>1123</v>
      </c>
      <c r="G247" t="s">
        <v>49</v>
      </c>
      <c r="H247" s="92" t="s">
        <v>966</v>
      </c>
      <c r="I247">
        <v>1</v>
      </c>
      <c r="J247" s="46">
        <v>1750</v>
      </c>
      <c r="K247" s="50" t="s">
        <v>222</v>
      </c>
      <c r="L247" s="46"/>
      <c r="M247" s="46"/>
    </row>
    <row r="248" spans="2:13" ht="15" customHeight="1" x14ac:dyDescent="0.25">
      <c r="B248" s="5">
        <v>44600</v>
      </c>
      <c r="C248" s="5" t="s">
        <v>177</v>
      </c>
      <c r="D248" s="35">
        <v>2022</v>
      </c>
      <c r="E248" t="s">
        <v>19</v>
      </c>
      <c r="F248" t="s">
        <v>143</v>
      </c>
      <c r="G248" t="s">
        <v>47</v>
      </c>
      <c r="H248" s="92" t="s">
        <v>972</v>
      </c>
      <c r="I248">
        <v>1</v>
      </c>
      <c r="J248" s="46">
        <v>600</v>
      </c>
      <c r="K248" s="50" t="s">
        <v>222</v>
      </c>
      <c r="L248" s="46"/>
      <c r="M248" s="46"/>
    </row>
    <row r="249" spans="2:13" ht="15" customHeight="1" x14ac:dyDescent="0.25">
      <c r="B249" s="5">
        <v>44600</v>
      </c>
      <c r="C249" s="5" t="s">
        <v>177</v>
      </c>
      <c r="D249" s="35">
        <v>2022</v>
      </c>
      <c r="E249" t="s">
        <v>19</v>
      </c>
      <c r="F249" t="s">
        <v>199</v>
      </c>
      <c r="G249" t="s">
        <v>50</v>
      </c>
      <c r="H249" s="92" t="s">
        <v>969</v>
      </c>
      <c r="I249">
        <v>4</v>
      </c>
      <c r="J249" s="46">
        <v>9800</v>
      </c>
      <c r="K249" s="50" t="s">
        <v>222</v>
      </c>
      <c r="L249" s="46"/>
      <c r="M249" s="46"/>
    </row>
    <row r="250" spans="2:13" ht="15" customHeight="1" x14ac:dyDescent="0.25">
      <c r="B250" s="5">
        <v>44600</v>
      </c>
      <c r="C250" s="5" t="s">
        <v>177</v>
      </c>
      <c r="D250" s="35">
        <v>2022</v>
      </c>
      <c r="E250" t="s">
        <v>11</v>
      </c>
      <c r="F250" t="s">
        <v>150</v>
      </c>
      <c r="G250" t="s">
        <v>249</v>
      </c>
      <c r="H250" s="92" t="s">
        <v>972</v>
      </c>
      <c r="I250">
        <v>1</v>
      </c>
      <c r="J250" s="46">
        <v>1080</v>
      </c>
      <c r="K250" s="50" t="s">
        <v>222</v>
      </c>
      <c r="L250" s="46"/>
      <c r="M250" s="46"/>
    </row>
    <row r="251" spans="2:13" ht="15" customHeight="1" x14ac:dyDescent="0.25">
      <c r="B251" s="5">
        <v>44600</v>
      </c>
      <c r="C251" s="5" t="s">
        <v>177</v>
      </c>
      <c r="D251" s="35">
        <v>2022</v>
      </c>
      <c r="E251" t="s">
        <v>11</v>
      </c>
      <c r="F251" t="s">
        <v>13</v>
      </c>
      <c r="G251" t="s">
        <v>49</v>
      </c>
      <c r="H251" s="92" t="s">
        <v>966</v>
      </c>
      <c r="I251">
        <v>1</v>
      </c>
      <c r="J251" s="46">
        <v>1750</v>
      </c>
      <c r="K251" s="50" t="s">
        <v>222</v>
      </c>
      <c r="L251" s="46"/>
      <c r="M251" s="46"/>
    </row>
    <row r="252" spans="2:13" ht="15" customHeight="1" x14ac:dyDescent="0.25">
      <c r="B252" s="5">
        <v>44600</v>
      </c>
      <c r="C252" s="5" t="s">
        <v>177</v>
      </c>
      <c r="D252" s="35">
        <v>2022</v>
      </c>
      <c r="E252" t="s">
        <v>11</v>
      </c>
      <c r="F252" t="s">
        <v>248</v>
      </c>
      <c r="G252" t="s">
        <v>409</v>
      </c>
      <c r="H252" s="92" t="s">
        <v>977</v>
      </c>
      <c r="I252">
        <v>1</v>
      </c>
      <c r="J252" s="46">
        <v>550</v>
      </c>
      <c r="K252" s="50" t="s">
        <v>222</v>
      </c>
      <c r="L252" s="46"/>
      <c r="M252" s="46"/>
    </row>
    <row r="253" spans="2:13" ht="15" customHeight="1" x14ac:dyDescent="0.25">
      <c r="B253" s="5">
        <v>44600</v>
      </c>
      <c r="C253" s="5" t="s">
        <v>177</v>
      </c>
      <c r="D253" s="35">
        <v>2022</v>
      </c>
      <c r="E253" t="s">
        <v>11</v>
      </c>
      <c r="F253" t="s">
        <v>149</v>
      </c>
      <c r="G253" t="s">
        <v>250</v>
      </c>
      <c r="H253" s="92" t="s">
        <v>979</v>
      </c>
      <c r="I253">
        <v>1</v>
      </c>
      <c r="J253" s="46">
        <v>320</v>
      </c>
      <c r="K253" s="50" t="s">
        <v>222</v>
      </c>
      <c r="L253" s="46"/>
      <c r="M253" s="46"/>
    </row>
    <row r="254" spans="2:13" ht="15" customHeight="1" x14ac:dyDescent="0.25">
      <c r="B254" s="5">
        <v>44600</v>
      </c>
      <c r="C254" s="5" t="s">
        <v>177</v>
      </c>
      <c r="D254" s="35">
        <v>2022</v>
      </c>
      <c r="E254" t="s">
        <v>11</v>
      </c>
      <c r="F254" t="s">
        <v>149</v>
      </c>
      <c r="G254" t="s">
        <v>126</v>
      </c>
      <c r="H254" s="92" t="s">
        <v>965</v>
      </c>
      <c r="I254">
        <v>1</v>
      </c>
      <c r="J254" s="46">
        <v>1760</v>
      </c>
      <c r="K254" s="50" t="s">
        <v>222</v>
      </c>
      <c r="L254" s="46"/>
      <c r="M254" s="46"/>
    </row>
    <row r="255" spans="2:13" ht="15" customHeight="1" x14ac:dyDescent="0.25">
      <c r="B255" s="5">
        <v>44600</v>
      </c>
      <c r="C255" s="5" t="s">
        <v>177</v>
      </c>
      <c r="D255" s="35">
        <v>2022</v>
      </c>
      <c r="E255" t="s">
        <v>11</v>
      </c>
      <c r="F255" t="s">
        <v>44</v>
      </c>
      <c r="G255" t="s">
        <v>49</v>
      </c>
      <c r="H255" s="92" t="s">
        <v>966</v>
      </c>
      <c r="I255">
        <v>1</v>
      </c>
      <c r="J255" s="46">
        <v>1740</v>
      </c>
      <c r="K255" s="50" t="s">
        <v>222</v>
      </c>
      <c r="L255" s="46"/>
      <c r="M255" s="46"/>
    </row>
    <row r="256" spans="2:13" ht="15" customHeight="1" x14ac:dyDescent="0.25">
      <c r="B256" s="5">
        <v>44600</v>
      </c>
      <c r="C256" s="5" t="s">
        <v>177</v>
      </c>
      <c r="D256" s="35">
        <v>2022</v>
      </c>
      <c r="E256" t="s">
        <v>11</v>
      </c>
      <c r="F256" t="s">
        <v>44</v>
      </c>
      <c r="G256" t="s">
        <v>122</v>
      </c>
      <c r="H256" s="92" t="s">
        <v>973</v>
      </c>
      <c r="I256">
        <v>1</v>
      </c>
      <c r="J256" s="46">
        <v>260</v>
      </c>
      <c r="K256" s="50" t="s">
        <v>222</v>
      </c>
      <c r="L256" s="46"/>
      <c r="M256" s="46"/>
    </row>
    <row r="257" spans="2:13" ht="15" customHeight="1" x14ac:dyDescent="0.25">
      <c r="B257" s="5">
        <v>44600</v>
      </c>
      <c r="C257" s="5" t="s">
        <v>177</v>
      </c>
      <c r="D257" s="35">
        <v>2022</v>
      </c>
      <c r="E257" t="s">
        <v>11</v>
      </c>
      <c r="F257" t="s">
        <v>44</v>
      </c>
      <c r="G257" t="s">
        <v>249</v>
      </c>
      <c r="H257" s="92" t="s">
        <v>972</v>
      </c>
      <c r="I257">
        <v>1</v>
      </c>
      <c r="J257" s="46">
        <v>1080</v>
      </c>
      <c r="K257" s="50" t="s">
        <v>222</v>
      </c>
      <c r="L257" s="46"/>
      <c r="M257" s="46"/>
    </row>
    <row r="258" spans="2:13" ht="15" customHeight="1" x14ac:dyDescent="0.25">
      <c r="B258" s="5">
        <v>44600</v>
      </c>
      <c r="C258" s="5" t="s">
        <v>177</v>
      </c>
      <c r="D258" s="35">
        <v>2022</v>
      </c>
      <c r="E258" t="s">
        <v>11</v>
      </c>
      <c r="F258" t="s">
        <v>205</v>
      </c>
      <c r="G258" t="s">
        <v>45</v>
      </c>
      <c r="H258" s="92" t="s">
        <v>965</v>
      </c>
      <c r="I258">
        <v>1</v>
      </c>
      <c r="J258" s="46">
        <v>1390</v>
      </c>
      <c r="K258" s="50" t="s">
        <v>222</v>
      </c>
      <c r="L258" s="46"/>
      <c r="M258" s="46"/>
    </row>
    <row r="259" spans="2:13" ht="15" customHeight="1" x14ac:dyDescent="0.25">
      <c r="B259" s="5">
        <v>44600</v>
      </c>
      <c r="C259" s="5" t="s">
        <v>177</v>
      </c>
      <c r="D259" s="35">
        <v>2022</v>
      </c>
      <c r="E259" t="s">
        <v>111</v>
      </c>
      <c r="F259" t="s">
        <v>212</v>
      </c>
      <c r="G259" t="s">
        <v>120</v>
      </c>
      <c r="H259" s="24" t="s">
        <v>968</v>
      </c>
      <c r="I259">
        <v>1</v>
      </c>
      <c r="J259" s="46">
        <v>4350</v>
      </c>
      <c r="K259" s="50" t="s">
        <v>222</v>
      </c>
      <c r="L259" s="46"/>
      <c r="M259" s="46"/>
    </row>
    <row r="260" spans="2:13" ht="15" customHeight="1" x14ac:dyDescent="0.25">
      <c r="B260" s="5">
        <v>44600</v>
      </c>
      <c r="C260" s="5" t="s">
        <v>177</v>
      </c>
      <c r="D260" s="35">
        <v>2022</v>
      </c>
      <c r="E260" t="s">
        <v>111</v>
      </c>
      <c r="F260" t="s">
        <v>251</v>
      </c>
      <c r="G260" t="s">
        <v>254</v>
      </c>
      <c r="H260" s="92" t="s">
        <v>977</v>
      </c>
      <c r="I260">
        <v>1</v>
      </c>
      <c r="J260" s="46">
        <v>1280</v>
      </c>
      <c r="K260" s="50" t="s">
        <v>222</v>
      </c>
      <c r="L260" s="46"/>
      <c r="M260" s="46"/>
    </row>
    <row r="261" spans="2:13" ht="15" customHeight="1" x14ac:dyDescent="0.25">
      <c r="B261" s="5">
        <v>44600</v>
      </c>
      <c r="C261" s="5" t="s">
        <v>177</v>
      </c>
      <c r="D261" s="35">
        <v>2022</v>
      </c>
      <c r="E261" t="s">
        <v>111</v>
      </c>
      <c r="F261" t="s">
        <v>251</v>
      </c>
      <c r="G261" t="s">
        <v>255</v>
      </c>
      <c r="H261" s="92" t="s">
        <v>977</v>
      </c>
      <c r="I261">
        <v>1</v>
      </c>
      <c r="J261" s="46">
        <v>1280</v>
      </c>
      <c r="K261" s="50" t="s">
        <v>222</v>
      </c>
      <c r="L261" s="46"/>
      <c r="M261" s="46"/>
    </row>
    <row r="262" spans="2:13" ht="15" customHeight="1" x14ac:dyDescent="0.25">
      <c r="B262" s="5">
        <v>44600</v>
      </c>
      <c r="C262" s="5" t="s">
        <v>177</v>
      </c>
      <c r="D262" s="35">
        <v>2022</v>
      </c>
      <c r="E262" t="s">
        <v>111</v>
      </c>
      <c r="F262" t="s">
        <v>251</v>
      </c>
      <c r="G262" t="s">
        <v>256</v>
      </c>
      <c r="H262" s="92" t="s">
        <v>977</v>
      </c>
      <c r="I262">
        <v>1</v>
      </c>
      <c r="J262" s="46">
        <v>1280</v>
      </c>
      <c r="K262" s="50" t="s">
        <v>222</v>
      </c>
      <c r="L262" s="46"/>
      <c r="M262" s="46"/>
    </row>
    <row r="263" spans="2:13" ht="15" customHeight="1" x14ac:dyDescent="0.25">
      <c r="B263" s="5">
        <v>44600</v>
      </c>
      <c r="C263" s="5" t="s">
        <v>177</v>
      </c>
      <c r="D263" s="35">
        <v>2022</v>
      </c>
      <c r="E263" t="s">
        <v>111</v>
      </c>
      <c r="F263" t="s">
        <v>89</v>
      </c>
      <c r="G263" t="s">
        <v>195</v>
      </c>
      <c r="H263" s="92" t="s">
        <v>977</v>
      </c>
      <c r="I263">
        <v>1</v>
      </c>
      <c r="J263" s="46">
        <v>3260</v>
      </c>
      <c r="K263" s="50" t="s">
        <v>222</v>
      </c>
      <c r="L263" s="46"/>
      <c r="M263" s="46"/>
    </row>
    <row r="264" spans="2:13" ht="15" customHeight="1" x14ac:dyDescent="0.25">
      <c r="B264" s="5">
        <v>44600</v>
      </c>
      <c r="C264" s="5" t="s">
        <v>177</v>
      </c>
      <c r="D264" s="35">
        <v>2022</v>
      </c>
      <c r="E264" t="s">
        <v>111</v>
      </c>
      <c r="F264" t="s">
        <v>252</v>
      </c>
      <c r="G264" t="s">
        <v>257</v>
      </c>
      <c r="H264" s="24" t="s">
        <v>976</v>
      </c>
      <c r="I264">
        <v>2</v>
      </c>
      <c r="J264" s="46">
        <v>2700</v>
      </c>
      <c r="K264" s="50" t="s">
        <v>222</v>
      </c>
      <c r="L264" s="46"/>
      <c r="M264" s="46"/>
    </row>
    <row r="265" spans="2:13" ht="15" customHeight="1" x14ac:dyDescent="0.25">
      <c r="B265" s="5">
        <v>44600</v>
      </c>
      <c r="C265" s="5" t="s">
        <v>177</v>
      </c>
      <c r="D265" s="35">
        <v>2022</v>
      </c>
      <c r="E265" t="s">
        <v>111</v>
      </c>
      <c r="F265" t="s">
        <v>253</v>
      </c>
      <c r="G265" t="s">
        <v>58</v>
      </c>
      <c r="H265" s="92" t="s">
        <v>969</v>
      </c>
      <c r="I265">
        <v>1</v>
      </c>
      <c r="J265" s="46">
        <v>2450</v>
      </c>
      <c r="K265" s="50" t="s">
        <v>222</v>
      </c>
      <c r="L265" s="46"/>
      <c r="M265" s="46"/>
    </row>
    <row r="266" spans="2:13" ht="15" customHeight="1" x14ac:dyDescent="0.25">
      <c r="B266" s="5">
        <v>44600</v>
      </c>
      <c r="C266" s="5" t="s">
        <v>177</v>
      </c>
      <c r="D266" s="35">
        <v>2022</v>
      </c>
      <c r="E266" t="s">
        <v>16</v>
      </c>
      <c r="F266" t="s">
        <v>258</v>
      </c>
      <c r="G266" t="s">
        <v>96</v>
      </c>
      <c r="H266" s="92" t="s">
        <v>967</v>
      </c>
      <c r="I266">
        <v>20</v>
      </c>
      <c r="J266" s="46">
        <v>47000</v>
      </c>
      <c r="K266" s="50" t="s">
        <v>222</v>
      </c>
      <c r="L266" s="46"/>
      <c r="M266" s="46"/>
    </row>
    <row r="267" spans="2:13" ht="15" customHeight="1" x14ac:dyDescent="0.25">
      <c r="B267" s="5">
        <v>44600</v>
      </c>
      <c r="C267" s="5" t="s">
        <v>177</v>
      </c>
      <c r="D267" s="35">
        <v>2022</v>
      </c>
      <c r="E267" t="s">
        <v>16</v>
      </c>
      <c r="F267" t="s">
        <v>251</v>
      </c>
      <c r="G267" t="s">
        <v>58</v>
      </c>
      <c r="H267" s="92" t="s">
        <v>969</v>
      </c>
      <c r="I267">
        <v>10</v>
      </c>
      <c r="J267" s="46">
        <v>24500</v>
      </c>
      <c r="K267" s="50" t="s">
        <v>222</v>
      </c>
      <c r="L267" s="46"/>
      <c r="M267" s="46"/>
    </row>
    <row r="268" spans="2:13" ht="15" customHeight="1" x14ac:dyDescent="0.25">
      <c r="B268" s="5">
        <v>44601</v>
      </c>
      <c r="C268" s="5" t="s">
        <v>177</v>
      </c>
      <c r="D268" s="35">
        <v>2022</v>
      </c>
      <c r="E268" t="s">
        <v>22</v>
      </c>
      <c r="F268" t="s">
        <v>260</v>
      </c>
      <c r="G268" t="s">
        <v>125</v>
      </c>
      <c r="H268" s="92" t="s">
        <v>971</v>
      </c>
      <c r="I268">
        <v>1</v>
      </c>
      <c r="J268" s="46">
        <v>510</v>
      </c>
      <c r="K268" s="50" t="s">
        <v>222</v>
      </c>
      <c r="L268" s="46"/>
      <c r="M268" s="46"/>
    </row>
    <row r="269" spans="2:13" ht="15" customHeight="1" x14ac:dyDescent="0.25">
      <c r="B269" s="5">
        <v>44601</v>
      </c>
      <c r="C269" s="5" t="s">
        <v>177</v>
      </c>
      <c r="D269" s="35">
        <v>2022</v>
      </c>
      <c r="E269" t="s">
        <v>22</v>
      </c>
      <c r="F269" t="s">
        <v>133</v>
      </c>
      <c r="G269" t="s">
        <v>264</v>
      </c>
      <c r="H269" s="24" t="s">
        <v>976</v>
      </c>
      <c r="I269">
        <v>1</v>
      </c>
      <c r="J269" s="46">
        <v>3580</v>
      </c>
      <c r="K269" s="50" t="s">
        <v>222</v>
      </c>
      <c r="L269" s="46"/>
      <c r="M269" s="46"/>
    </row>
    <row r="270" spans="2:13" ht="15" customHeight="1" x14ac:dyDescent="0.25">
      <c r="B270" s="5">
        <v>44601</v>
      </c>
      <c r="C270" s="5" t="s">
        <v>177</v>
      </c>
      <c r="D270" s="35">
        <v>2022</v>
      </c>
      <c r="E270" t="s">
        <v>22</v>
      </c>
      <c r="F270" t="s">
        <v>261</v>
      </c>
      <c r="G270" t="s">
        <v>50</v>
      </c>
      <c r="H270" s="92" t="s">
        <v>969</v>
      </c>
      <c r="I270">
        <v>1</v>
      </c>
      <c r="J270" s="46">
        <v>2500</v>
      </c>
      <c r="K270" s="50" t="s">
        <v>222</v>
      </c>
      <c r="L270" s="46"/>
      <c r="M270" s="46"/>
    </row>
    <row r="271" spans="2:13" ht="15" customHeight="1" x14ac:dyDescent="0.25">
      <c r="B271" s="5">
        <v>44601</v>
      </c>
      <c r="C271" s="5" t="s">
        <v>177</v>
      </c>
      <c r="D271" s="35">
        <v>2022</v>
      </c>
      <c r="E271" t="s">
        <v>22</v>
      </c>
      <c r="F271" t="s">
        <v>262</v>
      </c>
      <c r="G271" t="s">
        <v>265</v>
      </c>
      <c r="H271" s="24" t="s">
        <v>976</v>
      </c>
      <c r="I271">
        <v>1</v>
      </c>
      <c r="J271" s="46">
        <v>1000</v>
      </c>
      <c r="K271" s="50" t="s">
        <v>222</v>
      </c>
      <c r="L271" s="46"/>
      <c r="M271" s="46"/>
    </row>
    <row r="272" spans="2:13" ht="15" customHeight="1" x14ac:dyDescent="0.25">
      <c r="B272" s="5">
        <v>44601</v>
      </c>
      <c r="C272" s="5" t="s">
        <v>177</v>
      </c>
      <c r="D272" s="35">
        <v>2022</v>
      </c>
      <c r="E272" t="s">
        <v>22</v>
      </c>
      <c r="F272" t="s">
        <v>132</v>
      </c>
      <c r="G272" t="s">
        <v>123</v>
      </c>
      <c r="H272" s="92" t="s">
        <v>966</v>
      </c>
      <c r="I272">
        <v>1</v>
      </c>
      <c r="J272" s="46">
        <v>1720</v>
      </c>
      <c r="K272" s="50" t="s">
        <v>222</v>
      </c>
      <c r="L272" s="46"/>
      <c r="M272" s="46"/>
    </row>
    <row r="273" spans="2:13" ht="15" customHeight="1" x14ac:dyDescent="0.25">
      <c r="B273" s="5">
        <v>44601</v>
      </c>
      <c r="C273" s="5" t="s">
        <v>177</v>
      </c>
      <c r="D273" s="35">
        <v>2022</v>
      </c>
      <c r="E273" t="s">
        <v>22</v>
      </c>
      <c r="F273" t="s">
        <v>132</v>
      </c>
      <c r="G273" t="s">
        <v>380</v>
      </c>
      <c r="H273" s="92" t="s">
        <v>972</v>
      </c>
      <c r="I273">
        <v>1</v>
      </c>
      <c r="J273" s="46">
        <v>600</v>
      </c>
      <c r="K273" s="50" t="s">
        <v>222</v>
      </c>
      <c r="L273" s="46"/>
      <c r="M273" s="46"/>
    </row>
    <row r="274" spans="2:13" ht="15" customHeight="1" x14ac:dyDescent="0.25">
      <c r="B274" s="5">
        <v>44601</v>
      </c>
      <c r="C274" s="5" t="s">
        <v>177</v>
      </c>
      <c r="D274" s="35">
        <v>2022</v>
      </c>
      <c r="E274" t="s">
        <v>22</v>
      </c>
      <c r="F274" t="s">
        <v>263</v>
      </c>
      <c r="G274" t="s">
        <v>265</v>
      </c>
      <c r="H274" s="24" t="s">
        <v>976</v>
      </c>
      <c r="I274">
        <v>1</v>
      </c>
      <c r="J274" s="46">
        <v>1000</v>
      </c>
      <c r="K274" s="50" t="s">
        <v>222</v>
      </c>
      <c r="L274" s="46"/>
      <c r="M274" s="46"/>
    </row>
    <row r="275" spans="2:13" ht="15" customHeight="1" x14ac:dyDescent="0.25">
      <c r="B275" s="5">
        <v>44601</v>
      </c>
      <c r="C275" s="5" t="s">
        <v>177</v>
      </c>
      <c r="D275" s="35">
        <v>2022</v>
      </c>
      <c r="E275" t="s">
        <v>1</v>
      </c>
      <c r="F275" t="s">
        <v>187</v>
      </c>
      <c r="G275" t="s">
        <v>45</v>
      </c>
      <c r="H275" s="92" t="s">
        <v>965</v>
      </c>
      <c r="I275">
        <v>5</v>
      </c>
      <c r="J275" s="46">
        <v>6950</v>
      </c>
      <c r="K275" s="50" t="s">
        <v>222</v>
      </c>
      <c r="L275" s="46"/>
      <c r="M275" s="46"/>
    </row>
    <row r="276" spans="2:13" ht="15" customHeight="1" x14ac:dyDescent="0.25">
      <c r="B276" s="5">
        <v>44601</v>
      </c>
      <c r="C276" s="5" t="s">
        <v>177</v>
      </c>
      <c r="D276" s="35">
        <v>2022</v>
      </c>
      <c r="E276" t="s">
        <v>1</v>
      </c>
      <c r="F276" t="s">
        <v>187</v>
      </c>
      <c r="G276" t="s">
        <v>126</v>
      </c>
      <c r="H276" s="92" t="s">
        <v>965</v>
      </c>
      <c r="I276">
        <v>1</v>
      </c>
      <c r="J276" s="46">
        <v>1410</v>
      </c>
      <c r="K276" s="50" t="s">
        <v>222</v>
      </c>
      <c r="L276" s="46"/>
      <c r="M276" s="46"/>
    </row>
    <row r="277" spans="2:13" ht="15" customHeight="1" x14ac:dyDescent="0.25">
      <c r="B277" s="5">
        <v>44601</v>
      </c>
      <c r="C277" s="5" t="s">
        <v>177</v>
      </c>
      <c r="D277" s="35">
        <v>2022</v>
      </c>
      <c r="E277" t="s">
        <v>1</v>
      </c>
      <c r="F277" t="s">
        <v>266</v>
      </c>
      <c r="G277" t="s">
        <v>269</v>
      </c>
      <c r="H277" s="92" t="s">
        <v>983</v>
      </c>
      <c r="I277">
        <v>1</v>
      </c>
      <c r="J277" s="46">
        <v>290</v>
      </c>
      <c r="K277" s="50" t="s">
        <v>222</v>
      </c>
      <c r="L277" s="46"/>
      <c r="M277" s="46"/>
    </row>
    <row r="278" spans="2:13" ht="15" customHeight="1" x14ac:dyDescent="0.25">
      <c r="B278" s="5">
        <v>44601</v>
      </c>
      <c r="C278" s="5" t="s">
        <v>177</v>
      </c>
      <c r="D278" s="35">
        <v>2022</v>
      </c>
      <c r="E278" t="s">
        <v>1</v>
      </c>
      <c r="F278" t="s">
        <v>266</v>
      </c>
      <c r="G278" t="s">
        <v>53</v>
      </c>
      <c r="H278" s="92" t="s">
        <v>984</v>
      </c>
      <c r="I278">
        <v>1</v>
      </c>
      <c r="J278" s="46">
        <v>950</v>
      </c>
      <c r="K278" s="50" t="s">
        <v>222</v>
      </c>
      <c r="L278" s="46"/>
      <c r="M278" s="46"/>
    </row>
    <row r="279" spans="2:13" ht="15" customHeight="1" x14ac:dyDescent="0.25">
      <c r="B279" s="5">
        <v>44601</v>
      </c>
      <c r="C279" s="5" t="s">
        <v>177</v>
      </c>
      <c r="D279" s="35">
        <v>2022</v>
      </c>
      <c r="E279" t="s">
        <v>1</v>
      </c>
      <c r="F279" t="s">
        <v>241</v>
      </c>
      <c r="G279" t="s">
        <v>120</v>
      </c>
      <c r="H279" s="24" t="s">
        <v>968</v>
      </c>
      <c r="I279">
        <v>5</v>
      </c>
      <c r="J279" s="46">
        <v>21750</v>
      </c>
      <c r="K279" s="50" t="s">
        <v>222</v>
      </c>
      <c r="L279" s="46"/>
      <c r="M279" s="46"/>
    </row>
    <row r="280" spans="2:13" ht="15" customHeight="1" x14ac:dyDescent="0.25">
      <c r="B280" s="5">
        <v>44601</v>
      </c>
      <c r="C280" s="5" t="s">
        <v>177</v>
      </c>
      <c r="D280" s="35">
        <v>2022</v>
      </c>
      <c r="E280" t="s">
        <v>1</v>
      </c>
      <c r="F280" t="s">
        <v>138</v>
      </c>
      <c r="G280" t="s">
        <v>123</v>
      </c>
      <c r="H280" s="92" t="s">
        <v>966</v>
      </c>
      <c r="I280">
        <v>2</v>
      </c>
      <c r="J280" s="46">
        <v>3440</v>
      </c>
      <c r="K280" s="50" t="s">
        <v>222</v>
      </c>
      <c r="L280" s="46"/>
      <c r="M280" s="46"/>
    </row>
    <row r="281" spans="2:13" ht="15" customHeight="1" x14ac:dyDescent="0.25">
      <c r="B281" s="5">
        <v>44601</v>
      </c>
      <c r="C281" s="5" t="s">
        <v>177</v>
      </c>
      <c r="D281" s="35">
        <v>2022</v>
      </c>
      <c r="E281" t="s">
        <v>1</v>
      </c>
      <c r="F281" t="s">
        <v>267</v>
      </c>
      <c r="G281" t="s">
        <v>121</v>
      </c>
      <c r="H281" s="92" t="s">
        <v>982</v>
      </c>
      <c r="I281">
        <v>1</v>
      </c>
      <c r="J281" s="46">
        <v>230</v>
      </c>
      <c r="K281" s="50" t="s">
        <v>222</v>
      </c>
      <c r="L281" s="46"/>
      <c r="M281" s="46"/>
    </row>
    <row r="282" spans="2:13" ht="15" customHeight="1" x14ac:dyDescent="0.25">
      <c r="B282" s="5">
        <v>44601</v>
      </c>
      <c r="C282" s="5" t="s">
        <v>177</v>
      </c>
      <c r="D282" s="35">
        <v>2022</v>
      </c>
      <c r="E282" t="s">
        <v>1</v>
      </c>
      <c r="F282" t="s">
        <v>267</v>
      </c>
      <c r="G282" t="s">
        <v>269</v>
      </c>
      <c r="H282" s="92" t="s">
        <v>983</v>
      </c>
      <c r="I282">
        <v>1</v>
      </c>
      <c r="J282" s="46">
        <v>290</v>
      </c>
      <c r="K282" s="50" t="s">
        <v>222</v>
      </c>
      <c r="L282" s="46"/>
      <c r="M282" s="46"/>
    </row>
    <row r="283" spans="2:13" ht="15" customHeight="1" x14ac:dyDescent="0.25">
      <c r="B283" s="5">
        <v>44601</v>
      </c>
      <c r="C283" s="5" t="s">
        <v>177</v>
      </c>
      <c r="D283" s="35">
        <v>2022</v>
      </c>
      <c r="E283" t="s">
        <v>1</v>
      </c>
      <c r="F283" t="s">
        <v>268</v>
      </c>
      <c r="G283" t="s">
        <v>47</v>
      </c>
      <c r="H283" s="92" t="s">
        <v>972</v>
      </c>
      <c r="I283">
        <v>1</v>
      </c>
      <c r="J283" s="46">
        <v>600</v>
      </c>
      <c r="K283" s="50" t="s">
        <v>222</v>
      </c>
      <c r="L283" s="46"/>
      <c r="M283" s="46"/>
    </row>
    <row r="284" spans="2:13" ht="15" customHeight="1" x14ac:dyDescent="0.25">
      <c r="B284" s="5">
        <v>44601</v>
      </c>
      <c r="C284" s="5" t="s">
        <v>177</v>
      </c>
      <c r="D284" s="35">
        <v>2022</v>
      </c>
      <c r="E284" t="s">
        <v>1</v>
      </c>
      <c r="F284" t="s">
        <v>268</v>
      </c>
      <c r="G284" t="s">
        <v>53</v>
      </c>
      <c r="H284" s="92" t="s">
        <v>984</v>
      </c>
      <c r="I284">
        <v>1</v>
      </c>
      <c r="J284" s="46">
        <v>950</v>
      </c>
      <c r="K284" s="50" t="s">
        <v>222</v>
      </c>
      <c r="L284" s="46"/>
      <c r="M284" s="46"/>
    </row>
    <row r="285" spans="2:13" ht="15" customHeight="1" x14ac:dyDescent="0.25">
      <c r="B285" s="5">
        <v>44601</v>
      </c>
      <c r="C285" s="5" t="s">
        <v>177</v>
      </c>
      <c r="D285" s="35">
        <v>2022</v>
      </c>
      <c r="E285" t="s">
        <v>1</v>
      </c>
      <c r="F285" t="s">
        <v>268</v>
      </c>
      <c r="G285" t="s">
        <v>124</v>
      </c>
      <c r="H285" s="92" t="s">
        <v>982</v>
      </c>
      <c r="I285">
        <v>1</v>
      </c>
      <c r="J285" s="46">
        <v>620</v>
      </c>
      <c r="K285" s="50" t="s">
        <v>222</v>
      </c>
      <c r="L285" s="46"/>
      <c r="M285" s="46"/>
    </row>
    <row r="286" spans="2:13" ht="15" customHeight="1" x14ac:dyDescent="0.25">
      <c r="B286" s="5">
        <v>44601</v>
      </c>
      <c r="C286" s="5" t="s">
        <v>177</v>
      </c>
      <c r="D286" s="35">
        <v>2022</v>
      </c>
      <c r="E286" t="s">
        <v>1</v>
      </c>
      <c r="F286" t="s">
        <v>268</v>
      </c>
      <c r="G286" t="s">
        <v>55</v>
      </c>
      <c r="H286" s="92" t="s">
        <v>965</v>
      </c>
      <c r="I286">
        <v>1</v>
      </c>
      <c r="J286" s="46">
        <v>1395</v>
      </c>
      <c r="K286" s="50" t="s">
        <v>222</v>
      </c>
      <c r="L286" s="46"/>
      <c r="M286" s="46"/>
    </row>
    <row r="287" spans="2:13" ht="15" customHeight="1" x14ac:dyDescent="0.25">
      <c r="B287" s="5">
        <v>44601</v>
      </c>
      <c r="C287" s="5" t="s">
        <v>177</v>
      </c>
      <c r="D287" s="35">
        <v>2022</v>
      </c>
      <c r="E287" t="s">
        <v>1</v>
      </c>
      <c r="F287" t="s">
        <v>268</v>
      </c>
      <c r="G287" t="s">
        <v>45</v>
      </c>
      <c r="H287" s="92" t="s">
        <v>965</v>
      </c>
      <c r="I287">
        <v>1</v>
      </c>
      <c r="J287" s="46">
        <v>1390</v>
      </c>
      <c r="K287" s="50" t="s">
        <v>222</v>
      </c>
      <c r="L287" s="46"/>
      <c r="M287" s="46"/>
    </row>
    <row r="288" spans="2:13" ht="15" customHeight="1" x14ac:dyDescent="0.25">
      <c r="B288" s="5">
        <v>44601</v>
      </c>
      <c r="C288" s="5" t="s">
        <v>177</v>
      </c>
      <c r="D288" s="35">
        <v>2022</v>
      </c>
      <c r="E288" t="s">
        <v>1</v>
      </c>
      <c r="F288" t="s">
        <v>268</v>
      </c>
      <c r="G288" t="s">
        <v>121</v>
      </c>
      <c r="H288" s="92" t="s">
        <v>982</v>
      </c>
      <c r="I288">
        <v>1</v>
      </c>
      <c r="J288" s="46">
        <v>230</v>
      </c>
      <c r="K288" s="50" t="s">
        <v>222</v>
      </c>
      <c r="L288" s="46"/>
      <c r="M288" s="46"/>
    </row>
    <row r="289" spans="2:13" ht="15" customHeight="1" x14ac:dyDescent="0.25">
      <c r="B289" s="5">
        <v>44601</v>
      </c>
      <c r="C289" s="5" t="s">
        <v>177</v>
      </c>
      <c r="D289" s="35">
        <v>2022</v>
      </c>
      <c r="E289" t="s">
        <v>1</v>
      </c>
      <c r="F289" t="s">
        <v>137</v>
      </c>
      <c r="G289" t="s">
        <v>50</v>
      </c>
      <c r="H289" s="92" t="s">
        <v>969</v>
      </c>
      <c r="I289">
        <v>1</v>
      </c>
      <c r="J289" s="46">
        <v>2500</v>
      </c>
      <c r="K289" s="50" t="s">
        <v>222</v>
      </c>
      <c r="L289" s="46"/>
      <c r="M289" s="46"/>
    </row>
    <row r="290" spans="2:13" ht="15" customHeight="1" x14ac:dyDescent="0.25">
      <c r="B290" s="5">
        <v>44601</v>
      </c>
      <c r="C290" s="5" t="s">
        <v>177</v>
      </c>
      <c r="D290" s="35">
        <v>2022</v>
      </c>
      <c r="E290" t="s">
        <v>1</v>
      </c>
      <c r="F290" t="s">
        <v>137</v>
      </c>
      <c r="G290" s="24" t="s">
        <v>192</v>
      </c>
      <c r="H290" s="24" t="s">
        <v>976</v>
      </c>
      <c r="I290">
        <v>1</v>
      </c>
      <c r="J290" s="46">
        <v>1350</v>
      </c>
      <c r="K290" s="50" t="s">
        <v>222</v>
      </c>
      <c r="L290" s="46"/>
      <c r="M290" s="46"/>
    </row>
    <row r="291" spans="2:13" ht="15" customHeight="1" x14ac:dyDescent="0.25">
      <c r="B291" s="5">
        <v>44601</v>
      </c>
      <c r="C291" s="5" t="s">
        <v>177</v>
      </c>
      <c r="D291" s="35">
        <v>2022</v>
      </c>
      <c r="E291" t="s">
        <v>1</v>
      </c>
      <c r="F291" t="s">
        <v>137</v>
      </c>
      <c r="G291" t="s">
        <v>195</v>
      </c>
      <c r="H291" s="92" t="s">
        <v>977</v>
      </c>
      <c r="I291">
        <v>1</v>
      </c>
      <c r="J291" s="46">
        <v>3260</v>
      </c>
      <c r="K291" s="50" t="s">
        <v>222</v>
      </c>
      <c r="L291" s="46"/>
      <c r="M291" s="46"/>
    </row>
    <row r="292" spans="2:13" ht="15" customHeight="1" x14ac:dyDescent="0.25">
      <c r="B292" s="5">
        <v>44601</v>
      </c>
      <c r="C292" s="5" t="s">
        <v>177</v>
      </c>
      <c r="D292" s="35">
        <v>2022</v>
      </c>
      <c r="E292" t="s">
        <v>19</v>
      </c>
      <c r="F292" t="s">
        <v>270</v>
      </c>
      <c r="G292" t="s">
        <v>364</v>
      </c>
      <c r="H292" s="92" t="s">
        <v>972</v>
      </c>
      <c r="I292">
        <v>4</v>
      </c>
      <c r="J292" s="46">
        <v>2400</v>
      </c>
      <c r="K292" s="50" t="s">
        <v>222</v>
      </c>
      <c r="L292" s="46"/>
      <c r="M292" s="46"/>
    </row>
    <row r="293" spans="2:13" ht="15" customHeight="1" x14ac:dyDescent="0.25">
      <c r="B293" s="5">
        <v>44601</v>
      </c>
      <c r="C293" s="5" t="s">
        <v>177</v>
      </c>
      <c r="D293" s="35">
        <v>2022</v>
      </c>
      <c r="E293" t="s">
        <v>19</v>
      </c>
      <c r="F293" t="s">
        <v>1123</v>
      </c>
      <c r="G293" t="s">
        <v>128</v>
      </c>
      <c r="H293" s="92" t="s">
        <v>965</v>
      </c>
      <c r="I293">
        <v>1</v>
      </c>
      <c r="J293" s="46">
        <v>1240</v>
      </c>
      <c r="K293" s="50" t="s">
        <v>222</v>
      </c>
      <c r="L293" s="46"/>
      <c r="M293" s="46"/>
    </row>
    <row r="294" spans="2:13" ht="15" customHeight="1" x14ac:dyDescent="0.25">
      <c r="B294" s="5">
        <v>44601</v>
      </c>
      <c r="C294" s="5" t="s">
        <v>177</v>
      </c>
      <c r="D294" s="35">
        <v>2022</v>
      </c>
      <c r="E294" t="s">
        <v>19</v>
      </c>
      <c r="F294" t="s">
        <v>1123</v>
      </c>
      <c r="G294" t="s">
        <v>257</v>
      </c>
      <c r="H294" s="24" t="s">
        <v>976</v>
      </c>
      <c r="I294">
        <v>1</v>
      </c>
      <c r="J294" s="46">
        <v>1350</v>
      </c>
      <c r="K294" s="50" t="s">
        <v>222</v>
      </c>
      <c r="L294" s="46"/>
      <c r="M294" s="46"/>
    </row>
    <row r="295" spans="2:13" ht="15" customHeight="1" x14ac:dyDescent="0.25">
      <c r="B295" s="5">
        <v>44601</v>
      </c>
      <c r="C295" s="5" t="s">
        <v>177</v>
      </c>
      <c r="D295" s="35">
        <v>2022</v>
      </c>
      <c r="E295" t="s">
        <v>19</v>
      </c>
      <c r="F295" t="s">
        <v>1123</v>
      </c>
      <c r="G295" s="24" t="s">
        <v>192</v>
      </c>
      <c r="H295" s="24" t="s">
        <v>976</v>
      </c>
      <c r="I295">
        <v>1</v>
      </c>
      <c r="J295" s="46">
        <v>1370</v>
      </c>
      <c r="K295" s="50" t="s">
        <v>222</v>
      </c>
      <c r="L295" s="46"/>
      <c r="M295" s="46"/>
    </row>
    <row r="296" spans="2:13" ht="15" customHeight="1" x14ac:dyDescent="0.25">
      <c r="B296" s="5">
        <v>44601</v>
      </c>
      <c r="C296" s="5" t="s">
        <v>177</v>
      </c>
      <c r="D296" s="35">
        <v>2022</v>
      </c>
      <c r="E296" t="s">
        <v>19</v>
      </c>
      <c r="F296" t="s">
        <v>271</v>
      </c>
      <c r="G296" t="s">
        <v>274</v>
      </c>
      <c r="H296" s="92" t="s">
        <v>966</v>
      </c>
      <c r="I296">
        <v>1</v>
      </c>
      <c r="J296" s="46">
        <v>1760</v>
      </c>
      <c r="K296" s="50" t="s">
        <v>222</v>
      </c>
      <c r="L296" s="46"/>
      <c r="M296" s="46"/>
    </row>
    <row r="297" spans="2:13" ht="15" customHeight="1" x14ac:dyDescent="0.25">
      <c r="B297" s="5">
        <v>44601</v>
      </c>
      <c r="C297" s="5" t="s">
        <v>177</v>
      </c>
      <c r="D297" s="35">
        <v>2022</v>
      </c>
      <c r="E297" t="s">
        <v>19</v>
      </c>
      <c r="F297" t="s">
        <v>271</v>
      </c>
      <c r="G297" t="s">
        <v>58</v>
      </c>
      <c r="H297" s="92" t="s">
        <v>969</v>
      </c>
      <c r="I297">
        <v>1</v>
      </c>
      <c r="J297" s="46">
        <v>2500</v>
      </c>
      <c r="K297" s="50" t="s">
        <v>222</v>
      </c>
      <c r="L297" s="46"/>
      <c r="M297" s="46"/>
    </row>
    <row r="298" spans="2:13" ht="15" customHeight="1" x14ac:dyDescent="0.25">
      <c r="B298" s="5">
        <v>44601</v>
      </c>
      <c r="C298" s="5" t="s">
        <v>177</v>
      </c>
      <c r="D298" s="35">
        <v>2022</v>
      </c>
      <c r="E298" t="s">
        <v>19</v>
      </c>
      <c r="F298" t="s">
        <v>272</v>
      </c>
      <c r="G298" t="s">
        <v>47</v>
      </c>
      <c r="H298" s="92" t="s">
        <v>972</v>
      </c>
      <c r="I298">
        <v>2</v>
      </c>
      <c r="J298" s="46">
        <v>1200</v>
      </c>
      <c r="K298" s="50" t="s">
        <v>222</v>
      </c>
      <c r="L298" s="46"/>
      <c r="M298" s="46"/>
    </row>
    <row r="299" spans="2:13" ht="15" customHeight="1" x14ac:dyDescent="0.25">
      <c r="B299" s="5">
        <v>44601</v>
      </c>
      <c r="C299" s="5" t="s">
        <v>177</v>
      </c>
      <c r="D299" s="35">
        <v>2022</v>
      </c>
      <c r="E299" t="s">
        <v>19</v>
      </c>
      <c r="F299" t="s">
        <v>142</v>
      </c>
      <c r="G299" t="s">
        <v>55</v>
      </c>
      <c r="H299" s="92" t="s">
        <v>965</v>
      </c>
      <c r="I299">
        <v>1</v>
      </c>
      <c r="J299" s="46">
        <v>1390</v>
      </c>
      <c r="K299" s="50" t="s">
        <v>222</v>
      </c>
      <c r="L299" s="46"/>
      <c r="M299" s="46"/>
    </row>
    <row r="300" spans="2:13" ht="15" customHeight="1" x14ac:dyDescent="0.25">
      <c r="B300" s="5">
        <v>44601</v>
      </c>
      <c r="C300" s="5" t="s">
        <v>177</v>
      </c>
      <c r="D300" s="35">
        <v>2022</v>
      </c>
      <c r="E300" t="s">
        <v>19</v>
      </c>
      <c r="F300" t="s">
        <v>273</v>
      </c>
      <c r="G300" s="24" t="s">
        <v>192</v>
      </c>
      <c r="H300" s="24" t="s">
        <v>976</v>
      </c>
      <c r="I300">
        <v>2</v>
      </c>
      <c r="J300" s="46">
        <v>2700</v>
      </c>
      <c r="K300" s="50" t="s">
        <v>222</v>
      </c>
      <c r="L300" s="46"/>
      <c r="M300" s="46"/>
    </row>
    <row r="301" spans="2:13" ht="15" customHeight="1" x14ac:dyDescent="0.25">
      <c r="B301" s="5">
        <v>44601</v>
      </c>
      <c r="C301" s="5" t="s">
        <v>177</v>
      </c>
      <c r="D301" s="35">
        <v>2022</v>
      </c>
      <c r="E301" t="s">
        <v>11</v>
      </c>
      <c r="F301" t="s">
        <v>275</v>
      </c>
      <c r="G301" t="s">
        <v>125</v>
      </c>
      <c r="H301" s="92" t="s">
        <v>971</v>
      </c>
      <c r="I301">
        <v>1</v>
      </c>
      <c r="J301" s="46">
        <v>510</v>
      </c>
      <c r="K301" s="50" t="s">
        <v>222</v>
      </c>
      <c r="L301" s="46"/>
      <c r="M301" s="46"/>
    </row>
    <row r="302" spans="2:13" ht="15" customHeight="1" x14ac:dyDescent="0.25">
      <c r="B302" s="5">
        <v>44601</v>
      </c>
      <c r="C302" s="5" t="s">
        <v>177</v>
      </c>
      <c r="D302" s="35">
        <v>2022</v>
      </c>
      <c r="E302" t="s">
        <v>11</v>
      </c>
      <c r="F302" t="s">
        <v>275</v>
      </c>
      <c r="G302" t="s">
        <v>121</v>
      </c>
      <c r="H302" s="92" t="s">
        <v>982</v>
      </c>
      <c r="I302">
        <v>1</v>
      </c>
      <c r="J302" s="46">
        <v>230</v>
      </c>
      <c r="K302" s="50" t="s">
        <v>222</v>
      </c>
      <c r="L302" s="46"/>
      <c r="M302" s="46"/>
    </row>
    <row r="303" spans="2:13" ht="15" customHeight="1" x14ac:dyDescent="0.25">
      <c r="B303" s="5">
        <v>44601</v>
      </c>
      <c r="C303" s="5" t="s">
        <v>177</v>
      </c>
      <c r="D303" s="35">
        <v>2022</v>
      </c>
      <c r="E303" t="s">
        <v>11</v>
      </c>
      <c r="F303" t="s">
        <v>276</v>
      </c>
      <c r="G303" t="s">
        <v>269</v>
      </c>
      <c r="H303" s="92" t="s">
        <v>983</v>
      </c>
      <c r="I303">
        <v>1</v>
      </c>
      <c r="J303" s="46">
        <v>290</v>
      </c>
      <c r="K303" s="50" t="s">
        <v>222</v>
      </c>
      <c r="L303" s="46"/>
      <c r="M303" s="46"/>
    </row>
    <row r="304" spans="2:13" ht="15" customHeight="1" x14ac:dyDescent="0.25">
      <c r="B304" s="5">
        <v>44601</v>
      </c>
      <c r="C304" s="5" t="s">
        <v>177</v>
      </c>
      <c r="D304" s="35">
        <v>2022</v>
      </c>
      <c r="E304" t="s">
        <v>11</v>
      </c>
      <c r="F304" t="s">
        <v>276</v>
      </c>
      <c r="G304" t="s">
        <v>283</v>
      </c>
      <c r="H304" s="92" t="s">
        <v>983</v>
      </c>
      <c r="I304">
        <v>1</v>
      </c>
      <c r="J304" s="46">
        <v>505</v>
      </c>
      <c r="K304" s="50" t="s">
        <v>222</v>
      </c>
      <c r="L304" s="46"/>
      <c r="M304" s="46"/>
    </row>
    <row r="305" spans="2:13" ht="15" customHeight="1" x14ac:dyDescent="0.25">
      <c r="B305" s="5">
        <v>44601</v>
      </c>
      <c r="C305" s="5" t="s">
        <v>177</v>
      </c>
      <c r="D305" s="35">
        <v>2022</v>
      </c>
      <c r="E305" t="s">
        <v>11</v>
      </c>
      <c r="F305" t="s">
        <v>277</v>
      </c>
      <c r="G305" t="s">
        <v>121</v>
      </c>
      <c r="H305" s="92" t="s">
        <v>982</v>
      </c>
      <c r="I305">
        <v>1</v>
      </c>
      <c r="J305" s="46">
        <v>230</v>
      </c>
      <c r="K305" s="50" t="s">
        <v>222</v>
      </c>
      <c r="L305" s="46"/>
      <c r="M305" s="46"/>
    </row>
    <row r="306" spans="2:13" ht="15" customHeight="1" x14ac:dyDescent="0.25">
      <c r="B306" s="5">
        <v>44601</v>
      </c>
      <c r="C306" s="5" t="s">
        <v>177</v>
      </c>
      <c r="D306" s="35">
        <v>2022</v>
      </c>
      <c r="E306" t="s">
        <v>11</v>
      </c>
      <c r="F306" t="s">
        <v>277</v>
      </c>
      <c r="G306" t="s">
        <v>125</v>
      </c>
      <c r="H306" s="92" t="s">
        <v>971</v>
      </c>
      <c r="I306">
        <v>1</v>
      </c>
      <c r="J306" s="46">
        <v>500</v>
      </c>
      <c r="K306" s="50" t="s">
        <v>222</v>
      </c>
      <c r="L306" s="46"/>
      <c r="M306" s="46"/>
    </row>
    <row r="307" spans="2:13" ht="15" customHeight="1" x14ac:dyDescent="0.25">
      <c r="B307" s="5">
        <v>44601</v>
      </c>
      <c r="C307" s="5" t="s">
        <v>177</v>
      </c>
      <c r="D307" s="35">
        <v>2022</v>
      </c>
      <c r="E307" t="s">
        <v>11</v>
      </c>
      <c r="F307" t="s">
        <v>278</v>
      </c>
      <c r="G307" t="s">
        <v>123</v>
      </c>
      <c r="H307" s="92" t="s">
        <v>966</v>
      </c>
      <c r="I307">
        <v>2</v>
      </c>
      <c r="J307" s="46">
        <v>3440</v>
      </c>
      <c r="K307" s="50" t="s">
        <v>222</v>
      </c>
      <c r="L307" s="46"/>
      <c r="M307" s="46"/>
    </row>
    <row r="308" spans="2:13" ht="15" customHeight="1" x14ac:dyDescent="0.25">
      <c r="B308" s="5">
        <v>44601</v>
      </c>
      <c r="C308" s="5" t="s">
        <v>177</v>
      </c>
      <c r="D308" s="35">
        <v>2022</v>
      </c>
      <c r="E308" t="s">
        <v>11</v>
      </c>
      <c r="F308" t="s">
        <v>279</v>
      </c>
      <c r="G308" t="s">
        <v>53</v>
      </c>
      <c r="H308" s="92" t="s">
        <v>984</v>
      </c>
      <c r="I308">
        <v>1</v>
      </c>
      <c r="J308" s="46">
        <v>960</v>
      </c>
      <c r="K308" s="50" t="s">
        <v>222</v>
      </c>
      <c r="L308" s="46"/>
      <c r="M308" s="46"/>
    </row>
    <row r="309" spans="2:13" ht="15" customHeight="1" x14ac:dyDescent="0.25">
      <c r="B309" s="5">
        <v>44601</v>
      </c>
      <c r="C309" s="5" t="s">
        <v>177</v>
      </c>
      <c r="D309" s="35">
        <v>2022</v>
      </c>
      <c r="E309" t="s">
        <v>11</v>
      </c>
      <c r="F309" t="s">
        <v>44</v>
      </c>
      <c r="G309" t="s">
        <v>193</v>
      </c>
      <c r="H309" s="92" t="s">
        <v>967</v>
      </c>
      <c r="I309">
        <v>1</v>
      </c>
      <c r="J309" s="46">
        <v>2350</v>
      </c>
      <c r="K309" s="50" t="s">
        <v>222</v>
      </c>
      <c r="L309" s="46"/>
      <c r="M309" s="46"/>
    </row>
    <row r="310" spans="2:13" ht="15" customHeight="1" x14ac:dyDescent="0.25">
      <c r="B310" s="5">
        <v>44601</v>
      </c>
      <c r="C310" s="5" t="s">
        <v>177</v>
      </c>
      <c r="D310" s="35">
        <v>2022</v>
      </c>
      <c r="E310" t="s">
        <v>11</v>
      </c>
      <c r="F310" t="s">
        <v>44</v>
      </c>
      <c r="G310" t="s">
        <v>128</v>
      </c>
      <c r="H310" s="92" t="s">
        <v>965</v>
      </c>
      <c r="I310">
        <v>1</v>
      </c>
      <c r="J310" s="46">
        <v>1240</v>
      </c>
      <c r="K310" s="50" t="s">
        <v>222</v>
      </c>
      <c r="L310" s="46"/>
      <c r="M310" s="46"/>
    </row>
    <row r="311" spans="2:13" ht="15" customHeight="1" x14ac:dyDescent="0.25">
      <c r="B311" s="5">
        <v>44601</v>
      </c>
      <c r="C311" s="5" t="s">
        <v>177</v>
      </c>
      <c r="D311" s="35">
        <v>2022</v>
      </c>
      <c r="E311" t="s">
        <v>11</v>
      </c>
      <c r="F311" t="s">
        <v>44</v>
      </c>
      <c r="G311" t="s">
        <v>283</v>
      </c>
      <c r="H311" s="92" t="s">
        <v>983</v>
      </c>
      <c r="I311">
        <v>1</v>
      </c>
      <c r="J311" s="46">
        <v>505</v>
      </c>
      <c r="K311" s="50" t="s">
        <v>222</v>
      </c>
      <c r="L311" s="46"/>
      <c r="M311" s="46"/>
    </row>
    <row r="312" spans="2:13" ht="15" customHeight="1" x14ac:dyDescent="0.25">
      <c r="B312" s="5">
        <v>44601</v>
      </c>
      <c r="C312" s="5" t="s">
        <v>177</v>
      </c>
      <c r="D312" s="35">
        <v>2022</v>
      </c>
      <c r="E312" t="s">
        <v>11</v>
      </c>
      <c r="F312" t="s">
        <v>205</v>
      </c>
      <c r="G312" t="s">
        <v>125</v>
      </c>
      <c r="H312" s="92" t="s">
        <v>971</v>
      </c>
      <c r="I312">
        <v>1</v>
      </c>
      <c r="J312" s="46">
        <v>510</v>
      </c>
      <c r="K312" s="50" t="s">
        <v>222</v>
      </c>
      <c r="L312" s="46"/>
      <c r="M312" s="46"/>
    </row>
    <row r="313" spans="2:13" ht="15" customHeight="1" x14ac:dyDescent="0.25">
      <c r="B313" s="5">
        <v>44601</v>
      </c>
      <c r="C313" s="5" t="s">
        <v>177</v>
      </c>
      <c r="D313" s="35">
        <v>2022</v>
      </c>
      <c r="E313" t="s">
        <v>11</v>
      </c>
      <c r="F313" t="s">
        <v>205</v>
      </c>
      <c r="G313" t="s">
        <v>121</v>
      </c>
      <c r="H313" s="92" t="s">
        <v>982</v>
      </c>
      <c r="I313">
        <v>1</v>
      </c>
      <c r="J313" s="46">
        <v>230</v>
      </c>
      <c r="K313" s="50" t="s">
        <v>222</v>
      </c>
      <c r="L313" s="46"/>
      <c r="M313" s="46"/>
    </row>
    <row r="314" spans="2:13" ht="15" customHeight="1" x14ac:dyDescent="0.25">
      <c r="B314" s="5">
        <v>44601</v>
      </c>
      <c r="C314" s="5" t="s">
        <v>177</v>
      </c>
      <c r="D314" s="35">
        <v>2022</v>
      </c>
      <c r="E314" t="s">
        <v>11</v>
      </c>
      <c r="F314" t="s">
        <v>280</v>
      </c>
      <c r="G314" t="s">
        <v>128</v>
      </c>
      <c r="H314" s="92" t="s">
        <v>965</v>
      </c>
      <c r="I314">
        <v>1</v>
      </c>
      <c r="J314" s="46">
        <v>1240</v>
      </c>
      <c r="K314" s="50" t="s">
        <v>222</v>
      </c>
      <c r="L314" s="46"/>
      <c r="M314" s="46"/>
    </row>
    <row r="315" spans="2:13" ht="15" customHeight="1" x14ac:dyDescent="0.25">
      <c r="B315" s="5">
        <v>44601</v>
      </c>
      <c r="C315" s="5" t="s">
        <v>177</v>
      </c>
      <c r="D315" s="35">
        <v>2022</v>
      </c>
      <c r="E315" t="s">
        <v>11</v>
      </c>
      <c r="F315" t="s">
        <v>280</v>
      </c>
      <c r="G315" t="s">
        <v>195</v>
      </c>
      <c r="H315" s="92" t="s">
        <v>977</v>
      </c>
      <c r="I315">
        <v>1</v>
      </c>
      <c r="J315" s="46">
        <v>3260</v>
      </c>
      <c r="K315" s="50" t="s">
        <v>222</v>
      </c>
      <c r="L315" s="46"/>
      <c r="M315" s="46"/>
    </row>
    <row r="316" spans="2:13" ht="15" customHeight="1" x14ac:dyDescent="0.25">
      <c r="B316" s="5">
        <v>44601</v>
      </c>
      <c r="C316" s="5" t="s">
        <v>177</v>
      </c>
      <c r="D316" s="35">
        <v>2022</v>
      </c>
      <c r="E316" t="s">
        <v>11</v>
      </c>
      <c r="F316" t="s">
        <v>281</v>
      </c>
      <c r="G316" t="s">
        <v>47</v>
      </c>
      <c r="H316" s="92" t="s">
        <v>972</v>
      </c>
      <c r="I316">
        <v>1</v>
      </c>
      <c r="J316" s="46">
        <v>600</v>
      </c>
      <c r="K316" s="50" t="s">
        <v>222</v>
      </c>
      <c r="L316" s="46"/>
      <c r="M316" s="46"/>
    </row>
    <row r="317" spans="2:13" ht="15" customHeight="1" x14ac:dyDescent="0.25">
      <c r="B317" s="5">
        <v>44601</v>
      </c>
      <c r="C317" s="5" t="s">
        <v>177</v>
      </c>
      <c r="D317" s="35">
        <v>2022</v>
      </c>
      <c r="E317" t="s">
        <v>11</v>
      </c>
      <c r="F317" t="s">
        <v>281</v>
      </c>
      <c r="G317" t="s">
        <v>195</v>
      </c>
      <c r="H317" s="92" t="s">
        <v>977</v>
      </c>
      <c r="I317">
        <v>1</v>
      </c>
      <c r="J317" s="46">
        <v>3310</v>
      </c>
      <c r="K317" s="50" t="s">
        <v>222</v>
      </c>
      <c r="L317" s="46"/>
      <c r="M317" s="46"/>
    </row>
    <row r="318" spans="2:13" ht="15" customHeight="1" x14ac:dyDescent="0.25">
      <c r="B318" s="5">
        <v>44601</v>
      </c>
      <c r="C318" s="5" t="s">
        <v>177</v>
      </c>
      <c r="D318" s="35">
        <v>2022</v>
      </c>
      <c r="E318" t="s">
        <v>11</v>
      </c>
      <c r="F318" t="s">
        <v>282</v>
      </c>
      <c r="G318" t="s">
        <v>284</v>
      </c>
      <c r="H318" s="92" t="s">
        <v>977</v>
      </c>
      <c r="I318">
        <v>1</v>
      </c>
      <c r="J318" s="46">
        <v>550</v>
      </c>
      <c r="K318" s="50" t="s">
        <v>222</v>
      </c>
      <c r="L318" s="46"/>
      <c r="M318" s="46"/>
    </row>
    <row r="319" spans="2:13" ht="15" customHeight="1" x14ac:dyDescent="0.25">
      <c r="B319" s="5">
        <v>44601</v>
      </c>
      <c r="C319" s="5" t="s">
        <v>177</v>
      </c>
      <c r="D319" s="35">
        <v>2022</v>
      </c>
      <c r="E319" t="s">
        <v>11</v>
      </c>
      <c r="F319" t="s">
        <v>282</v>
      </c>
      <c r="G319" t="s">
        <v>364</v>
      </c>
      <c r="H319" s="92" t="s">
        <v>972</v>
      </c>
      <c r="I319">
        <v>1</v>
      </c>
      <c r="J319" s="46">
        <v>600</v>
      </c>
      <c r="K319" s="50" t="s">
        <v>222</v>
      </c>
      <c r="L319" s="46"/>
      <c r="M319" s="46"/>
    </row>
    <row r="320" spans="2:13" ht="15" customHeight="1" x14ac:dyDescent="0.25">
      <c r="B320" s="5">
        <v>44601</v>
      </c>
      <c r="C320" s="5" t="s">
        <v>177</v>
      </c>
      <c r="D320" s="35">
        <v>2022</v>
      </c>
      <c r="E320" t="s">
        <v>111</v>
      </c>
      <c r="F320" t="s">
        <v>285</v>
      </c>
      <c r="G320" t="s">
        <v>287</v>
      </c>
      <c r="H320" s="92" t="s">
        <v>969</v>
      </c>
      <c r="I320">
        <v>1</v>
      </c>
      <c r="J320" s="46">
        <v>2450</v>
      </c>
      <c r="K320" s="50" t="s">
        <v>222</v>
      </c>
      <c r="L320" s="46"/>
      <c r="M320" s="46"/>
    </row>
    <row r="321" spans="2:13" ht="15" customHeight="1" x14ac:dyDescent="0.25">
      <c r="B321" s="5">
        <v>44601</v>
      </c>
      <c r="C321" s="5" t="s">
        <v>177</v>
      </c>
      <c r="D321" s="35">
        <v>2022</v>
      </c>
      <c r="E321" t="s">
        <v>111</v>
      </c>
      <c r="F321" t="s">
        <v>286</v>
      </c>
      <c r="G321" t="s">
        <v>50</v>
      </c>
      <c r="H321" s="92" t="s">
        <v>969</v>
      </c>
      <c r="I321">
        <v>1</v>
      </c>
      <c r="J321" s="46">
        <v>2500</v>
      </c>
      <c r="K321" s="50" t="s">
        <v>222</v>
      </c>
      <c r="L321" s="46"/>
      <c r="M321" s="46"/>
    </row>
    <row r="322" spans="2:13" ht="15" customHeight="1" x14ac:dyDescent="0.25">
      <c r="B322" s="5">
        <v>44601</v>
      </c>
      <c r="C322" s="5" t="s">
        <v>177</v>
      </c>
      <c r="D322" s="35">
        <v>2022</v>
      </c>
      <c r="E322" t="s">
        <v>111</v>
      </c>
      <c r="F322" t="s">
        <v>286</v>
      </c>
      <c r="G322" t="s">
        <v>58</v>
      </c>
      <c r="H322" s="92" t="s">
        <v>969</v>
      </c>
      <c r="I322">
        <v>1</v>
      </c>
      <c r="J322" s="46">
        <v>2500</v>
      </c>
      <c r="K322" s="50" t="s">
        <v>222</v>
      </c>
      <c r="L322" s="46"/>
      <c r="M322" s="46"/>
    </row>
    <row r="323" spans="2:13" ht="15" customHeight="1" x14ac:dyDescent="0.25">
      <c r="B323" s="5">
        <v>44601</v>
      </c>
      <c r="C323" s="5" t="s">
        <v>177</v>
      </c>
      <c r="D323" s="35">
        <v>2022</v>
      </c>
      <c r="E323" t="s">
        <v>111</v>
      </c>
      <c r="F323" t="s">
        <v>210</v>
      </c>
      <c r="G323" s="24" t="s">
        <v>192</v>
      </c>
      <c r="H323" s="24" t="s">
        <v>976</v>
      </c>
      <c r="I323">
        <v>1</v>
      </c>
      <c r="J323" s="46">
        <v>1350</v>
      </c>
      <c r="K323" s="50" t="s">
        <v>222</v>
      </c>
      <c r="L323" s="46"/>
      <c r="M323" s="46"/>
    </row>
    <row r="324" spans="2:13" ht="15" customHeight="1" x14ac:dyDescent="0.25">
      <c r="B324" s="5">
        <v>44601</v>
      </c>
      <c r="C324" s="5" t="s">
        <v>177</v>
      </c>
      <c r="D324" s="35">
        <v>2022</v>
      </c>
      <c r="E324" t="s">
        <v>111</v>
      </c>
      <c r="F324" t="s">
        <v>212</v>
      </c>
      <c r="G324" t="s">
        <v>257</v>
      </c>
      <c r="H324" s="24" t="s">
        <v>976</v>
      </c>
      <c r="I324">
        <v>1</v>
      </c>
      <c r="J324" s="46">
        <v>1350</v>
      </c>
      <c r="K324" s="50" t="s">
        <v>222</v>
      </c>
      <c r="L324" s="46"/>
      <c r="M324" s="46"/>
    </row>
    <row r="325" spans="2:13" ht="15" customHeight="1" x14ac:dyDescent="0.25">
      <c r="B325" s="5">
        <v>44601</v>
      </c>
      <c r="C325" s="5" t="s">
        <v>177</v>
      </c>
      <c r="D325" s="35">
        <v>2022</v>
      </c>
      <c r="E325" t="s">
        <v>111</v>
      </c>
      <c r="F325" t="s">
        <v>212</v>
      </c>
      <c r="G325" t="s">
        <v>287</v>
      </c>
      <c r="H325" s="92" t="s">
        <v>969</v>
      </c>
      <c r="I325">
        <v>1</v>
      </c>
      <c r="J325" s="46">
        <v>2450</v>
      </c>
      <c r="K325" s="50" t="s">
        <v>222</v>
      </c>
      <c r="L325" s="46"/>
      <c r="M325" s="46"/>
    </row>
    <row r="326" spans="2:13" ht="15" customHeight="1" x14ac:dyDescent="0.25">
      <c r="B326" s="5">
        <v>44601</v>
      </c>
      <c r="C326" s="5" t="s">
        <v>177</v>
      </c>
      <c r="D326" s="35">
        <v>2022</v>
      </c>
      <c r="E326" t="s">
        <v>111</v>
      </c>
      <c r="F326" t="s">
        <v>212</v>
      </c>
      <c r="G326" t="s">
        <v>45</v>
      </c>
      <c r="H326" s="92" t="s">
        <v>965</v>
      </c>
      <c r="I326">
        <v>1</v>
      </c>
      <c r="J326" s="46">
        <v>1390</v>
      </c>
      <c r="K326" s="50" t="s">
        <v>222</v>
      </c>
      <c r="L326" s="46"/>
      <c r="M326" s="46"/>
    </row>
    <row r="327" spans="2:13" ht="15" customHeight="1" x14ac:dyDescent="0.25">
      <c r="B327" s="5">
        <v>44601</v>
      </c>
      <c r="C327" s="5" t="s">
        <v>177</v>
      </c>
      <c r="D327" s="35">
        <v>2022</v>
      </c>
      <c r="E327" t="s">
        <v>111</v>
      </c>
      <c r="F327" t="s">
        <v>213</v>
      </c>
      <c r="G327" t="s">
        <v>288</v>
      </c>
      <c r="H327" s="92" t="s">
        <v>977</v>
      </c>
      <c r="I327">
        <v>1</v>
      </c>
      <c r="J327" s="46">
        <v>1280</v>
      </c>
      <c r="K327" s="50" t="s">
        <v>222</v>
      </c>
      <c r="L327" s="46"/>
      <c r="M327" s="46"/>
    </row>
    <row r="328" spans="2:13" ht="15" customHeight="1" x14ac:dyDescent="0.25">
      <c r="B328" s="5">
        <v>44601</v>
      </c>
      <c r="C328" s="5" t="s">
        <v>177</v>
      </c>
      <c r="D328" s="35">
        <v>2022</v>
      </c>
      <c r="E328" t="s">
        <v>111</v>
      </c>
      <c r="F328" t="s">
        <v>213</v>
      </c>
      <c r="G328" t="s">
        <v>256</v>
      </c>
      <c r="H328" s="92" t="s">
        <v>977</v>
      </c>
      <c r="I328">
        <v>2</v>
      </c>
      <c r="J328" s="46">
        <v>2580</v>
      </c>
      <c r="K328" s="50" t="s">
        <v>222</v>
      </c>
      <c r="L328" s="46"/>
      <c r="M328" s="46"/>
    </row>
    <row r="329" spans="2:13" ht="15" customHeight="1" x14ac:dyDescent="0.25">
      <c r="B329" s="5">
        <v>44601</v>
      </c>
      <c r="C329" s="5" t="s">
        <v>177</v>
      </c>
      <c r="D329" s="35">
        <v>2022</v>
      </c>
      <c r="E329" t="s">
        <v>111</v>
      </c>
      <c r="F329" t="s">
        <v>213</v>
      </c>
      <c r="G329" t="s">
        <v>289</v>
      </c>
      <c r="H329" s="92" t="s">
        <v>977</v>
      </c>
      <c r="I329">
        <v>2</v>
      </c>
      <c r="J329" s="46">
        <v>2580</v>
      </c>
      <c r="K329" s="50" t="s">
        <v>222</v>
      </c>
      <c r="L329" s="46"/>
      <c r="M329" s="46"/>
    </row>
    <row r="330" spans="2:13" ht="15" customHeight="1" x14ac:dyDescent="0.25">
      <c r="B330" s="5">
        <v>44601</v>
      </c>
      <c r="C330" s="5" t="s">
        <v>177</v>
      </c>
      <c r="D330" s="35">
        <v>2022</v>
      </c>
      <c r="E330" t="s">
        <v>111</v>
      </c>
      <c r="F330" t="s">
        <v>89</v>
      </c>
      <c r="G330" t="s">
        <v>58</v>
      </c>
      <c r="H330" s="92" t="s">
        <v>969</v>
      </c>
      <c r="I330">
        <v>1</v>
      </c>
      <c r="J330" s="46">
        <v>2500</v>
      </c>
      <c r="K330" s="50" t="s">
        <v>222</v>
      </c>
      <c r="L330" s="46"/>
      <c r="M330" s="46"/>
    </row>
    <row r="331" spans="2:13" ht="15" customHeight="1" x14ac:dyDescent="0.25">
      <c r="B331" s="5">
        <v>44601</v>
      </c>
      <c r="C331" s="5" t="s">
        <v>177</v>
      </c>
      <c r="D331" s="35">
        <v>2022</v>
      </c>
      <c r="E331" t="s">
        <v>111</v>
      </c>
      <c r="F331" t="s">
        <v>216</v>
      </c>
      <c r="G331" t="s">
        <v>321</v>
      </c>
      <c r="H331" s="92" t="s">
        <v>967</v>
      </c>
      <c r="I331">
        <v>3</v>
      </c>
      <c r="J331" s="46">
        <v>6900</v>
      </c>
      <c r="K331" s="50" t="s">
        <v>222</v>
      </c>
      <c r="L331" s="46"/>
      <c r="M331" s="46"/>
    </row>
    <row r="332" spans="2:13" ht="15" customHeight="1" x14ac:dyDescent="0.25">
      <c r="B332" s="5">
        <v>44601</v>
      </c>
      <c r="C332" s="5" t="s">
        <v>177</v>
      </c>
      <c r="D332" s="35">
        <v>2022</v>
      </c>
      <c r="E332" t="s">
        <v>16</v>
      </c>
      <c r="F332" t="s">
        <v>290</v>
      </c>
      <c r="G332" t="s">
        <v>284</v>
      </c>
      <c r="H332" s="92" t="s">
        <v>977</v>
      </c>
      <c r="I332">
        <v>3</v>
      </c>
      <c r="J332" s="46">
        <v>1650</v>
      </c>
      <c r="K332" s="50" t="s">
        <v>222</v>
      </c>
      <c r="L332" s="46"/>
      <c r="M332" s="46"/>
    </row>
    <row r="333" spans="2:13" ht="15" customHeight="1" x14ac:dyDescent="0.25">
      <c r="B333" s="5">
        <v>44601</v>
      </c>
      <c r="C333" s="5" t="s">
        <v>177</v>
      </c>
      <c r="D333" s="35">
        <v>2022</v>
      </c>
      <c r="E333" t="s">
        <v>16</v>
      </c>
      <c r="F333" t="s">
        <v>290</v>
      </c>
      <c r="G333" t="s">
        <v>294</v>
      </c>
      <c r="H333" s="92" t="s">
        <v>977</v>
      </c>
      <c r="I333">
        <v>1</v>
      </c>
      <c r="J333" s="46">
        <v>550</v>
      </c>
      <c r="K333" s="50" t="s">
        <v>222</v>
      </c>
      <c r="L333" s="46"/>
      <c r="M333" s="46"/>
    </row>
    <row r="334" spans="2:13" ht="15" customHeight="1" x14ac:dyDescent="0.25">
      <c r="B334" s="5">
        <v>44601</v>
      </c>
      <c r="C334" s="5" t="s">
        <v>177</v>
      </c>
      <c r="D334" s="35">
        <v>2022</v>
      </c>
      <c r="E334" t="s">
        <v>16</v>
      </c>
      <c r="F334" t="s">
        <v>291</v>
      </c>
      <c r="G334" t="s">
        <v>49</v>
      </c>
      <c r="H334" s="92" t="s">
        <v>966</v>
      </c>
      <c r="I334">
        <v>1</v>
      </c>
      <c r="J334" s="46">
        <v>1710</v>
      </c>
      <c r="K334" s="50" t="s">
        <v>222</v>
      </c>
      <c r="L334" s="46"/>
      <c r="M334" s="46"/>
    </row>
    <row r="335" spans="2:13" ht="15" customHeight="1" x14ac:dyDescent="0.25">
      <c r="B335" s="5">
        <v>44601</v>
      </c>
      <c r="C335" s="5" t="s">
        <v>177</v>
      </c>
      <c r="D335" s="35">
        <v>2022</v>
      </c>
      <c r="E335" t="s">
        <v>16</v>
      </c>
      <c r="F335" t="s">
        <v>292</v>
      </c>
      <c r="G335" t="s">
        <v>321</v>
      </c>
      <c r="H335" s="92" t="s">
        <v>967</v>
      </c>
      <c r="I335">
        <v>1</v>
      </c>
      <c r="J335" s="46">
        <v>2300</v>
      </c>
      <c r="K335" s="50" t="s">
        <v>222</v>
      </c>
      <c r="L335" s="46"/>
      <c r="M335" s="46"/>
    </row>
    <row r="336" spans="2:13" ht="15" customHeight="1" x14ac:dyDescent="0.25">
      <c r="B336" s="5">
        <v>44601</v>
      </c>
      <c r="C336" s="5" t="s">
        <v>177</v>
      </c>
      <c r="D336" s="35">
        <v>2022</v>
      </c>
      <c r="E336" t="s">
        <v>16</v>
      </c>
      <c r="F336" t="s">
        <v>293</v>
      </c>
      <c r="G336" t="s">
        <v>321</v>
      </c>
      <c r="H336" s="92" t="s">
        <v>967</v>
      </c>
      <c r="I336">
        <v>1</v>
      </c>
      <c r="J336" s="46">
        <v>2300</v>
      </c>
      <c r="K336" s="50" t="s">
        <v>222</v>
      </c>
      <c r="L336" s="46"/>
      <c r="M336" s="46"/>
    </row>
    <row r="337" spans="2:13" ht="15" customHeight="1" x14ac:dyDescent="0.25">
      <c r="B337" s="5">
        <v>44602</v>
      </c>
      <c r="C337" s="5" t="s">
        <v>177</v>
      </c>
      <c r="D337" s="35">
        <v>2022</v>
      </c>
      <c r="E337" t="s">
        <v>22</v>
      </c>
      <c r="F337" t="s">
        <v>306</v>
      </c>
      <c r="G337" t="s">
        <v>50</v>
      </c>
      <c r="H337" s="92" t="s">
        <v>969</v>
      </c>
      <c r="I337">
        <v>1</v>
      </c>
      <c r="J337" s="46">
        <v>2500</v>
      </c>
      <c r="K337" s="50" t="s">
        <v>222</v>
      </c>
      <c r="L337" s="46"/>
      <c r="M337" s="46"/>
    </row>
    <row r="338" spans="2:13" ht="15" customHeight="1" x14ac:dyDescent="0.25">
      <c r="B338" s="5">
        <v>44602</v>
      </c>
      <c r="C338" s="5" t="s">
        <v>177</v>
      </c>
      <c r="D338" s="35">
        <v>2022</v>
      </c>
      <c r="E338" t="s">
        <v>22</v>
      </c>
      <c r="F338" t="s">
        <v>307</v>
      </c>
      <c r="G338" t="s">
        <v>50</v>
      </c>
      <c r="H338" s="92" t="s">
        <v>969</v>
      </c>
      <c r="I338">
        <v>1</v>
      </c>
      <c r="J338" s="46">
        <v>2500</v>
      </c>
      <c r="K338" s="50" t="s">
        <v>222</v>
      </c>
      <c r="L338" s="46"/>
      <c r="M338" s="46"/>
    </row>
    <row r="339" spans="2:13" ht="15" customHeight="1" x14ac:dyDescent="0.25">
      <c r="B339" s="5">
        <v>44602</v>
      </c>
      <c r="C339" s="5" t="s">
        <v>177</v>
      </c>
      <c r="D339" s="35">
        <v>2022</v>
      </c>
      <c r="E339" t="s">
        <v>22</v>
      </c>
      <c r="F339" t="s">
        <v>307</v>
      </c>
      <c r="G339" t="s">
        <v>257</v>
      </c>
      <c r="H339" s="24" t="s">
        <v>976</v>
      </c>
      <c r="I339">
        <v>4</v>
      </c>
      <c r="J339" s="46">
        <v>5400</v>
      </c>
      <c r="K339" s="50" t="s">
        <v>222</v>
      </c>
      <c r="L339" s="46"/>
      <c r="M339" s="46"/>
    </row>
    <row r="340" spans="2:13" ht="15" customHeight="1" x14ac:dyDescent="0.25">
      <c r="B340" s="5">
        <v>44602</v>
      </c>
      <c r="C340" s="5" t="s">
        <v>177</v>
      </c>
      <c r="D340" s="35">
        <v>2022</v>
      </c>
      <c r="E340" t="s">
        <v>22</v>
      </c>
      <c r="F340" t="s">
        <v>307</v>
      </c>
      <c r="G340" t="s">
        <v>58</v>
      </c>
      <c r="H340" s="92" t="s">
        <v>969</v>
      </c>
      <c r="I340">
        <v>1</v>
      </c>
      <c r="J340" s="46">
        <v>2450</v>
      </c>
      <c r="K340" s="50" t="s">
        <v>222</v>
      </c>
      <c r="L340" s="46"/>
      <c r="M340" s="46"/>
    </row>
    <row r="341" spans="2:13" ht="15" customHeight="1" x14ac:dyDescent="0.25">
      <c r="B341" s="5">
        <v>44602</v>
      </c>
      <c r="C341" s="5" t="s">
        <v>177</v>
      </c>
      <c r="D341" s="35">
        <v>2022</v>
      </c>
      <c r="E341" t="s">
        <v>22</v>
      </c>
      <c r="F341" t="s">
        <v>307</v>
      </c>
      <c r="G341" t="s">
        <v>62</v>
      </c>
      <c r="H341" s="92" t="s">
        <v>980</v>
      </c>
      <c r="I341">
        <v>2</v>
      </c>
      <c r="J341" s="46">
        <v>840</v>
      </c>
      <c r="K341" s="50" t="s">
        <v>222</v>
      </c>
      <c r="L341" s="46"/>
      <c r="M341" s="46"/>
    </row>
    <row r="342" spans="2:13" ht="15" customHeight="1" x14ac:dyDescent="0.25">
      <c r="B342" s="5">
        <v>44602</v>
      </c>
      <c r="C342" s="5" t="s">
        <v>177</v>
      </c>
      <c r="D342" s="35">
        <v>2022</v>
      </c>
      <c r="E342" t="s">
        <v>22</v>
      </c>
      <c r="F342" t="s">
        <v>308</v>
      </c>
      <c r="G342" t="s">
        <v>120</v>
      </c>
      <c r="H342" s="24" t="s">
        <v>968</v>
      </c>
      <c r="I342">
        <v>1</v>
      </c>
      <c r="J342" s="46">
        <v>4350</v>
      </c>
      <c r="K342" s="50" t="s">
        <v>222</v>
      </c>
      <c r="L342" s="46"/>
      <c r="M342" s="46"/>
    </row>
    <row r="343" spans="2:13" ht="15" customHeight="1" x14ac:dyDescent="0.25">
      <c r="B343" s="5">
        <v>44602</v>
      </c>
      <c r="C343" s="5" t="s">
        <v>177</v>
      </c>
      <c r="D343" s="35">
        <v>2022</v>
      </c>
      <c r="E343" t="s">
        <v>22</v>
      </c>
      <c r="F343" t="s">
        <v>93</v>
      </c>
      <c r="G343" t="s">
        <v>364</v>
      </c>
      <c r="H343" s="92" t="s">
        <v>972</v>
      </c>
      <c r="I343">
        <v>1</v>
      </c>
      <c r="J343" s="46">
        <v>600</v>
      </c>
      <c r="K343" s="50" t="s">
        <v>222</v>
      </c>
      <c r="L343" s="46"/>
      <c r="M343" s="46"/>
    </row>
    <row r="344" spans="2:13" ht="15" customHeight="1" x14ac:dyDescent="0.25">
      <c r="B344" s="5">
        <v>44602</v>
      </c>
      <c r="C344" s="5" t="s">
        <v>177</v>
      </c>
      <c r="D344" s="35">
        <v>2022</v>
      </c>
      <c r="E344" t="s">
        <v>22</v>
      </c>
      <c r="F344" t="s">
        <v>93</v>
      </c>
      <c r="G344" t="s">
        <v>257</v>
      </c>
      <c r="H344" s="24" t="s">
        <v>976</v>
      </c>
      <c r="I344">
        <v>1</v>
      </c>
      <c r="J344" s="46">
        <v>1350</v>
      </c>
      <c r="K344" s="50" t="s">
        <v>222</v>
      </c>
      <c r="L344" s="46"/>
      <c r="M344" s="46"/>
    </row>
    <row r="345" spans="2:13" ht="15" customHeight="1" x14ac:dyDescent="0.25">
      <c r="B345" s="5">
        <v>44602</v>
      </c>
      <c r="C345" s="5" t="s">
        <v>177</v>
      </c>
      <c r="D345" s="35">
        <v>2022</v>
      </c>
      <c r="E345" t="s">
        <v>22</v>
      </c>
      <c r="F345" t="s">
        <v>309</v>
      </c>
      <c r="G345" t="s">
        <v>120</v>
      </c>
      <c r="H345" s="24" t="s">
        <v>968</v>
      </c>
      <c r="I345">
        <v>2</v>
      </c>
      <c r="J345" s="46">
        <v>8700</v>
      </c>
      <c r="K345" s="50" t="s">
        <v>222</v>
      </c>
      <c r="L345" s="46"/>
      <c r="M345" s="46"/>
    </row>
    <row r="346" spans="2:13" ht="15" customHeight="1" x14ac:dyDescent="0.25">
      <c r="B346" s="5">
        <v>44602</v>
      </c>
      <c r="C346" s="5" t="s">
        <v>177</v>
      </c>
      <c r="D346" s="35">
        <v>2022</v>
      </c>
      <c r="E346" t="s">
        <v>22</v>
      </c>
      <c r="F346" t="s">
        <v>239</v>
      </c>
      <c r="G346" t="s">
        <v>50</v>
      </c>
      <c r="H346" s="92" t="s">
        <v>969</v>
      </c>
      <c r="I346">
        <v>1</v>
      </c>
      <c r="J346" s="46">
        <v>2500</v>
      </c>
      <c r="K346" s="50" t="s">
        <v>222</v>
      </c>
      <c r="L346" s="46"/>
      <c r="M346" s="46"/>
    </row>
    <row r="347" spans="2:13" ht="15" customHeight="1" x14ac:dyDescent="0.25">
      <c r="B347" s="5">
        <v>44602</v>
      </c>
      <c r="C347" s="5" t="s">
        <v>177</v>
      </c>
      <c r="D347" s="35">
        <v>2022</v>
      </c>
      <c r="E347" t="s">
        <v>1</v>
      </c>
      <c r="F347" t="s">
        <v>310</v>
      </c>
      <c r="G347" t="s">
        <v>274</v>
      </c>
      <c r="H347" s="92" t="s">
        <v>966</v>
      </c>
      <c r="I347">
        <v>1</v>
      </c>
      <c r="J347" s="46">
        <v>1760</v>
      </c>
      <c r="K347" s="50" t="s">
        <v>222</v>
      </c>
      <c r="L347" s="46"/>
      <c r="M347" s="46"/>
    </row>
    <row r="348" spans="2:13" ht="15" customHeight="1" x14ac:dyDescent="0.25">
      <c r="B348" s="5">
        <v>44602</v>
      </c>
      <c r="C348" s="5" t="s">
        <v>177</v>
      </c>
      <c r="D348" s="35">
        <v>2022</v>
      </c>
      <c r="E348" t="s">
        <v>1</v>
      </c>
      <c r="F348" t="s">
        <v>310</v>
      </c>
      <c r="G348" t="s">
        <v>50</v>
      </c>
      <c r="H348" s="92" t="s">
        <v>969</v>
      </c>
      <c r="I348">
        <v>1</v>
      </c>
      <c r="J348" s="46">
        <v>2500</v>
      </c>
      <c r="K348" s="50" t="s">
        <v>222</v>
      </c>
      <c r="L348" s="46"/>
      <c r="M348" s="46"/>
    </row>
    <row r="349" spans="2:13" ht="15" customHeight="1" x14ac:dyDescent="0.25">
      <c r="B349" s="5">
        <v>44602</v>
      </c>
      <c r="C349" s="5" t="s">
        <v>177</v>
      </c>
      <c r="D349" s="35">
        <v>2022</v>
      </c>
      <c r="E349" t="s">
        <v>1</v>
      </c>
      <c r="F349" t="s">
        <v>310</v>
      </c>
      <c r="G349" t="s">
        <v>128</v>
      </c>
      <c r="H349" s="92" t="s">
        <v>965</v>
      </c>
      <c r="I349">
        <v>2</v>
      </c>
      <c r="J349" s="46">
        <v>2480</v>
      </c>
      <c r="K349" s="50" t="s">
        <v>222</v>
      </c>
      <c r="L349" s="46"/>
      <c r="M349" s="46"/>
    </row>
    <row r="350" spans="2:13" ht="15" customHeight="1" x14ac:dyDescent="0.25">
      <c r="B350" s="5">
        <v>44602</v>
      </c>
      <c r="C350" s="5" t="s">
        <v>177</v>
      </c>
      <c r="D350" s="35">
        <v>2022</v>
      </c>
      <c r="E350" t="s">
        <v>1</v>
      </c>
      <c r="F350" t="s">
        <v>310</v>
      </c>
      <c r="G350" t="s">
        <v>58</v>
      </c>
      <c r="H350" s="92" t="s">
        <v>969</v>
      </c>
      <c r="I350">
        <v>1</v>
      </c>
      <c r="J350" s="46">
        <v>2500</v>
      </c>
      <c r="K350" s="50" t="s">
        <v>222</v>
      </c>
      <c r="L350" s="46"/>
      <c r="M350" s="46"/>
    </row>
    <row r="351" spans="2:13" ht="15" customHeight="1" x14ac:dyDescent="0.25">
      <c r="B351" s="5">
        <v>44602</v>
      </c>
      <c r="C351" s="5" t="s">
        <v>177</v>
      </c>
      <c r="D351" s="35">
        <v>2022</v>
      </c>
      <c r="E351" t="s">
        <v>1</v>
      </c>
      <c r="F351" t="s">
        <v>310</v>
      </c>
      <c r="G351" t="s">
        <v>49</v>
      </c>
      <c r="H351" s="92" t="s">
        <v>966</v>
      </c>
      <c r="I351">
        <v>2</v>
      </c>
      <c r="J351" s="46">
        <v>2480</v>
      </c>
      <c r="K351" s="50" t="s">
        <v>222</v>
      </c>
      <c r="L351" s="46"/>
      <c r="M351" s="46"/>
    </row>
    <row r="352" spans="2:13" ht="15" customHeight="1" x14ac:dyDescent="0.25">
      <c r="B352" s="5">
        <v>44602</v>
      </c>
      <c r="C352" s="5" t="s">
        <v>177</v>
      </c>
      <c r="D352" s="35">
        <v>2022</v>
      </c>
      <c r="E352" t="s">
        <v>1</v>
      </c>
      <c r="F352" t="s">
        <v>187</v>
      </c>
      <c r="G352" t="s">
        <v>126</v>
      </c>
      <c r="H352" s="92" t="s">
        <v>965</v>
      </c>
      <c r="I352">
        <v>1</v>
      </c>
      <c r="J352" s="46">
        <v>1410</v>
      </c>
      <c r="K352" s="50" t="s">
        <v>222</v>
      </c>
      <c r="L352" s="46"/>
      <c r="M352" s="46"/>
    </row>
    <row r="353" spans="2:13" ht="15" customHeight="1" x14ac:dyDescent="0.25">
      <c r="B353" s="5">
        <v>44602</v>
      </c>
      <c r="C353" s="5" t="s">
        <v>177</v>
      </c>
      <c r="D353" s="35">
        <v>2022</v>
      </c>
      <c r="E353" t="s">
        <v>1</v>
      </c>
      <c r="F353" t="s">
        <v>187</v>
      </c>
      <c r="G353" t="s">
        <v>45</v>
      </c>
      <c r="H353" s="92" t="s">
        <v>965</v>
      </c>
      <c r="I353">
        <v>1</v>
      </c>
      <c r="J353" s="46">
        <v>1390</v>
      </c>
      <c r="K353" s="50" t="s">
        <v>222</v>
      </c>
      <c r="L353" s="46"/>
      <c r="M353" s="46"/>
    </row>
    <row r="354" spans="2:13" ht="15" customHeight="1" x14ac:dyDescent="0.25">
      <c r="B354" s="5">
        <v>44602</v>
      </c>
      <c r="C354" s="5" t="s">
        <v>177</v>
      </c>
      <c r="D354" s="35">
        <v>2022</v>
      </c>
      <c r="E354" t="s">
        <v>1</v>
      </c>
      <c r="F354" t="s">
        <v>187</v>
      </c>
      <c r="G354" t="s">
        <v>120</v>
      </c>
      <c r="H354" s="24" t="s">
        <v>968</v>
      </c>
      <c r="I354">
        <v>1</v>
      </c>
      <c r="J354" s="46">
        <v>4350</v>
      </c>
      <c r="K354" s="50" t="s">
        <v>222</v>
      </c>
      <c r="L354" s="46"/>
      <c r="M354" s="46"/>
    </row>
    <row r="355" spans="2:13" ht="15" customHeight="1" x14ac:dyDescent="0.25">
      <c r="B355" s="5">
        <v>44602</v>
      </c>
      <c r="C355" s="5" t="s">
        <v>177</v>
      </c>
      <c r="D355" s="35">
        <v>2022</v>
      </c>
      <c r="E355" t="s">
        <v>1</v>
      </c>
      <c r="F355" t="s">
        <v>187</v>
      </c>
      <c r="G355" t="s">
        <v>374</v>
      </c>
      <c r="H355" s="92" t="s">
        <v>977</v>
      </c>
      <c r="I355">
        <v>1</v>
      </c>
      <c r="J355" s="46">
        <v>3260</v>
      </c>
      <c r="K355" s="50" t="s">
        <v>222</v>
      </c>
      <c r="L355" s="46"/>
      <c r="M355" s="46"/>
    </row>
    <row r="356" spans="2:13" ht="15" customHeight="1" x14ac:dyDescent="0.25">
      <c r="B356" s="5">
        <v>44602</v>
      </c>
      <c r="C356" s="5" t="s">
        <v>177</v>
      </c>
      <c r="D356" s="35">
        <v>2022</v>
      </c>
      <c r="E356" t="s">
        <v>1</v>
      </c>
      <c r="F356" t="s">
        <v>138</v>
      </c>
      <c r="G356" t="s">
        <v>314</v>
      </c>
      <c r="H356" s="92" t="s">
        <v>966</v>
      </c>
      <c r="I356">
        <v>1</v>
      </c>
      <c r="J356" s="46">
        <v>1760</v>
      </c>
      <c r="K356" s="50" t="s">
        <v>222</v>
      </c>
      <c r="L356" s="46"/>
      <c r="M356" s="46"/>
    </row>
    <row r="357" spans="2:13" ht="15" customHeight="1" x14ac:dyDescent="0.25">
      <c r="B357" s="5">
        <v>44602</v>
      </c>
      <c r="C357" s="5" t="s">
        <v>177</v>
      </c>
      <c r="D357" s="35">
        <v>2022</v>
      </c>
      <c r="E357" t="s">
        <v>1</v>
      </c>
      <c r="F357" t="s">
        <v>138</v>
      </c>
      <c r="G357" t="s">
        <v>55</v>
      </c>
      <c r="H357" s="92" t="s">
        <v>965</v>
      </c>
      <c r="I357">
        <v>2</v>
      </c>
      <c r="J357" s="46">
        <v>2790</v>
      </c>
      <c r="K357" s="50" t="s">
        <v>222</v>
      </c>
      <c r="L357" s="46"/>
      <c r="M357" s="46"/>
    </row>
    <row r="358" spans="2:13" ht="15" customHeight="1" x14ac:dyDescent="0.25">
      <c r="B358" s="5">
        <v>44602</v>
      </c>
      <c r="C358" s="5" t="s">
        <v>177</v>
      </c>
      <c r="D358" s="35">
        <v>2022</v>
      </c>
      <c r="E358" t="s">
        <v>1</v>
      </c>
      <c r="F358" t="s">
        <v>311</v>
      </c>
      <c r="G358" t="s">
        <v>195</v>
      </c>
      <c r="H358" s="92" t="s">
        <v>977</v>
      </c>
      <c r="I358">
        <v>1</v>
      </c>
      <c r="J358" s="46">
        <v>3260</v>
      </c>
      <c r="K358" s="50" t="s">
        <v>222</v>
      </c>
      <c r="L358" s="46"/>
      <c r="M358" s="46"/>
    </row>
    <row r="359" spans="2:13" ht="15" customHeight="1" x14ac:dyDescent="0.25">
      <c r="B359" s="5">
        <v>44602</v>
      </c>
      <c r="C359" s="5" t="s">
        <v>177</v>
      </c>
      <c r="D359" s="35">
        <v>2022</v>
      </c>
      <c r="E359" t="s">
        <v>1</v>
      </c>
      <c r="F359" t="s">
        <v>311</v>
      </c>
      <c r="G359" t="s">
        <v>50</v>
      </c>
      <c r="H359" s="92" t="s">
        <v>969</v>
      </c>
      <c r="I359">
        <v>1</v>
      </c>
      <c r="J359" s="46">
        <v>2450</v>
      </c>
      <c r="K359" s="50" t="s">
        <v>222</v>
      </c>
      <c r="L359" s="46"/>
      <c r="M359" s="46"/>
    </row>
    <row r="360" spans="2:13" ht="15" customHeight="1" x14ac:dyDescent="0.25">
      <c r="B360" s="5">
        <v>44602</v>
      </c>
      <c r="C360" s="5" t="s">
        <v>177</v>
      </c>
      <c r="D360" s="35">
        <v>2022</v>
      </c>
      <c r="E360" t="s">
        <v>1</v>
      </c>
      <c r="F360" t="s">
        <v>312</v>
      </c>
      <c r="G360" t="s">
        <v>50</v>
      </c>
      <c r="H360" s="92" t="s">
        <v>969</v>
      </c>
      <c r="I360">
        <v>1</v>
      </c>
      <c r="J360" s="46">
        <v>2450</v>
      </c>
      <c r="K360" s="50" t="s">
        <v>222</v>
      </c>
      <c r="L360" s="46"/>
      <c r="M360" s="46"/>
    </row>
    <row r="361" spans="2:13" ht="15" customHeight="1" x14ac:dyDescent="0.25">
      <c r="B361" s="5">
        <v>44602</v>
      </c>
      <c r="C361" s="5" t="s">
        <v>177</v>
      </c>
      <c r="D361" s="35">
        <v>2022</v>
      </c>
      <c r="E361" t="s">
        <v>1</v>
      </c>
      <c r="F361" t="s">
        <v>312</v>
      </c>
      <c r="G361" t="s">
        <v>126</v>
      </c>
      <c r="H361" s="92" t="s">
        <v>965</v>
      </c>
      <c r="I361">
        <v>1</v>
      </c>
      <c r="J361" s="46">
        <v>1410</v>
      </c>
      <c r="K361" s="50" t="s">
        <v>222</v>
      </c>
      <c r="L361" s="46"/>
      <c r="M361" s="46"/>
    </row>
    <row r="362" spans="2:13" ht="15" customHeight="1" x14ac:dyDescent="0.25">
      <c r="B362" s="5">
        <v>44602</v>
      </c>
      <c r="C362" s="5" t="s">
        <v>177</v>
      </c>
      <c r="D362" s="35">
        <v>2022</v>
      </c>
      <c r="E362" t="s">
        <v>1</v>
      </c>
      <c r="F362" t="s">
        <v>312</v>
      </c>
      <c r="G362" s="24" t="s">
        <v>192</v>
      </c>
      <c r="H362" s="24" t="s">
        <v>976</v>
      </c>
      <c r="I362">
        <v>1</v>
      </c>
      <c r="J362" s="46">
        <v>1350</v>
      </c>
      <c r="K362" s="50" t="s">
        <v>222</v>
      </c>
      <c r="L362" s="46"/>
      <c r="M362" s="46"/>
    </row>
    <row r="363" spans="2:13" ht="15" customHeight="1" x14ac:dyDescent="0.25">
      <c r="B363" s="5">
        <v>44602</v>
      </c>
      <c r="C363" s="5" t="s">
        <v>177</v>
      </c>
      <c r="D363" s="35">
        <v>2022</v>
      </c>
      <c r="E363" t="s">
        <v>1</v>
      </c>
      <c r="F363" t="s">
        <v>312</v>
      </c>
      <c r="G363" t="s">
        <v>45</v>
      </c>
      <c r="H363" s="92" t="s">
        <v>965</v>
      </c>
      <c r="I363">
        <v>2</v>
      </c>
      <c r="J363" s="46">
        <v>2780</v>
      </c>
      <c r="K363" s="50" t="s">
        <v>222</v>
      </c>
      <c r="L363" s="46"/>
      <c r="M363" s="46"/>
    </row>
    <row r="364" spans="2:13" ht="15" customHeight="1" x14ac:dyDescent="0.25">
      <c r="B364" s="5">
        <v>44602</v>
      </c>
      <c r="C364" s="5" t="s">
        <v>177</v>
      </c>
      <c r="D364" s="35">
        <v>2022</v>
      </c>
      <c r="E364" t="s">
        <v>1</v>
      </c>
      <c r="F364" t="s">
        <v>313</v>
      </c>
      <c r="G364" t="s">
        <v>120</v>
      </c>
      <c r="H364" s="24" t="s">
        <v>968</v>
      </c>
      <c r="I364">
        <v>2</v>
      </c>
      <c r="J364" s="46">
        <v>8700</v>
      </c>
      <c r="K364" s="50" t="s">
        <v>222</v>
      </c>
      <c r="L364" s="46"/>
      <c r="M364" s="46"/>
    </row>
    <row r="365" spans="2:13" ht="15" customHeight="1" x14ac:dyDescent="0.25">
      <c r="B365" s="5">
        <v>44602</v>
      </c>
      <c r="C365" s="5" t="s">
        <v>177</v>
      </c>
      <c r="D365" s="35">
        <v>2022</v>
      </c>
      <c r="E365" t="s">
        <v>19</v>
      </c>
      <c r="F365" t="s">
        <v>208</v>
      </c>
      <c r="G365" t="s">
        <v>321</v>
      </c>
      <c r="H365" s="92" t="s">
        <v>967</v>
      </c>
      <c r="I365">
        <v>1</v>
      </c>
      <c r="J365" s="46">
        <v>2300</v>
      </c>
      <c r="K365" s="50" t="s">
        <v>222</v>
      </c>
      <c r="L365" s="46"/>
      <c r="M365" s="46"/>
    </row>
    <row r="366" spans="2:13" ht="15" customHeight="1" x14ac:dyDescent="0.25">
      <c r="B366" s="5">
        <v>44602</v>
      </c>
      <c r="C366" s="5" t="s">
        <v>177</v>
      </c>
      <c r="D366" s="35">
        <v>2022</v>
      </c>
      <c r="E366" t="s">
        <v>19</v>
      </c>
      <c r="F366" t="s">
        <v>208</v>
      </c>
      <c r="G366" t="s">
        <v>47</v>
      </c>
      <c r="H366" s="92" t="s">
        <v>972</v>
      </c>
      <c r="I366">
        <v>1</v>
      </c>
      <c r="J366" s="46">
        <v>600</v>
      </c>
      <c r="K366" s="50" t="s">
        <v>222</v>
      </c>
      <c r="L366" s="46"/>
      <c r="M366" s="46"/>
    </row>
    <row r="367" spans="2:13" ht="15" customHeight="1" x14ac:dyDescent="0.25">
      <c r="B367" s="5">
        <v>44602</v>
      </c>
      <c r="C367" s="5" t="s">
        <v>177</v>
      </c>
      <c r="D367" s="35">
        <v>2022</v>
      </c>
      <c r="E367" t="s">
        <v>19</v>
      </c>
      <c r="F367" t="s">
        <v>315</v>
      </c>
      <c r="G367" t="s">
        <v>287</v>
      </c>
      <c r="H367" s="92" t="s">
        <v>969</v>
      </c>
      <c r="I367">
        <v>1</v>
      </c>
      <c r="J367" s="46">
        <v>2450</v>
      </c>
      <c r="K367" s="50" t="s">
        <v>222</v>
      </c>
      <c r="L367" s="46"/>
      <c r="M367" s="46"/>
    </row>
    <row r="368" spans="2:13" ht="15" customHeight="1" x14ac:dyDescent="0.25">
      <c r="B368" s="5">
        <v>44602</v>
      </c>
      <c r="C368" s="5" t="s">
        <v>177</v>
      </c>
      <c r="D368" s="35">
        <v>2022</v>
      </c>
      <c r="E368" t="s">
        <v>19</v>
      </c>
      <c r="F368" t="s">
        <v>315</v>
      </c>
      <c r="G368" s="24" t="s">
        <v>192</v>
      </c>
      <c r="H368" s="24" t="s">
        <v>976</v>
      </c>
      <c r="I368">
        <v>1</v>
      </c>
      <c r="J368" s="46">
        <v>1350</v>
      </c>
      <c r="K368" s="50" t="s">
        <v>222</v>
      </c>
      <c r="L368" s="46"/>
      <c r="M368" s="46"/>
    </row>
    <row r="369" spans="2:13" ht="15" customHeight="1" x14ac:dyDescent="0.25">
      <c r="B369" s="5">
        <v>44602</v>
      </c>
      <c r="C369" s="5" t="s">
        <v>177</v>
      </c>
      <c r="D369" s="35">
        <v>2022</v>
      </c>
      <c r="E369" t="s">
        <v>19</v>
      </c>
      <c r="F369" t="s">
        <v>316</v>
      </c>
      <c r="G369" t="s">
        <v>50</v>
      </c>
      <c r="H369" s="92" t="s">
        <v>969</v>
      </c>
      <c r="I369">
        <v>2</v>
      </c>
      <c r="J369" s="46">
        <v>5000</v>
      </c>
      <c r="K369" s="50" t="s">
        <v>222</v>
      </c>
      <c r="L369" s="46"/>
      <c r="M369" s="46"/>
    </row>
    <row r="370" spans="2:13" ht="15" customHeight="1" x14ac:dyDescent="0.25">
      <c r="B370" s="5">
        <v>44602</v>
      </c>
      <c r="C370" s="5" t="s">
        <v>177</v>
      </c>
      <c r="D370" s="35">
        <v>2022</v>
      </c>
      <c r="E370" t="s">
        <v>19</v>
      </c>
      <c r="F370" t="s">
        <v>317</v>
      </c>
      <c r="G370" t="s">
        <v>122</v>
      </c>
      <c r="H370" s="92" t="s">
        <v>973</v>
      </c>
      <c r="I370">
        <v>1</v>
      </c>
      <c r="J370" s="46">
        <v>260</v>
      </c>
      <c r="K370" s="50" t="s">
        <v>222</v>
      </c>
      <c r="L370" s="46"/>
      <c r="M370" s="46"/>
    </row>
    <row r="371" spans="2:13" ht="15" customHeight="1" x14ac:dyDescent="0.25">
      <c r="B371" s="5">
        <v>44602</v>
      </c>
      <c r="C371" s="5" t="s">
        <v>177</v>
      </c>
      <c r="D371" s="35">
        <v>2022</v>
      </c>
      <c r="E371" t="s">
        <v>19</v>
      </c>
      <c r="F371" t="s">
        <v>317</v>
      </c>
      <c r="G371" s="24" t="s">
        <v>192</v>
      </c>
      <c r="H371" s="24" t="s">
        <v>976</v>
      </c>
      <c r="I371">
        <v>1</v>
      </c>
      <c r="J371" s="46">
        <v>1370</v>
      </c>
      <c r="K371" s="50" t="s">
        <v>222</v>
      </c>
      <c r="L371" s="46"/>
      <c r="M371" s="46"/>
    </row>
    <row r="372" spans="2:13" ht="15" customHeight="1" x14ac:dyDescent="0.25">
      <c r="B372" s="5">
        <v>44602</v>
      </c>
      <c r="C372" s="5" t="s">
        <v>177</v>
      </c>
      <c r="D372" s="35">
        <v>2022</v>
      </c>
      <c r="E372" t="s">
        <v>19</v>
      </c>
      <c r="F372" t="s">
        <v>317</v>
      </c>
      <c r="G372" t="s">
        <v>122</v>
      </c>
      <c r="H372" s="92" t="s">
        <v>973</v>
      </c>
      <c r="I372">
        <v>1</v>
      </c>
      <c r="J372" s="46">
        <v>260</v>
      </c>
      <c r="K372" s="50" t="s">
        <v>222</v>
      </c>
      <c r="L372" s="46"/>
      <c r="M372" s="46"/>
    </row>
    <row r="373" spans="2:13" ht="15" customHeight="1" x14ac:dyDescent="0.25">
      <c r="B373" s="5">
        <v>44602</v>
      </c>
      <c r="C373" s="5" t="s">
        <v>177</v>
      </c>
      <c r="D373" s="35">
        <v>2022</v>
      </c>
      <c r="E373" t="s">
        <v>19</v>
      </c>
      <c r="F373" t="s">
        <v>318</v>
      </c>
      <c r="G373" t="s">
        <v>128</v>
      </c>
      <c r="H373" s="92" t="s">
        <v>965</v>
      </c>
      <c r="I373">
        <v>1</v>
      </c>
      <c r="J373" s="46">
        <v>1240</v>
      </c>
      <c r="K373" s="50" t="s">
        <v>222</v>
      </c>
      <c r="L373" s="46"/>
      <c r="M373" s="46"/>
    </row>
    <row r="374" spans="2:13" ht="15" customHeight="1" x14ac:dyDescent="0.25">
      <c r="B374" s="5">
        <v>44602</v>
      </c>
      <c r="C374" s="5" t="s">
        <v>177</v>
      </c>
      <c r="D374" s="35">
        <v>2022</v>
      </c>
      <c r="E374" t="s">
        <v>19</v>
      </c>
      <c r="F374" t="s">
        <v>318</v>
      </c>
      <c r="G374" t="s">
        <v>45</v>
      </c>
      <c r="H374" s="92" t="s">
        <v>965</v>
      </c>
      <c r="I374">
        <v>1</v>
      </c>
      <c r="J374" s="46">
        <v>1390</v>
      </c>
      <c r="K374" s="50" t="s">
        <v>222</v>
      </c>
      <c r="L374" s="46"/>
      <c r="M374" s="46"/>
    </row>
    <row r="375" spans="2:13" ht="15" customHeight="1" x14ac:dyDescent="0.25">
      <c r="B375" s="5">
        <v>44602</v>
      </c>
      <c r="C375" s="5" t="s">
        <v>177</v>
      </c>
      <c r="D375" s="35">
        <v>2022</v>
      </c>
      <c r="E375" t="s">
        <v>19</v>
      </c>
      <c r="F375" t="s">
        <v>102</v>
      </c>
      <c r="G375" t="s">
        <v>247</v>
      </c>
      <c r="H375" s="92" t="s">
        <v>966</v>
      </c>
      <c r="I375">
        <v>1</v>
      </c>
      <c r="J375" s="46">
        <v>1770</v>
      </c>
      <c r="K375" s="50" t="s">
        <v>222</v>
      </c>
      <c r="L375" s="46"/>
      <c r="M375" s="46"/>
    </row>
    <row r="376" spans="2:13" ht="15" customHeight="1" x14ac:dyDescent="0.25">
      <c r="B376" s="5">
        <v>44602</v>
      </c>
      <c r="C376" s="5" t="s">
        <v>177</v>
      </c>
      <c r="D376" s="35">
        <v>2022</v>
      </c>
      <c r="E376" t="s">
        <v>19</v>
      </c>
      <c r="F376" t="s">
        <v>319</v>
      </c>
      <c r="G376" t="s">
        <v>128</v>
      </c>
      <c r="H376" s="92" t="s">
        <v>965</v>
      </c>
      <c r="I376">
        <v>1</v>
      </c>
      <c r="J376" s="46">
        <v>1240</v>
      </c>
      <c r="K376" s="50" t="s">
        <v>222</v>
      </c>
      <c r="L376" s="46"/>
      <c r="M376" s="46"/>
    </row>
    <row r="377" spans="2:13" ht="15" customHeight="1" x14ac:dyDescent="0.25">
      <c r="B377" s="5">
        <v>44602</v>
      </c>
      <c r="C377" s="5" t="s">
        <v>177</v>
      </c>
      <c r="D377" s="35">
        <v>2022</v>
      </c>
      <c r="E377" t="s">
        <v>19</v>
      </c>
      <c r="F377" t="s">
        <v>272</v>
      </c>
      <c r="G377" t="s">
        <v>58</v>
      </c>
      <c r="H377" s="92" t="s">
        <v>969</v>
      </c>
      <c r="I377">
        <v>2</v>
      </c>
      <c r="J377" s="46">
        <v>5000</v>
      </c>
      <c r="K377" s="50" t="s">
        <v>222</v>
      </c>
      <c r="L377" s="46"/>
      <c r="M377" s="46"/>
    </row>
    <row r="378" spans="2:13" ht="15" customHeight="1" x14ac:dyDescent="0.25">
      <c r="B378" s="5">
        <v>44602</v>
      </c>
      <c r="C378" s="5" t="s">
        <v>177</v>
      </c>
      <c r="D378" s="35">
        <v>2022</v>
      </c>
      <c r="E378" t="s">
        <v>19</v>
      </c>
      <c r="F378" t="s">
        <v>142</v>
      </c>
      <c r="G378" t="s">
        <v>269</v>
      </c>
      <c r="H378" s="92" t="s">
        <v>983</v>
      </c>
      <c r="I378">
        <v>2</v>
      </c>
      <c r="J378" s="46">
        <v>580</v>
      </c>
      <c r="K378" s="50" t="s">
        <v>222</v>
      </c>
      <c r="L378" s="46"/>
      <c r="M378" s="46"/>
    </row>
    <row r="379" spans="2:13" ht="15" customHeight="1" x14ac:dyDescent="0.25">
      <c r="B379" s="5">
        <v>44602</v>
      </c>
      <c r="C379" s="5" t="s">
        <v>177</v>
      </c>
      <c r="D379" s="35">
        <v>2022</v>
      </c>
      <c r="E379" t="s">
        <v>19</v>
      </c>
      <c r="F379" t="s">
        <v>320</v>
      </c>
      <c r="G379" t="s">
        <v>50</v>
      </c>
      <c r="H379" s="92" t="s">
        <v>969</v>
      </c>
      <c r="I379">
        <v>1</v>
      </c>
      <c r="J379" s="46">
        <v>2500</v>
      </c>
      <c r="K379" s="50" t="s">
        <v>222</v>
      </c>
      <c r="L379" s="46"/>
      <c r="M379" s="46"/>
    </row>
    <row r="380" spans="2:13" ht="15" customHeight="1" x14ac:dyDescent="0.25">
      <c r="B380" s="5">
        <v>44602</v>
      </c>
      <c r="C380" s="5" t="s">
        <v>177</v>
      </c>
      <c r="D380" s="35">
        <v>2022</v>
      </c>
      <c r="E380" t="s">
        <v>11</v>
      </c>
      <c r="F380" t="s">
        <v>279</v>
      </c>
      <c r="G380" s="24" t="s">
        <v>192</v>
      </c>
      <c r="H380" s="24" t="s">
        <v>976</v>
      </c>
      <c r="I380">
        <v>1</v>
      </c>
      <c r="J380" s="46">
        <v>1370</v>
      </c>
      <c r="K380" s="50" t="s">
        <v>222</v>
      </c>
      <c r="L380" s="46"/>
      <c r="M380" s="46"/>
    </row>
    <row r="381" spans="2:13" ht="15" customHeight="1" x14ac:dyDescent="0.25">
      <c r="B381" s="5">
        <v>44602</v>
      </c>
      <c r="C381" s="5" t="s">
        <v>177</v>
      </c>
      <c r="D381" s="35">
        <v>2022</v>
      </c>
      <c r="E381" t="s">
        <v>11</v>
      </c>
      <c r="F381" t="s">
        <v>279</v>
      </c>
      <c r="G381" t="s">
        <v>257</v>
      </c>
      <c r="H381" s="24" t="s">
        <v>976</v>
      </c>
      <c r="I381">
        <v>1</v>
      </c>
      <c r="J381" s="46">
        <v>1350</v>
      </c>
      <c r="K381" s="50" t="s">
        <v>222</v>
      </c>
      <c r="L381" s="46"/>
      <c r="M381" s="46"/>
    </row>
    <row r="382" spans="2:13" ht="15" customHeight="1" x14ac:dyDescent="0.25">
      <c r="B382" s="5">
        <v>44602</v>
      </c>
      <c r="C382" s="5" t="s">
        <v>177</v>
      </c>
      <c r="D382" s="35">
        <v>2022</v>
      </c>
      <c r="E382" t="s">
        <v>11</v>
      </c>
      <c r="F382" t="s">
        <v>151</v>
      </c>
      <c r="G382" t="s">
        <v>269</v>
      </c>
      <c r="H382" s="92" t="s">
        <v>983</v>
      </c>
      <c r="I382">
        <v>1</v>
      </c>
      <c r="J382" s="46">
        <v>290</v>
      </c>
      <c r="K382" s="50" t="s">
        <v>222</v>
      </c>
      <c r="L382" s="46"/>
      <c r="M382" s="46"/>
    </row>
    <row r="383" spans="2:13" ht="15" customHeight="1" x14ac:dyDescent="0.25">
      <c r="B383" s="5">
        <v>44602</v>
      </c>
      <c r="C383" s="5" t="s">
        <v>177</v>
      </c>
      <c r="D383" s="35">
        <v>2022</v>
      </c>
      <c r="E383" t="s">
        <v>16</v>
      </c>
      <c r="F383" t="s">
        <v>322</v>
      </c>
      <c r="G383" t="s">
        <v>121</v>
      </c>
      <c r="H383" s="92" t="s">
        <v>982</v>
      </c>
      <c r="I383">
        <v>1</v>
      </c>
      <c r="J383" s="46">
        <v>230</v>
      </c>
      <c r="K383" s="50" t="s">
        <v>222</v>
      </c>
      <c r="L383" s="46"/>
      <c r="M383" s="46"/>
    </row>
    <row r="384" spans="2:13" ht="15" customHeight="1" x14ac:dyDescent="0.25">
      <c r="B384" s="5">
        <v>44602</v>
      </c>
      <c r="C384" s="5" t="s">
        <v>177</v>
      </c>
      <c r="D384" s="35">
        <v>2022</v>
      </c>
      <c r="E384" t="s">
        <v>111</v>
      </c>
      <c r="F384" t="s">
        <v>322</v>
      </c>
      <c r="G384" t="s">
        <v>323</v>
      </c>
      <c r="H384" s="92" t="s">
        <v>981</v>
      </c>
      <c r="I384">
        <v>1</v>
      </c>
      <c r="J384" s="46">
        <v>310</v>
      </c>
      <c r="K384" s="50" t="s">
        <v>222</v>
      </c>
      <c r="L384" s="46"/>
      <c r="M384" s="46"/>
    </row>
    <row r="385" spans="2:14" ht="15" customHeight="1" x14ac:dyDescent="0.25">
      <c r="B385" s="5">
        <v>44602</v>
      </c>
      <c r="C385" s="5" t="s">
        <v>177</v>
      </c>
      <c r="D385" s="35">
        <v>2022</v>
      </c>
      <c r="E385" t="s">
        <v>111</v>
      </c>
      <c r="F385" t="s">
        <v>322</v>
      </c>
      <c r="G385" t="s">
        <v>124</v>
      </c>
      <c r="H385" s="92" t="s">
        <v>982</v>
      </c>
      <c r="I385">
        <v>1</v>
      </c>
      <c r="J385" s="46">
        <v>625</v>
      </c>
      <c r="K385" s="50" t="s">
        <v>222</v>
      </c>
      <c r="L385" s="46"/>
      <c r="M385" s="46"/>
    </row>
    <row r="386" spans="2:14" ht="15" customHeight="1" x14ac:dyDescent="0.25">
      <c r="B386" s="5">
        <v>44602</v>
      </c>
      <c r="C386" s="5" t="s">
        <v>177</v>
      </c>
      <c r="D386" s="35">
        <v>2022</v>
      </c>
      <c r="E386" t="s">
        <v>111</v>
      </c>
      <c r="F386" t="s">
        <v>156</v>
      </c>
      <c r="G386" t="s">
        <v>323</v>
      </c>
      <c r="H386" s="92" t="s">
        <v>981</v>
      </c>
      <c r="I386">
        <v>1</v>
      </c>
      <c r="J386" s="46">
        <v>310</v>
      </c>
      <c r="K386" s="50" t="s">
        <v>222</v>
      </c>
      <c r="L386" s="46"/>
      <c r="M386" s="46"/>
    </row>
    <row r="387" spans="2:14" ht="15" customHeight="1" x14ac:dyDescent="0.25">
      <c r="B387" s="5">
        <v>44602</v>
      </c>
      <c r="C387" s="5" t="s">
        <v>177</v>
      </c>
      <c r="D387" s="35">
        <v>2022</v>
      </c>
      <c r="E387" t="s">
        <v>111</v>
      </c>
      <c r="F387" t="s">
        <v>156</v>
      </c>
      <c r="G387" t="s">
        <v>128</v>
      </c>
      <c r="H387" s="92" t="s">
        <v>965</v>
      </c>
      <c r="I387">
        <v>1</v>
      </c>
      <c r="J387" s="46">
        <v>1240</v>
      </c>
      <c r="K387" s="50" t="s">
        <v>222</v>
      </c>
      <c r="L387" s="46"/>
      <c r="M387" s="46"/>
    </row>
    <row r="388" spans="2:14" ht="15" customHeight="1" x14ac:dyDescent="0.25">
      <c r="B388" s="5">
        <v>44602</v>
      </c>
      <c r="C388" s="5" t="s">
        <v>177</v>
      </c>
      <c r="D388" s="35">
        <v>2022</v>
      </c>
      <c r="E388" t="s">
        <v>111</v>
      </c>
      <c r="F388" t="s">
        <v>212</v>
      </c>
      <c r="G388" t="s">
        <v>55</v>
      </c>
      <c r="H388" s="92" t="s">
        <v>965</v>
      </c>
      <c r="I388">
        <v>1</v>
      </c>
      <c r="J388" s="46">
        <v>1390</v>
      </c>
      <c r="K388" s="50" t="s">
        <v>222</v>
      </c>
      <c r="L388" s="46"/>
      <c r="M388" s="46"/>
    </row>
    <row r="389" spans="2:14" ht="15" customHeight="1" x14ac:dyDescent="0.25">
      <c r="B389" s="5">
        <v>44602</v>
      </c>
      <c r="C389" s="5" t="s">
        <v>177</v>
      </c>
      <c r="D389" s="35">
        <v>2022</v>
      </c>
      <c r="E389" t="s">
        <v>111</v>
      </c>
      <c r="F389" t="s">
        <v>252</v>
      </c>
      <c r="G389" t="s">
        <v>257</v>
      </c>
      <c r="H389" s="24" t="s">
        <v>976</v>
      </c>
      <c r="I389">
        <v>2</v>
      </c>
      <c r="J389" s="46">
        <v>2800</v>
      </c>
      <c r="K389" s="50" t="s">
        <v>222</v>
      </c>
      <c r="L389" s="46"/>
      <c r="M389" s="46"/>
    </row>
    <row r="390" spans="2:14" ht="15" customHeight="1" x14ac:dyDescent="0.25">
      <c r="B390" s="5">
        <v>44602</v>
      </c>
      <c r="C390" s="5" t="s">
        <v>177</v>
      </c>
      <c r="D390" s="35">
        <v>2022</v>
      </c>
      <c r="E390" t="s">
        <v>16</v>
      </c>
      <c r="F390" t="s">
        <v>219</v>
      </c>
      <c r="G390" t="s">
        <v>47</v>
      </c>
      <c r="H390" s="92" t="s">
        <v>972</v>
      </c>
      <c r="I390">
        <v>2</v>
      </c>
      <c r="J390" s="46">
        <v>1200</v>
      </c>
      <c r="K390" s="50" t="s">
        <v>222</v>
      </c>
      <c r="L390" s="46"/>
      <c r="M390" s="46"/>
    </row>
    <row r="391" spans="2:14" ht="15" customHeight="1" x14ac:dyDescent="0.25">
      <c r="B391" s="5">
        <v>44602</v>
      </c>
      <c r="C391" s="5" t="s">
        <v>177</v>
      </c>
      <c r="D391" s="35">
        <v>2022</v>
      </c>
      <c r="E391" t="s">
        <v>16</v>
      </c>
      <c r="F391" t="s">
        <v>324</v>
      </c>
      <c r="G391" t="s">
        <v>321</v>
      </c>
      <c r="H391" s="92" t="s">
        <v>967</v>
      </c>
      <c r="I391">
        <v>1</v>
      </c>
      <c r="J391" s="46">
        <v>2300</v>
      </c>
      <c r="K391" s="50" t="s">
        <v>222</v>
      </c>
      <c r="L391" s="46"/>
      <c r="M391" s="46"/>
    </row>
    <row r="392" spans="2:14" ht="15" customHeight="1" x14ac:dyDescent="0.25">
      <c r="B392" s="5">
        <v>44602</v>
      </c>
      <c r="C392" s="5" t="s">
        <v>177</v>
      </c>
      <c r="D392" s="35">
        <v>2022</v>
      </c>
      <c r="E392" t="s">
        <v>16</v>
      </c>
      <c r="F392" t="s">
        <v>325</v>
      </c>
      <c r="G392" t="s">
        <v>45</v>
      </c>
      <c r="H392" s="92" t="s">
        <v>965</v>
      </c>
      <c r="I392">
        <v>1</v>
      </c>
      <c r="J392" s="46">
        <v>1410</v>
      </c>
      <c r="K392" s="50" t="s">
        <v>222</v>
      </c>
      <c r="L392" s="46"/>
      <c r="M392" s="46"/>
    </row>
    <row r="393" spans="2:14" ht="15" customHeight="1" x14ac:dyDescent="0.25">
      <c r="B393" s="5">
        <v>44602</v>
      </c>
      <c r="C393" s="5" t="s">
        <v>177</v>
      </c>
      <c r="D393" s="35">
        <v>2022</v>
      </c>
      <c r="E393" t="s">
        <v>16</v>
      </c>
      <c r="F393" t="s">
        <v>146</v>
      </c>
      <c r="G393" t="s">
        <v>49</v>
      </c>
      <c r="H393" s="92" t="s">
        <v>966</v>
      </c>
      <c r="I393">
        <v>1</v>
      </c>
      <c r="J393" s="46">
        <v>1740</v>
      </c>
      <c r="K393" s="50" t="s">
        <v>222</v>
      </c>
      <c r="L393" s="46"/>
      <c r="M393" s="46"/>
    </row>
    <row r="394" spans="2:14" ht="15" customHeight="1" x14ac:dyDescent="0.25">
      <c r="B394" s="5">
        <v>44602</v>
      </c>
      <c r="C394" s="5" t="s">
        <v>177</v>
      </c>
      <c r="D394" s="35">
        <v>2022</v>
      </c>
      <c r="E394" t="s">
        <v>16</v>
      </c>
      <c r="F394" t="s">
        <v>65</v>
      </c>
      <c r="G394" t="s">
        <v>120</v>
      </c>
      <c r="H394" s="24" t="s">
        <v>968</v>
      </c>
      <c r="I394">
        <v>1</v>
      </c>
      <c r="J394" s="46">
        <v>4350</v>
      </c>
      <c r="K394" s="50" t="s">
        <v>222</v>
      </c>
      <c r="L394" s="46"/>
      <c r="M394" s="46"/>
    </row>
    <row r="395" spans="2:14" ht="15" customHeight="1" x14ac:dyDescent="0.25">
      <c r="B395" s="5">
        <v>44603</v>
      </c>
      <c r="C395" s="5" t="s">
        <v>177</v>
      </c>
      <c r="D395" s="35">
        <v>2022</v>
      </c>
      <c r="E395" t="s">
        <v>22</v>
      </c>
      <c r="F395" t="s">
        <v>236</v>
      </c>
      <c r="G395" t="s">
        <v>128</v>
      </c>
      <c r="H395" s="92" t="s">
        <v>965</v>
      </c>
      <c r="I395">
        <v>1</v>
      </c>
      <c r="J395" s="46">
        <v>1240</v>
      </c>
      <c r="K395" s="50" t="s">
        <v>222</v>
      </c>
      <c r="L395" s="46">
        <v>1240</v>
      </c>
      <c r="M395" s="46"/>
      <c r="N395" s="23"/>
    </row>
    <row r="396" spans="2:14" ht="15" customHeight="1" x14ac:dyDescent="0.25">
      <c r="B396" s="5">
        <v>44603</v>
      </c>
      <c r="C396" s="5" t="s">
        <v>177</v>
      </c>
      <c r="D396" s="35">
        <v>2022</v>
      </c>
      <c r="E396" t="s">
        <v>22</v>
      </c>
      <c r="F396" t="s">
        <v>346</v>
      </c>
      <c r="G396" t="s">
        <v>349</v>
      </c>
      <c r="H396" s="92" t="s">
        <v>978</v>
      </c>
      <c r="I396">
        <v>1</v>
      </c>
      <c r="J396" s="46">
        <v>920</v>
      </c>
      <c r="K396" s="50" t="s">
        <v>222</v>
      </c>
      <c r="L396" s="46">
        <v>920</v>
      </c>
      <c r="M396" s="46"/>
      <c r="N396" s="23"/>
    </row>
    <row r="397" spans="2:14" ht="15" customHeight="1" x14ac:dyDescent="0.25">
      <c r="B397" s="5">
        <v>44603</v>
      </c>
      <c r="C397" s="5" t="s">
        <v>177</v>
      </c>
      <c r="D397" s="35">
        <v>2022</v>
      </c>
      <c r="E397" t="s">
        <v>22</v>
      </c>
      <c r="F397" t="s">
        <v>346</v>
      </c>
      <c r="G397" t="s">
        <v>122</v>
      </c>
      <c r="H397" s="92" t="s">
        <v>973</v>
      </c>
      <c r="I397">
        <v>1</v>
      </c>
      <c r="J397" s="46">
        <v>260</v>
      </c>
      <c r="K397" s="50" t="s">
        <v>222</v>
      </c>
      <c r="L397" s="46">
        <v>260</v>
      </c>
      <c r="M397" s="46"/>
      <c r="N397" s="23"/>
    </row>
    <row r="398" spans="2:14" ht="15" customHeight="1" x14ac:dyDescent="0.25">
      <c r="B398" s="5">
        <v>44603</v>
      </c>
      <c r="C398" s="5" t="s">
        <v>177</v>
      </c>
      <c r="D398" s="35">
        <v>2022</v>
      </c>
      <c r="E398" t="s">
        <v>22</v>
      </c>
      <c r="F398" t="s">
        <v>346</v>
      </c>
      <c r="G398" t="s">
        <v>257</v>
      </c>
      <c r="H398" s="24" t="s">
        <v>976</v>
      </c>
      <c r="I398">
        <v>1</v>
      </c>
      <c r="J398" s="46">
        <v>1350</v>
      </c>
      <c r="K398" s="50" t="s">
        <v>222</v>
      </c>
      <c r="L398" s="46">
        <v>1350</v>
      </c>
      <c r="M398" s="46"/>
      <c r="N398" s="23"/>
    </row>
    <row r="399" spans="2:14" ht="15" customHeight="1" x14ac:dyDescent="0.25">
      <c r="B399" s="5">
        <v>44603</v>
      </c>
      <c r="C399" s="5" t="s">
        <v>177</v>
      </c>
      <c r="D399" s="35">
        <v>2022</v>
      </c>
      <c r="E399" t="s">
        <v>22</v>
      </c>
      <c r="F399" t="s">
        <v>237</v>
      </c>
      <c r="G399" t="s">
        <v>349</v>
      </c>
      <c r="H399" s="92" t="s">
        <v>978</v>
      </c>
      <c r="I399">
        <v>1</v>
      </c>
      <c r="J399" s="46">
        <v>920</v>
      </c>
      <c r="K399" s="50" t="s">
        <v>222</v>
      </c>
      <c r="L399" s="46">
        <v>920</v>
      </c>
      <c r="M399" s="46"/>
      <c r="N399" s="23"/>
    </row>
    <row r="400" spans="2:14" ht="15" customHeight="1" x14ac:dyDescent="0.25">
      <c r="B400" s="5">
        <v>44603</v>
      </c>
      <c r="C400" s="5" t="s">
        <v>177</v>
      </c>
      <c r="D400" s="35">
        <v>2022</v>
      </c>
      <c r="E400" t="s">
        <v>22</v>
      </c>
      <c r="F400" t="s">
        <v>347</v>
      </c>
      <c r="G400" t="s">
        <v>321</v>
      </c>
      <c r="H400" s="92" t="s">
        <v>967</v>
      </c>
      <c r="I400">
        <v>1</v>
      </c>
      <c r="J400" s="46">
        <v>2300</v>
      </c>
      <c r="K400" s="50" t="s">
        <v>222</v>
      </c>
      <c r="L400" s="46">
        <v>2300</v>
      </c>
      <c r="M400" s="46"/>
      <c r="N400" s="23"/>
    </row>
    <row r="401" spans="2:15" ht="15" customHeight="1" x14ac:dyDescent="0.25">
      <c r="B401" s="5">
        <v>44603</v>
      </c>
      <c r="C401" s="5" t="s">
        <v>177</v>
      </c>
      <c r="D401" s="35">
        <v>2022</v>
      </c>
      <c r="E401" t="s">
        <v>22</v>
      </c>
      <c r="F401" t="s">
        <v>348</v>
      </c>
      <c r="G401" t="s">
        <v>257</v>
      </c>
      <c r="H401" s="24" t="s">
        <v>976</v>
      </c>
      <c r="I401">
        <v>30</v>
      </c>
      <c r="J401" s="46">
        <v>40500</v>
      </c>
      <c r="K401" s="50" t="s">
        <v>222</v>
      </c>
      <c r="L401" s="46">
        <v>0</v>
      </c>
      <c r="M401" s="103">
        <v>40500</v>
      </c>
      <c r="O401" t="s">
        <v>625</v>
      </c>
    </row>
    <row r="402" spans="2:15" ht="15" customHeight="1" x14ac:dyDescent="0.25">
      <c r="B402" s="5">
        <v>44603</v>
      </c>
      <c r="C402" s="5" t="s">
        <v>177</v>
      </c>
      <c r="D402" s="35">
        <v>2022</v>
      </c>
      <c r="E402" t="s">
        <v>22</v>
      </c>
      <c r="F402" t="s">
        <v>348</v>
      </c>
      <c r="G402" t="s">
        <v>192</v>
      </c>
      <c r="H402" s="24" t="s">
        <v>976</v>
      </c>
      <c r="I402">
        <v>20</v>
      </c>
      <c r="J402" s="46">
        <v>27400</v>
      </c>
      <c r="K402" s="50" t="s">
        <v>222</v>
      </c>
      <c r="L402" s="46">
        <v>27400</v>
      </c>
      <c r="M402" s="46"/>
      <c r="N402" s="107"/>
    </row>
    <row r="403" spans="2:15" ht="15" customHeight="1" x14ac:dyDescent="0.25">
      <c r="B403" s="5">
        <v>44603</v>
      </c>
      <c r="C403" s="5" t="s">
        <v>177</v>
      </c>
      <c r="D403" s="35">
        <v>2022</v>
      </c>
      <c r="E403" t="s">
        <v>22</v>
      </c>
      <c r="F403" t="s">
        <v>93</v>
      </c>
      <c r="G403" t="s">
        <v>120</v>
      </c>
      <c r="H403" s="24" t="s">
        <v>968</v>
      </c>
      <c r="I403">
        <v>1</v>
      </c>
      <c r="J403" s="46">
        <v>4350</v>
      </c>
      <c r="K403" s="50" t="s">
        <v>222</v>
      </c>
      <c r="L403" s="46">
        <v>4350</v>
      </c>
      <c r="M403" s="46"/>
      <c r="N403" s="23"/>
    </row>
    <row r="404" spans="2:15" ht="15" customHeight="1" x14ac:dyDescent="0.25">
      <c r="B404" s="5">
        <v>44603</v>
      </c>
      <c r="C404" s="5" t="s">
        <v>177</v>
      </c>
      <c r="D404" s="35">
        <v>2022</v>
      </c>
      <c r="E404" t="s">
        <v>356</v>
      </c>
      <c r="F404" t="s">
        <v>350</v>
      </c>
      <c r="G404" t="s">
        <v>58</v>
      </c>
      <c r="H404" s="92" t="s">
        <v>969</v>
      </c>
      <c r="I404">
        <v>1</v>
      </c>
      <c r="J404" s="46">
        <v>2530</v>
      </c>
      <c r="K404" s="50" t="s">
        <v>222</v>
      </c>
      <c r="L404" s="46">
        <v>2530</v>
      </c>
      <c r="M404" s="46"/>
    </row>
    <row r="405" spans="2:15" ht="15" customHeight="1" x14ac:dyDescent="0.25">
      <c r="B405" s="5">
        <v>44603</v>
      </c>
      <c r="C405" s="5" t="s">
        <v>177</v>
      </c>
      <c r="D405" s="35">
        <v>2022</v>
      </c>
      <c r="E405" t="s">
        <v>356</v>
      </c>
      <c r="F405" t="s">
        <v>351</v>
      </c>
      <c r="G405" t="s">
        <v>120</v>
      </c>
      <c r="H405" s="24" t="s">
        <v>968</v>
      </c>
      <c r="I405">
        <v>2</v>
      </c>
      <c r="J405" s="46">
        <v>8700</v>
      </c>
      <c r="K405" s="50" t="s">
        <v>222</v>
      </c>
      <c r="L405" s="46">
        <v>8700</v>
      </c>
      <c r="M405" s="46"/>
    </row>
    <row r="406" spans="2:15" ht="15" customHeight="1" x14ac:dyDescent="0.25">
      <c r="B406" s="5">
        <v>44603</v>
      </c>
      <c r="C406" s="5" t="s">
        <v>177</v>
      </c>
      <c r="D406" s="35">
        <v>2022</v>
      </c>
      <c r="E406" t="s">
        <v>356</v>
      </c>
      <c r="F406" t="s">
        <v>352</v>
      </c>
      <c r="G406" t="s">
        <v>126</v>
      </c>
      <c r="H406" s="92" t="s">
        <v>965</v>
      </c>
      <c r="I406">
        <v>1</v>
      </c>
      <c r="J406" s="46">
        <v>1410</v>
      </c>
      <c r="K406" s="50" t="s">
        <v>222</v>
      </c>
      <c r="L406" s="46">
        <v>1410</v>
      </c>
      <c r="M406" s="46"/>
    </row>
    <row r="407" spans="2:15" ht="15" customHeight="1" x14ac:dyDescent="0.25">
      <c r="B407" s="5">
        <v>44603</v>
      </c>
      <c r="C407" s="5" t="s">
        <v>177</v>
      </c>
      <c r="D407" s="35">
        <v>2022</v>
      </c>
      <c r="E407" t="s">
        <v>356</v>
      </c>
      <c r="F407" t="s">
        <v>187</v>
      </c>
      <c r="G407" s="24" t="s">
        <v>192</v>
      </c>
      <c r="H407" s="24" t="s">
        <v>976</v>
      </c>
      <c r="I407">
        <v>1</v>
      </c>
      <c r="J407" s="46">
        <v>1350</v>
      </c>
      <c r="K407" s="50" t="s">
        <v>222</v>
      </c>
      <c r="L407" s="46">
        <v>1350</v>
      </c>
      <c r="M407" s="46"/>
    </row>
    <row r="408" spans="2:15" ht="15" customHeight="1" x14ac:dyDescent="0.25">
      <c r="B408" s="5">
        <v>44603</v>
      </c>
      <c r="C408" s="5" t="s">
        <v>177</v>
      </c>
      <c r="D408" s="35">
        <v>2022</v>
      </c>
      <c r="E408" t="s">
        <v>356</v>
      </c>
      <c r="F408" t="s">
        <v>187</v>
      </c>
      <c r="G408" t="s">
        <v>128</v>
      </c>
      <c r="H408" s="92" t="s">
        <v>965</v>
      </c>
      <c r="I408">
        <v>1</v>
      </c>
      <c r="J408" s="46">
        <v>1240</v>
      </c>
      <c r="K408" s="50" t="s">
        <v>222</v>
      </c>
      <c r="L408" s="46">
        <v>1240</v>
      </c>
      <c r="M408" s="46"/>
    </row>
    <row r="409" spans="2:15" ht="15" customHeight="1" x14ac:dyDescent="0.25">
      <c r="B409" s="5">
        <v>44603</v>
      </c>
      <c r="C409" s="5" t="s">
        <v>177</v>
      </c>
      <c r="D409" s="35">
        <v>2022</v>
      </c>
      <c r="E409" t="s">
        <v>356</v>
      </c>
      <c r="F409" t="s">
        <v>311</v>
      </c>
      <c r="G409" t="s">
        <v>120</v>
      </c>
      <c r="H409" s="24" t="s">
        <v>968</v>
      </c>
      <c r="I409">
        <v>3</v>
      </c>
      <c r="J409" s="46">
        <v>13050</v>
      </c>
      <c r="K409" s="50" t="s">
        <v>222</v>
      </c>
      <c r="L409" s="46">
        <v>13050</v>
      </c>
      <c r="M409" s="46"/>
    </row>
    <row r="410" spans="2:15" ht="15" customHeight="1" x14ac:dyDescent="0.25">
      <c r="B410" s="5">
        <v>44603</v>
      </c>
      <c r="C410" s="5" t="s">
        <v>177</v>
      </c>
      <c r="D410" s="35">
        <v>2022</v>
      </c>
      <c r="E410" t="s">
        <v>356</v>
      </c>
      <c r="F410" t="s">
        <v>311</v>
      </c>
      <c r="G410" t="s">
        <v>58</v>
      </c>
      <c r="H410" s="92" t="s">
        <v>969</v>
      </c>
      <c r="I410">
        <v>1</v>
      </c>
      <c r="J410">
        <v>2530</v>
      </c>
      <c r="K410" s="50" t="s">
        <v>222</v>
      </c>
      <c r="L410">
        <v>2530</v>
      </c>
    </row>
    <row r="411" spans="2:15" ht="15" customHeight="1" x14ac:dyDescent="0.25">
      <c r="B411" s="5">
        <v>44603</v>
      </c>
      <c r="C411" s="5" t="s">
        <v>177</v>
      </c>
      <c r="D411" s="35">
        <v>2022</v>
      </c>
      <c r="E411" t="s">
        <v>356</v>
      </c>
      <c r="F411" t="s">
        <v>311</v>
      </c>
      <c r="G411" t="s">
        <v>50</v>
      </c>
      <c r="H411" s="92" t="s">
        <v>969</v>
      </c>
      <c r="I411">
        <v>1</v>
      </c>
      <c r="J411">
        <v>2530</v>
      </c>
      <c r="K411" s="50" t="s">
        <v>222</v>
      </c>
      <c r="L411">
        <v>2530</v>
      </c>
    </row>
    <row r="412" spans="2:15" ht="15" customHeight="1" x14ac:dyDescent="0.25">
      <c r="B412" s="5">
        <v>44603</v>
      </c>
      <c r="C412" s="5" t="s">
        <v>177</v>
      </c>
      <c r="D412" s="35">
        <v>2022</v>
      </c>
      <c r="E412" t="s">
        <v>356</v>
      </c>
      <c r="F412" t="s">
        <v>267</v>
      </c>
      <c r="G412" t="s">
        <v>249</v>
      </c>
      <c r="H412" s="92" t="s">
        <v>972</v>
      </c>
      <c r="I412">
        <v>1</v>
      </c>
      <c r="J412" s="46">
        <v>1095</v>
      </c>
      <c r="K412" s="50" t="s">
        <v>222</v>
      </c>
      <c r="L412" s="46">
        <v>1095</v>
      </c>
      <c r="M412" s="46"/>
      <c r="N412" s="23"/>
    </row>
    <row r="413" spans="2:15" ht="15" customHeight="1" x14ac:dyDescent="0.25">
      <c r="B413" s="5">
        <v>44603</v>
      </c>
      <c r="C413" s="5" t="s">
        <v>177</v>
      </c>
      <c r="D413" s="35">
        <v>2022</v>
      </c>
      <c r="E413" t="s">
        <v>356</v>
      </c>
      <c r="F413" t="s">
        <v>267</v>
      </c>
      <c r="G413" s="24" t="s">
        <v>192</v>
      </c>
      <c r="H413" s="24" t="s">
        <v>976</v>
      </c>
      <c r="I413">
        <v>1</v>
      </c>
      <c r="J413" s="46">
        <v>1350</v>
      </c>
      <c r="K413" s="50" t="s">
        <v>222</v>
      </c>
      <c r="L413" s="46">
        <v>1350</v>
      </c>
      <c r="M413" s="46"/>
      <c r="N413" s="23"/>
    </row>
    <row r="414" spans="2:15" ht="15" customHeight="1" x14ac:dyDescent="0.25">
      <c r="B414" s="5">
        <v>44603</v>
      </c>
      <c r="C414" s="5" t="s">
        <v>177</v>
      </c>
      <c r="D414" s="35">
        <v>2022</v>
      </c>
      <c r="E414" t="s">
        <v>356</v>
      </c>
      <c r="F414" t="s">
        <v>267</v>
      </c>
      <c r="G414" t="s">
        <v>195</v>
      </c>
      <c r="H414" s="92" t="s">
        <v>977</v>
      </c>
      <c r="I414">
        <v>1</v>
      </c>
      <c r="J414" s="46">
        <v>3310</v>
      </c>
      <c r="K414" s="50" t="s">
        <v>222</v>
      </c>
      <c r="L414" s="46">
        <v>3310</v>
      </c>
      <c r="M414" s="46"/>
      <c r="N414" s="23"/>
    </row>
    <row r="415" spans="2:15" ht="15" customHeight="1" x14ac:dyDescent="0.25">
      <c r="B415" s="5">
        <v>44603</v>
      </c>
      <c r="C415" s="5" t="s">
        <v>177</v>
      </c>
      <c r="D415" s="35">
        <v>2022</v>
      </c>
      <c r="E415" t="s">
        <v>356</v>
      </c>
      <c r="F415" t="s">
        <v>353</v>
      </c>
      <c r="G415" t="s">
        <v>321</v>
      </c>
      <c r="H415" s="92" t="s">
        <v>967</v>
      </c>
      <c r="I415">
        <v>1</v>
      </c>
      <c r="J415" s="46">
        <v>2300</v>
      </c>
      <c r="K415" s="50" t="s">
        <v>222</v>
      </c>
      <c r="L415" s="46">
        <v>2300</v>
      </c>
      <c r="M415" s="46"/>
      <c r="N415" s="23"/>
    </row>
    <row r="416" spans="2:15" ht="15" customHeight="1" x14ac:dyDescent="0.25">
      <c r="B416" s="5">
        <v>44603</v>
      </c>
      <c r="C416" s="5" t="s">
        <v>177</v>
      </c>
      <c r="D416" s="35">
        <v>2022</v>
      </c>
      <c r="E416" t="s">
        <v>356</v>
      </c>
      <c r="F416" t="s">
        <v>354</v>
      </c>
      <c r="G416" t="s">
        <v>58</v>
      </c>
      <c r="H416" s="92" t="s">
        <v>969</v>
      </c>
      <c r="I416">
        <v>1</v>
      </c>
      <c r="J416" s="46">
        <v>2530</v>
      </c>
      <c r="K416" s="50" t="s">
        <v>222</v>
      </c>
      <c r="L416" s="46">
        <v>2530</v>
      </c>
      <c r="M416" s="46"/>
      <c r="N416" s="23"/>
    </row>
    <row r="417" spans="2:14" ht="15" customHeight="1" x14ac:dyDescent="0.25">
      <c r="B417" s="5">
        <v>44603</v>
      </c>
      <c r="C417" s="5" t="s">
        <v>177</v>
      </c>
      <c r="D417" s="35">
        <v>2022</v>
      </c>
      <c r="E417" t="s">
        <v>356</v>
      </c>
      <c r="F417" t="s">
        <v>191</v>
      </c>
      <c r="G417" t="s">
        <v>274</v>
      </c>
      <c r="H417" s="92" t="s">
        <v>966</v>
      </c>
      <c r="I417">
        <v>1</v>
      </c>
      <c r="J417" s="46">
        <v>1760</v>
      </c>
      <c r="K417" s="50" t="s">
        <v>222</v>
      </c>
      <c r="L417" s="46">
        <v>1760</v>
      </c>
      <c r="M417" s="46"/>
      <c r="N417" s="23"/>
    </row>
    <row r="418" spans="2:14" ht="15" customHeight="1" x14ac:dyDescent="0.25">
      <c r="B418" s="5">
        <v>44603</v>
      </c>
      <c r="C418" s="5" t="s">
        <v>177</v>
      </c>
      <c r="D418" s="35">
        <v>2022</v>
      </c>
      <c r="E418" t="s">
        <v>356</v>
      </c>
      <c r="F418" t="s">
        <v>355</v>
      </c>
      <c r="G418" t="s">
        <v>58</v>
      </c>
      <c r="H418" s="92" t="s">
        <v>969</v>
      </c>
      <c r="I418">
        <v>2</v>
      </c>
      <c r="J418" s="46">
        <v>5060</v>
      </c>
      <c r="K418" s="50" t="s">
        <v>222</v>
      </c>
      <c r="L418" s="46">
        <v>5060</v>
      </c>
      <c r="M418" s="46"/>
      <c r="N418" s="23"/>
    </row>
    <row r="419" spans="2:14" ht="15" customHeight="1" x14ac:dyDescent="0.25">
      <c r="B419" s="5">
        <v>44603</v>
      </c>
      <c r="C419" s="5" t="s">
        <v>177</v>
      </c>
      <c r="D419" s="35">
        <v>2022</v>
      </c>
      <c r="E419" t="s">
        <v>11</v>
      </c>
      <c r="F419" t="s">
        <v>278</v>
      </c>
      <c r="G419" t="s">
        <v>269</v>
      </c>
      <c r="H419" s="92" t="s">
        <v>983</v>
      </c>
      <c r="I419">
        <v>1</v>
      </c>
      <c r="J419" s="46">
        <v>290</v>
      </c>
      <c r="K419" s="50" t="s">
        <v>222</v>
      </c>
      <c r="L419" s="46">
        <v>290</v>
      </c>
      <c r="M419" s="46"/>
      <c r="N419" s="23"/>
    </row>
    <row r="420" spans="2:14" ht="15" customHeight="1" x14ac:dyDescent="0.25">
      <c r="B420" s="5">
        <v>44603</v>
      </c>
      <c r="C420" s="5" t="s">
        <v>177</v>
      </c>
      <c r="D420" s="35">
        <v>2022</v>
      </c>
      <c r="E420" t="s">
        <v>11</v>
      </c>
      <c r="F420" t="s">
        <v>278</v>
      </c>
      <c r="G420" t="s">
        <v>55</v>
      </c>
      <c r="H420" s="92" t="s">
        <v>965</v>
      </c>
      <c r="I420">
        <v>1</v>
      </c>
      <c r="J420" s="46">
        <v>1390</v>
      </c>
      <c r="K420" s="50" t="s">
        <v>222</v>
      </c>
      <c r="L420" s="46">
        <v>1390</v>
      </c>
      <c r="M420" s="46"/>
      <c r="N420" s="23"/>
    </row>
    <row r="421" spans="2:14" ht="15" customHeight="1" x14ac:dyDescent="0.25">
      <c r="B421" s="5">
        <v>44603</v>
      </c>
      <c r="C421" s="5" t="s">
        <v>177</v>
      </c>
      <c r="D421" s="35">
        <v>2022</v>
      </c>
      <c r="E421" t="s">
        <v>11</v>
      </c>
      <c r="F421" t="s">
        <v>357</v>
      </c>
      <c r="G421" t="s">
        <v>249</v>
      </c>
      <c r="H421" s="92" t="s">
        <v>972</v>
      </c>
      <c r="I421">
        <v>1</v>
      </c>
      <c r="J421" s="46">
        <v>1080</v>
      </c>
      <c r="K421" s="50" t="s">
        <v>222</v>
      </c>
      <c r="L421" s="46">
        <v>1080</v>
      </c>
      <c r="M421" s="46"/>
      <c r="N421" s="23"/>
    </row>
    <row r="422" spans="2:14" ht="15" customHeight="1" x14ac:dyDescent="0.25">
      <c r="B422" s="5">
        <v>44603</v>
      </c>
      <c r="C422" s="5" t="s">
        <v>177</v>
      </c>
      <c r="D422" s="35">
        <v>2022</v>
      </c>
      <c r="E422" t="s">
        <v>11</v>
      </c>
      <c r="F422" t="s">
        <v>358</v>
      </c>
      <c r="G422" s="24" t="s">
        <v>192</v>
      </c>
      <c r="H422" s="24" t="s">
        <v>976</v>
      </c>
      <c r="I422">
        <v>1</v>
      </c>
      <c r="J422" s="46">
        <v>1350</v>
      </c>
      <c r="K422" s="50" t="s">
        <v>222</v>
      </c>
      <c r="L422" s="46">
        <v>1350</v>
      </c>
      <c r="M422" s="46"/>
      <c r="N422" s="23"/>
    </row>
    <row r="423" spans="2:14" ht="15" customHeight="1" x14ac:dyDescent="0.25">
      <c r="B423" s="5">
        <v>44603</v>
      </c>
      <c r="C423" s="5" t="s">
        <v>177</v>
      </c>
      <c r="D423" s="35">
        <v>2022</v>
      </c>
      <c r="E423" t="s">
        <v>11</v>
      </c>
      <c r="F423" t="s">
        <v>358</v>
      </c>
      <c r="G423" t="s">
        <v>269</v>
      </c>
      <c r="H423" s="92" t="s">
        <v>983</v>
      </c>
      <c r="I423">
        <v>1</v>
      </c>
      <c r="J423" s="46">
        <v>290</v>
      </c>
      <c r="K423" s="50" t="s">
        <v>222</v>
      </c>
      <c r="L423" s="46">
        <v>290</v>
      </c>
      <c r="M423" s="46"/>
      <c r="N423" s="23"/>
    </row>
    <row r="424" spans="2:14" ht="15" customHeight="1" x14ac:dyDescent="0.25">
      <c r="B424" s="5">
        <v>44603</v>
      </c>
      <c r="C424" s="5" t="s">
        <v>177</v>
      </c>
      <c r="D424" s="35">
        <v>2022</v>
      </c>
      <c r="E424" t="s">
        <v>11</v>
      </c>
      <c r="F424" t="s">
        <v>358</v>
      </c>
      <c r="G424" t="s">
        <v>122</v>
      </c>
      <c r="H424" s="92" t="s">
        <v>973</v>
      </c>
      <c r="I424">
        <v>1</v>
      </c>
      <c r="J424" s="46">
        <v>260</v>
      </c>
      <c r="K424" s="50" t="s">
        <v>222</v>
      </c>
      <c r="L424" s="46">
        <v>260</v>
      </c>
      <c r="M424" s="46"/>
      <c r="N424" s="23"/>
    </row>
    <row r="425" spans="2:14" ht="15" customHeight="1" x14ac:dyDescent="0.25">
      <c r="B425" s="5">
        <v>44603</v>
      </c>
      <c r="C425" s="5" t="s">
        <v>177</v>
      </c>
      <c r="D425" s="35">
        <v>2022</v>
      </c>
      <c r="E425" t="s">
        <v>11</v>
      </c>
      <c r="F425" t="s">
        <v>358</v>
      </c>
      <c r="G425" t="s">
        <v>364</v>
      </c>
      <c r="H425" s="92" t="s">
        <v>972</v>
      </c>
      <c r="I425">
        <v>1</v>
      </c>
      <c r="J425" s="46">
        <v>600</v>
      </c>
      <c r="K425" s="50" t="s">
        <v>222</v>
      </c>
      <c r="L425" s="46">
        <v>600</v>
      </c>
      <c r="M425" s="46"/>
      <c r="N425" s="23"/>
    </row>
    <row r="426" spans="2:14" ht="15" customHeight="1" x14ac:dyDescent="0.25">
      <c r="B426" s="5">
        <v>44603</v>
      </c>
      <c r="C426" s="5" t="s">
        <v>177</v>
      </c>
      <c r="D426" s="35">
        <v>2022</v>
      </c>
      <c r="E426" t="s">
        <v>11</v>
      </c>
      <c r="F426" t="s">
        <v>359</v>
      </c>
      <c r="G426" t="s">
        <v>125</v>
      </c>
      <c r="H426" s="92" t="s">
        <v>971</v>
      </c>
      <c r="I426">
        <v>1</v>
      </c>
      <c r="J426" s="46">
        <v>510</v>
      </c>
      <c r="K426" s="50" t="s">
        <v>222</v>
      </c>
      <c r="L426" s="46">
        <v>510</v>
      </c>
      <c r="M426" s="46"/>
      <c r="N426" s="23"/>
    </row>
    <row r="427" spans="2:14" ht="15" customHeight="1" x14ac:dyDescent="0.25">
      <c r="B427" s="5">
        <v>44603</v>
      </c>
      <c r="C427" s="5" t="s">
        <v>177</v>
      </c>
      <c r="D427" s="35">
        <v>2022</v>
      </c>
      <c r="E427" t="s">
        <v>11</v>
      </c>
      <c r="F427" t="s">
        <v>360</v>
      </c>
      <c r="G427" t="s">
        <v>49</v>
      </c>
      <c r="H427" s="92" t="s">
        <v>966</v>
      </c>
      <c r="I427">
        <v>1</v>
      </c>
      <c r="J427" s="46">
        <v>1740</v>
      </c>
      <c r="K427" s="50" t="s">
        <v>222</v>
      </c>
      <c r="L427" s="46">
        <v>1740</v>
      </c>
      <c r="M427" s="46"/>
      <c r="N427" s="23"/>
    </row>
    <row r="428" spans="2:14" ht="15" customHeight="1" x14ac:dyDescent="0.25">
      <c r="B428" s="5">
        <v>44603</v>
      </c>
      <c r="C428" s="5" t="s">
        <v>177</v>
      </c>
      <c r="D428" s="35">
        <v>2022</v>
      </c>
      <c r="E428" t="s">
        <v>11</v>
      </c>
      <c r="F428" t="s">
        <v>361</v>
      </c>
      <c r="G428" t="s">
        <v>257</v>
      </c>
      <c r="H428" s="24" t="s">
        <v>976</v>
      </c>
      <c r="I428">
        <v>1</v>
      </c>
      <c r="J428" s="46">
        <v>1350</v>
      </c>
      <c r="K428" s="50" t="s">
        <v>222</v>
      </c>
      <c r="L428" s="46">
        <v>1350</v>
      </c>
      <c r="M428" s="46"/>
      <c r="N428" s="23"/>
    </row>
    <row r="429" spans="2:14" ht="15" customHeight="1" x14ac:dyDescent="0.25">
      <c r="B429" s="5">
        <v>44603</v>
      </c>
      <c r="C429" s="5" t="s">
        <v>177</v>
      </c>
      <c r="D429" s="35">
        <v>2022</v>
      </c>
      <c r="E429" t="s">
        <v>11</v>
      </c>
      <c r="F429" t="s">
        <v>361</v>
      </c>
      <c r="G429" t="s">
        <v>122</v>
      </c>
      <c r="H429" s="92" t="s">
        <v>973</v>
      </c>
      <c r="I429">
        <v>1</v>
      </c>
      <c r="J429" s="46">
        <v>260</v>
      </c>
      <c r="K429" s="50" t="s">
        <v>222</v>
      </c>
      <c r="L429" s="46">
        <v>260</v>
      </c>
      <c r="M429" s="46"/>
      <c r="N429" s="23"/>
    </row>
    <row r="430" spans="2:14" ht="15" customHeight="1" x14ac:dyDescent="0.25">
      <c r="B430" s="5">
        <v>44603</v>
      </c>
      <c r="C430" s="5" t="s">
        <v>177</v>
      </c>
      <c r="D430" s="35">
        <v>2022</v>
      </c>
      <c r="E430" t="s">
        <v>11</v>
      </c>
      <c r="F430" t="s">
        <v>362</v>
      </c>
      <c r="G430" t="s">
        <v>125</v>
      </c>
      <c r="H430" s="92" t="s">
        <v>971</v>
      </c>
      <c r="I430">
        <v>1</v>
      </c>
      <c r="J430" s="46">
        <v>510</v>
      </c>
      <c r="K430" s="50" t="s">
        <v>222</v>
      </c>
      <c r="L430" s="46">
        <v>510</v>
      </c>
      <c r="M430" s="46"/>
      <c r="N430" s="23"/>
    </row>
    <row r="431" spans="2:14" ht="15" customHeight="1" x14ac:dyDescent="0.25">
      <c r="B431" s="5">
        <v>44603</v>
      </c>
      <c r="C431" s="5" t="s">
        <v>177</v>
      </c>
      <c r="D431" s="35">
        <v>2022</v>
      </c>
      <c r="E431" t="s">
        <v>11</v>
      </c>
      <c r="F431" t="s">
        <v>362</v>
      </c>
      <c r="G431" t="s">
        <v>121</v>
      </c>
      <c r="H431" s="92" t="s">
        <v>982</v>
      </c>
      <c r="I431">
        <v>1</v>
      </c>
      <c r="J431" s="46">
        <v>230</v>
      </c>
      <c r="K431" s="50" t="s">
        <v>222</v>
      </c>
      <c r="L431" s="46">
        <v>230</v>
      </c>
      <c r="M431" s="46"/>
      <c r="N431" s="23"/>
    </row>
    <row r="432" spans="2:14" ht="15" customHeight="1" x14ac:dyDescent="0.25">
      <c r="B432" s="5">
        <v>44603</v>
      </c>
      <c r="C432" s="5" t="s">
        <v>177</v>
      </c>
      <c r="D432" s="35">
        <v>2022</v>
      </c>
      <c r="E432" t="s">
        <v>11</v>
      </c>
      <c r="F432" t="s">
        <v>362</v>
      </c>
      <c r="G432" t="s">
        <v>45</v>
      </c>
      <c r="H432" s="92" t="s">
        <v>965</v>
      </c>
      <c r="I432">
        <v>1</v>
      </c>
      <c r="J432" s="46">
        <v>1390</v>
      </c>
      <c r="K432" s="50" t="s">
        <v>222</v>
      </c>
      <c r="L432" s="46">
        <v>1390</v>
      </c>
      <c r="M432" s="46"/>
      <c r="N432" s="23"/>
    </row>
    <row r="433" spans="2:14" ht="15" customHeight="1" x14ac:dyDescent="0.25">
      <c r="B433" s="5">
        <v>44603</v>
      </c>
      <c r="C433" s="5" t="s">
        <v>177</v>
      </c>
      <c r="D433" s="35">
        <v>2022</v>
      </c>
      <c r="E433" t="s">
        <v>11</v>
      </c>
      <c r="F433" t="s">
        <v>363</v>
      </c>
      <c r="G433" t="s">
        <v>432</v>
      </c>
      <c r="H433" s="24" t="s">
        <v>976</v>
      </c>
      <c r="I433">
        <v>1</v>
      </c>
      <c r="J433" s="46">
        <v>3580</v>
      </c>
      <c r="K433" s="50" t="s">
        <v>222</v>
      </c>
      <c r="L433" s="46">
        <v>3580</v>
      </c>
      <c r="M433" s="46"/>
      <c r="N433" s="23"/>
    </row>
    <row r="434" spans="2:14" ht="15" customHeight="1" x14ac:dyDescent="0.25">
      <c r="B434" s="5">
        <v>44603</v>
      </c>
      <c r="C434" s="5" t="s">
        <v>177</v>
      </c>
      <c r="D434" s="35">
        <v>2022</v>
      </c>
      <c r="E434" t="s">
        <v>111</v>
      </c>
      <c r="F434" t="s">
        <v>365</v>
      </c>
      <c r="G434" t="s">
        <v>128</v>
      </c>
      <c r="H434" s="92" t="s">
        <v>965</v>
      </c>
      <c r="I434">
        <v>1</v>
      </c>
      <c r="J434" s="46">
        <v>1240</v>
      </c>
      <c r="K434" s="50" t="s">
        <v>222</v>
      </c>
      <c r="L434" s="46">
        <v>1240</v>
      </c>
      <c r="M434" s="46"/>
      <c r="N434" s="23"/>
    </row>
    <row r="435" spans="2:14" ht="15" customHeight="1" x14ac:dyDescent="0.25">
      <c r="B435" s="5">
        <v>44603</v>
      </c>
      <c r="C435" s="5" t="s">
        <v>177</v>
      </c>
      <c r="D435" s="35">
        <v>2022</v>
      </c>
      <c r="E435" t="s">
        <v>111</v>
      </c>
      <c r="F435" t="s">
        <v>366</v>
      </c>
      <c r="G435" t="s">
        <v>49</v>
      </c>
      <c r="H435" s="92" t="s">
        <v>966</v>
      </c>
      <c r="I435">
        <v>1</v>
      </c>
      <c r="J435" s="46">
        <v>1740</v>
      </c>
      <c r="K435" s="50" t="s">
        <v>222</v>
      </c>
      <c r="L435" s="46">
        <v>1740</v>
      </c>
      <c r="M435" s="46"/>
      <c r="N435" s="23"/>
    </row>
    <row r="436" spans="2:14" ht="15" customHeight="1" x14ac:dyDescent="0.25">
      <c r="B436" s="5">
        <v>44603</v>
      </c>
      <c r="C436" s="5" t="s">
        <v>177</v>
      </c>
      <c r="D436" s="35">
        <v>2022</v>
      </c>
      <c r="E436" t="s">
        <v>111</v>
      </c>
      <c r="F436" t="s">
        <v>367</v>
      </c>
      <c r="G436" t="s">
        <v>50</v>
      </c>
      <c r="H436" s="92" t="s">
        <v>969</v>
      </c>
      <c r="I436">
        <v>1</v>
      </c>
      <c r="J436" s="46">
        <v>2530</v>
      </c>
      <c r="K436" s="50" t="s">
        <v>222</v>
      </c>
      <c r="L436" s="46">
        <v>2530</v>
      </c>
      <c r="M436" s="46"/>
      <c r="N436" s="23"/>
    </row>
    <row r="437" spans="2:14" ht="15" customHeight="1" x14ac:dyDescent="0.25">
      <c r="B437" s="5">
        <v>44603</v>
      </c>
      <c r="C437" s="5" t="s">
        <v>177</v>
      </c>
      <c r="D437" s="35">
        <v>2022</v>
      </c>
      <c r="E437" t="s">
        <v>111</v>
      </c>
      <c r="F437" t="s">
        <v>322</v>
      </c>
      <c r="G437" t="s">
        <v>45</v>
      </c>
      <c r="H437" s="92" t="s">
        <v>965</v>
      </c>
      <c r="I437">
        <v>1</v>
      </c>
      <c r="J437" s="46">
        <v>1390</v>
      </c>
      <c r="K437" s="50" t="s">
        <v>222</v>
      </c>
      <c r="L437" s="46">
        <v>1390</v>
      </c>
      <c r="M437" s="46"/>
      <c r="N437" s="23"/>
    </row>
    <row r="438" spans="2:14" ht="15" customHeight="1" x14ac:dyDescent="0.25">
      <c r="B438" s="5">
        <v>44603</v>
      </c>
      <c r="C438" s="5" t="s">
        <v>177</v>
      </c>
      <c r="D438" s="35">
        <v>2022</v>
      </c>
      <c r="E438" t="s">
        <v>111</v>
      </c>
      <c r="F438" t="s">
        <v>322</v>
      </c>
      <c r="G438" t="s">
        <v>55</v>
      </c>
      <c r="H438" s="92" t="s">
        <v>965</v>
      </c>
      <c r="I438">
        <v>1</v>
      </c>
      <c r="J438" s="46">
        <v>1390</v>
      </c>
      <c r="K438" s="50" t="s">
        <v>222</v>
      </c>
      <c r="L438" s="46">
        <v>1390</v>
      </c>
      <c r="M438" s="46"/>
      <c r="N438" s="23"/>
    </row>
    <row r="439" spans="2:14" ht="15" customHeight="1" x14ac:dyDescent="0.25">
      <c r="B439" s="5">
        <v>44603</v>
      </c>
      <c r="C439" s="5" t="s">
        <v>177</v>
      </c>
      <c r="D439" s="35">
        <v>2022</v>
      </c>
      <c r="E439" t="s">
        <v>111</v>
      </c>
      <c r="F439" t="s">
        <v>211</v>
      </c>
      <c r="G439" t="s">
        <v>49</v>
      </c>
      <c r="H439" s="92" t="s">
        <v>966</v>
      </c>
      <c r="I439">
        <v>1</v>
      </c>
      <c r="J439" s="46">
        <v>1740</v>
      </c>
      <c r="K439" s="50" t="s">
        <v>222</v>
      </c>
      <c r="L439" s="46">
        <v>1740</v>
      </c>
      <c r="M439" s="46"/>
      <c r="N439" s="23"/>
    </row>
    <row r="440" spans="2:14" ht="15" customHeight="1" x14ac:dyDescent="0.25">
      <c r="B440" s="5">
        <v>44603</v>
      </c>
      <c r="C440" s="5" t="s">
        <v>177</v>
      </c>
      <c r="D440" s="35">
        <v>2022</v>
      </c>
      <c r="E440" t="s">
        <v>111</v>
      </c>
      <c r="F440" t="s">
        <v>368</v>
      </c>
      <c r="G440" t="s">
        <v>257</v>
      </c>
      <c r="H440" s="24" t="s">
        <v>976</v>
      </c>
      <c r="I440">
        <v>1</v>
      </c>
      <c r="J440" s="46">
        <v>1350</v>
      </c>
      <c r="K440" s="50" t="s">
        <v>222</v>
      </c>
      <c r="L440" s="46">
        <v>1350</v>
      </c>
      <c r="M440" s="46"/>
      <c r="N440" s="23"/>
    </row>
    <row r="441" spans="2:14" ht="15" customHeight="1" x14ac:dyDescent="0.25">
      <c r="B441" s="5">
        <v>44603</v>
      </c>
      <c r="C441" s="5" t="s">
        <v>177</v>
      </c>
      <c r="D441" s="35">
        <v>2022</v>
      </c>
      <c r="E441" t="s">
        <v>111</v>
      </c>
      <c r="F441" t="s">
        <v>216</v>
      </c>
      <c r="G441" t="s">
        <v>130</v>
      </c>
      <c r="H441" s="92" t="s">
        <v>978</v>
      </c>
      <c r="I441">
        <v>1</v>
      </c>
      <c r="J441" s="46">
        <v>830</v>
      </c>
      <c r="K441" s="50" t="s">
        <v>222</v>
      </c>
      <c r="L441" s="46">
        <v>830</v>
      </c>
      <c r="M441" s="46"/>
      <c r="N441" s="23"/>
    </row>
    <row r="442" spans="2:14" ht="15" customHeight="1" x14ac:dyDescent="0.25">
      <c r="B442" s="5">
        <v>44603</v>
      </c>
      <c r="C442" s="5" t="s">
        <v>177</v>
      </c>
      <c r="D442" s="35">
        <v>2022</v>
      </c>
      <c r="E442" t="s">
        <v>111</v>
      </c>
      <c r="F442" t="s">
        <v>216</v>
      </c>
      <c r="G442" t="s">
        <v>55</v>
      </c>
      <c r="H442" s="92" t="s">
        <v>965</v>
      </c>
      <c r="I442">
        <v>2</v>
      </c>
      <c r="J442" s="46">
        <v>2780</v>
      </c>
      <c r="K442" s="50" t="s">
        <v>222</v>
      </c>
      <c r="L442" s="46">
        <v>2780</v>
      </c>
      <c r="M442" s="46"/>
      <c r="N442" s="23"/>
    </row>
    <row r="443" spans="2:14" ht="15" customHeight="1" x14ac:dyDescent="0.25">
      <c r="B443" s="5">
        <v>44603</v>
      </c>
      <c r="C443" s="5" t="s">
        <v>177</v>
      </c>
      <c r="D443" s="35">
        <v>2022</v>
      </c>
      <c r="E443" t="s">
        <v>111</v>
      </c>
      <c r="F443" t="s">
        <v>369</v>
      </c>
      <c r="G443" t="s">
        <v>257</v>
      </c>
      <c r="H443" s="24" t="s">
        <v>976</v>
      </c>
      <c r="I443">
        <v>1</v>
      </c>
      <c r="J443" s="46">
        <v>1350</v>
      </c>
      <c r="K443" s="50" t="s">
        <v>222</v>
      </c>
      <c r="L443" s="46">
        <v>1350</v>
      </c>
      <c r="M443" s="46"/>
      <c r="N443" s="23"/>
    </row>
    <row r="444" spans="2:14" ht="15" customHeight="1" x14ac:dyDescent="0.25">
      <c r="B444" s="5">
        <v>44603</v>
      </c>
      <c r="C444" s="5" t="s">
        <v>177</v>
      </c>
      <c r="D444" s="35">
        <v>2022</v>
      </c>
      <c r="E444" t="s">
        <v>19</v>
      </c>
      <c r="F444" t="s">
        <v>102</v>
      </c>
      <c r="G444" t="s">
        <v>50</v>
      </c>
      <c r="H444" s="92" t="s">
        <v>969</v>
      </c>
      <c r="I444">
        <v>1</v>
      </c>
      <c r="J444" s="46">
        <v>2530</v>
      </c>
      <c r="K444" s="50" t="s">
        <v>222</v>
      </c>
      <c r="L444" s="46">
        <v>2530</v>
      </c>
      <c r="M444" s="46"/>
      <c r="N444" s="23"/>
    </row>
    <row r="445" spans="2:14" ht="15" customHeight="1" x14ac:dyDescent="0.25">
      <c r="B445" s="5">
        <v>44603</v>
      </c>
      <c r="C445" s="5" t="s">
        <v>177</v>
      </c>
      <c r="D445" s="35">
        <v>2022</v>
      </c>
      <c r="E445" t="s">
        <v>19</v>
      </c>
      <c r="F445" t="s">
        <v>102</v>
      </c>
      <c r="G445" t="s">
        <v>58</v>
      </c>
      <c r="H445" s="92" t="s">
        <v>969</v>
      </c>
      <c r="I445">
        <v>1</v>
      </c>
      <c r="J445" s="46">
        <v>2530</v>
      </c>
      <c r="K445" s="50" t="s">
        <v>222</v>
      </c>
      <c r="L445" s="46">
        <v>2530</v>
      </c>
      <c r="M445" s="46"/>
      <c r="N445" s="23"/>
    </row>
    <row r="446" spans="2:14" ht="15" customHeight="1" x14ac:dyDescent="0.25">
      <c r="B446" s="5">
        <v>44603</v>
      </c>
      <c r="C446" s="5" t="s">
        <v>177</v>
      </c>
      <c r="D446" s="35">
        <v>2022</v>
      </c>
      <c r="E446" t="s">
        <v>19</v>
      </c>
      <c r="F446" t="s">
        <v>317</v>
      </c>
      <c r="G446" t="s">
        <v>125</v>
      </c>
      <c r="H446" s="92" t="s">
        <v>971</v>
      </c>
      <c r="I446">
        <v>1</v>
      </c>
      <c r="J446" s="46">
        <v>510</v>
      </c>
      <c r="K446" s="50" t="s">
        <v>222</v>
      </c>
      <c r="L446" s="46">
        <v>510</v>
      </c>
      <c r="M446" s="46"/>
      <c r="N446" s="23"/>
    </row>
    <row r="447" spans="2:14" ht="15" customHeight="1" x14ac:dyDescent="0.25">
      <c r="B447" s="5">
        <v>44603</v>
      </c>
      <c r="C447" s="5" t="s">
        <v>177</v>
      </c>
      <c r="D447" s="35">
        <v>2022</v>
      </c>
      <c r="E447" t="s">
        <v>19</v>
      </c>
      <c r="F447" t="s">
        <v>370</v>
      </c>
      <c r="G447" t="s">
        <v>58</v>
      </c>
      <c r="H447" s="92" t="s">
        <v>969</v>
      </c>
      <c r="I447">
        <v>1</v>
      </c>
      <c r="J447" s="46">
        <v>2530</v>
      </c>
      <c r="K447" s="50" t="s">
        <v>222</v>
      </c>
      <c r="L447" s="46">
        <v>2530</v>
      </c>
      <c r="M447" s="46"/>
      <c r="N447" s="23"/>
    </row>
    <row r="448" spans="2:14" ht="15" customHeight="1" x14ac:dyDescent="0.25">
      <c r="B448" s="5">
        <v>44603</v>
      </c>
      <c r="C448" s="5" t="s">
        <v>177</v>
      </c>
      <c r="D448" s="35">
        <v>2022</v>
      </c>
      <c r="E448" t="s">
        <v>19</v>
      </c>
      <c r="F448" t="s">
        <v>518</v>
      </c>
      <c r="G448" t="s">
        <v>58</v>
      </c>
      <c r="H448" s="92" t="s">
        <v>969</v>
      </c>
      <c r="I448">
        <v>1</v>
      </c>
      <c r="J448">
        <v>2530</v>
      </c>
      <c r="K448" s="50" t="s">
        <v>222</v>
      </c>
      <c r="L448">
        <v>2530</v>
      </c>
      <c r="N448" s="23"/>
    </row>
    <row r="449" spans="2:15" ht="15" customHeight="1" x14ac:dyDescent="0.25">
      <c r="B449" s="5">
        <v>44603</v>
      </c>
      <c r="C449" s="5" t="s">
        <v>177</v>
      </c>
      <c r="D449" s="35">
        <v>2022</v>
      </c>
      <c r="E449" t="s">
        <v>16</v>
      </c>
      <c r="F449" t="s">
        <v>371</v>
      </c>
      <c r="G449" t="s">
        <v>374</v>
      </c>
      <c r="H449" s="92" t="s">
        <v>977</v>
      </c>
      <c r="I449">
        <v>3</v>
      </c>
      <c r="J449" s="46">
        <v>9930</v>
      </c>
      <c r="K449" s="50" t="s">
        <v>222</v>
      </c>
      <c r="L449" s="46"/>
      <c r="M449" s="103">
        <v>9930</v>
      </c>
      <c r="O449" t="s">
        <v>625</v>
      </c>
    </row>
    <row r="450" spans="2:15" ht="15" customHeight="1" x14ac:dyDescent="0.25">
      <c r="B450" s="5">
        <v>44603</v>
      </c>
      <c r="C450" s="5" t="s">
        <v>177</v>
      </c>
      <c r="D450" s="35">
        <v>2022</v>
      </c>
      <c r="E450" t="s">
        <v>16</v>
      </c>
      <c r="F450" t="s">
        <v>372</v>
      </c>
      <c r="G450" t="s">
        <v>374</v>
      </c>
      <c r="H450" s="92" t="s">
        <v>977</v>
      </c>
      <c r="I450">
        <v>3</v>
      </c>
      <c r="J450" s="46">
        <v>9930</v>
      </c>
      <c r="K450" s="50" t="s">
        <v>222</v>
      </c>
      <c r="L450" s="46">
        <v>9930</v>
      </c>
      <c r="M450" s="46"/>
      <c r="N450" s="23"/>
    </row>
    <row r="451" spans="2:15" ht="15" customHeight="1" x14ac:dyDescent="0.25">
      <c r="B451" s="5">
        <v>44603</v>
      </c>
      <c r="C451" s="5" t="s">
        <v>177</v>
      </c>
      <c r="D451" s="35">
        <v>2022</v>
      </c>
      <c r="E451" t="s">
        <v>16</v>
      </c>
      <c r="F451" t="s">
        <v>291</v>
      </c>
      <c r="G451" t="s">
        <v>409</v>
      </c>
      <c r="H451" s="92" t="s">
        <v>977</v>
      </c>
      <c r="I451">
        <v>1</v>
      </c>
      <c r="J451" s="46">
        <v>3310</v>
      </c>
      <c r="K451" s="50" t="s">
        <v>222</v>
      </c>
      <c r="L451" s="46">
        <v>3310</v>
      </c>
      <c r="M451" s="46"/>
      <c r="N451" s="23"/>
    </row>
    <row r="452" spans="2:15" ht="15" customHeight="1" x14ac:dyDescent="0.25">
      <c r="B452" s="5">
        <v>44603</v>
      </c>
      <c r="C452" s="5" t="s">
        <v>177</v>
      </c>
      <c r="D452" s="35">
        <v>2022</v>
      </c>
      <c r="E452" t="s">
        <v>16</v>
      </c>
      <c r="F452" t="s">
        <v>291</v>
      </c>
      <c r="G452" t="s">
        <v>375</v>
      </c>
      <c r="H452" s="92" t="s">
        <v>977</v>
      </c>
      <c r="I452">
        <v>1</v>
      </c>
      <c r="J452" s="46">
        <v>550</v>
      </c>
      <c r="K452" s="50" t="s">
        <v>222</v>
      </c>
      <c r="L452" s="46"/>
      <c r="M452" s="103">
        <v>550</v>
      </c>
      <c r="O452" t="s">
        <v>625</v>
      </c>
    </row>
    <row r="453" spans="2:15" ht="15" customHeight="1" x14ac:dyDescent="0.25">
      <c r="B453" s="5">
        <v>44603</v>
      </c>
      <c r="C453" s="5" t="s">
        <v>177</v>
      </c>
      <c r="D453" s="35">
        <v>2022</v>
      </c>
      <c r="E453" t="s">
        <v>16</v>
      </c>
      <c r="F453" t="s">
        <v>373</v>
      </c>
      <c r="G453" t="s">
        <v>321</v>
      </c>
      <c r="H453" s="92" t="s">
        <v>967</v>
      </c>
      <c r="I453">
        <v>2</v>
      </c>
      <c r="J453" s="46">
        <v>4600</v>
      </c>
      <c r="K453" s="50" t="s">
        <v>222</v>
      </c>
      <c r="L453" s="46">
        <v>4600</v>
      </c>
      <c r="M453" s="46"/>
      <c r="N453" s="23"/>
    </row>
    <row r="454" spans="2:15" ht="15" customHeight="1" x14ac:dyDescent="0.25">
      <c r="B454" s="5">
        <v>44603</v>
      </c>
      <c r="C454" s="5" t="s">
        <v>177</v>
      </c>
      <c r="D454" s="35">
        <v>2022</v>
      </c>
      <c r="E454" t="s">
        <v>16</v>
      </c>
      <c r="F454" t="s">
        <v>519</v>
      </c>
      <c r="G454" t="s">
        <v>126</v>
      </c>
      <c r="H454" s="92" t="s">
        <v>965</v>
      </c>
      <c r="I454">
        <v>1</v>
      </c>
      <c r="J454">
        <v>1410</v>
      </c>
      <c r="K454" s="50" t="s">
        <v>222</v>
      </c>
      <c r="L454" s="46">
        <v>1410</v>
      </c>
      <c r="M454" s="46"/>
    </row>
    <row r="455" spans="2:15" ht="15" customHeight="1" x14ac:dyDescent="0.25">
      <c r="B455" s="5">
        <v>44604</v>
      </c>
      <c r="C455" s="5" t="s">
        <v>177</v>
      </c>
      <c r="D455" s="35">
        <v>2022</v>
      </c>
      <c r="E455" t="s">
        <v>22</v>
      </c>
      <c r="F455" t="s">
        <v>260</v>
      </c>
      <c r="G455" t="s">
        <v>249</v>
      </c>
      <c r="H455" s="92" t="s">
        <v>972</v>
      </c>
      <c r="I455">
        <v>1</v>
      </c>
      <c r="J455" s="46">
        <v>1080</v>
      </c>
      <c r="K455" s="50" t="s">
        <v>222</v>
      </c>
      <c r="L455" s="46">
        <v>1080</v>
      </c>
      <c r="M455" s="46"/>
      <c r="N455" s="23"/>
    </row>
    <row r="456" spans="2:15" ht="15" customHeight="1" x14ac:dyDescent="0.25">
      <c r="B456" s="5">
        <v>44604</v>
      </c>
      <c r="C456" s="5" t="s">
        <v>177</v>
      </c>
      <c r="D456" s="35">
        <v>2022</v>
      </c>
      <c r="E456" t="s">
        <v>22</v>
      </c>
      <c r="F456" t="s">
        <v>260</v>
      </c>
      <c r="G456" t="s">
        <v>323</v>
      </c>
      <c r="H456" s="92" t="s">
        <v>981</v>
      </c>
      <c r="I456">
        <v>1</v>
      </c>
      <c r="J456" s="46">
        <v>310</v>
      </c>
      <c r="K456" s="50" t="s">
        <v>222</v>
      </c>
      <c r="L456" s="46">
        <v>0</v>
      </c>
      <c r="M456" s="103">
        <v>310</v>
      </c>
      <c r="O456" t="s">
        <v>625</v>
      </c>
    </row>
    <row r="457" spans="2:15" ht="15" customHeight="1" x14ac:dyDescent="0.25">
      <c r="B457" s="5">
        <v>44604</v>
      </c>
      <c r="C457" s="5" t="s">
        <v>177</v>
      </c>
      <c r="D457" s="35">
        <v>2022</v>
      </c>
      <c r="E457" t="s">
        <v>22</v>
      </c>
      <c r="F457" t="s">
        <v>260</v>
      </c>
      <c r="G457" t="s">
        <v>130</v>
      </c>
      <c r="H457" s="92" t="s">
        <v>978</v>
      </c>
      <c r="I457">
        <v>1</v>
      </c>
      <c r="J457" s="46">
        <v>830</v>
      </c>
      <c r="K457" s="50" t="s">
        <v>222</v>
      </c>
      <c r="L457" s="46">
        <v>830</v>
      </c>
      <c r="M457" s="46"/>
      <c r="N457" s="23"/>
    </row>
    <row r="458" spans="2:15" ht="15" customHeight="1" x14ac:dyDescent="0.25">
      <c r="B458" s="5">
        <v>44604</v>
      </c>
      <c r="C458" s="5" t="s">
        <v>177</v>
      </c>
      <c r="D458" s="35">
        <v>2022</v>
      </c>
      <c r="E458" t="s">
        <v>22</v>
      </c>
      <c r="F458" t="s">
        <v>376</v>
      </c>
      <c r="G458" t="s">
        <v>321</v>
      </c>
      <c r="H458" s="92" t="s">
        <v>967</v>
      </c>
      <c r="I458">
        <v>2</v>
      </c>
      <c r="J458" s="46">
        <v>4600</v>
      </c>
      <c r="K458" s="50" t="s">
        <v>222</v>
      </c>
      <c r="L458" s="46">
        <v>4600</v>
      </c>
      <c r="M458" s="46"/>
      <c r="N458" s="23"/>
    </row>
    <row r="459" spans="2:15" ht="15" customHeight="1" x14ac:dyDescent="0.25">
      <c r="B459" s="5">
        <v>44604</v>
      </c>
      <c r="C459" s="5" t="s">
        <v>177</v>
      </c>
      <c r="D459" s="35">
        <v>2022</v>
      </c>
      <c r="E459" t="s">
        <v>22</v>
      </c>
      <c r="F459" t="s">
        <v>133</v>
      </c>
      <c r="G459" t="s">
        <v>379</v>
      </c>
      <c r="H459" s="92" t="s">
        <v>977</v>
      </c>
      <c r="I459">
        <v>1</v>
      </c>
      <c r="J459" s="46">
        <v>3310</v>
      </c>
      <c r="K459" s="50" t="s">
        <v>222</v>
      </c>
      <c r="L459" s="46">
        <v>0</v>
      </c>
      <c r="M459" s="103">
        <v>3310</v>
      </c>
      <c r="O459" t="s">
        <v>625</v>
      </c>
    </row>
    <row r="460" spans="2:15" ht="15" customHeight="1" x14ac:dyDescent="0.25">
      <c r="B460" s="5">
        <v>44604</v>
      </c>
      <c r="C460" s="5" t="s">
        <v>177</v>
      </c>
      <c r="D460" s="35">
        <v>2022</v>
      </c>
      <c r="E460" t="s">
        <v>22</v>
      </c>
      <c r="F460" t="s">
        <v>377</v>
      </c>
      <c r="G460" t="s">
        <v>349</v>
      </c>
      <c r="H460" s="92" t="s">
        <v>978</v>
      </c>
      <c r="I460">
        <v>1</v>
      </c>
      <c r="J460" s="46">
        <v>920</v>
      </c>
      <c r="K460" s="50" t="s">
        <v>222</v>
      </c>
      <c r="L460" s="46">
        <v>920</v>
      </c>
      <c r="M460" s="46"/>
      <c r="N460" s="23"/>
    </row>
    <row r="461" spans="2:15" ht="15" customHeight="1" x14ac:dyDescent="0.25">
      <c r="B461" s="5">
        <v>44604</v>
      </c>
      <c r="C461" s="5" t="s">
        <v>177</v>
      </c>
      <c r="D461" s="35">
        <v>2022</v>
      </c>
      <c r="E461" t="s">
        <v>22</v>
      </c>
      <c r="F461" t="s">
        <v>237</v>
      </c>
      <c r="G461" t="s">
        <v>49</v>
      </c>
      <c r="H461" s="92" t="s">
        <v>966</v>
      </c>
      <c r="I461">
        <v>1</v>
      </c>
      <c r="J461" s="46">
        <v>1740</v>
      </c>
      <c r="K461" s="50" t="s">
        <v>222</v>
      </c>
      <c r="L461" s="46">
        <v>1740</v>
      </c>
      <c r="M461" s="46"/>
      <c r="N461" s="23"/>
    </row>
    <row r="462" spans="2:15" ht="15" customHeight="1" x14ac:dyDescent="0.25">
      <c r="B462" s="5">
        <v>44604</v>
      </c>
      <c r="C462" s="5" t="s">
        <v>177</v>
      </c>
      <c r="D462" s="35">
        <v>2022</v>
      </c>
      <c r="E462" t="s">
        <v>22</v>
      </c>
      <c r="F462" t="s">
        <v>378</v>
      </c>
      <c r="G462" t="s">
        <v>349</v>
      </c>
      <c r="H462" s="92" t="s">
        <v>978</v>
      </c>
      <c r="I462">
        <v>1</v>
      </c>
      <c r="J462" s="46">
        <v>920</v>
      </c>
      <c r="K462" s="50" t="s">
        <v>222</v>
      </c>
      <c r="L462" s="46">
        <v>920</v>
      </c>
      <c r="M462" s="46"/>
      <c r="N462" s="23"/>
    </row>
    <row r="463" spans="2:15" ht="15" customHeight="1" x14ac:dyDescent="0.25">
      <c r="B463" s="5">
        <v>44604</v>
      </c>
      <c r="C463" s="5" t="s">
        <v>177</v>
      </c>
      <c r="D463" s="35">
        <v>2022</v>
      </c>
      <c r="E463" t="s">
        <v>22</v>
      </c>
      <c r="F463" t="s">
        <v>378</v>
      </c>
      <c r="G463" t="s">
        <v>123</v>
      </c>
      <c r="H463" s="92" t="s">
        <v>966</v>
      </c>
      <c r="I463">
        <v>1</v>
      </c>
      <c r="J463" s="46">
        <v>1750</v>
      </c>
      <c r="K463" s="50" t="s">
        <v>222</v>
      </c>
      <c r="L463" s="46">
        <v>1750</v>
      </c>
      <c r="M463" s="46"/>
      <c r="N463" s="23"/>
    </row>
    <row r="464" spans="2:15" ht="15" customHeight="1" x14ac:dyDescent="0.25">
      <c r="B464" s="5">
        <v>44604</v>
      </c>
      <c r="C464" s="5" t="s">
        <v>177</v>
      </c>
      <c r="D464" s="35">
        <v>2022</v>
      </c>
      <c r="E464" t="s">
        <v>22</v>
      </c>
      <c r="F464" t="s">
        <v>181</v>
      </c>
      <c r="G464" t="s">
        <v>49</v>
      </c>
      <c r="H464" s="92" t="s">
        <v>966</v>
      </c>
      <c r="I464">
        <v>1</v>
      </c>
      <c r="J464" s="46">
        <v>1740</v>
      </c>
      <c r="K464" s="50" t="s">
        <v>222</v>
      </c>
      <c r="L464" s="46">
        <v>1740</v>
      </c>
      <c r="M464" s="46"/>
      <c r="N464" s="23"/>
    </row>
    <row r="465" spans="2:15" ht="15" customHeight="1" x14ac:dyDescent="0.25">
      <c r="B465" s="5">
        <v>44604</v>
      </c>
      <c r="C465" s="5" t="s">
        <v>177</v>
      </c>
      <c r="D465" s="35">
        <v>2022</v>
      </c>
      <c r="E465" t="s">
        <v>22</v>
      </c>
      <c r="F465" t="s">
        <v>131</v>
      </c>
      <c r="G465" t="s">
        <v>55</v>
      </c>
      <c r="H465" s="92" t="s">
        <v>965</v>
      </c>
      <c r="I465">
        <v>3</v>
      </c>
      <c r="J465" s="46">
        <v>4170</v>
      </c>
      <c r="K465" s="50" t="s">
        <v>222</v>
      </c>
      <c r="L465" s="46">
        <v>4170</v>
      </c>
      <c r="M465" s="46"/>
      <c r="N465" s="23"/>
    </row>
    <row r="466" spans="2:15" ht="15" customHeight="1" x14ac:dyDescent="0.25">
      <c r="B466" s="5">
        <v>44604</v>
      </c>
      <c r="C466" s="5" t="s">
        <v>177</v>
      </c>
      <c r="D466" s="35">
        <v>2022</v>
      </c>
      <c r="E466" t="s">
        <v>22</v>
      </c>
      <c r="F466" t="s">
        <v>262</v>
      </c>
      <c r="G466" t="s">
        <v>130</v>
      </c>
      <c r="H466" s="92" t="s">
        <v>978</v>
      </c>
      <c r="I466">
        <v>1</v>
      </c>
      <c r="J466" s="46">
        <v>830</v>
      </c>
      <c r="K466" s="50" t="s">
        <v>222</v>
      </c>
      <c r="L466" s="46">
        <v>830</v>
      </c>
      <c r="M466" s="46"/>
      <c r="N466" s="23"/>
    </row>
    <row r="467" spans="2:15" ht="15" customHeight="1" x14ac:dyDescent="0.25">
      <c r="B467" s="5">
        <v>44604</v>
      </c>
      <c r="C467" s="5" t="s">
        <v>177</v>
      </c>
      <c r="D467" s="35">
        <v>2022</v>
      </c>
      <c r="E467" t="s">
        <v>22</v>
      </c>
      <c r="F467" t="s">
        <v>262</v>
      </c>
      <c r="G467" t="s">
        <v>349</v>
      </c>
      <c r="H467" s="92" t="s">
        <v>978</v>
      </c>
      <c r="I467">
        <v>2</v>
      </c>
      <c r="J467" s="46">
        <v>1840</v>
      </c>
      <c r="K467" s="50" t="s">
        <v>222</v>
      </c>
      <c r="L467" s="46">
        <v>0</v>
      </c>
      <c r="M467" s="103">
        <v>1840</v>
      </c>
      <c r="O467" t="s">
        <v>625</v>
      </c>
    </row>
    <row r="468" spans="2:15" ht="15" customHeight="1" x14ac:dyDescent="0.25">
      <c r="B468" s="5">
        <v>44604</v>
      </c>
      <c r="C468" s="5" t="s">
        <v>177</v>
      </c>
      <c r="D468" s="35">
        <v>2022</v>
      </c>
      <c r="E468" t="s">
        <v>22</v>
      </c>
      <c r="F468" t="s">
        <v>132</v>
      </c>
      <c r="G468" t="s">
        <v>249</v>
      </c>
      <c r="H468" s="92" t="s">
        <v>972</v>
      </c>
      <c r="I468">
        <v>1</v>
      </c>
      <c r="J468" s="46">
        <v>1080</v>
      </c>
      <c r="K468" s="50" t="s">
        <v>222</v>
      </c>
      <c r="L468" s="46">
        <v>1080</v>
      </c>
      <c r="M468" s="46"/>
      <c r="N468" s="23"/>
    </row>
    <row r="469" spans="2:15" ht="15" customHeight="1" x14ac:dyDescent="0.25">
      <c r="B469" s="5">
        <v>44604</v>
      </c>
      <c r="C469" s="5" t="s">
        <v>177</v>
      </c>
      <c r="D469" s="35">
        <v>2022</v>
      </c>
      <c r="E469" t="s">
        <v>22</v>
      </c>
      <c r="F469" t="s">
        <v>132</v>
      </c>
      <c r="G469" t="s">
        <v>380</v>
      </c>
      <c r="H469" s="92" t="s">
        <v>972</v>
      </c>
      <c r="I469">
        <v>1</v>
      </c>
      <c r="J469" s="46">
        <v>600</v>
      </c>
      <c r="K469" s="50" t="s">
        <v>222</v>
      </c>
      <c r="L469" s="46">
        <v>600</v>
      </c>
      <c r="M469" s="46"/>
      <c r="N469" s="23"/>
    </row>
    <row r="470" spans="2:15" ht="15" customHeight="1" x14ac:dyDescent="0.25">
      <c r="B470" s="5">
        <v>44604</v>
      </c>
      <c r="C470" s="5" t="s">
        <v>177</v>
      </c>
      <c r="D470" s="35">
        <v>2022</v>
      </c>
      <c r="E470" t="s">
        <v>356</v>
      </c>
      <c r="F470" t="s">
        <v>185</v>
      </c>
      <c r="G470" t="s">
        <v>120</v>
      </c>
      <c r="H470" s="24" t="s">
        <v>968</v>
      </c>
      <c r="I470">
        <v>6</v>
      </c>
      <c r="J470" s="46">
        <v>26100</v>
      </c>
      <c r="K470" s="50" t="s">
        <v>222</v>
      </c>
      <c r="L470" s="46">
        <v>26100</v>
      </c>
      <c r="M470" s="46"/>
    </row>
    <row r="471" spans="2:15" ht="15" customHeight="1" x14ac:dyDescent="0.25">
      <c r="B471" s="5">
        <v>44604</v>
      </c>
      <c r="C471" s="5" t="s">
        <v>177</v>
      </c>
      <c r="D471" s="35">
        <v>2022</v>
      </c>
      <c r="E471" t="s">
        <v>356</v>
      </c>
      <c r="F471" t="s">
        <v>185</v>
      </c>
      <c r="G471" t="s">
        <v>50</v>
      </c>
      <c r="H471" s="92" t="s">
        <v>969</v>
      </c>
      <c r="I471">
        <v>1</v>
      </c>
      <c r="J471" s="46">
        <v>2530</v>
      </c>
      <c r="K471" s="50" t="s">
        <v>222</v>
      </c>
      <c r="L471" s="46">
        <v>2530</v>
      </c>
      <c r="M471" s="46"/>
    </row>
    <row r="472" spans="2:15" ht="15" customHeight="1" x14ac:dyDescent="0.25">
      <c r="B472" s="5">
        <v>44604</v>
      </c>
      <c r="C472" s="5" t="s">
        <v>177</v>
      </c>
      <c r="D472" s="35">
        <v>2022</v>
      </c>
      <c r="E472" t="s">
        <v>356</v>
      </c>
      <c r="F472" t="s">
        <v>137</v>
      </c>
      <c r="G472" t="s">
        <v>58</v>
      </c>
      <c r="H472" s="92" t="s">
        <v>969</v>
      </c>
      <c r="I472">
        <v>1</v>
      </c>
      <c r="J472" s="46">
        <v>2530</v>
      </c>
      <c r="K472" s="50" t="s">
        <v>222</v>
      </c>
      <c r="L472" s="46">
        <v>2530</v>
      </c>
      <c r="M472" s="46"/>
    </row>
    <row r="473" spans="2:15" ht="15" customHeight="1" x14ac:dyDescent="0.25">
      <c r="B473" s="5">
        <v>44604</v>
      </c>
      <c r="C473" s="5" t="s">
        <v>177</v>
      </c>
      <c r="D473" s="35">
        <v>2022</v>
      </c>
      <c r="E473" t="s">
        <v>356</v>
      </c>
      <c r="F473" t="s">
        <v>137</v>
      </c>
      <c r="G473" t="s">
        <v>321</v>
      </c>
      <c r="H473" s="92" t="s">
        <v>967</v>
      </c>
      <c r="I473">
        <v>1</v>
      </c>
      <c r="J473" s="46">
        <v>2300</v>
      </c>
      <c r="K473" s="50" t="s">
        <v>222</v>
      </c>
      <c r="L473" s="46">
        <v>2300</v>
      </c>
      <c r="M473" s="46"/>
    </row>
    <row r="474" spans="2:15" ht="15" customHeight="1" x14ac:dyDescent="0.25">
      <c r="B474" s="5">
        <v>44604</v>
      </c>
      <c r="C474" s="5" t="s">
        <v>177</v>
      </c>
      <c r="D474" s="35">
        <v>2022</v>
      </c>
      <c r="E474" t="s">
        <v>356</v>
      </c>
      <c r="F474" t="s">
        <v>137</v>
      </c>
      <c r="G474" t="s">
        <v>120</v>
      </c>
      <c r="H474" s="24" t="s">
        <v>968</v>
      </c>
      <c r="I474">
        <v>3</v>
      </c>
      <c r="J474" s="46">
        <v>13050</v>
      </c>
      <c r="K474" s="50" t="s">
        <v>222</v>
      </c>
      <c r="L474" s="46">
        <v>13050</v>
      </c>
      <c r="M474" s="46"/>
    </row>
    <row r="475" spans="2:15" ht="15" customHeight="1" x14ac:dyDescent="0.25">
      <c r="B475" s="5">
        <v>44604</v>
      </c>
      <c r="C475" s="5" t="s">
        <v>177</v>
      </c>
      <c r="D475" s="35">
        <v>2022</v>
      </c>
      <c r="E475" t="s">
        <v>356</v>
      </c>
      <c r="F475" t="s">
        <v>137</v>
      </c>
      <c r="G475" t="s">
        <v>50</v>
      </c>
      <c r="H475" s="92" t="s">
        <v>969</v>
      </c>
      <c r="I475">
        <v>1</v>
      </c>
      <c r="J475" s="46">
        <v>2530</v>
      </c>
      <c r="K475" s="50" t="s">
        <v>222</v>
      </c>
      <c r="L475" s="46">
        <v>2530</v>
      </c>
      <c r="M475" s="46"/>
    </row>
    <row r="476" spans="2:15" ht="15" customHeight="1" x14ac:dyDescent="0.25">
      <c r="B476" s="5">
        <v>44604</v>
      </c>
      <c r="C476" s="5" t="s">
        <v>177</v>
      </c>
      <c r="D476" s="35">
        <v>2022</v>
      </c>
      <c r="E476" t="s">
        <v>356</v>
      </c>
      <c r="F476" t="s">
        <v>492</v>
      </c>
      <c r="G476" t="s">
        <v>45</v>
      </c>
      <c r="H476" s="92" t="s">
        <v>965</v>
      </c>
      <c r="I476">
        <v>2</v>
      </c>
      <c r="J476" s="46">
        <v>2780</v>
      </c>
      <c r="K476" s="50" t="s">
        <v>222</v>
      </c>
      <c r="L476" s="46">
        <v>2780</v>
      </c>
      <c r="M476" s="46"/>
    </row>
    <row r="477" spans="2:15" ht="15" customHeight="1" x14ac:dyDescent="0.25">
      <c r="B477" s="5">
        <v>44604</v>
      </c>
      <c r="C477" s="5" t="s">
        <v>177</v>
      </c>
      <c r="D477" s="35">
        <v>2022</v>
      </c>
      <c r="E477" t="s">
        <v>19</v>
      </c>
      <c r="F477" t="s">
        <v>381</v>
      </c>
      <c r="G477" t="s">
        <v>49</v>
      </c>
      <c r="H477" s="92" t="s">
        <v>966</v>
      </c>
      <c r="I477">
        <v>1</v>
      </c>
      <c r="J477" s="46">
        <v>1740</v>
      </c>
      <c r="K477" s="50" t="s">
        <v>222</v>
      </c>
      <c r="L477" s="46">
        <v>1740</v>
      </c>
      <c r="M477" s="103">
        <v>1740</v>
      </c>
      <c r="O477" t="s">
        <v>625</v>
      </c>
    </row>
    <row r="478" spans="2:15" ht="15" customHeight="1" x14ac:dyDescent="0.25">
      <c r="B478" s="5">
        <v>44604</v>
      </c>
      <c r="C478" s="5" t="s">
        <v>177</v>
      </c>
      <c r="D478" s="35">
        <v>2022</v>
      </c>
      <c r="E478" t="s">
        <v>19</v>
      </c>
      <c r="F478" t="s">
        <v>381</v>
      </c>
      <c r="G478" s="24" t="s">
        <v>192</v>
      </c>
      <c r="H478" s="24" t="s">
        <v>976</v>
      </c>
      <c r="I478">
        <v>1</v>
      </c>
      <c r="J478" s="46">
        <v>1395</v>
      </c>
      <c r="K478" s="50" t="s">
        <v>222</v>
      </c>
      <c r="L478" s="46">
        <v>1395</v>
      </c>
      <c r="M478" s="46"/>
      <c r="N478" s="23"/>
    </row>
    <row r="479" spans="2:15" ht="15" customHeight="1" x14ac:dyDescent="0.25">
      <c r="B479" s="5">
        <v>44604</v>
      </c>
      <c r="C479" s="5" t="s">
        <v>177</v>
      </c>
      <c r="D479" s="35">
        <v>2022</v>
      </c>
      <c r="E479" t="s">
        <v>19</v>
      </c>
      <c r="F479" t="s">
        <v>382</v>
      </c>
      <c r="G479" t="s">
        <v>121</v>
      </c>
      <c r="H479" s="92" t="s">
        <v>982</v>
      </c>
      <c r="I479">
        <v>1</v>
      </c>
      <c r="J479" s="46">
        <v>230</v>
      </c>
      <c r="K479" s="50" t="s">
        <v>222</v>
      </c>
      <c r="L479" s="46">
        <v>230</v>
      </c>
      <c r="M479" s="46"/>
      <c r="N479" s="23"/>
    </row>
    <row r="480" spans="2:15" ht="15" customHeight="1" x14ac:dyDescent="0.25">
      <c r="B480" s="5">
        <v>44604</v>
      </c>
      <c r="C480" s="5" t="s">
        <v>177</v>
      </c>
      <c r="D480" s="35">
        <v>2022</v>
      </c>
      <c r="E480" t="s">
        <v>19</v>
      </c>
      <c r="F480" t="s">
        <v>382</v>
      </c>
      <c r="G480" t="s">
        <v>269</v>
      </c>
      <c r="H480" s="92" t="s">
        <v>983</v>
      </c>
      <c r="I480">
        <v>1</v>
      </c>
      <c r="J480" s="46">
        <v>290</v>
      </c>
      <c r="K480" s="50" t="s">
        <v>222</v>
      </c>
      <c r="L480" s="46">
        <v>290</v>
      </c>
      <c r="M480" s="46"/>
      <c r="N480" s="23"/>
    </row>
    <row r="481" spans="2:15" ht="15" customHeight="1" x14ac:dyDescent="0.25">
      <c r="B481" s="5">
        <v>44604</v>
      </c>
      <c r="C481" s="5" t="s">
        <v>177</v>
      </c>
      <c r="D481" s="35">
        <v>2022</v>
      </c>
      <c r="E481" t="s">
        <v>19</v>
      </c>
      <c r="F481" t="s">
        <v>102</v>
      </c>
      <c r="G481" t="s">
        <v>249</v>
      </c>
      <c r="H481" s="92" t="s">
        <v>972</v>
      </c>
      <c r="I481">
        <v>1</v>
      </c>
      <c r="J481" s="46">
        <v>1080</v>
      </c>
      <c r="K481" s="50" t="s">
        <v>222</v>
      </c>
      <c r="L481" s="46">
        <v>1080</v>
      </c>
      <c r="M481" s="46"/>
      <c r="N481" s="23"/>
    </row>
    <row r="482" spans="2:15" ht="15" customHeight="1" x14ac:dyDescent="0.25">
      <c r="B482" s="5">
        <v>44604</v>
      </c>
      <c r="C482" s="5" t="s">
        <v>177</v>
      </c>
      <c r="D482" s="35">
        <v>2022</v>
      </c>
      <c r="E482" t="s">
        <v>19</v>
      </c>
      <c r="F482" t="s">
        <v>383</v>
      </c>
      <c r="G482" t="s">
        <v>364</v>
      </c>
      <c r="H482" s="92" t="s">
        <v>972</v>
      </c>
      <c r="I482">
        <v>1</v>
      </c>
      <c r="J482" s="46">
        <v>600</v>
      </c>
      <c r="K482" s="50" t="s">
        <v>222</v>
      </c>
      <c r="L482" s="46">
        <v>600</v>
      </c>
      <c r="M482" s="46"/>
      <c r="N482" s="23"/>
    </row>
    <row r="483" spans="2:15" ht="15" customHeight="1" x14ac:dyDescent="0.25">
      <c r="B483" s="5">
        <v>44604</v>
      </c>
      <c r="C483" s="5" t="s">
        <v>177</v>
      </c>
      <c r="D483" s="35">
        <v>2022</v>
      </c>
      <c r="E483" t="s">
        <v>19</v>
      </c>
      <c r="F483" t="s">
        <v>384</v>
      </c>
      <c r="G483" t="s">
        <v>128</v>
      </c>
      <c r="H483" s="92" t="s">
        <v>965</v>
      </c>
      <c r="I483">
        <v>1</v>
      </c>
      <c r="J483" s="46">
        <v>1240</v>
      </c>
      <c r="K483" s="50" t="s">
        <v>222</v>
      </c>
      <c r="L483" s="46">
        <v>1240</v>
      </c>
      <c r="M483" s="46"/>
      <c r="N483" s="23"/>
    </row>
    <row r="484" spans="2:15" ht="15" customHeight="1" x14ac:dyDescent="0.25">
      <c r="B484" s="5">
        <v>44604</v>
      </c>
      <c r="C484" s="5" t="s">
        <v>177</v>
      </c>
      <c r="D484" s="35">
        <v>2022</v>
      </c>
      <c r="E484" t="s">
        <v>19</v>
      </c>
      <c r="F484" t="s">
        <v>272</v>
      </c>
      <c r="G484" t="s">
        <v>128</v>
      </c>
      <c r="H484" s="92" t="s">
        <v>965</v>
      </c>
      <c r="I484">
        <v>2</v>
      </c>
      <c r="J484" s="46">
        <v>2480</v>
      </c>
      <c r="K484" s="50" t="s">
        <v>222</v>
      </c>
      <c r="L484" s="46">
        <v>2480</v>
      </c>
      <c r="M484" s="46"/>
      <c r="N484" s="23"/>
    </row>
    <row r="485" spans="2:15" ht="15" customHeight="1" x14ac:dyDescent="0.25">
      <c r="B485" s="5">
        <v>44604</v>
      </c>
      <c r="C485" s="5" t="s">
        <v>177</v>
      </c>
      <c r="D485" s="35">
        <v>2022</v>
      </c>
      <c r="E485" t="s">
        <v>19</v>
      </c>
      <c r="F485" t="s">
        <v>272</v>
      </c>
      <c r="G485" t="s">
        <v>58</v>
      </c>
      <c r="H485" s="92" t="s">
        <v>969</v>
      </c>
      <c r="I485">
        <v>2</v>
      </c>
      <c r="J485" s="46">
        <v>5060</v>
      </c>
      <c r="K485" s="50" t="s">
        <v>222</v>
      </c>
      <c r="L485" s="46">
        <v>5060</v>
      </c>
      <c r="M485" s="46"/>
      <c r="N485" s="23"/>
    </row>
    <row r="486" spans="2:15" ht="15" customHeight="1" x14ac:dyDescent="0.25">
      <c r="B486" s="5">
        <v>44604</v>
      </c>
      <c r="C486" s="5" t="s">
        <v>177</v>
      </c>
      <c r="D486" s="35">
        <v>2022</v>
      </c>
      <c r="E486" t="s">
        <v>19</v>
      </c>
      <c r="F486" t="s">
        <v>140</v>
      </c>
      <c r="G486" t="s">
        <v>58</v>
      </c>
      <c r="H486" s="92" t="s">
        <v>969</v>
      </c>
      <c r="I486">
        <v>1</v>
      </c>
      <c r="J486" s="46">
        <v>2530</v>
      </c>
      <c r="K486" s="50" t="s">
        <v>222</v>
      </c>
      <c r="L486" s="46">
        <v>2530</v>
      </c>
      <c r="M486" s="46"/>
      <c r="N486" s="23"/>
    </row>
    <row r="487" spans="2:15" ht="15" customHeight="1" x14ac:dyDescent="0.25">
      <c r="B487" s="5">
        <v>44604</v>
      </c>
      <c r="C487" s="5" t="s">
        <v>177</v>
      </c>
      <c r="D487" s="35">
        <v>2022</v>
      </c>
      <c r="E487" t="s">
        <v>19</v>
      </c>
      <c r="F487" t="s">
        <v>385</v>
      </c>
      <c r="G487" t="s">
        <v>55</v>
      </c>
      <c r="H487" s="92" t="s">
        <v>965</v>
      </c>
      <c r="I487">
        <v>1</v>
      </c>
      <c r="J487" s="46">
        <v>1390</v>
      </c>
      <c r="K487" s="50" t="s">
        <v>222</v>
      </c>
      <c r="L487" s="46">
        <v>1390</v>
      </c>
      <c r="M487" s="46"/>
      <c r="N487" s="23"/>
    </row>
    <row r="488" spans="2:15" ht="15" customHeight="1" x14ac:dyDescent="0.25">
      <c r="B488" s="5">
        <v>44604</v>
      </c>
      <c r="C488" s="5" t="s">
        <v>177</v>
      </c>
      <c r="D488" s="35">
        <v>2022</v>
      </c>
      <c r="E488" t="s">
        <v>111</v>
      </c>
      <c r="F488" t="s">
        <v>386</v>
      </c>
      <c r="G488" t="s">
        <v>380</v>
      </c>
      <c r="H488" s="92" t="s">
        <v>972</v>
      </c>
      <c r="I488">
        <v>5</v>
      </c>
      <c r="J488" s="46">
        <v>3000</v>
      </c>
      <c r="K488" s="50" t="s">
        <v>222</v>
      </c>
      <c r="L488" s="46">
        <v>3000</v>
      </c>
      <c r="M488" s="46"/>
      <c r="N488" s="23"/>
    </row>
    <row r="489" spans="2:15" ht="15" customHeight="1" x14ac:dyDescent="0.25">
      <c r="B489" s="5">
        <v>44604</v>
      </c>
      <c r="C489" s="5" t="s">
        <v>177</v>
      </c>
      <c r="D489" s="35">
        <v>2022</v>
      </c>
      <c r="E489" t="s">
        <v>111</v>
      </c>
      <c r="F489" t="s">
        <v>387</v>
      </c>
      <c r="G489" t="s">
        <v>58</v>
      </c>
      <c r="H489" s="92" t="s">
        <v>969</v>
      </c>
      <c r="I489">
        <v>2</v>
      </c>
      <c r="J489" s="46">
        <v>5060</v>
      </c>
      <c r="K489" s="50" t="s">
        <v>222</v>
      </c>
      <c r="L489" s="46">
        <v>5060</v>
      </c>
      <c r="M489" s="46"/>
      <c r="N489" s="23"/>
    </row>
    <row r="490" spans="2:15" ht="15" customHeight="1" x14ac:dyDescent="0.25">
      <c r="B490" s="5">
        <v>44604</v>
      </c>
      <c r="C490" s="5" t="s">
        <v>177</v>
      </c>
      <c r="D490" s="35">
        <v>2022</v>
      </c>
      <c r="E490" t="s">
        <v>111</v>
      </c>
      <c r="F490" t="s">
        <v>388</v>
      </c>
      <c r="G490" t="s">
        <v>58</v>
      </c>
      <c r="H490" s="92" t="s">
        <v>969</v>
      </c>
      <c r="I490">
        <v>1</v>
      </c>
      <c r="J490" s="46">
        <v>2530</v>
      </c>
      <c r="K490" s="50" t="s">
        <v>222</v>
      </c>
      <c r="L490" s="46">
        <v>2530</v>
      </c>
      <c r="M490" s="46"/>
      <c r="N490" s="23"/>
    </row>
    <row r="491" spans="2:15" ht="15" customHeight="1" x14ac:dyDescent="0.25">
      <c r="B491" s="5">
        <v>44604</v>
      </c>
      <c r="C491" s="5" t="s">
        <v>177</v>
      </c>
      <c r="D491" s="35">
        <v>2022</v>
      </c>
      <c r="E491" t="s">
        <v>111</v>
      </c>
      <c r="F491" t="s">
        <v>216</v>
      </c>
      <c r="G491" t="s">
        <v>49</v>
      </c>
      <c r="H491" s="92" t="s">
        <v>966</v>
      </c>
      <c r="I491">
        <v>2</v>
      </c>
      <c r="J491" s="46">
        <v>3480</v>
      </c>
      <c r="K491" s="50" t="s">
        <v>222</v>
      </c>
      <c r="L491" s="46">
        <v>3480</v>
      </c>
      <c r="M491" s="46"/>
      <c r="N491" s="23"/>
    </row>
    <row r="492" spans="2:15" ht="15" customHeight="1" x14ac:dyDescent="0.25">
      <c r="B492" s="5">
        <v>44604</v>
      </c>
      <c r="C492" s="5" t="s">
        <v>177</v>
      </c>
      <c r="D492" s="35">
        <v>2022</v>
      </c>
      <c r="E492" t="s">
        <v>111</v>
      </c>
      <c r="F492" t="s">
        <v>389</v>
      </c>
      <c r="G492" t="s">
        <v>50</v>
      </c>
      <c r="H492" s="92" t="s">
        <v>969</v>
      </c>
      <c r="I492">
        <v>1</v>
      </c>
      <c r="J492" s="46">
        <v>2530</v>
      </c>
      <c r="K492" s="50" t="s">
        <v>222</v>
      </c>
      <c r="L492" s="46">
        <v>2530</v>
      </c>
      <c r="M492" s="46"/>
      <c r="N492" s="23"/>
    </row>
    <row r="493" spans="2:15" ht="15" customHeight="1" x14ac:dyDescent="0.25">
      <c r="B493" s="5">
        <v>44604</v>
      </c>
      <c r="C493" s="5" t="s">
        <v>177</v>
      </c>
      <c r="D493" s="35">
        <v>2022</v>
      </c>
      <c r="E493" t="s">
        <v>111</v>
      </c>
      <c r="F493" t="s">
        <v>390</v>
      </c>
      <c r="G493" t="s">
        <v>349</v>
      </c>
      <c r="H493" s="92" t="s">
        <v>978</v>
      </c>
      <c r="I493">
        <v>1</v>
      </c>
      <c r="J493" s="46">
        <v>920</v>
      </c>
      <c r="K493" s="50" t="s">
        <v>222</v>
      </c>
      <c r="L493" s="46">
        <v>920</v>
      </c>
      <c r="M493" s="103">
        <v>920</v>
      </c>
      <c r="O493" t="s">
        <v>625</v>
      </c>
    </row>
    <row r="494" spans="2:15" ht="15" customHeight="1" x14ac:dyDescent="0.25">
      <c r="B494" s="5">
        <v>44604</v>
      </c>
      <c r="C494" s="5" t="s">
        <v>177</v>
      </c>
      <c r="D494" s="35">
        <v>2022</v>
      </c>
      <c r="E494" t="s">
        <v>111</v>
      </c>
      <c r="F494" t="s">
        <v>391</v>
      </c>
      <c r="G494" t="s">
        <v>50</v>
      </c>
      <c r="H494" s="92" t="s">
        <v>969</v>
      </c>
      <c r="I494">
        <v>3</v>
      </c>
      <c r="J494" s="46">
        <v>7590</v>
      </c>
      <c r="K494" s="50" t="s">
        <v>222</v>
      </c>
      <c r="L494" s="46">
        <v>7590</v>
      </c>
      <c r="M494" s="46"/>
      <c r="N494" s="23"/>
    </row>
    <row r="495" spans="2:15" ht="15" customHeight="1" x14ac:dyDescent="0.25">
      <c r="B495" s="5">
        <v>44604</v>
      </c>
      <c r="C495" s="5" t="s">
        <v>177</v>
      </c>
      <c r="D495" s="35">
        <v>2022</v>
      </c>
      <c r="E495" t="s">
        <v>111</v>
      </c>
      <c r="F495" t="s">
        <v>391</v>
      </c>
      <c r="G495" t="s">
        <v>58</v>
      </c>
      <c r="H495" s="92" t="s">
        <v>969</v>
      </c>
      <c r="I495">
        <v>3</v>
      </c>
      <c r="J495" s="46">
        <v>7590</v>
      </c>
      <c r="K495" s="50" t="s">
        <v>222</v>
      </c>
      <c r="L495" s="46">
        <v>7590</v>
      </c>
      <c r="M495" s="46"/>
      <c r="N495" s="23"/>
    </row>
    <row r="496" spans="2:15" ht="15" customHeight="1" x14ac:dyDescent="0.25">
      <c r="B496" s="5">
        <v>44604</v>
      </c>
      <c r="C496" s="5" t="s">
        <v>177</v>
      </c>
      <c r="D496" s="35">
        <v>2022</v>
      </c>
      <c r="E496" t="s">
        <v>16</v>
      </c>
      <c r="F496" t="s">
        <v>392</v>
      </c>
      <c r="G496" t="s">
        <v>55</v>
      </c>
      <c r="H496" s="92" t="s">
        <v>965</v>
      </c>
      <c r="I496">
        <v>1</v>
      </c>
      <c r="J496" s="46">
        <v>1390</v>
      </c>
      <c r="K496" s="50" t="s">
        <v>222</v>
      </c>
      <c r="L496" s="46">
        <v>1390</v>
      </c>
      <c r="M496" s="46"/>
    </row>
    <row r="497" spans="2:13" ht="15" customHeight="1" x14ac:dyDescent="0.25">
      <c r="B497" s="5">
        <v>44604</v>
      </c>
      <c r="C497" s="5" t="s">
        <v>177</v>
      </c>
      <c r="D497" s="35">
        <v>2022</v>
      </c>
      <c r="E497" t="s">
        <v>16</v>
      </c>
      <c r="F497" t="s">
        <v>66</v>
      </c>
      <c r="G497" t="s">
        <v>321</v>
      </c>
      <c r="H497" s="92" t="s">
        <v>967</v>
      </c>
      <c r="I497">
        <v>1</v>
      </c>
      <c r="J497" s="46">
        <v>2300</v>
      </c>
      <c r="K497" s="50" t="s">
        <v>222</v>
      </c>
      <c r="L497" s="46">
        <v>2300</v>
      </c>
      <c r="M497" s="46"/>
    </row>
    <row r="498" spans="2:13" ht="15" customHeight="1" x14ac:dyDescent="0.25">
      <c r="B498" s="5">
        <v>44604</v>
      </c>
      <c r="C498" s="5" t="s">
        <v>177</v>
      </c>
      <c r="D498" s="35">
        <v>2022</v>
      </c>
      <c r="E498" t="s">
        <v>16</v>
      </c>
      <c r="F498" t="s">
        <v>393</v>
      </c>
      <c r="G498" t="s">
        <v>321</v>
      </c>
      <c r="H498" s="92" t="s">
        <v>967</v>
      </c>
      <c r="I498">
        <v>2</v>
      </c>
      <c r="J498" s="46">
        <v>4600</v>
      </c>
      <c r="K498" s="50" t="s">
        <v>222</v>
      </c>
      <c r="L498" s="46">
        <v>4600</v>
      </c>
      <c r="M498" s="46"/>
    </row>
    <row r="499" spans="2:13" ht="15" customHeight="1" x14ac:dyDescent="0.25">
      <c r="B499" s="5">
        <v>44605</v>
      </c>
      <c r="C499" s="5" t="s">
        <v>177</v>
      </c>
      <c r="D499" s="35">
        <v>2022</v>
      </c>
      <c r="E499" t="s">
        <v>11</v>
      </c>
      <c r="F499" t="s">
        <v>276</v>
      </c>
      <c r="G499" t="s">
        <v>249</v>
      </c>
      <c r="H499" s="92" t="s">
        <v>972</v>
      </c>
      <c r="I499">
        <v>1</v>
      </c>
      <c r="J499" s="46">
        <v>1080</v>
      </c>
      <c r="K499" s="50" t="s">
        <v>222</v>
      </c>
      <c r="L499" s="46">
        <v>1080</v>
      </c>
      <c r="M499" s="46"/>
    </row>
    <row r="500" spans="2:13" ht="15" customHeight="1" x14ac:dyDescent="0.25">
      <c r="B500" s="5">
        <v>44605</v>
      </c>
      <c r="C500" s="5" t="s">
        <v>177</v>
      </c>
      <c r="D500" s="35">
        <v>2022</v>
      </c>
      <c r="E500" t="s">
        <v>11</v>
      </c>
      <c r="F500" t="s">
        <v>278</v>
      </c>
      <c r="G500" t="s">
        <v>120</v>
      </c>
      <c r="H500" s="24" t="s">
        <v>968</v>
      </c>
      <c r="I500">
        <v>1</v>
      </c>
      <c r="J500" s="46">
        <v>4350</v>
      </c>
      <c r="K500" s="50" t="s">
        <v>222</v>
      </c>
      <c r="L500" s="46">
        <v>4350</v>
      </c>
      <c r="M500" s="46"/>
    </row>
    <row r="501" spans="2:13" ht="15" customHeight="1" x14ac:dyDescent="0.25">
      <c r="B501" s="5">
        <v>44605</v>
      </c>
      <c r="C501" s="5" t="s">
        <v>177</v>
      </c>
      <c r="D501" s="35">
        <v>2022</v>
      </c>
      <c r="E501" t="s">
        <v>11</v>
      </c>
      <c r="F501" t="s">
        <v>151</v>
      </c>
      <c r="G501" t="s">
        <v>269</v>
      </c>
      <c r="H501" s="92" t="s">
        <v>983</v>
      </c>
      <c r="I501">
        <v>2</v>
      </c>
      <c r="J501" s="46">
        <v>580</v>
      </c>
      <c r="K501" s="50" t="s">
        <v>222</v>
      </c>
      <c r="L501" s="46">
        <v>580</v>
      </c>
      <c r="M501" s="46"/>
    </row>
    <row r="502" spans="2:13" ht="15" customHeight="1" x14ac:dyDescent="0.25">
      <c r="B502" s="5">
        <v>44605</v>
      </c>
      <c r="C502" s="5" t="s">
        <v>177</v>
      </c>
      <c r="D502" s="35">
        <v>2022</v>
      </c>
      <c r="E502" t="s">
        <v>11</v>
      </c>
      <c r="F502" t="s">
        <v>149</v>
      </c>
      <c r="G502" t="s">
        <v>122</v>
      </c>
      <c r="H502" s="92" t="s">
        <v>973</v>
      </c>
      <c r="I502">
        <v>1</v>
      </c>
      <c r="J502" s="46">
        <v>260</v>
      </c>
      <c r="K502" s="50" t="s">
        <v>222</v>
      </c>
      <c r="L502" s="46">
        <v>260</v>
      </c>
      <c r="M502" s="46"/>
    </row>
    <row r="503" spans="2:13" ht="15" customHeight="1" x14ac:dyDescent="0.25">
      <c r="B503" s="5">
        <v>44605</v>
      </c>
      <c r="C503" s="5" t="s">
        <v>177</v>
      </c>
      <c r="D503" s="35">
        <v>2022</v>
      </c>
      <c r="E503" t="s">
        <v>11</v>
      </c>
      <c r="F503" t="s">
        <v>149</v>
      </c>
      <c r="G503" t="s">
        <v>396</v>
      </c>
      <c r="H503" s="92" t="s">
        <v>977</v>
      </c>
      <c r="I503">
        <v>1</v>
      </c>
      <c r="J503" s="46">
        <v>560</v>
      </c>
      <c r="K503" s="50" t="s">
        <v>222</v>
      </c>
      <c r="L503" s="46">
        <v>560</v>
      </c>
      <c r="M503" s="46"/>
    </row>
    <row r="504" spans="2:13" ht="15" customHeight="1" x14ac:dyDescent="0.25">
      <c r="B504" s="5">
        <v>44605</v>
      </c>
      <c r="C504" s="5" t="s">
        <v>177</v>
      </c>
      <c r="D504" s="35">
        <v>2022</v>
      </c>
      <c r="E504" t="s">
        <v>11</v>
      </c>
      <c r="F504" t="s">
        <v>394</v>
      </c>
      <c r="G504" t="s">
        <v>122</v>
      </c>
      <c r="H504" s="92" t="s">
        <v>973</v>
      </c>
      <c r="I504">
        <v>1</v>
      </c>
      <c r="J504" s="46">
        <v>260</v>
      </c>
      <c r="K504" s="50" t="s">
        <v>222</v>
      </c>
      <c r="L504" s="46">
        <v>260</v>
      </c>
      <c r="M504" s="46"/>
    </row>
    <row r="505" spans="2:13" ht="15" customHeight="1" x14ac:dyDescent="0.25">
      <c r="B505" s="5">
        <v>44605</v>
      </c>
      <c r="C505" s="5" t="s">
        <v>177</v>
      </c>
      <c r="D505" s="35">
        <v>2022</v>
      </c>
      <c r="E505" t="s">
        <v>11</v>
      </c>
      <c r="F505" t="s">
        <v>394</v>
      </c>
      <c r="G505" t="s">
        <v>45</v>
      </c>
      <c r="H505" s="92" t="s">
        <v>965</v>
      </c>
      <c r="I505">
        <v>1</v>
      </c>
      <c r="J505" s="46">
        <v>1390</v>
      </c>
      <c r="K505" s="50" t="s">
        <v>222</v>
      </c>
      <c r="L505" s="46">
        <v>1390</v>
      </c>
      <c r="M505" s="46"/>
    </row>
    <row r="506" spans="2:13" ht="15" customHeight="1" x14ac:dyDescent="0.25">
      <c r="B506" s="5">
        <v>44605</v>
      </c>
      <c r="C506" s="5" t="s">
        <v>177</v>
      </c>
      <c r="D506" s="35">
        <v>2022</v>
      </c>
      <c r="E506" t="s">
        <v>11</v>
      </c>
      <c r="F506" t="s">
        <v>394</v>
      </c>
      <c r="G506" t="s">
        <v>125</v>
      </c>
      <c r="H506" s="92" t="s">
        <v>971</v>
      </c>
      <c r="I506">
        <v>1</v>
      </c>
      <c r="J506" s="46">
        <v>510</v>
      </c>
      <c r="K506" s="50" t="s">
        <v>222</v>
      </c>
      <c r="L506" s="46">
        <v>510</v>
      </c>
      <c r="M506" s="46"/>
    </row>
    <row r="507" spans="2:13" ht="15" customHeight="1" x14ac:dyDescent="0.25">
      <c r="B507" s="5">
        <v>44605</v>
      </c>
      <c r="C507" s="5" t="s">
        <v>177</v>
      </c>
      <c r="D507" s="35">
        <v>2022</v>
      </c>
      <c r="E507" t="s">
        <v>11</v>
      </c>
      <c r="F507" t="s">
        <v>44</v>
      </c>
      <c r="G507" t="s">
        <v>249</v>
      </c>
      <c r="H507" s="92" t="s">
        <v>972</v>
      </c>
      <c r="I507">
        <v>1</v>
      </c>
      <c r="J507" s="46">
        <v>1080</v>
      </c>
      <c r="K507" s="50" t="s">
        <v>222</v>
      </c>
      <c r="L507" s="46">
        <v>1080</v>
      </c>
      <c r="M507" s="46"/>
    </row>
    <row r="508" spans="2:13" ht="15" customHeight="1" x14ac:dyDescent="0.25">
      <c r="B508" s="5">
        <v>44605</v>
      </c>
      <c r="C508" s="5" t="s">
        <v>177</v>
      </c>
      <c r="D508" s="35">
        <v>2022</v>
      </c>
      <c r="E508" t="s">
        <v>11</v>
      </c>
      <c r="F508" t="s">
        <v>44</v>
      </c>
      <c r="G508" t="s">
        <v>274</v>
      </c>
      <c r="H508" s="92" t="s">
        <v>966</v>
      </c>
      <c r="I508">
        <v>1</v>
      </c>
      <c r="J508" s="46">
        <v>1760</v>
      </c>
      <c r="K508" s="50" t="s">
        <v>222</v>
      </c>
      <c r="L508" s="46">
        <v>1760</v>
      </c>
      <c r="M508" s="46"/>
    </row>
    <row r="509" spans="2:13" ht="15" customHeight="1" x14ac:dyDescent="0.25">
      <c r="B509" s="5">
        <v>44605</v>
      </c>
      <c r="C509" s="5" t="s">
        <v>177</v>
      </c>
      <c r="D509" s="35">
        <v>2022</v>
      </c>
      <c r="E509" t="s">
        <v>11</v>
      </c>
      <c r="F509" t="s">
        <v>44</v>
      </c>
      <c r="G509" t="s">
        <v>364</v>
      </c>
      <c r="H509" s="92" t="s">
        <v>972</v>
      </c>
      <c r="I509">
        <v>1</v>
      </c>
      <c r="J509" s="46">
        <v>600</v>
      </c>
      <c r="K509" s="50" t="s">
        <v>222</v>
      </c>
      <c r="L509" s="46">
        <v>600</v>
      </c>
      <c r="M509" s="46"/>
    </row>
    <row r="510" spans="2:13" ht="15" customHeight="1" x14ac:dyDescent="0.25">
      <c r="B510" s="5">
        <v>44605</v>
      </c>
      <c r="C510" s="5" t="s">
        <v>177</v>
      </c>
      <c r="D510" s="35">
        <v>2022</v>
      </c>
      <c r="E510" t="s">
        <v>11</v>
      </c>
      <c r="F510" t="s">
        <v>46</v>
      </c>
      <c r="G510" t="s">
        <v>130</v>
      </c>
      <c r="H510" s="92" t="s">
        <v>978</v>
      </c>
      <c r="I510">
        <v>1</v>
      </c>
      <c r="J510" s="46">
        <v>830</v>
      </c>
      <c r="K510" s="50" t="s">
        <v>222</v>
      </c>
      <c r="L510" s="46">
        <v>830</v>
      </c>
      <c r="M510" s="46"/>
    </row>
    <row r="511" spans="2:13" ht="15" customHeight="1" x14ac:dyDescent="0.25">
      <c r="B511" s="5">
        <v>44605</v>
      </c>
      <c r="C511" s="5" t="s">
        <v>177</v>
      </c>
      <c r="D511" s="35">
        <v>2022</v>
      </c>
      <c r="E511" t="s">
        <v>11</v>
      </c>
      <c r="F511" t="s">
        <v>46</v>
      </c>
      <c r="G511" t="s">
        <v>120</v>
      </c>
      <c r="H511" s="24" t="s">
        <v>968</v>
      </c>
      <c r="I511">
        <v>1</v>
      </c>
      <c r="J511" s="46">
        <v>4350</v>
      </c>
      <c r="K511" s="50" t="s">
        <v>222</v>
      </c>
      <c r="L511" s="46">
        <v>4350</v>
      </c>
      <c r="M511" s="46"/>
    </row>
    <row r="512" spans="2:13" ht="15" customHeight="1" x14ac:dyDescent="0.25">
      <c r="B512" s="5">
        <v>44605</v>
      </c>
      <c r="C512" s="5" t="s">
        <v>177</v>
      </c>
      <c r="D512" s="35">
        <v>2022</v>
      </c>
      <c r="E512" t="s">
        <v>11</v>
      </c>
      <c r="F512" t="s">
        <v>395</v>
      </c>
      <c r="G512" t="s">
        <v>50</v>
      </c>
      <c r="H512" s="92" t="s">
        <v>969</v>
      </c>
      <c r="I512">
        <v>1</v>
      </c>
      <c r="J512" s="46">
        <v>2530</v>
      </c>
      <c r="K512" s="50" t="s">
        <v>222</v>
      </c>
      <c r="L512" s="46">
        <v>2530</v>
      </c>
      <c r="M512" s="46"/>
    </row>
    <row r="513" spans="2:15" ht="15" customHeight="1" x14ac:dyDescent="0.25">
      <c r="B513" s="5">
        <v>44606</v>
      </c>
      <c r="C513" s="5" t="s">
        <v>177</v>
      </c>
      <c r="D513" s="35">
        <v>2022</v>
      </c>
      <c r="E513" t="s">
        <v>22</v>
      </c>
      <c r="F513" t="s">
        <v>236</v>
      </c>
      <c r="G513" t="s">
        <v>120</v>
      </c>
      <c r="H513" s="24" t="s">
        <v>968</v>
      </c>
      <c r="I513">
        <v>1</v>
      </c>
      <c r="J513" s="46">
        <v>4350</v>
      </c>
      <c r="K513" s="50" t="s">
        <v>397</v>
      </c>
      <c r="L513" s="46">
        <v>4350</v>
      </c>
      <c r="M513" s="46"/>
      <c r="N513" s="23"/>
    </row>
    <row r="514" spans="2:15" ht="15" customHeight="1" x14ac:dyDescent="0.25">
      <c r="B514" s="5">
        <v>44606</v>
      </c>
      <c r="C514" s="5" t="s">
        <v>177</v>
      </c>
      <c r="D514" s="35">
        <v>2022</v>
      </c>
      <c r="E514" t="s">
        <v>22</v>
      </c>
      <c r="F514" t="s">
        <v>410</v>
      </c>
      <c r="G514" t="s">
        <v>412</v>
      </c>
      <c r="H514" s="92" t="s">
        <v>977</v>
      </c>
      <c r="I514">
        <v>2</v>
      </c>
      <c r="J514" s="46">
        <v>6620</v>
      </c>
      <c r="K514" s="50" t="s">
        <v>397</v>
      </c>
      <c r="L514" s="46">
        <v>6620</v>
      </c>
      <c r="M514" s="46"/>
      <c r="N514" s="23"/>
    </row>
    <row r="515" spans="2:15" ht="15" customHeight="1" x14ac:dyDescent="0.25">
      <c r="B515" s="5">
        <v>44606</v>
      </c>
      <c r="C515" s="5" t="s">
        <v>177</v>
      </c>
      <c r="D515" s="35">
        <v>2022</v>
      </c>
      <c r="E515" t="s">
        <v>22</v>
      </c>
      <c r="F515" t="s">
        <v>411</v>
      </c>
      <c r="G515" t="s">
        <v>412</v>
      </c>
      <c r="H515" s="92" t="s">
        <v>977</v>
      </c>
      <c r="I515">
        <v>3</v>
      </c>
      <c r="J515" s="46">
        <v>9930</v>
      </c>
      <c r="K515" s="50" t="s">
        <v>397</v>
      </c>
      <c r="L515" s="46">
        <v>9930</v>
      </c>
      <c r="M515" s="46"/>
      <c r="N515" s="23"/>
    </row>
    <row r="516" spans="2:15" ht="15" customHeight="1" x14ac:dyDescent="0.25">
      <c r="B516" s="5">
        <v>44606</v>
      </c>
      <c r="C516" s="5" t="s">
        <v>177</v>
      </c>
      <c r="D516" s="35">
        <v>2022</v>
      </c>
      <c r="E516" t="s">
        <v>22</v>
      </c>
      <c r="F516" t="s">
        <v>51</v>
      </c>
      <c r="G516" t="s">
        <v>49</v>
      </c>
      <c r="H516" s="92" t="s">
        <v>966</v>
      </c>
      <c r="I516">
        <v>1</v>
      </c>
      <c r="J516" s="46">
        <v>1740</v>
      </c>
      <c r="K516" s="50" t="s">
        <v>397</v>
      </c>
      <c r="L516" s="46">
        <v>1740</v>
      </c>
      <c r="M516" s="46"/>
      <c r="N516" s="23"/>
    </row>
    <row r="517" spans="2:15" ht="15" customHeight="1" x14ac:dyDescent="0.25">
      <c r="B517" s="5">
        <v>44606</v>
      </c>
      <c r="C517" s="5" t="s">
        <v>177</v>
      </c>
      <c r="D517" s="35">
        <v>2022</v>
      </c>
      <c r="E517" t="s">
        <v>22</v>
      </c>
      <c r="F517" t="s">
        <v>181</v>
      </c>
      <c r="G517" t="s">
        <v>321</v>
      </c>
      <c r="H517" s="92" t="s">
        <v>967</v>
      </c>
      <c r="I517">
        <v>1</v>
      </c>
      <c r="J517" s="46">
        <v>2300</v>
      </c>
      <c r="K517" s="50" t="s">
        <v>397</v>
      </c>
      <c r="L517" s="46">
        <v>2300</v>
      </c>
      <c r="M517" s="46"/>
      <c r="N517" s="23"/>
    </row>
    <row r="518" spans="2:15" ht="15" customHeight="1" x14ac:dyDescent="0.25">
      <c r="B518" s="5">
        <v>44606</v>
      </c>
      <c r="C518" s="5" t="s">
        <v>177</v>
      </c>
      <c r="D518" s="35">
        <v>2022</v>
      </c>
      <c r="E518" t="s">
        <v>22</v>
      </c>
      <c r="F518" t="s">
        <v>181</v>
      </c>
      <c r="G518" t="s">
        <v>49</v>
      </c>
      <c r="H518" s="92" t="s">
        <v>966</v>
      </c>
      <c r="I518">
        <v>1</v>
      </c>
      <c r="J518" s="46">
        <v>1740</v>
      </c>
      <c r="K518" s="50" t="s">
        <v>397</v>
      </c>
      <c r="L518" s="46">
        <v>1740</v>
      </c>
      <c r="M518" s="46"/>
      <c r="N518" s="23"/>
    </row>
    <row r="519" spans="2:15" ht="15" customHeight="1" x14ac:dyDescent="0.25">
      <c r="B519" s="5">
        <v>44606</v>
      </c>
      <c r="C519" s="5" t="s">
        <v>177</v>
      </c>
      <c r="D519" s="35">
        <v>2022</v>
      </c>
      <c r="E519" t="s">
        <v>22</v>
      </c>
      <c r="F519" t="s">
        <v>309</v>
      </c>
      <c r="G519" t="s">
        <v>120</v>
      </c>
      <c r="H519" s="24" t="s">
        <v>968</v>
      </c>
      <c r="I519">
        <v>2</v>
      </c>
      <c r="J519" s="46">
        <v>8700</v>
      </c>
      <c r="K519" s="50" t="s">
        <v>397</v>
      </c>
      <c r="L519" s="46">
        <v>8700</v>
      </c>
      <c r="M519" s="46"/>
      <c r="N519" s="23"/>
    </row>
    <row r="520" spans="2:15" ht="15" customHeight="1" x14ac:dyDescent="0.25">
      <c r="B520" s="5">
        <v>44606</v>
      </c>
      <c r="C520" s="5" t="s">
        <v>177</v>
      </c>
      <c r="D520" s="35">
        <v>2022</v>
      </c>
      <c r="E520" t="s">
        <v>22</v>
      </c>
      <c r="F520" t="s">
        <v>309</v>
      </c>
      <c r="G520" t="s">
        <v>349</v>
      </c>
      <c r="H520" s="92" t="s">
        <v>978</v>
      </c>
      <c r="I520">
        <v>1</v>
      </c>
      <c r="J520" s="46">
        <v>920</v>
      </c>
      <c r="K520" s="50" t="s">
        <v>397</v>
      </c>
      <c r="L520" s="46"/>
      <c r="M520" s="103">
        <v>920</v>
      </c>
      <c r="O520" t="s">
        <v>625</v>
      </c>
    </row>
    <row r="521" spans="2:15" ht="15" customHeight="1" x14ac:dyDescent="0.25">
      <c r="B521" s="5">
        <v>44606</v>
      </c>
      <c r="C521" s="5" t="s">
        <v>177</v>
      </c>
      <c r="D521" s="35">
        <v>2022</v>
      </c>
      <c r="E521" t="s">
        <v>356</v>
      </c>
      <c r="F521" t="s">
        <v>311</v>
      </c>
      <c r="G521" t="s">
        <v>45</v>
      </c>
      <c r="H521" s="92" t="s">
        <v>965</v>
      </c>
      <c r="I521">
        <v>1</v>
      </c>
      <c r="J521" s="46">
        <v>1390</v>
      </c>
      <c r="K521" s="50" t="s">
        <v>397</v>
      </c>
      <c r="L521" s="46">
        <v>1390</v>
      </c>
      <c r="M521" s="46"/>
      <c r="N521" s="23"/>
    </row>
    <row r="522" spans="2:15" ht="15" customHeight="1" x14ac:dyDescent="0.25">
      <c r="B522" s="5">
        <v>44606</v>
      </c>
      <c r="C522" s="5" t="s">
        <v>177</v>
      </c>
      <c r="D522" s="35">
        <v>2022</v>
      </c>
      <c r="E522" t="s">
        <v>356</v>
      </c>
      <c r="F522" t="s">
        <v>311</v>
      </c>
      <c r="G522" t="s">
        <v>58</v>
      </c>
      <c r="H522" s="92" t="s">
        <v>969</v>
      </c>
      <c r="I522">
        <v>1</v>
      </c>
      <c r="J522" s="46">
        <v>2530</v>
      </c>
      <c r="K522" s="50" t="s">
        <v>397</v>
      </c>
      <c r="L522" s="46">
        <v>2530</v>
      </c>
      <c r="M522" s="46"/>
      <c r="N522" s="23"/>
    </row>
    <row r="523" spans="2:15" ht="15" customHeight="1" x14ac:dyDescent="0.25">
      <c r="B523" s="5">
        <v>44606</v>
      </c>
      <c r="C523" s="5" t="s">
        <v>177</v>
      </c>
      <c r="D523" s="35">
        <v>2022</v>
      </c>
      <c r="E523" t="s">
        <v>356</v>
      </c>
      <c r="F523" t="s">
        <v>354</v>
      </c>
      <c r="G523" t="s">
        <v>49</v>
      </c>
      <c r="H523" s="92" t="s">
        <v>966</v>
      </c>
      <c r="I523">
        <v>1</v>
      </c>
      <c r="J523" s="46">
        <v>1740</v>
      </c>
      <c r="K523" s="50" t="s">
        <v>397</v>
      </c>
      <c r="L523" s="46">
        <v>1740</v>
      </c>
      <c r="M523" s="46"/>
      <c r="N523" s="23"/>
    </row>
    <row r="524" spans="2:15" ht="15" customHeight="1" x14ac:dyDescent="0.25">
      <c r="B524" s="5">
        <v>44606</v>
      </c>
      <c r="C524" s="5" t="s">
        <v>177</v>
      </c>
      <c r="D524" s="35">
        <v>2022</v>
      </c>
      <c r="E524" t="s">
        <v>356</v>
      </c>
      <c r="F524" t="s">
        <v>191</v>
      </c>
      <c r="G524" t="s">
        <v>120</v>
      </c>
      <c r="H524" s="24" t="s">
        <v>968</v>
      </c>
      <c r="I524">
        <v>10</v>
      </c>
      <c r="J524" s="46">
        <v>43500</v>
      </c>
      <c r="K524" s="50" t="s">
        <v>397</v>
      </c>
      <c r="L524" s="46">
        <v>43500</v>
      </c>
      <c r="M524" s="46"/>
      <c r="N524" s="23"/>
    </row>
    <row r="525" spans="2:15" ht="15" customHeight="1" x14ac:dyDescent="0.25">
      <c r="B525" s="5">
        <v>44606</v>
      </c>
      <c r="C525" s="5" t="s">
        <v>177</v>
      </c>
      <c r="D525" s="35">
        <v>2022</v>
      </c>
      <c r="E525" t="s">
        <v>356</v>
      </c>
      <c r="F525" t="s">
        <v>191</v>
      </c>
      <c r="G525" t="s">
        <v>45</v>
      </c>
      <c r="H525" s="92" t="s">
        <v>965</v>
      </c>
      <c r="I525">
        <v>1</v>
      </c>
      <c r="J525" s="46">
        <v>1390</v>
      </c>
      <c r="K525" s="50" t="s">
        <v>397</v>
      </c>
      <c r="L525" s="46">
        <v>1390</v>
      </c>
      <c r="M525" s="46"/>
      <c r="N525" s="23"/>
    </row>
    <row r="526" spans="2:15" ht="15" customHeight="1" x14ac:dyDescent="0.25">
      <c r="B526" s="5">
        <v>44606</v>
      </c>
      <c r="C526" s="5" t="s">
        <v>177</v>
      </c>
      <c r="D526" s="35">
        <v>2022</v>
      </c>
      <c r="E526" t="s">
        <v>19</v>
      </c>
      <c r="F526" t="s">
        <v>208</v>
      </c>
      <c r="G526" t="s">
        <v>58</v>
      </c>
      <c r="H526" s="92" t="s">
        <v>969</v>
      </c>
      <c r="I526">
        <v>1</v>
      </c>
      <c r="J526" s="46">
        <v>2530</v>
      </c>
      <c r="K526" s="50" t="s">
        <v>397</v>
      </c>
      <c r="L526" s="46">
        <v>2530</v>
      </c>
      <c r="M526" s="46"/>
      <c r="N526" s="23"/>
    </row>
    <row r="527" spans="2:15" ht="15" customHeight="1" x14ac:dyDescent="0.25">
      <c r="B527" s="5">
        <v>44606</v>
      </c>
      <c r="C527" s="5" t="s">
        <v>177</v>
      </c>
      <c r="D527" s="35">
        <v>2022</v>
      </c>
      <c r="E527" t="s">
        <v>19</v>
      </c>
      <c r="F527" t="s">
        <v>208</v>
      </c>
      <c r="G527" t="s">
        <v>287</v>
      </c>
      <c r="H527" s="92" t="s">
        <v>969</v>
      </c>
      <c r="I527">
        <v>2</v>
      </c>
      <c r="J527" s="46">
        <v>4900</v>
      </c>
      <c r="K527" s="50" t="s">
        <v>397</v>
      </c>
      <c r="L527" s="46">
        <v>4900</v>
      </c>
      <c r="M527" s="46"/>
      <c r="N527" s="23"/>
    </row>
    <row r="528" spans="2:15" ht="15" customHeight="1" x14ac:dyDescent="0.25">
      <c r="B528" s="5">
        <v>44606</v>
      </c>
      <c r="C528" s="5" t="s">
        <v>177</v>
      </c>
      <c r="D528" s="35">
        <v>2022</v>
      </c>
      <c r="E528" t="s">
        <v>19</v>
      </c>
      <c r="F528" t="s">
        <v>208</v>
      </c>
      <c r="G528" t="s">
        <v>249</v>
      </c>
      <c r="H528" s="92" t="s">
        <v>972</v>
      </c>
      <c r="I528">
        <v>1</v>
      </c>
      <c r="J528" s="46">
        <v>1080</v>
      </c>
      <c r="K528" s="50" t="s">
        <v>397</v>
      </c>
      <c r="L528" s="46">
        <v>1080</v>
      </c>
      <c r="M528" s="46"/>
      <c r="N528" s="23"/>
    </row>
    <row r="529" spans="2:14" ht="15" customHeight="1" x14ac:dyDescent="0.25">
      <c r="B529" s="5">
        <v>44606</v>
      </c>
      <c r="C529" s="5" t="s">
        <v>177</v>
      </c>
      <c r="D529" s="35">
        <v>2022</v>
      </c>
      <c r="E529" t="s">
        <v>19</v>
      </c>
      <c r="F529" t="s">
        <v>243</v>
      </c>
      <c r="G529" t="s">
        <v>321</v>
      </c>
      <c r="H529" s="92" t="s">
        <v>967</v>
      </c>
      <c r="I529">
        <v>1</v>
      </c>
      <c r="J529" s="46">
        <v>2300</v>
      </c>
      <c r="K529" s="50" t="s">
        <v>397</v>
      </c>
      <c r="L529" s="46">
        <v>2300</v>
      </c>
      <c r="M529" s="46"/>
      <c r="N529" s="23"/>
    </row>
    <row r="530" spans="2:14" ht="15" customHeight="1" x14ac:dyDescent="0.25">
      <c r="B530" s="5">
        <v>44606</v>
      </c>
      <c r="C530" s="5" t="s">
        <v>177</v>
      </c>
      <c r="D530" s="35">
        <v>2022</v>
      </c>
      <c r="E530" t="s">
        <v>19</v>
      </c>
      <c r="F530" t="s">
        <v>382</v>
      </c>
      <c r="G530" t="s">
        <v>413</v>
      </c>
      <c r="H530" s="92" t="s">
        <v>977</v>
      </c>
      <c r="I530">
        <v>1</v>
      </c>
      <c r="J530" s="46">
        <v>560</v>
      </c>
      <c r="K530" s="50" t="s">
        <v>397</v>
      </c>
      <c r="L530" s="46">
        <v>560</v>
      </c>
      <c r="M530" s="46"/>
      <c r="N530" s="23"/>
    </row>
    <row r="531" spans="2:14" ht="15" customHeight="1" x14ac:dyDescent="0.25">
      <c r="B531" s="5">
        <v>44606</v>
      </c>
      <c r="C531" s="5" t="s">
        <v>177</v>
      </c>
      <c r="D531" s="35">
        <v>2022</v>
      </c>
      <c r="E531" t="s">
        <v>19</v>
      </c>
      <c r="F531" t="s">
        <v>1123</v>
      </c>
      <c r="G531" t="s">
        <v>414</v>
      </c>
      <c r="H531" s="92" t="s">
        <v>969</v>
      </c>
      <c r="I531">
        <v>2</v>
      </c>
      <c r="J531" s="46">
        <v>4900</v>
      </c>
      <c r="K531" s="50" t="s">
        <v>397</v>
      </c>
      <c r="L531" s="46">
        <v>4900</v>
      </c>
      <c r="M531" s="46"/>
      <c r="N531" s="23"/>
    </row>
    <row r="532" spans="2:14" ht="15" customHeight="1" x14ac:dyDescent="0.25">
      <c r="B532" s="5">
        <v>44606</v>
      </c>
      <c r="C532" s="5" t="s">
        <v>177</v>
      </c>
      <c r="D532" s="35">
        <v>2022</v>
      </c>
      <c r="E532" t="s">
        <v>19</v>
      </c>
      <c r="F532" t="s">
        <v>1123</v>
      </c>
      <c r="G532" t="s">
        <v>287</v>
      </c>
      <c r="H532" s="92" t="s">
        <v>969</v>
      </c>
      <c r="I532">
        <v>2</v>
      </c>
      <c r="J532" s="46">
        <v>4900</v>
      </c>
      <c r="K532" s="50" t="s">
        <v>397</v>
      </c>
      <c r="L532" s="46">
        <v>4900</v>
      </c>
      <c r="M532" s="46"/>
      <c r="N532" s="23"/>
    </row>
    <row r="533" spans="2:14" ht="15" customHeight="1" x14ac:dyDescent="0.25">
      <c r="B533" s="5">
        <v>44606</v>
      </c>
      <c r="C533" s="5" t="s">
        <v>177</v>
      </c>
      <c r="D533" s="35">
        <v>2022</v>
      </c>
      <c r="E533" t="s">
        <v>417</v>
      </c>
      <c r="F533" t="s">
        <v>276</v>
      </c>
      <c r="G533" t="s">
        <v>416</v>
      </c>
      <c r="H533" s="24" t="s">
        <v>968</v>
      </c>
      <c r="I533">
        <v>1</v>
      </c>
      <c r="J533" s="46">
        <v>4455</v>
      </c>
      <c r="K533" s="50" t="s">
        <v>397</v>
      </c>
      <c r="L533" s="46">
        <v>4455</v>
      </c>
      <c r="M533" s="46"/>
      <c r="N533" s="23"/>
    </row>
    <row r="534" spans="2:14" ht="15" customHeight="1" x14ac:dyDescent="0.25">
      <c r="B534" s="5">
        <v>44606</v>
      </c>
      <c r="C534" s="5" t="s">
        <v>177</v>
      </c>
      <c r="D534" s="35">
        <v>2022</v>
      </c>
      <c r="E534" t="s">
        <v>417</v>
      </c>
      <c r="F534" t="s">
        <v>277</v>
      </c>
      <c r="G534" t="s">
        <v>122</v>
      </c>
      <c r="H534" s="92" t="s">
        <v>973</v>
      </c>
      <c r="I534">
        <v>1</v>
      </c>
      <c r="J534" s="46">
        <v>260</v>
      </c>
      <c r="K534" s="50" t="s">
        <v>397</v>
      </c>
      <c r="L534" s="46">
        <v>260</v>
      </c>
      <c r="M534" s="46"/>
      <c r="N534" s="23"/>
    </row>
    <row r="535" spans="2:14" ht="15" customHeight="1" x14ac:dyDescent="0.25">
      <c r="B535" s="5">
        <v>44606</v>
      </c>
      <c r="C535" s="5" t="s">
        <v>177</v>
      </c>
      <c r="D535" s="35">
        <v>2022</v>
      </c>
      <c r="E535" t="s">
        <v>417</v>
      </c>
      <c r="F535" t="s">
        <v>415</v>
      </c>
      <c r="G535" t="s">
        <v>249</v>
      </c>
      <c r="H535" s="92" t="s">
        <v>972</v>
      </c>
      <c r="I535">
        <v>1</v>
      </c>
      <c r="J535" s="46">
        <v>1080</v>
      </c>
      <c r="K535" s="50" t="s">
        <v>397</v>
      </c>
      <c r="L535" s="46">
        <v>1080</v>
      </c>
      <c r="M535" s="46"/>
      <c r="N535" s="23"/>
    </row>
    <row r="536" spans="2:14" ht="15" customHeight="1" x14ac:dyDescent="0.25">
      <c r="B536" s="5">
        <v>44606</v>
      </c>
      <c r="C536" s="5" t="s">
        <v>177</v>
      </c>
      <c r="D536" s="35">
        <v>2022</v>
      </c>
      <c r="E536" t="s">
        <v>417</v>
      </c>
      <c r="F536" t="s">
        <v>278</v>
      </c>
      <c r="G536" t="s">
        <v>413</v>
      </c>
      <c r="H536" s="92" t="s">
        <v>977</v>
      </c>
      <c r="I536">
        <v>2</v>
      </c>
      <c r="J536" s="46">
        <v>1120</v>
      </c>
      <c r="K536" s="50" t="s">
        <v>397</v>
      </c>
      <c r="L536" s="46">
        <v>1120</v>
      </c>
      <c r="M536" s="46"/>
      <c r="N536" s="23"/>
    </row>
    <row r="537" spans="2:14" ht="15" customHeight="1" x14ac:dyDescent="0.25">
      <c r="B537" s="5">
        <v>44606</v>
      </c>
      <c r="C537" s="5" t="s">
        <v>177</v>
      </c>
      <c r="D537" s="35">
        <v>2022</v>
      </c>
      <c r="E537" t="s">
        <v>417</v>
      </c>
      <c r="F537" t="s">
        <v>278</v>
      </c>
      <c r="G537" t="s">
        <v>125</v>
      </c>
      <c r="H537" s="92" t="s">
        <v>971</v>
      </c>
      <c r="I537">
        <v>1</v>
      </c>
      <c r="J537" s="46">
        <v>510</v>
      </c>
      <c r="K537" s="50" t="s">
        <v>397</v>
      </c>
      <c r="L537" s="46">
        <v>510</v>
      </c>
      <c r="M537" s="46"/>
      <c r="N537" s="23"/>
    </row>
    <row r="538" spans="2:14" ht="15" customHeight="1" x14ac:dyDescent="0.25">
      <c r="B538" s="5">
        <v>44606</v>
      </c>
      <c r="C538" s="5" t="s">
        <v>177</v>
      </c>
      <c r="D538" s="35">
        <v>2022</v>
      </c>
      <c r="E538" t="s">
        <v>417</v>
      </c>
      <c r="F538" t="s">
        <v>278</v>
      </c>
      <c r="G538" t="s">
        <v>122</v>
      </c>
      <c r="H538" s="92" t="s">
        <v>973</v>
      </c>
      <c r="I538">
        <v>1</v>
      </c>
      <c r="J538" s="46">
        <v>260</v>
      </c>
      <c r="K538" s="50" t="s">
        <v>397</v>
      </c>
      <c r="L538" s="46">
        <v>260</v>
      </c>
      <c r="M538" s="46"/>
      <c r="N538" s="23"/>
    </row>
    <row r="539" spans="2:14" ht="15" customHeight="1" x14ac:dyDescent="0.25">
      <c r="B539" s="5">
        <v>44606</v>
      </c>
      <c r="C539" s="5" t="s">
        <v>177</v>
      </c>
      <c r="D539" s="35">
        <v>2022</v>
      </c>
      <c r="E539" t="s">
        <v>417</v>
      </c>
      <c r="F539" t="s">
        <v>278</v>
      </c>
      <c r="G539" t="s">
        <v>121</v>
      </c>
      <c r="H539" s="92" t="s">
        <v>982</v>
      </c>
      <c r="I539">
        <v>1</v>
      </c>
      <c r="J539" s="46">
        <v>230</v>
      </c>
      <c r="K539" s="50" t="s">
        <v>397</v>
      </c>
      <c r="L539" s="46">
        <v>230</v>
      </c>
      <c r="M539" s="46"/>
      <c r="N539" s="23"/>
    </row>
    <row r="540" spans="2:14" ht="15" customHeight="1" x14ac:dyDescent="0.25">
      <c r="B540" s="5">
        <v>44606</v>
      </c>
      <c r="C540" s="5" t="s">
        <v>177</v>
      </c>
      <c r="D540" s="35">
        <v>2022</v>
      </c>
      <c r="E540" t="s">
        <v>417</v>
      </c>
      <c r="F540" t="s">
        <v>25</v>
      </c>
      <c r="G540" t="s">
        <v>413</v>
      </c>
      <c r="H540" s="92" t="s">
        <v>977</v>
      </c>
      <c r="I540">
        <v>1</v>
      </c>
      <c r="J540" s="46">
        <v>560</v>
      </c>
      <c r="K540" s="50" t="s">
        <v>397</v>
      </c>
      <c r="L540" s="46">
        <v>560</v>
      </c>
      <c r="M540" s="46"/>
      <c r="N540" s="23"/>
    </row>
    <row r="541" spans="2:14" ht="15" customHeight="1" x14ac:dyDescent="0.25">
      <c r="B541" s="5">
        <v>44606</v>
      </c>
      <c r="C541" s="5" t="s">
        <v>177</v>
      </c>
      <c r="D541" s="35">
        <v>2022</v>
      </c>
      <c r="E541" t="s">
        <v>417</v>
      </c>
      <c r="F541" t="s">
        <v>13</v>
      </c>
      <c r="G541" t="s">
        <v>49</v>
      </c>
      <c r="H541" s="92" t="s">
        <v>966</v>
      </c>
      <c r="I541">
        <v>1</v>
      </c>
      <c r="J541" s="46">
        <v>1740</v>
      </c>
      <c r="K541" s="50" t="s">
        <v>397</v>
      </c>
      <c r="L541" s="46">
        <v>1740</v>
      </c>
      <c r="M541" s="46"/>
      <c r="N541" s="23"/>
    </row>
    <row r="542" spans="2:14" ht="15" customHeight="1" x14ac:dyDescent="0.25">
      <c r="B542" s="5">
        <v>44606</v>
      </c>
      <c r="C542" s="5" t="s">
        <v>177</v>
      </c>
      <c r="D542" s="35">
        <v>2022</v>
      </c>
      <c r="E542" t="s">
        <v>417</v>
      </c>
      <c r="F542" t="s">
        <v>13</v>
      </c>
      <c r="G542" t="s">
        <v>120</v>
      </c>
      <c r="H542" s="24" t="s">
        <v>968</v>
      </c>
      <c r="I542">
        <v>1</v>
      </c>
      <c r="J542" s="46">
        <v>4350</v>
      </c>
      <c r="K542" s="50" t="s">
        <v>397</v>
      </c>
      <c r="L542" s="46">
        <v>4350</v>
      </c>
      <c r="M542" s="46"/>
      <c r="N542" s="23"/>
    </row>
    <row r="543" spans="2:14" ht="15" customHeight="1" x14ac:dyDescent="0.25">
      <c r="B543" s="5">
        <v>44606</v>
      </c>
      <c r="C543" s="5" t="s">
        <v>177</v>
      </c>
      <c r="D543" s="35">
        <v>2022</v>
      </c>
      <c r="E543" t="s">
        <v>417</v>
      </c>
      <c r="F543" t="s">
        <v>361</v>
      </c>
      <c r="G543" t="s">
        <v>55</v>
      </c>
      <c r="H543" s="92" t="s">
        <v>965</v>
      </c>
      <c r="I543">
        <v>1</v>
      </c>
      <c r="J543" s="46">
        <v>1390</v>
      </c>
      <c r="K543" s="50" t="s">
        <v>397</v>
      </c>
      <c r="L543" s="46">
        <v>1390</v>
      </c>
      <c r="M543" s="46"/>
      <c r="N543" s="23"/>
    </row>
    <row r="544" spans="2:14" ht="15" customHeight="1" x14ac:dyDescent="0.25">
      <c r="B544" s="5">
        <v>44606</v>
      </c>
      <c r="C544" s="5" t="s">
        <v>177</v>
      </c>
      <c r="D544" s="35">
        <v>2022</v>
      </c>
      <c r="E544" t="s">
        <v>111</v>
      </c>
      <c r="F544" t="s">
        <v>366</v>
      </c>
      <c r="G544" t="s">
        <v>321</v>
      </c>
      <c r="H544" s="92" t="s">
        <v>967</v>
      </c>
      <c r="I544">
        <v>1</v>
      </c>
      <c r="J544" s="46">
        <v>2300</v>
      </c>
      <c r="K544" s="50" t="s">
        <v>397</v>
      </c>
      <c r="L544" s="46">
        <v>2300</v>
      </c>
      <c r="M544" s="46"/>
      <c r="N544" s="23"/>
    </row>
    <row r="545" spans="2:14" ht="15" customHeight="1" x14ac:dyDescent="0.25">
      <c r="B545" s="5">
        <v>44606</v>
      </c>
      <c r="C545" s="5" t="s">
        <v>177</v>
      </c>
      <c r="D545" s="35">
        <v>2022</v>
      </c>
      <c r="E545" t="s">
        <v>111</v>
      </c>
      <c r="F545" t="s">
        <v>286</v>
      </c>
      <c r="G545" t="s">
        <v>49</v>
      </c>
      <c r="H545" s="92" t="s">
        <v>966</v>
      </c>
      <c r="I545">
        <v>2</v>
      </c>
      <c r="J545" s="46">
        <v>3480</v>
      </c>
      <c r="K545" s="50" t="s">
        <v>397</v>
      </c>
      <c r="L545" s="46">
        <v>3480</v>
      </c>
      <c r="M545" s="46"/>
      <c r="N545" s="23"/>
    </row>
    <row r="546" spans="2:14" ht="15" customHeight="1" x14ac:dyDescent="0.25">
      <c r="B546" s="5">
        <v>44606</v>
      </c>
      <c r="C546" s="5" t="s">
        <v>177</v>
      </c>
      <c r="D546" s="35">
        <v>2022</v>
      </c>
      <c r="E546" t="s">
        <v>111</v>
      </c>
      <c r="F546" t="s">
        <v>286</v>
      </c>
      <c r="G546" t="s">
        <v>274</v>
      </c>
      <c r="H546" s="92" t="s">
        <v>966</v>
      </c>
      <c r="I546">
        <v>1</v>
      </c>
      <c r="J546" s="46">
        <v>1760</v>
      </c>
      <c r="K546" s="50" t="s">
        <v>397</v>
      </c>
      <c r="L546" s="46">
        <v>1760</v>
      </c>
      <c r="M546" s="46"/>
      <c r="N546" s="23"/>
    </row>
    <row r="547" spans="2:14" ht="15" customHeight="1" x14ac:dyDescent="0.25">
      <c r="B547" s="5">
        <v>44606</v>
      </c>
      <c r="C547" s="5" t="s">
        <v>177</v>
      </c>
      <c r="D547" s="35">
        <v>2022</v>
      </c>
      <c r="E547" t="s">
        <v>111</v>
      </c>
      <c r="F547" t="s">
        <v>418</v>
      </c>
      <c r="G547" t="s">
        <v>257</v>
      </c>
      <c r="H547" s="24" t="s">
        <v>976</v>
      </c>
      <c r="I547">
        <v>1</v>
      </c>
      <c r="J547" s="46">
        <v>1450</v>
      </c>
      <c r="K547" s="50" t="s">
        <v>397</v>
      </c>
      <c r="L547" s="46">
        <v>1450</v>
      </c>
      <c r="M547" s="46"/>
      <c r="N547" s="23"/>
    </row>
    <row r="548" spans="2:14" ht="15" customHeight="1" x14ac:dyDescent="0.25">
      <c r="B548" s="5">
        <v>44606</v>
      </c>
      <c r="C548" s="5" t="s">
        <v>177</v>
      </c>
      <c r="D548" s="35">
        <v>2022</v>
      </c>
      <c r="E548" t="s">
        <v>111</v>
      </c>
      <c r="F548" t="s">
        <v>211</v>
      </c>
      <c r="G548" t="s">
        <v>58</v>
      </c>
      <c r="H548" s="92" t="s">
        <v>969</v>
      </c>
      <c r="I548">
        <v>1</v>
      </c>
      <c r="J548" s="46">
        <v>2530</v>
      </c>
      <c r="K548" s="50" t="s">
        <v>397</v>
      </c>
      <c r="L548" s="46">
        <v>2530</v>
      </c>
      <c r="M548" s="46"/>
      <c r="N548" s="23"/>
    </row>
    <row r="549" spans="2:14" ht="15" customHeight="1" x14ac:dyDescent="0.25">
      <c r="B549" s="5">
        <v>44606</v>
      </c>
      <c r="C549" s="5" t="s">
        <v>177</v>
      </c>
      <c r="D549" s="35">
        <v>2022</v>
      </c>
      <c r="E549" t="s">
        <v>16</v>
      </c>
      <c r="F549" t="s">
        <v>65</v>
      </c>
      <c r="G549" t="s">
        <v>49</v>
      </c>
      <c r="H549" s="92" t="s">
        <v>966</v>
      </c>
      <c r="I549">
        <v>1</v>
      </c>
      <c r="J549" s="46">
        <v>1740</v>
      </c>
      <c r="K549" s="50" t="s">
        <v>397</v>
      </c>
      <c r="L549" s="46">
        <v>1740</v>
      </c>
      <c r="M549" s="46"/>
      <c r="N549" s="23"/>
    </row>
    <row r="550" spans="2:14" ht="15" customHeight="1" x14ac:dyDescent="0.25">
      <c r="B550" s="5">
        <v>44606</v>
      </c>
      <c r="C550" s="5" t="s">
        <v>177</v>
      </c>
      <c r="D550" s="35">
        <v>2022</v>
      </c>
      <c r="E550" t="s">
        <v>16</v>
      </c>
      <c r="F550" t="s">
        <v>419</v>
      </c>
      <c r="G550" t="s">
        <v>321</v>
      </c>
      <c r="H550" s="92" t="s">
        <v>967</v>
      </c>
      <c r="I550">
        <v>1</v>
      </c>
      <c r="J550" s="46">
        <v>2300</v>
      </c>
      <c r="K550" s="50" t="s">
        <v>397</v>
      </c>
      <c r="L550" s="46">
        <v>2300</v>
      </c>
      <c r="M550" s="46"/>
      <c r="N550" s="23"/>
    </row>
    <row r="551" spans="2:14" ht="15" customHeight="1" x14ac:dyDescent="0.25">
      <c r="B551" s="5">
        <v>44607</v>
      </c>
      <c r="C551" s="5" t="s">
        <v>177</v>
      </c>
      <c r="D551" s="35">
        <v>2022</v>
      </c>
      <c r="E551" t="s">
        <v>22</v>
      </c>
      <c r="F551" t="s">
        <v>420</v>
      </c>
      <c r="G551" t="s">
        <v>50</v>
      </c>
      <c r="H551" s="92" t="s">
        <v>969</v>
      </c>
      <c r="I551">
        <v>2</v>
      </c>
      <c r="J551" s="46">
        <v>5060</v>
      </c>
      <c r="K551" s="50" t="s">
        <v>397</v>
      </c>
      <c r="L551" s="46">
        <v>5060</v>
      </c>
      <c r="M551" s="46"/>
      <c r="N551" s="23"/>
    </row>
    <row r="552" spans="2:14" ht="15" customHeight="1" x14ac:dyDescent="0.25">
      <c r="B552" s="5">
        <v>44607</v>
      </c>
      <c r="C552" s="5" t="s">
        <v>177</v>
      </c>
      <c r="D552" s="35">
        <v>2022</v>
      </c>
      <c r="E552" t="s">
        <v>22</v>
      </c>
      <c r="F552" t="s">
        <v>235</v>
      </c>
      <c r="G552" t="s">
        <v>120</v>
      </c>
      <c r="H552" s="24" t="s">
        <v>968</v>
      </c>
      <c r="I552">
        <v>1</v>
      </c>
      <c r="J552" s="46">
        <v>4350</v>
      </c>
      <c r="K552" s="50" t="s">
        <v>397</v>
      </c>
      <c r="L552" s="46">
        <v>4350</v>
      </c>
      <c r="M552" s="46"/>
      <c r="N552" s="23"/>
    </row>
    <row r="553" spans="2:14" ht="15" customHeight="1" x14ac:dyDescent="0.25">
      <c r="B553" s="5">
        <v>44607</v>
      </c>
      <c r="C553" s="5" t="s">
        <v>177</v>
      </c>
      <c r="D553" s="35">
        <v>2022</v>
      </c>
      <c r="E553" t="s">
        <v>22</v>
      </c>
      <c r="F553" t="s">
        <v>236</v>
      </c>
      <c r="G553" t="s">
        <v>128</v>
      </c>
      <c r="H553" s="92" t="s">
        <v>965</v>
      </c>
      <c r="I553">
        <v>3</v>
      </c>
      <c r="J553" s="46">
        <v>3720</v>
      </c>
      <c r="K553" s="50" t="s">
        <v>397</v>
      </c>
      <c r="L553" s="46">
        <v>3720</v>
      </c>
      <c r="M553" s="46"/>
      <c r="N553" s="23"/>
    </row>
    <row r="554" spans="2:14" ht="15" customHeight="1" x14ac:dyDescent="0.25">
      <c r="B554" s="5">
        <v>44607</v>
      </c>
      <c r="C554" s="5" t="s">
        <v>177</v>
      </c>
      <c r="D554" s="35">
        <v>2022</v>
      </c>
      <c r="E554" t="s">
        <v>22</v>
      </c>
      <c r="F554" t="s">
        <v>346</v>
      </c>
      <c r="G554" t="s">
        <v>424</v>
      </c>
      <c r="H554" s="24" t="s">
        <v>968</v>
      </c>
      <c r="I554">
        <v>1</v>
      </c>
      <c r="J554" s="46">
        <v>4495</v>
      </c>
      <c r="K554" s="50" t="s">
        <v>397</v>
      </c>
      <c r="L554" s="46">
        <v>4495</v>
      </c>
      <c r="M554" s="46"/>
      <c r="N554" s="23"/>
    </row>
    <row r="555" spans="2:14" ht="15" customHeight="1" x14ac:dyDescent="0.25">
      <c r="B555" s="5">
        <v>44607</v>
      </c>
      <c r="C555" s="5" t="s">
        <v>177</v>
      </c>
      <c r="D555" s="35">
        <v>2022</v>
      </c>
      <c r="E555" t="s">
        <v>22</v>
      </c>
      <c r="F555" t="s">
        <v>421</v>
      </c>
      <c r="G555" t="s">
        <v>321</v>
      </c>
      <c r="H555" s="92" t="s">
        <v>967</v>
      </c>
      <c r="I555">
        <v>2</v>
      </c>
      <c r="J555" s="46">
        <v>4600</v>
      </c>
      <c r="K555" s="50" t="s">
        <v>397</v>
      </c>
      <c r="L555" s="46">
        <v>4600</v>
      </c>
      <c r="M555" s="46"/>
      <c r="N555" s="23"/>
    </row>
    <row r="556" spans="2:14" ht="15" customHeight="1" x14ac:dyDescent="0.25">
      <c r="B556" s="5">
        <v>44607</v>
      </c>
      <c r="C556" s="5" t="s">
        <v>177</v>
      </c>
      <c r="D556" s="35">
        <v>2022</v>
      </c>
      <c r="E556" t="s">
        <v>22</v>
      </c>
      <c r="F556" t="s">
        <v>411</v>
      </c>
      <c r="G556" t="s">
        <v>412</v>
      </c>
      <c r="H556" s="92" t="s">
        <v>977</v>
      </c>
      <c r="I556">
        <v>3</v>
      </c>
      <c r="J556" s="46">
        <v>9930</v>
      </c>
      <c r="K556" s="50" t="s">
        <v>397</v>
      </c>
      <c r="L556" s="46">
        <v>9930</v>
      </c>
      <c r="M556" s="46"/>
      <c r="N556" s="23"/>
    </row>
    <row r="557" spans="2:14" ht="15" customHeight="1" x14ac:dyDescent="0.25">
      <c r="B557" s="5">
        <v>44607</v>
      </c>
      <c r="C557" s="5" t="s">
        <v>177</v>
      </c>
      <c r="D557" s="35">
        <v>2022</v>
      </c>
      <c r="E557" t="s">
        <v>22</v>
      </c>
      <c r="F557" t="s">
        <v>422</v>
      </c>
      <c r="G557" t="s">
        <v>120</v>
      </c>
      <c r="H557" s="24" t="s">
        <v>968</v>
      </c>
      <c r="I557">
        <v>10</v>
      </c>
      <c r="J557" s="46">
        <v>43500</v>
      </c>
      <c r="K557" s="50" t="s">
        <v>397</v>
      </c>
      <c r="L557" s="46">
        <v>43500</v>
      </c>
      <c r="M557" s="46"/>
      <c r="N557" s="23"/>
    </row>
    <row r="558" spans="2:14" ht="15" customHeight="1" x14ac:dyDescent="0.25">
      <c r="B558" s="5">
        <v>44607</v>
      </c>
      <c r="C558" s="5" t="s">
        <v>177</v>
      </c>
      <c r="D558" s="35">
        <v>2022</v>
      </c>
      <c r="E558" t="s">
        <v>22</v>
      </c>
      <c r="F558" t="s">
        <v>238</v>
      </c>
      <c r="G558" t="s">
        <v>364</v>
      </c>
      <c r="H558" s="92" t="s">
        <v>972</v>
      </c>
      <c r="I558">
        <v>1</v>
      </c>
      <c r="J558" s="46">
        <v>600</v>
      </c>
      <c r="K558" s="50" t="s">
        <v>397</v>
      </c>
      <c r="L558" s="46">
        <v>600</v>
      </c>
      <c r="M558" s="46"/>
      <c r="N558" s="23"/>
    </row>
    <row r="559" spans="2:14" ht="15" customHeight="1" x14ac:dyDescent="0.25">
      <c r="B559" s="5">
        <v>44607</v>
      </c>
      <c r="C559" s="5" t="s">
        <v>177</v>
      </c>
      <c r="D559" s="35">
        <v>2022</v>
      </c>
      <c r="E559" t="s">
        <v>22</v>
      </c>
      <c r="F559" t="s">
        <v>238</v>
      </c>
      <c r="G559" t="s">
        <v>121</v>
      </c>
      <c r="H559" s="92" t="s">
        <v>982</v>
      </c>
      <c r="I559">
        <v>1</v>
      </c>
      <c r="J559" s="46">
        <v>230</v>
      </c>
      <c r="K559" s="50" t="s">
        <v>397</v>
      </c>
      <c r="L559" s="46">
        <v>230</v>
      </c>
      <c r="M559" s="46"/>
      <c r="N559" s="23"/>
    </row>
    <row r="560" spans="2:14" ht="15" customHeight="1" x14ac:dyDescent="0.25">
      <c r="B560" s="5">
        <v>44607</v>
      </c>
      <c r="C560" s="5" t="s">
        <v>177</v>
      </c>
      <c r="D560" s="35">
        <v>2022</v>
      </c>
      <c r="E560" t="s">
        <v>22</v>
      </c>
      <c r="F560" t="s">
        <v>238</v>
      </c>
      <c r="G560" t="s">
        <v>425</v>
      </c>
      <c r="H560" s="92" t="s">
        <v>980</v>
      </c>
      <c r="I560">
        <v>1</v>
      </c>
      <c r="J560" s="46">
        <v>210</v>
      </c>
      <c r="K560" s="50" t="s">
        <v>397</v>
      </c>
      <c r="L560" s="46">
        <v>210</v>
      </c>
      <c r="M560" s="46"/>
      <c r="N560" s="23"/>
    </row>
    <row r="561" spans="2:14" ht="15" customHeight="1" x14ac:dyDescent="0.25">
      <c r="B561" s="5">
        <v>44607</v>
      </c>
      <c r="C561" s="5" t="s">
        <v>177</v>
      </c>
      <c r="D561" s="35">
        <v>2022</v>
      </c>
      <c r="E561" t="s">
        <v>22</v>
      </c>
      <c r="F561" t="s">
        <v>238</v>
      </c>
      <c r="G561" t="s">
        <v>426</v>
      </c>
      <c r="H561" s="92" t="s">
        <v>979</v>
      </c>
      <c r="I561">
        <v>1</v>
      </c>
      <c r="J561" s="46">
        <v>320</v>
      </c>
      <c r="K561" s="50" t="s">
        <v>397</v>
      </c>
      <c r="L561" s="46">
        <v>320</v>
      </c>
      <c r="M561" s="46"/>
      <c r="N561" s="23"/>
    </row>
    <row r="562" spans="2:14" ht="15" customHeight="1" x14ac:dyDescent="0.25">
      <c r="B562" s="5">
        <v>44607</v>
      </c>
      <c r="C562" s="5" t="s">
        <v>177</v>
      </c>
      <c r="D562" s="35">
        <v>2022</v>
      </c>
      <c r="E562" t="s">
        <v>22</v>
      </c>
      <c r="F562" t="s">
        <v>423</v>
      </c>
      <c r="G562" t="s">
        <v>49</v>
      </c>
      <c r="H562" s="92" t="s">
        <v>966</v>
      </c>
      <c r="I562">
        <v>1</v>
      </c>
      <c r="J562" s="46">
        <v>1740</v>
      </c>
      <c r="K562" s="50" t="s">
        <v>397</v>
      </c>
      <c r="L562" s="46">
        <v>1740</v>
      </c>
      <c r="M562" s="46"/>
      <c r="N562" s="23"/>
    </row>
    <row r="563" spans="2:14" ht="15" customHeight="1" x14ac:dyDescent="0.25">
      <c r="B563" s="5">
        <v>44607</v>
      </c>
      <c r="C563" s="5" t="s">
        <v>177</v>
      </c>
      <c r="D563" s="35">
        <v>2022</v>
      </c>
      <c r="E563" t="s">
        <v>22</v>
      </c>
      <c r="F563" t="s">
        <v>93</v>
      </c>
      <c r="G563" t="s">
        <v>364</v>
      </c>
      <c r="H563" s="92" t="s">
        <v>972</v>
      </c>
      <c r="I563">
        <v>2</v>
      </c>
      <c r="J563" s="46">
        <v>1200</v>
      </c>
      <c r="K563" s="50" t="s">
        <v>397</v>
      </c>
      <c r="L563" s="46">
        <v>1200</v>
      </c>
      <c r="M563" s="46"/>
      <c r="N563" s="23"/>
    </row>
    <row r="564" spans="2:14" ht="15" customHeight="1" x14ac:dyDescent="0.25">
      <c r="B564" s="5">
        <v>44607</v>
      </c>
      <c r="C564" s="5" t="s">
        <v>177</v>
      </c>
      <c r="D564" s="35">
        <v>2022</v>
      </c>
      <c r="E564" t="s">
        <v>22</v>
      </c>
      <c r="F564" t="s">
        <v>131</v>
      </c>
      <c r="G564" t="s">
        <v>427</v>
      </c>
      <c r="H564" s="24" t="s">
        <v>968</v>
      </c>
      <c r="I564">
        <v>1</v>
      </c>
      <c r="J564" s="46">
        <v>3100</v>
      </c>
      <c r="K564" s="50" t="s">
        <v>397</v>
      </c>
      <c r="L564" s="46">
        <v>3100</v>
      </c>
      <c r="M564" s="46"/>
      <c r="N564" s="23"/>
    </row>
    <row r="565" spans="2:14" ht="15" customHeight="1" x14ac:dyDescent="0.25">
      <c r="B565" s="5">
        <v>44607</v>
      </c>
      <c r="C565" s="5" t="s">
        <v>177</v>
      </c>
      <c r="D565" s="35">
        <v>2022</v>
      </c>
      <c r="E565" t="s">
        <v>22</v>
      </c>
      <c r="F565" t="s">
        <v>239</v>
      </c>
      <c r="G565" t="s">
        <v>427</v>
      </c>
      <c r="H565" s="24" t="s">
        <v>968</v>
      </c>
      <c r="I565">
        <v>1</v>
      </c>
      <c r="J565" s="46">
        <v>3100</v>
      </c>
      <c r="K565" s="50" t="s">
        <v>397</v>
      </c>
      <c r="L565" s="46">
        <v>3100</v>
      </c>
      <c r="M565" s="46"/>
      <c r="N565" s="23"/>
    </row>
    <row r="566" spans="2:14" ht="15" customHeight="1" x14ac:dyDescent="0.25">
      <c r="B566" s="5">
        <v>44607</v>
      </c>
      <c r="C566" s="5" t="s">
        <v>177</v>
      </c>
      <c r="D566" s="35">
        <v>2022</v>
      </c>
      <c r="E566" t="s">
        <v>356</v>
      </c>
      <c r="F566" t="s">
        <v>350</v>
      </c>
      <c r="G566" t="s">
        <v>45</v>
      </c>
      <c r="H566" s="92" t="s">
        <v>965</v>
      </c>
      <c r="I566">
        <v>1</v>
      </c>
      <c r="J566" s="46">
        <v>1390</v>
      </c>
      <c r="K566" s="50" t="s">
        <v>397</v>
      </c>
      <c r="L566" s="46">
        <v>1390</v>
      </c>
      <c r="M566" s="46"/>
      <c r="N566" s="23"/>
    </row>
    <row r="567" spans="2:14" ht="15" customHeight="1" x14ac:dyDescent="0.25">
      <c r="B567" s="5">
        <v>44607</v>
      </c>
      <c r="C567" s="5" t="s">
        <v>177</v>
      </c>
      <c r="D567" s="35">
        <v>2022</v>
      </c>
      <c r="E567" t="s">
        <v>356</v>
      </c>
      <c r="F567" t="s">
        <v>350</v>
      </c>
      <c r="G567" t="s">
        <v>123</v>
      </c>
      <c r="H567" s="92" t="s">
        <v>966</v>
      </c>
      <c r="I567">
        <v>1</v>
      </c>
      <c r="J567" s="46">
        <v>1750</v>
      </c>
      <c r="K567" s="50" t="s">
        <v>397</v>
      </c>
      <c r="L567" s="46">
        <v>1750</v>
      </c>
      <c r="M567" s="46"/>
      <c r="N567" s="23"/>
    </row>
    <row r="568" spans="2:14" ht="15" customHeight="1" x14ac:dyDescent="0.25">
      <c r="B568" s="5">
        <v>44607</v>
      </c>
      <c r="C568" s="5" t="s">
        <v>177</v>
      </c>
      <c r="D568" s="35">
        <v>2022</v>
      </c>
      <c r="E568" t="s">
        <v>356</v>
      </c>
      <c r="F568" t="s">
        <v>350</v>
      </c>
      <c r="G568" t="s">
        <v>192</v>
      </c>
      <c r="H568" s="24" t="s">
        <v>976</v>
      </c>
      <c r="I568">
        <v>1</v>
      </c>
      <c r="J568" s="46">
        <v>1395</v>
      </c>
      <c r="K568" s="50" t="s">
        <v>397</v>
      </c>
      <c r="L568" s="46">
        <v>1395</v>
      </c>
      <c r="M568" s="46"/>
      <c r="N568" s="23"/>
    </row>
    <row r="569" spans="2:14" ht="15" customHeight="1" x14ac:dyDescent="0.25">
      <c r="B569" s="5">
        <v>44607</v>
      </c>
      <c r="C569" s="5" t="s">
        <v>177</v>
      </c>
      <c r="D569" s="35">
        <v>2022</v>
      </c>
      <c r="E569" t="s">
        <v>356</v>
      </c>
      <c r="F569" t="s">
        <v>185</v>
      </c>
      <c r="G569" t="s">
        <v>50</v>
      </c>
      <c r="H569" s="92" t="s">
        <v>969</v>
      </c>
      <c r="I569">
        <v>1</v>
      </c>
      <c r="J569" s="46">
        <v>2530</v>
      </c>
      <c r="K569" s="50" t="s">
        <v>397</v>
      </c>
      <c r="L569" s="46">
        <v>2530</v>
      </c>
      <c r="M569" s="46"/>
      <c r="N569" s="23"/>
    </row>
    <row r="570" spans="2:14" ht="15" customHeight="1" x14ac:dyDescent="0.25">
      <c r="B570" s="5">
        <v>44607</v>
      </c>
      <c r="C570" s="5" t="s">
        <v>177</v>
      </c>
      <c r="D570" s="35">
        <v>2022</v>
      </c>
      <c r="E570" t="s">
        <v>356</v>
      </c>
      <c r="F570" t="s">
        <v>187</v>
      </c>
      <c r="G570" t="s">
        <v>120</v>
      </c>
      <c r="H570" s="24" t="s">
        <v>968</v>
      </c>
      <c r="I570">
        <v>1</v>
      </c>
      <c r="J570" s="46">
        <v>4350</v>
      </c>
      <c r="K570" s="50" t="s">
        <v>397</v>
      </c>
      <c r="L570" s="46">
        <v>4350</v>
      </c>
      <c r="M570" s="46"/>
      <c r="N570" s="23"/>
    </row>
    <row r="571" spans="2:14" ht="15" customHeight="1" x14ac:dyDescent="0.25">
      <c r="B571" s="5">
        <v>44607</v>
      </c>
      <c r="C571" s="5" t="s">
        <v>177</v>
      </c>
      <c r="D571" s="35">
        <v>2022</v>
      </c>
      <c r="E571" t="s">
        <v>356</v>
      </c>
      <c r="F571" t="s">
        <v>56</v>
      </c>
      <c r="G571" t="s">
        <v>126</v>
      </c>
      <c r="H571" s="92" t="s">
        <v>965</v>
      </c>
      <c r="I571">
        <v>2</v>
      </c>
      <c r="J571" s="46">
        <v>2820</v>
      </c>
      <c r="K571" s="50" t="s">
        <v>397</v>
      </c>
      <c r="L571" s="46">
        <v>2820</v>
      </c>
      <c r="M571" s="46"/>
      <c r="N571" s="23"/>
    </row>
    <row r="572" spans="2:14" ht="15" customHeight="1" x14ac:dyDescent="0.25">
      <c r="B572" s="5">
        <v>44607</v>
      </c>
      <c r="C572" s="5" t="s">
        <v>177</v>
      </c>
      <c r="D572" s="35">
        <v>2022</v>
      </c>
      <c r="E572" t="s">
        <v>356</v>
      </c>
      <c r="F572" t="s">
        <v>56</v>
      </c>
      <c r="G572" t="s">
        <v>432</v>
      </c>
      <c r="H572" s="24" t="s">
        <v>976</v>
      </c>
      <c r="I572">
        <v>1</v>
      </c>
      <c r="J572" s="46">
        <v>3580</v>
      </c>
      <c r="K572" s="50" t="s">
        <v>397</v>
      </c>
      <c r="L572" s="46">
        <v>3580</v>
      </c>
      <c r="M572" s="46"/>
      <c r="N572" s="23"/>
    </row>
    <row r="573" spans="2:14" ht="15" customHeight="1" x14ac:dyDescent="0.25">
      <c r="B573" s="5">
        <v>44607</v>
      </c>
      <c r="C573" s="5" t="s">
        <v>177</v>
      </c>
      <c r="D573" s="35">
        <v>2022</v>
      </c>
      <c r="E573" t="s">
        <v>356</v>
      </c>
      <c r="F573" t="s">
        <v>56</v>
      </c>
      <c r="G573" t="s">
        <v>45</v>
      </c>
      <c r="H573" s="92" t="s">
        <v>965</v>
      </c>
      <c r="I573">
        <v>3</v>
      </c>
      <c r="J573" s="46">
        <v>4170</v>
      </c>
      <c r="K573" s="50" t="s">
        <v>397</v>
      </c>
      <c r="L573" s="46">
        <v>4170</v>
      </c>
      <c r="M573" s="46"/>
      <c r="N573" s="23"/>
    </row>
    <row r="574" spans="2:14" ht="15" customHeight="1" x14ac:dyDescent="0.25">
      <c r="B574" s="5">
        <v>44607</v>
      </c>
      <c r="C574" s="5" t="s">
        <v>177</v>
      </c>
      <c r="D574" s="35">
        <v>2022</v>
      </c>
      <c r="E574" t="s">
        <v>356</v>
      </c>
      <c r="F574" t="s">
        <v>240</v>
      </c>
      <c r="G574" t="s">
        <v>432</v>
      </c>
      <c r="H574" s="24" t="s">
        <v>976</v>
      </c>
      <c r="I574">
        <v>1</v>
      </c>
      <c r="J574" s="46">
        <v>3580</v>
      </c>
      <c r="K574" s="50" t="s">
        <v>397</v>
      </c>
      <c r="L574" s="46">
        <v>3580</v>
      </c>
      <c r="M574" s="46"/>
      <c r="N574" s="23"/>
    </row>
    <row r="575" spans="2:14" ht="15" customHeight="1" x14ac:dyDescent="0.25">
      <c r="B575" s="5">
        <v>44607</v>
      </c>
      <c r="C575" s="5" t="s">
        <v>177</v>
      </c>
      <c r="D575" s="35">
        <v>2022</v>
      </c>
      <c r="E575" t="s">
        <v>356</v>
      </c>
      <c r="F575" t="s">
        <v>241</v>
      </c>
      <c r="G575" t="s">
        <v>120</v>
      </c>
      <c r="H575" s="24" t="s">
        <v>968</v>
      </c>
      <c r="I575">
        <v>10</v>
      </c>
      <c r="J575" s="46">
        <v>43500</v>
      </c>
      <c r="K575" s="50" t="s">
        <v>397</v>
      </c>
      <c r="L575" s="46">
        <v>43500</v>
      </c>
      <c r="M575" s="46"/>
      <c r="N575" s="23"/>
    </row>
    <row r="576" spans="2:14" ht="15" customHeight="1" x14ac:dyDescent="0.25">
      <c r="B576" s="5">
        <v>44607</v>
      </c>
      <c r="C576" s="5" t="s">
        <v>177</v>
      </c>
      <c r="D576" s="35">
        <v>2022</v>
      </c>
      <c r="E576" t="s">
        <v>356</v>
      </c>
      <c r="F576" t="s">
        <v>428</v>
      </c>
      <c r="G576" t="s">
        <v>321</v>
      </c>
      <c r="H576" s="92" t="s">
        <v>967</v>
      </c>
      <c r="I576">
        <v>1</v>
      </c>
      <c r="J576" s="46">
        <v>2300</v>
      </c>
      <c r="K576" s="50" t="s">
        <v>397</v>
      </c>
      <c r="L576" s="46">
        <v>2300</v>
      </c>
      <c r="M576" s="46"/>
      <c r="N576" s="23"/>
    </row>
    <row r="577" spans="2:14" ht="15" customHeight="1" x14ac:dyDescent="0.25">
      <c r="B577" s="5">
        <v>44607</v>
      </c>
      <c r="C577" s="5" t="s">
        <v>177</v>
      </c>
      <c r="D577" s="35">
        <v>2022</v>
      </c>
      <c r="E577" t="s">
        <v>356</v>
      </c>
      <c r="F577" t="s">
        <v>429</v>
      </c>
      <c r="G577" t="s">
        <v>53</v>
      </c>
      <c r="H577" s="92" t="s">
        <v>984</v>
      </c>
      <c r="I577">
        <v>1</v>
      </c>
      <c r="J577" s="46">
        <v>950</v>
      </c>
      <c r="K577" s="50" t="s">
        <v>397</v>
      </c>
      <c r="L577" s="46">
        <v>950</v>
      </c>
      <c r="M577" s="46"/>
      <c r="N577" s="23"/>
    </row>
    <row r="578" spans="2:14" ht="15" customHeight="1" x14ac:dyDescent="0.25">
      <c r="B578" s="5">
        <v>44607</v>
      </c>
      <c r="C578" s="5" t="s">
        <v>177</v>
      </c>
      <c r="D578" s="35">
        <v>2022</v>
      </c>
      <c r="E578" t="s">
        <v>356</v>
      </c>
      <c r="F578" t="s">
        <v>354</v>
      </c>
      <c r="G578" t="s">
        <v>120</v>
      </c>
      <c r="H578" s="24" t="s">
        <v>968</v>
      </c>
      <c r="I578">
        <v>1</v>
      </c>
      <c r="J578" s="46">
        <v>4350</v>
      </c>
      <c r="K578" s="50" t="s">
        <v>397</v>
      </c>
      <c r="L578" s="46">
        <v>4350</v>
      </c>
      <c r="M578" s="46"/>
      <c r="N578" s="23"/>
    </row>
    <row r="579" spans="2:14" ht="15" customHeight="1" x14ac:dyDescent="0.25">
      <c r="B579" s="5">
        <v>44607</v>
      </c>
      <c r="C579" s="5" t="s">
        <v>177</v>
      </c>
      <c r="D579" s="35">
        <v>2022</v>
      </c>
      <c r="E579" t="s">
        <v>356</v>
      </c>
      <c r="F579" t="s">
        <v>430</v>
      </c>
      <c r="G579" t="s">
        <v>413</v>
      </c>
      <c r="H579" s="92" t="s">
        <v>977</v>
      </c>
      <c r="I579">
        <v>1</v>
      </c>
      <c r="J579" s="46">
        <v>560</v>
      </c>
      <c r="K579" s="50" t="s">
        <v>397</v>
      </c>
      <c r="L579" s="46">
        <v>560</v>
      </c>
      <c r="M579" s="46"/>
      <c r="N579" s="23"/>
    </row>
    <row r="580" spans="2:14" ht="15" customHeight="1" x14ac:dyDescent="0.25">
      <c r="B580" s="5">
        <v>44607</v>
      </c>
      <c r="C580" s="5" t="s">
        <v>177</v>
      </c>
      <c r="D580" s="35">
        <v>2022</v>
      </c>
      <c r="E580" t="s">
        <v>356</v>
      </c>
      <c r="F580" t="s">
        <v>430</v>
      </c>
      <c r="G580" t="s">
        <v>128</v>
      </c>
      <c r="H580" s="92" t="s">
        <v>965</v>
      </c>
      <c r="I580">
        <v>1</v>
      </c>
      <c r="J580" s="46">
        <v>1240</v>
      </c>
      <c r="K580" s="50" t="s">
        <v>397</v>
      </c>
      <c r="L580" s="46">
        <v>1240</v>
      </c>
      <c r="M580" s="46"/>
      <c r="N580" s="23"/>
    </row>
    <row r="581" spans="2:14" ht="15" customHeight="1" x14ac:dyDescent="0.25">
      <c r="B581" s="5">
        <v>44607</v>
      </c>
      <c r="C581" s="5" t="s">
        <v>177</v>
      </c>
      <c r="D581" s="35">
        <v>2022</v>
      </c>
      <c r="E581" t="s">
        <v>356</v>
      </c>
      <c r="F581" t="s">
        <v>431</v>
      </c>
      <c r="G581" t="s">
        <v>45</v>
      </c>
      <c r="H581" s="92" t="s">
        <v>965</v>
      </c>
      <c r="I581">
        <v>1</v>
      </c>
      <c r="J581" s="46">
        <v>1390</v>
      </c>
      <c r="K581" s="50" t="s">
        <v>397</v>
      </c>
      <c r="L581" s="46">
        <v>1390</v>
      </c>
      <c r="M581" s="46"/>
      <c r="N581" s="23"/>
    </row>
    <row r="582" spans="2:14" ht="15" customHeight="1" x14ac:dyDescent="0.25">
      <c r="B582" s="5">
        <v>44607</v>
      </c>
      <c r="C582" s="5" t="s">
        <v>177</v>
      </c>
      <c r="D582" s="35">
        <v>2022</v>
      </c>
      <c r="E582" t="s">
        <v>19</v>
      </c>
      <c r="F582" t="s">
        <v>317</v>
      </c>
      <c r="G582" t="s">
        <v>128</v>
      </c>
      <c r="H582" s="92" t="s">
        <v>965</v>
      </c>
      <c r="I582">
        <v>1</v>
      </c>
      <c r="J582" s="46">
        <v>1240</v>
      </c>
      <c r="K582" s="50" t="s">
        <v>397</v>
      </c>
      <c r="L582" s="46">
        <v>1240</v>
      </c>
      <c r="M582" s="46"/>
      <c r="N582" s="23"/>
    </row>
    <row r="583" spans="2:14" ht="15" customHeight="1" x14ac:dyDescent="0.25">
      <c r="B583" s="5">
        <v>44607</v>
      </c>
      <c r="C583" s="5" t="s">
        <v>177</v>
      </c>
      <c r="D583" s="35">
        <v>2022</v>
      </c>
      <c r="E583" t="s">
        <v>19</v>
      </c>
      <c r="F583" t="s">
        <v>1123</v>
      </c>
      <c r="G583" t="s">
        <v>120</v>
      </c>
      <c r="H583" s="24" t="s">
        <v>968</v>
      </c>
      <c r="I583">
        <v>1</v>
      </c>
      <c r="J583" s="46">
        <v>4350</v>
      </c>
      <c r="K583" s="50" t="s">
        <v>397</v>
      </c>
      <c r="L583" s="46">
        <v>4350</v>
      </c>
      <c r="M583" s="46"/>
      <c r="N583" s="23"/>
    </row>
    <row r="584" spans="2:14" ht="15" customHeight="1" x14ac:dyDescent="0.25">
      <c r="B584" s="5">
        <v>44607</v>
      </c>
      <c r="C584" s="5" t="s">
        <v>177</v>
      </c>
      <c r="D584" s="35">
        <v>2022</v>
      </c>
      <c r="E584" t="s">
        <v>19</v>
      </c>
      <c r="F584" t="s">
        <v>1123</v>
      </c>
      <c r="G584" t="s">
        <v>249</v>
      </c>
      <c r="H584" s="92" t="s">
        <v>972</v>
      </c>
      <c r="I584">
        <v>1</v>
      </c>
      <c r="J584" s="46">
        <v>1080</v>
      </c>
      <c r="K584" s="50" t="s">
        <v>397</v>
      </c>
      <c r="L584" s="46">
        <v>1080</v>
      </c>
      <c r="M584" s="46"/>
      <c r="N584" s="23"/>
    </row>
    <row r="585" spans="2:14" ht="15" customHeight="1" x14ac:dyDescent="0.25">
      <c r="B585" s="5">
        <v>44607</v>
      </c>
      <c r="C585" s="5" t="s">
        <v>177</v>
      </c>
      <c r="D585" s="35">
        <v>2022</v>
      </c>
      <c r="E585" t="s">
        <v>19</v>
      </c>
      <c r="F585" t="s">
        <v>433</v>
      </c>
      <c r="G585" t="s">
        <v>122</v>
      </c>
      <c r="H585" s="92" t="s">
        <v>973</v>
      </c>
      <c r="I585">
        <v>1</v>
      </c>
      <c r="J585" s="46">
        <v>260</v>
      </c>
      <c r="K585" s="50" t="s">
        <v>397</v>
      </c>
      <c r="L585" s="46">
        <v>260</v>
      </c>
      <c r="M585" s="46"/>
      <c r="N585" s="23"/>
    </row>
    <row r="586" spans="2:14" ht="15" customHeight="1" x14ac:dyDescent="0.25">
      <c r="B586" s="5">
        <v>44607</v>
      </c>
      <c r="C586" s="5" t="s">
        <v>177</v>
      </c>
      <c r="D586" s="35">
        <v>2022</v>
      </c>
      <c r="E586" t="s">
        <v>19</v>
      </c>
      <c r="F586" t="s">
        <v>434</v>
      </c>
      <c r="G586" t="s">
        <v>424</v>
      </c>
      <c r="H586" s="24" t="s">
        <v>968</v>
      </c>
      <c r="I586">
        <v>2</v>
      </c>
      <c r="J586" s="46">
        <v>8990</v>
      </c>
      <c r="K586" s="50" t="s">
        <v>397</v>
      </c>
      <c r="L586" s="46">
        <v>8990</v>
      </c>
      <c r="M586" s="46"/>
      <c r="N586" s="23"/>
    </row>
    <row r="587" spans="2:14" ht="15" customHeight="1" x14ac:dyDescent="0.25">
      <c r="B587" s="5">
        <v>44607</v>
      </c>
      <c r="C587" s="5" t="s">
        <v>177</v>
      </c>
      <c r="D587" s="35">
        <v>2022</v>
      </c>
      <c r="E587" t="s">
        <v>19</v>
      </c>
      <c r="F587" t="s">
        <v>434</v>
      </c>
      <c r="G587" t="s">
        <v>321</v>
      </c>
      <c r="H587" s="92" t="s">
        <v>967</v>
      </c>
      <c r="I587">
        <v>1</v>
      </c>
      <c r="J587" s="46">
        <v>2300</v>
      </c>
      <c r="K587" s="50" t="s">
        <v>397</v>
      </c>
      <c r="L587" s="46">
        <v>2300</v>
      </c>
      <c r="M587" s="46"/>
      <c r="N587" s="23"/>
    </row>
    <row r="588" spans="2:14" ht="15" customHeight="1" x14ac:dyDescent="0.25">
      <c r="B588" s="5">
        <v>44607</v>
      </c>
      <c r="C588" s="5" t="s">
        <v>177</v>
      </c>
      <c r="D588" s="35">
        <v>2022</v>
      </c>
      <c r="E588" t="s">
        <v>19</v>
      </c>
      <c r="F588" t="s">
        <v>201</v>
      </c>
      <c r="G588" t="s">
        <v>120</v>
      </c>
      <c r="H588" s="24" t="s">
        <v>968</v>
      </c>
      <c r="I588">
        <v>1</v>
      </c>
      <c r="J588" s="46">
        <v>4350</v>
      </c>
      <c r="K588" s="50" t="s">
        <v>397</v>
      </c>
      <c r="L588" s="46">
        <v>4350</v>
      </c>
      <c r="M588" s="46"/>
      <c r="N588" s="23"/>
    </row>
    <row r="589" spans="2:14" ht="15" customHeight="1" x14ac:dyDescent="0.25">
      <c r="B589" s="5">
        <v>44607</v>
      </c>
      <c r="C589" s="5" t="s">
        <v>177</v>
      </c>
      <c r="D589" s="35">
        <v>2022</v>
      </c>
      <c r="E589" t="s">
        <v>417</v>
      </c>
      <c r="F589" t="s">
        <v>278</v>
      </c>
      <c r="G589" t="s">
        <v>120</v>
      </c>
      <c r="H589" s="24" t="s">
        <v>968</v>
      </c>
      <c r="I589">
        <v>1</v>
      </c>
      <c r="J589" s="46">
        <v>4350</v>
      </c>
      <c r="K589" s="50" t="s">
        <v>397</v>
      </c>
      <c r="L589" s="46">
        <v>4350</v>
      </c>
      <c r="M589" s="46"/>
      <c r="N589" s="23"/>
    </row>
    <row r="590" spans="2:14" ht="15" customHeight="1" x14ac:dyDescent="0.25">
      <c r="B590" s="5">
        <v>44607</v>
      </c>
      <c r="C590" s="5" t="s">
        <v>177</v>
      </c>
      <c r="D590" s="35">
        <v>2022</v>
      </c>
      <c r="E590" t="s">
        <v>417</v>
      </c>
      <c r="F590" t="s">
        <v>435</v>
      </c>
      <c r="G590" t="s">
        <v>264</v>
      </c>
      <c r="H590" s="24" t="s">
        <v>976</v>
      </c>
      <c r="I590">
        <v>1</v>
      </c>
      <c r="J590" s="46">
        <v>3580</v>
      </c>
      <c r="K590" s="50" t="s">
        <v>397</v>
      </c>
      <c r="L590" s="46">
        <v>3580</v>
      </c>
      <c r="M590" s="46"/>
      <c r="N590" s="23"/>
    </row>
    <row r="591" spans="2:14" ht="15" customHeight="1" x14ac:dyDescent="0.25">
      <c r="B591" s="5">
        <v>44607</v>
      </c>
      <c r="C591" s="5" t="s">
        <v>177</v>
      </c>
      <c r="D591" s="35">
        <v>2022</v>
      </c>
      <c r="E591" t="s">
        <v>417</v>
      </c>
      <c r="F591" t="s">
        <v>435</v>
      </c>
      <c r="G591" t="s">
        <v>269</v>
      </c>
      <c r="H591" s="92" t="s">
        <v>983</v>
      </c>
      <c r="I591">
        <v>1</v>
      </c>
      <c r="J591" s="46">
        <v>290</v>
      </c>
      <c r="K591" s="50" t="s">
        <v>397</v>
      </c>
      <c r="L591" s="46">
        <v>290</v>
      </c>
      <c r="M591" s="46"/>
      <c r="N591" s="23"/>
    </row>
    <row r="592" spans="2:14" ht="15" customHeight="1" x14ac:dyDescent="0.25">
      <c r="B592" s="5">
        <v>44607</v>
      </c>
      <c r="C592" s="5" t="s">
        <v>177</v>
      </c>
      <c r="D592" s="35">
        <v>2022</v>
      </c>
      <c r="E592" t="s">
        <v>417</v>
      </c>
      <c r="F592" t="s">
        <v>436</v>
      </c>
      <c r="G592" t="s">
        <v>439</v>
      </c>
      <c r="H592" s="92" t="s">
        <v>975</v>
      </c>
      <c r="I592">
        <v>1</v>
      </c>
      <c r="J592" s="46">
        <v>1760</v>
      </c>
      <c r="K592" s="50" t="s">
        <v>397</v>
      </c>
      <c r="L592" s="46">
        <v>1760</v>
      </c>
      <c r="M592" s="46"/>
      <c r="N592" s="23"/>
    </row>
    <row r="593" spans="2:15" ht="15" customHeight="1" x14ac:dyDescent="0.25">
      <c r="B593" s="5">
        <v>44607</v>
      </c>
      <c r="C593" s="5" t="s">
        <v>177</v>
      </c>
      <c r="D593" s="35">
        <v>2022</v>
      </c>
      <c r="E593" t="s">
        <v>417</v>
      </c>
      <c r="F593" t="s">
        <v>437</v>
      </c>
      <c r="G593" t="s">
        <v>192</v>
      </c>
      <c r="H593" s="24" t="s">
        <v>976</v>
      </c>
      <c r="I593">
        <v>1</v>
      </c>
      <c r="J593" s="46">
        <v>1395</v>
      </c>
      <c r="K593" s="50" t="s">
        <v>397</v>
      </c>
      <c r="L593" s="46">
        <v>1395</v>
      </c>
      <c r="M593" s="46"/>
      <c r="N593" s="23"/>
    </row>
    <row r="594" spans="2:15" ht="15" customHeight="1" x14ac:dyDescent="0.25">
      <c r="B594" s="5">
        <v>44607</v>
      </c>
      <c r="C594" s="5" t="s">
        <v>177</v>
      </c>
      <c r="D594" s="35">
        <v>2022</v>
      </c>
      <c r="E594" t="s">
        <v>417</v>
      </c>
      <c r="F594" t="s">
        <v>437</v>
      </c>
      <c r="G594" t="s">
        <v>49</v>
      </c>
      <c r="H594" s="92" t="s">
        <v>966</v>
      </c>
      <c r="I594">
        <v>1</v>
      </c>
      <c r="J594" s="46">
        <v>1740</v>
      </c>
      <c r="K594" s="50" t="s">
        <v>397</v>
      </c>
      <c r="L594" s="46">
        <v>1740</v>
      </c>
      <c r="M594" s="46"/>
      <c r="N594" s="23"/>
    </row>
    <row r="595" spans="2:15" ht="15" customHeight="1" x14ac:dyDescent="0.25">
      <c r="B595" s="5">
        <v>44607</v>
      </c>
      <c r="C595" s="5" t="s">
        <v>177</v>
      </c>
      <c r="D595" s="35">
        <v>2022</v>
      </c>
      <c r="E595" t="s">
        <v>417</v>
      </c>
      <c r="F595" t="s">
        <v>438</v>
      </c>
      <c r="G595" t="s">
        <v>440</v>
      </c>
      <c r="H595" s="92" t="s">
        <v>978</v>
      </c>
      <c r="I595">
        <v>1</v>
      </c>
      <c r="J595" s="46">
        <v>750</v>
      </c>
      <c r="K595" s="50" t="s">
        <v>397</v>
      </c>
      <c r="L595" s="46">
        <v>750</v>
      </c>
      <c r="M595" s="46"/>
      <c r="N595" s="23"/>
    </row>
    <row r="596" spans="2:15" ht="15" customHeight="1" x14ac:dyDescent="0.25">
      <c r="B596" s="5">
        <v>44607</v>
      </c>
      <c r="C596" s="5" t="s">
        <v>177</v>
      </c>
      <c r="D596" s="35">
        <v>2022</v>
      </c>
      <c r="E596" t="s">
        <v>417</v>
      </c>
      <c r="F596" t="s">
        <v>357</v>
      </c>
      <c r="G596" t="s">
        <v>432</v>
      </c>
      <c r="H596" s="24" t="s">
        <v>976</v>
      </c>
      <c r="I596">
        <v>1</v>
      </c>
      <c r="J596" s="46">
        <v>3580</v>
      </c>
      <c r="K596" s="50" t="s">
        <v>397</v>
      </c>
      <c r="L596" s="46">
        <v>3580</v>
      </c>
      <c r="M596" s="46"/>
      <c r="N596" s="23"/>
    </row>
    <row r="597" spans="2:15" ht="15" customHeight="1" x14ac:dyDescent="0.25">
      <c r="B597" s="5">
        <v>44607</v>
      </c>
      <c r="C597" s="5" t="s">
        <v>177</v>
      </c>
      <c r="D597" s="35">
        <v>2022</v>
      </c>
      <c r="E597" t="s">
        <v>445</v>
      </c>
      <c r="F597" t="s">
        <v>365</v>
      </c>
      <c r="G597" t="s">
        <v>58</v>
      </c>
      <c r="H597" s="92" t="s">
        <v>969</v>
      </c>
      <c r="I597">
        <v>1</v>
      </c>
      <c r="J597" s="46">
        <v>2530</v>
      </c>
      <c r="K597" s="50" t="s">
        <v>397</v>
      </c>
      <c r="L597" s="46">
        <v>2530</v>
      </c>
      <c r="M597" s="46"/>
      <c r="N597" s="23"/>
    </row>
    <row r="598" spans="2:15" ht="15" customHeight="1" x14ac:dyDescent="0.25">
      <c r="B598" s="5">
        <v>44607</v>
      </c>
      <c r="C598" s="5" t="s">
        <v>177</v>
      </c>
      <c r="D598" s="35">
        <v>2022</v>
      </c>
      <c r="E598" t="s">
        <v>445</v>
      </c>
      <c r="F598" t="s">
        <v>365</v>
      </c>
      <c r="G598" t="s">
        <v>45</v>
      </c>
      <c r="H598" s="92" t="s">
        <v>965</v>
      </c>
      <c r="I598">
        <v>1</v>
      </c>
      <c r="J598" s="46">
        <v>1390</v>
      </c>
      <c r="K598" s="50" t="s">
        <v>397</v>
      </c>
      <c r="L598" s="46">
        <v>1390</v>
      </c>
      <c r="M598" s="46"/>
      <c r="N598" s="23"/>
    </row>
    <row r="599" spans="2:15" ht="15" customHeight="1" x14ac:dyDescent="0.25">
      <c r="B599" s="5">
        <v>44607</v>
      </c>
      <c r="C599" s="5" t="s">
        <v>177</v>
      </c>
      <c r="D599" s="35">
        <v>2022</v>
      </c>
      <c r="E599" t="s">
        <v>445</v>
      </c>
      <c r="F599" t="s">
        <v>365</v>
      </c>
      <c r="G599" t="s">
        <v>126</v>
      </c>
      <c r="H599" s="92" t="s">
        <v>965</v>
      </c>
      <c r="I599">
        <v>1</v>
      </c>
      <c r="J599" s="46">
        <v>1410</v>
      </c>
      <c r="K599" s="50" t="s">
        <v>397</v>
      </c>
      <c r="L599" s="46">
        <v>1410</v>
      </c>
      <c r="M599" s="46"/>
      <c r="N599" s="23"/>
    </row>
    <row r="600" spans="2:15" ht="15" customHeight="1" x14ac:dyDescent="0.25">
      <c r="B600" s="5">
        <v>44607</v>
      </c>
      <c r="C600" s="5" t="s">
        <v>177</v>
      </c>
      <c r="D600" s="35">
        <v>2022</v>
      </c>
      <c r="E600" t="s">
        <v>445</v>
      </c>
      <c r="F600" t="s">
        <v>365</v>
      </c>
      <c r="G600" t="s">
        <v>321</v>
      </c>
      <c r="H600" s="92" t="s">
        <v>967</v>
      </c>
      <c r="I600">
        <v>1</v>
      </c>
      <c r="J600" s="46">
        <v>2300</v>
      </c>
      <c r="K600" s="50" t="s">
        <v>397</v>
      </c>
      <c r="L600" s="46">
        <v>2300</v>
      </c>
      <c r="M600" s="46"/>
      <c r="N600" s="23"/>
    </row>
    <row r="601" spans="2:15" ht="15" customHeight="1" x14ac:dyDescent="0.25">
      <c r="B601" s="5">
        <v>44607</v>
      </c>
      <c r="C601" s="5" t="s">
        <v>177</v>
      </c>
      <c r="D601" s="35">
        <v>2022</v>
      </c>
      <c r="E601" t="s">
        <v>445</v>
      </c>
      <c r="F601" t="s">
        <v>366</v>
      </c>
      <c r="G601" t="s">
        <v>49</v>
      </c>
      <c r="H601" s="92" t="s">
        <v>966</v>
      </c>
      <c r="I601">
        <v>1</v>
      </c>
      <c r="J601" s="46">
        <v>1740</v>
      </c>
      <c r="K601" s="50" t="s">
        <v>397</v>
      </c>
      <c r="L601" s="46">
        <v>1740</v>
      </c>
      <c r="M601" s="46"/>
      <c r="N601" s="23"/>
    </row>
    <row r="602" spans="2:15" ht="15" customHeight="1" x14ac:dyDescent="0.25">
      <c r="B602" s="5">
        <v>44607</v>
      </c>
      <c r="C602" s="5" t="s">
        <v>177</v>
      </c>
      <c r="D602" s="35">
        <v>2022</v>
      </c>
      <c r="E602" t="s">
        <v>445</v>
      </c>
      <c r="F602" t="s">
        <v>441</v>
      </c>
      <c r="G602" t="s">
        <v>120</v>
      </c>
      <c r="H602" s="24" t="s">
        <v>968</v>
      </c>
      <c r="I602">
        <v>1</v>
      </c>
      <c r="J602" s="46">
        <v>4350</v>
      </c>
      <c r="K602" s="50" t="s">
        <v>397</v>
      </c>
      <c r="L602" s="46">
        <v>4350</v>
      </c>
      <c r="M602" s="46"/>
      <c r="N602" s="23"/>
    </row>
    <row r="603" spans="2:15" ht="15" customHeight="1" x14ac:dyDescent="0.25">
      <c r="B603" s="5">
        <v>44607</v>
      </c>
      <c r="C603" s="5" t="s">
        <v>177</v>
      </c>
      <c r="D603" s="35">
        <v>2022</v>
      </c>
      <c r="E603" t="s">
        <v>445</v>
      </c>
      <c r="F603" t="s">
        <v>281</v>
      </c>
      <c r="G603" t="s">
        <v>413</v>
      </c>
      <c r="H603" s="92" t="s">
        <v>977</v>
      </c>
      <c r="I603">
        <v>2</v>
      </c>
      <c r="J603" s="46">
        <v>1120</v>
      </c>
      <c r="K603" s="50" t="s">
        <v>397</v>
      </c>
      <c r="L603" s="46">
        <v>1120</v>
      </c>
      <c r="M603" s="46"/>
      <c r="N603" s="23"/>
    </row>
    <row r="604" spans="2:15" ht="15" customHeight="1" x14ac:dyDescent="0.25">
      <c r="B604" s="5">
        <v>44607</v>
      </c>
      <c r="C604" s="5" t="s">
        <v>177</v>
      </c>
      <c r="D604" s="35">
        <v>2022</v>
      </c>
      <c r="E604" t="s">
        <v>445</v>
      </c>
      <c r="F604" t="s">
        <v>442</v>
      </c>
      <c r="G604" t="s">
        <v>274</v>
      </c>
      <c r="H604" s="92" t="s">
        <v>966</v>
      </c>
      <c r="I604">
        <v>1</v>
      </c>
      <c r="J604" s="46">
        <v>1760</v>
      </c>
      <c r="K604" s="50" t="s">
        <v>397</v>
      </c>
      <c r="L604" s="46">
        <v>1760</v>
      </c>
      <c r="M604" s="46"/>
      <c r="N604" s="23"/>
    </row>
    <row r="605" spans="2:15" ht="15" customHeight="1" x14ac:dyDescent="0.25">
      <c r="B605" s="5">
        <v>44607</v>
      </c>
      <c r="C605" s="5" t="s">
        <v>177</v>
      </c>
      <c r="D605" s="35">
        <v>2022</v>
      </c>
      <c r="E605" t="s">
        <v>445</v>
      </c>
      <c r="F605" t="s">
        <v>442</v>
      </c>
      <c r="G605" t="s">
        <v>49</v>
      </c>
      <c r="H605" s="92" t="s">
        <v>966</v>
      </c>
      <c r="I605">
        <v>1</v>
      </c>
      <c r="J605" s="46">
        <v>1740</v>
      </c>
      <c r="K605" s="50" t="s">
        <v>397</v>
      </c>
      <c r="L605" s="46">
        <v>1740</v>
      </c>
      <c r="M605" s="46"/>
      <c r="N605" s="23"/>
    </row>
    <row r="606" spans="2:15" ht="15" customHeight="1" x14ac:dyDescent="0.25">
      <c r="B606" s="5">
        <v>44607</v>
      </c>
      <c r="C606" s="5" t="s">
        <v>177</v>
      </c>
      <c r="D606" s="35">
        <v>2022</v>
      </c>
      <c r="E606" t="s">
        <v>445</v>
      </c>
      <c r="F606" t="s">
        <v>443</v>
      </c>
      <c r="G606" t="s">
        <v>122</v>
      </c>
      <c r="H606" s="92" t="s">
        <v>973</v>
      </c>
      <c r="I606">
        <v>1</v>
      </c>
      <c r="J606" s="46">
        <v>260</v>
      </c>
      <c r="K606" s="50" t="s">
        <v>397</v>
      </c>
      <c r="L606" s="46">
        <v>260</v>
      </c>
      <c r="M606" s="46"/>
      <c r="N606" s="23"/>
    </row>
    <row r="607" spans="2:15" ht="15" customHeight="1" x14ac:dyDescent="0.25">
      <c r="B607" s="5">
        <v>44607</v>
      </c>
      <c r="C607" s="5" t="s">
        <v>177</v>
      </c>
      <c r="D607" s="35">
        <v>2022</v>
      </c>
      <c r="E607" t="s">
        <v>445</v>
      </c>
      <c r="F607" t="s">
        <v>443</v>
      </c>
      <c r="G607" t="s">
        <v>440</v>
      </c>
      <c r="H607" s="92" t="s">
        <v>978</v>
      </c>
      <c r="I607">
        <v>1</v>
      </c>
      <c r="J607" s="46">
        <v>750</v>
      </c>
      <c r="K607" s="50" t="s">
        <v>397</v>
      </c>
      <c r="L607" s="46">
        <v>750</v>
      </c>
      <c r="M607" s="46"/>
      <c r="N607" s="23"/>
    </row>
    <row r="608" spans="2:15" ht="15" customHeight="1" x14ac:dyDescent="0.25">
      <c r="B608" s="5">
        <v>44607</v>
      </c>
      <c r="C608" s="5" t="s">
        <v>177</v>
      </c>
      <c r="D608" s="35">
        <v>2022</v>
      </c>
      <c r="E608" t="s">
        <v>445</v>
      </c>
      <c r="F608" t="s">
        <v>82</v>
      </c>
      <c r="G608" t="s">
        <v>53</v>
      </c>
      <c r="H608" s="92" t="s">
        <v>984</v>
      </c>
      <c r="I608">
        <v>1</v>
      </c>
      <c r="J608" s="46">
        <v>950</v>
      </c>
      <c r="K608" s="50" t="s">
        <v>397</v>
      </c>
      <c r="L608" s="46">
        <v>0</v>
      </c>
      <c r="M608" s="103">
        <v>950</v>
      </c>
      <c r="O608" t="s">
        <v>625</v>
      </c>
    </row>
    <row r="609" spans="2:14" ht="15" customHeight="1" x14ac:dyDescent="0.25">
      <c r="B609" s="5">
        <v>44607</v>
      </c>
      <c r="C609" s="5" t="s">
        <v>177</v>
      </c>
      <c r="D609" s="35">
        <v>2022</v>
      </c>
      <c r="E609" t="s">
        <v>445</v>
      </c>
      <c r="F609" t="s">
        <v>444</v>
      </c>
      <c r="G609" t="s">
        <v>192</v>
      </c>
      <c r="H609" s="24" t="s">
        <v>976</v>
      </c>
      <c r="I609">
        <v>1</v>
      </c>
      <c r="J609" s="46">
        <v>1395</v>
      </c>
      <c r="K609" s="50" t="s">
        <v>397</v>
      </c>
      <c r="L609" s="46">
        <v>1395</v>
      </c>
      <c r="M609" s="46"/>
      <c r="N609" s="23"/>
    </row>
    <row r="610" spans="2:14" ht="15" customHeight="1" x14ac:dyDescent="0.25">
      <c r="B610" s="5">
        <v>44607</v>
      </c>
      <c r="C610" s="5" t="s">
        <v>177</v>
      </c>
      <c r="D610" s="35">
        <v>2022</v>
      </c>
      <c r="E610" t="s">
        <v>16</v>
      </c>
      <c r="F610" t="s">
        <v>446</v>
      </c>
      <c r="G610" t="s">
        <v>49</v>
      </c>
      <c r="H610" s="92" t="s">
        <v>966</v>
      </c>
      <c r="I610">
        <v>1</v>
      </c>
      <c r="J610" s="46">
        <v>1740</v>
      </c>
      <c r="K610" s="50" t="s">
        <v>397</v>
      </c>
      <c r="L610" s="46">
        <v>1740</v>
      </c>
      <c r="M610" s="46"/>
      <c r="N610" s="23"/>
    </row>
    <row r="611" spans="2:14" ht="15" customHeight="1" x14ac:dyDescent="0.25">
      <c r="B611" s="5">
        <v>44607</v>
      </c>
      <c r="C611" s="5" t="s">
        <v>177</v>
      </c>
      <c r="D611" s="35">
        <v>2022</v>
      </c>
      <c r="E611" t="s">
        <v>16</v>
      </c>
      <c r="F611" t="s">
        <v>446</v>
      </c>
      <c r="G611" t="s">
        <v>249</v>
      </c>
      <c r="H611" s="92" t="s">
        <v>972</v>
      </c>
      <c r="I611">
        <v>1</v>
      </c>
      <c r="J611" s="46">
        <v>1080</v>
      </c>
      <c r="K611" s="50" t="s">
        <v>397</v>
      </c>
      <c r="L611" s="46">
        <v>1080</v>
      </c>
      <c r="M611" s="46"/>
      <c r="N611" s="23"/>
    </row>
    <row r="612" spans="2:14" ht="15" customHeight="1" x14ac:dyDescent="0.25">
      <c r="B612" s="5">
        <v>44607</v>
      </c>
      <c r="C612" s="5" t="s">
        <v>177</v>
      </c>
      <c r="D612" s="35">
        <v>2022</v>
      </c>
      <c r="E612" t="s">
        <v>16</v>
      </c>
      <c r="F612" t="s">
        <v>221</v>
      </c>
      <c r="G612" t="s">
        <v>49</v>
      </c>
      <c r="H612" s="92" t="s">
        <v>966</v>
      </c>
      <c r="I612">
        <v>2</v>
      </c>
      <c r="J612" s="46">
        <v>3480</v>
      </c>
      <c r="K612" s="50" t="s">
        <v>397</v>
      </c>
      <c r="L612" s="46">
        <v>3480</v>
      </c>
      <c r="M612" s="46"/>
      <c r="N612" s="23"/>
    </row>
    <row r="613" spans="2:14" ht="15" customHeight="1" x14ac:dyDescent="0.25">
      <c r="B613" s="5">
        <v>44607</v>
      </c>
      <c r="C613" s="5" t="s">
        <v>177</v>
      </c>
      <c r="D613" s="35">
        <v>2022</v>
      </c>
      <c r="E613" t="s">
        <v>16</v>
      </c>
      <c r="F613" t="s">
        <v>219</v>
      </c>
      <c r="G613" t="s">
        <v>126</v>
      </c>
      <c r="H613" s="92" t="s">
        <v>965</v>
      </c>
      <c r="I613">
        <v>1</v>
      </c>
      <c r="J613" s="46">
        <v>1410</v>
      </c>
      <c r="K613" s="50" t="s">
        <v>397</v>
      </c>
      <c r="L613" s="46">
        <v>1410</v>
      </c>
      <c r="M613" s="46"/>
      <c r="N613" s="106"/>
    </row>
    <row r="614" spans="2:14" ht="15" customHeight="1" x14ac:dyDescent="0.25">
      <c r="B614" s="5">
        <v>44607</v>
      </c>
      <c r="C614" s="5" t="s">
        <v>177</v>
      </c>
      <c r="D614" s="35">
        <v>2022</v>
      </c>
      <c r="E614" t="s">
        <v>16</v>
      </c>
      <c r="F614" t="s">
        <v>219</v>
      </c>
      <c r="G614" t="s">
        <v>192</v>
      </c>
      <c r="H614" s="24" t="s">
        <v>976</v>
      </c>
      <c r="I614">
        <v>1</v>
      </c>
      <c r="J614" s="46">
        <v>1395</v>
      </c>
      <c r="K614" s="50" t="s">
        <v>397</v>
      </c>
      <c r="L614" s="46">
        <v>1395</v>
      </c>
      <c r="M614" s="46"/>
      <c r="N614" s="106"/>
    </row>
    <row r="615" spans="2:14" ht="15" customHeight="1" x14ac:dyDescent="0.25">
      <c r="B615" s="5">
        <v>44608</v>
      </c>
      <c r="C615" s="5" t="s">
        <v>177</v>
      </c>
      <c r="D615" s="35">
        <v>2022</v>
      </c>
      <c r="E615" t="s">
        <v>22</v>
      </c>
      <c r="F615" t="s">
        <v>260</v>
      </c>
      <c r="G615" t="s">
        <v>264</v>
      </c>
      <c r="H615" s="24" t="s">
        <v>976</v>
      </c>
      <c r="I615">
        <v>1</v>
      </c>
      <c r="J615" s="46">
        <v>3580</v>
      </c>
      <c r="K615" s="50" t="s">
        <v>397</v>
      </c>
      <c r="L615" s="23">
        <v>3580</v>
      </c>
      <c r="M615" s="46"/>
    </row>
    <row r="616" spans="2:14" ht="15" customHeight="1" x14ac:dyDescent="0.25">
      <c r="B616" s="5">
        <v>44608</v>
      </c>
      <c r="C616" s="5" t="s">
        <v>177</v>
      </c>
      <c r="D616" s="35">
        <v>2022</v>
      </c>
      <c r="E616" t="s">
        <v>22</v>
      </c>
      <c r="F616" t="s">
        <v>450</v>
      </c>
      <c r="G616" t="s">
        <v>128</v>
      </c>
      <c r="H616" s="92" t="s">
        <v>965</v>
      </c>
      <c r="I616">
        <v>2</v>
      </c>
      <c r="J616" s="46">
        <v>2480</v>
      </c>
      <c r="K616" s="50" t="s">
        <v>397</v>
      </c>
      <c r="L616" s="23">
        <v>2480</v>
      </c>
      <c r="M616" s="46"/>
    </row>
    <row r="617" spans="2:14" ht="15" customHeight="1" x14ac:dyDescent="0.25">
      <c r="B617" s="5">
        <v>44608</v>
      </c>
      <c r="C617" s="5" t="s">
        <v>177</v>
      </c>
      <c r="D617" s="35">
        <v>2022</v>
      </c>
      <c r="E617" t="s">
        <v>22</v>
      </c>
      <c r="F617" t="s">
        <v>236</v>
      </c>
      <c r="G617" t="s">
        <v>412</v>
      </c>
      <c r="H617" s="92" t="s">
        <v>977</v>
      </c>
      <c r="I617">
        <v>1</v>
      </c>
      <c r="J617" s="46">
        <v>3310</v>
      </c>
      <c r="K617" s="50" t="s">
        <v>397</v>
      </c>
      <c r="L617" s="23">
        <v>3310</v>
      </c>
      <c r="M617" s="46"/>
    </row>
    <row r="618" spans="2:14" ht="15" customHeight="1" x14ac:dyDescent="0.25">
      <c r="B618" s="5">
        <v>44608</v>
      </c>
      <c r="C618" s="5" t="s">
        <v>177</v>
      </c>
      <c r="D618" s="35">
        <v>2022</v>
      </c>
      <c r="E618" t="s">
        <v>22</v>
      </c>
      <c r="F618" t="s">
        <v>411</v>
      </c>
      <c r="G618" t="s">
        <v>321</v>
      </c>
      <c r="H618" s="92" t="s">
        <v>967</v>
      </c>
      <c r="I618">
        <v>3</v>
      </c>
      <c r="J618" s="46">
        <v>6900</v>
      </c>
      <c r="K618" s="50" t="s">
        <v>397</v>
      </c>
      <c r="L618" s="23">
        <v>6900</v>
      </c>
      <c r="M618" s="46"/>
    </row>
    <row r="619" spans="2:14" ht="15" customHeight="1" x14ac:dyDescent="0.25">
      <c r="B619" s="5">
        <v>44608</v>
      </c>
      <c r="C619" s="5" t="s">
        <v>177</v>
      </c>
      <c r="D619" s="35">
        <v>2022</v>
      </c>
      <c r="E619" t="s">
        <v>22</v>
      </c>
      <c r="F619" t="s">
        <v>131</v>
      </c>
      <c r="G619" t="s">
        <v>128</v>
      </c>
      <c r="H619" s="92" t="s">
        <v>965</v>
      </c>
      <c r="I619">
        <v>2</v>
      </c>
      <c r="J619" s="46">
        <v>2480</v>
      </c>
      <c r="K619" s="50" t="s">
        <v>397</v>
      </c>
      <c r="L619" s="23">
        <v>2480</v>
      </c>
      <c r="M619" s="46"/>
    </row>
    <row r="620" spans="2:14" ht="15" customHeight="1" x14ac:dyDescent="0.25">
      <c r="B620" s="5">
        <v>44608</v>
      </c>
      <c r="C620" s="5" t="s">
        <v>177</v>
      </c>
      <c r="D620" s="35">
        <v>2022</v>
      </c>
      <c r="E620" t="s">
        <v>22</v>
      </c>
      <c r="F620" t="s">
        <v>131</v>
      </c>
      <c r="G620" t="s">
        <v>49</v>
      </c>
      <c r="H620" s="92" t="s">
        <v>966</v>
      </c>
      <c r="I620">
        <v>1</v>
      </c>
      <c r="J620" s="46">
        <v>1740</v>
      </c>
      <c r="K620" s="50" t="s">
        <v>397</v>
      </c>
      <c r="L620" s="23">
        <v>1740</v>
      </c>
      <c r="M620" s="46"/>
    </row>
    <row r="621" spans="2:14" ht="15" customHeight="1" x14ac:dyDescent="0.25">
      <c r="B621" s="5">
        <v>44608</v>
      </c>
      <c r="C621" s="5" t="s">
        <v>177</v>
      </c>
      <c r="D621" s="35">
        <v>2022</v>
      </c>
      <c r="E621" t="s">
        <v>22</v>
      </c>
      <c r="F621" t="s">
        <v>262</v>
      </c>
      <c r="G621" t="s">
        <v>412</v>
      </c>
      <c r="H621" s="92" t="s">
        <v>977</v>
      </c>
      <c r="I621">
        <v>1</v>
      </c>
      <c r="J621" s="46">
        <v>3310</v>
      </c>
      <c r="K621" s="50" t="s">
        <v>397</v>
      </c>
      <c r="L621" s="23">
        <v>3310</v>
      </c>
      <c r="M621" s="46"/>
    </row>
    <row r="622" spans="2:14" ht="15" customHeight="1" x14ac:dyDescent="0.25">
      <c r="B622" s="5">
        <v>44608</v>
      </c>
      <c r="C622" s="5" t="s">
        <v>177</v>
      </c>
      <c r="D622" s="35">
        <v>2022</v>
      </c>
      <c r="E622" t="s">
        <v>22</v>
      </c>
      <c r="F622" t="s">
        <v>262</v>
      </c>
      <c r="G622" t="s">
        <v>451</v>
      </c>
      <c r="H622" s="92" t="s">
        <v>977</v>
      </c>
      <c r="I622">
        <v>1</v>
      </c>
      <c r="J622" s="46">
        <v>1510</v>
      </c>
      <c r="K622" s="50" t="s">
        <v>397</v>
      </c>
      <c r="L622" s="23">
        <v>1510</v>
      </c>
      <c r="M622" s="46"/>
    </row>
    <row r="623" spans="2:14" ht="15" customHeight="1" x14ac:dyDescent="0.25">
      <c r="B623" s="5">
        <v>44608</v>
      </c>
      <c r="C623" s="5" t="s">
        <v>177</v>
      </c>
      <c r="D623" s="35">
        <v>2022</v>
      </c>
      <c r="E623" t="s">
        <v>22</v>
      </c>
      <c r="F623" t="s">
        <v>132</v>
      </c>
      <c r="G623" t="s">
        <v>128</v>
      </c>
      <c r="H623" s="92" t="s">
        <v>965</v>
      </c>
      <c r="I623">
        <v>1</v>
      </c>
      <c r="J623" s="46">
        <v>1240</v>
      </c>
      <c r="K623" s="50" t="s">
        <v>397</v>
      </c>
      <c r="L623" s="23">
        <v>1240</v>
      </c>
      <c r="M623" s="46"/>
    </row>
    <row r="624" spans="2:14" ht="15" customHeight="1" x14ac:dyDescent="0.25">
      <c r="B624" s="5">
        <v>44608</v>
      </c>
      <c r="C624" s="5" t="s">
        <v>177</v>
      </c>
      <c r="D624" s="35">
        <v>2022</v>
      </c>
      <c r="E624" t="s">
        <v>22</v>
      </c>
      <c r="F624" t="s">
        <v>132</v>
      </c>
      <c r="G624" t="s">
        <v>274</v>
      </c>
      <c r="H624" s="92" t="s">
        <v>966</v>
      </c>
      <c r="I624">
        <v>1</v>
      </c>
      <c r="J624" s="46">
        <v>1760</v>
      </c>
      <c r="K624" s="50" t="s">
        <v>397</v>
      </c>
      <c r="L624" s="23">
        <v>1760</v>
      </c>
      <c r="M624" s="46"/>
    </row>
    <row r="625" spans="2:15" ht="15" customHeight="1" x14ac:dyDescent="0.25">
      <c r="B625" s="5">
        <v>44608</v>
      </c>
      <c r="C625" s="5" t="s">
        <v>177</v>
      </c>
      <c r="D625" s="35">
        <v>2022</v>
      </c>
      <c r="E625" t="s">
        <v>22</v>
      </c>
      <c r="F625" t="s">
        <v>239</v>
      </c>
      <c r="G625" t="s">
        <v>452</v>
      </c>
      <c r="H625" s="24" t="s">
        <v>968</v>
      </c>
      <c r="I625">
        <v>1</v>
      </c>
      <c r="J625" s="46">
        <v>3100</v>
      </c>
      <c r="K625" s="50" t="s">
        <v>397</v>
      </c>
      <c r="L625" s="23">
        <v>3100</v>
      </c>
      <c r="M625" s="46"/>
    </row>
    <row r="626" spans="2:15" ht="15" customHeight="1" x14ac:dyDescent="0.25">
      <c r="B626" s="5">
        <v>44608</v>
      </c>
      <c r="C626" s="5" t="s">
        <v>177</v>
      </c>
      <c r="D626" s="35">
        <v>2022</v>
      </c>
      <c r="E626" t="s">
        <v>356</v>
      </c>
      <c r="F626" t="s">
        <v>136</v>
      </c>
      <c r="G626" t="s">
        <v>120</v>
      </c>
      <c r="H626" s="24" t="s">
        <v>968</v>
      </c>
      <c r="I626">
        <v>1</v>
      </c>
      <c r="J626" s="46">
        <v>4400</v>
      </c>
      <c r="K626" s="50" t="s">
        <v>397</v>
      </c>
      <c r="L626" s="23">
        <v>4400</v>
      </c>
      <c r="M626" s="46"/>
    </row>
    <row r="627" spans="2:15" ht="15" customHeight="1" x14ac:dyDescent="0.25">
      <c r="B627" s="5">
        <v>44608</v>
      </c>
      <c r="C627" s="5" t="s">
        <v>177</v>
      </c>
      <c r="D627" s="35">
        <v>2022</v>
      </c>
      <c r="E627" t="s">
        <v>356</v>
      </c>
      <c r="F627" t="s">
        <v>453</v>
      </c>
      <c r="G627" t="s">
        <v>120</v>
      </c>
      <c r="H627" s="24" t="s">
        <v>968</v>
      </c>
      <c r="I627">
        <v>5</v>
      </c>
      <c r="J627" s="46">
        <v>22000</v>
      </c>
      <c r="K627" s="50" t="s">
        <v>397</v>
      </c>
      <c r="L627" s="46"/>
      <c r="M627" s="103">
        <v>22000</v>
      </c>
      <c r="O627" t="s">
        <v>625</v>
      </c>
    </row>
    <row r="628" spans="2:15" ht="15" customHeight="1" x14ac:dyDescent="0.25">
      <c r="B628" s="5">
        <v>44608</v>
      </c>
      <c r="C628" s="5" t="s">
        <v>177</v>
      </c>
      <c r="D628" s="35">
        <v>2022</v>
      </c>
      <c r="E628" t="s">
        <v>356</v>
      </c>
      <c r="F628" t="s">
        <v>454</v>
      </c>
      <c r="G628" t="s">
        <v>321</v>
      </c>
      <c r="H628" s="92" t="s">
        <v>967</v>
      </c>
      <c r="I628">
        <v>1</v>
      </c>
      <c r="J628" s="46">
        <v>2300</v>
      </c>
      <c r="K628" s="50" t="s">
        <v>397</v>
      </c>
      <c r="L628" s="23">
        <v>2300</v>
      </c>
      <c r="M628" s="46"/>
    </row>
    <row r="629" spans="2:15" ht="15" customHeight="1" x14ac:dyDescent="0.25">
      <c r="B629" s="5">
        <v>44608</v>
      </c>
      <c r="C629" s="5" t="s">
        <v>177</v>
      </c>
      <c r="D629" s="35">
        <v>2022</v>
      </c>
      <c r="E629" t="s">
        <v>356</v>
      </c>
      <c r="F629" t="s">
        <v>313</v>
      </c>
      <c r="G629" t="s">
        <v>49</v>
      </c>
      <c r="H629" s="92" t="s">
        <v>966</v>
      </c>
      <c r="I629">
        <v>2</v>
      </c>
      <c r="J629" s="46">
        <v>3480</v>
      </c>
      <c r="K629" s="50" t="s">
        <v>397</v>
      </c>
      <c r="L629" s="23">
        <v>3480</v>
      </c>
      <c r="M629" s="46"/>
    </row>
    <row r="630" spans="2:15" ht="15" customHeight="1" x14ac:dyDescent="0.25">
      <c r="B630" s="5">
        <v>44608</v>
      </c>
      <c r="C630" s="5" t="s">
        <v>177</v>
      </c>
      <c r="D630" s="35">
        <v>2022</v>
      </c>
      <c r="E630" t="s">
        <v>356</v>
      </c>
      <c r="F630" t="s">
        <v>455</v>
      </c>
      <c r="G630" t="s">
        <v>45</v>
      </c>
      <c r="H630" s="92" t="s">
        <v>965</v>
      </c>
      <c r="I630">
        <v>1</v>
      </c>
      <c r="J630" s="46">
        <v>1390</v>
      </c>
      <c r="K630" s="50" t="s">
        <v>397</v>
      </c>
      <c r="L630" s="23">
        <v>1390</v>
      </c>
      <c r="M630" s="46"/>
    </row>
    <row r="631" spans="2:15" ht="15" customHeight="1" x14ac:dyDescent="0.25">
      <c r="B631" s="5">
        <v>44608</v>
      </c>
      <c r="C631" s="5" t="s">
        <v>177</v>
      </c>
      <c r="D631" s="35">
        <v>2022</v>
      </c>
      <c r="E631" t="s">
        <v>458</v>
      </c>
      <c r="F631" t="s">
        <v>381</v>
      </c>
      <c r="G631" t="s">
        <v>58</v>
      </c>
      <c r="H631" s="92" t="s">
        <v>969</v>
      </c>
      <c r="I631">
        <v>1</v>
      </c>
      <c r="J631" s="46">
        <v>2530</v>
      </c>
      <c r="K631" s="50" t="s">
        <v>397</v>
      </c>
      <c r="L631" s="46"/>
      <c r="M631" s="103">
        <v>2530</v>
      </c>
      <c r="O631" t="s">
        <v>625</v>
      </c>
    </row>
    <row r="632" spans="2:15" ht="15" customHeight="1" x14ac:dyDescent="0.25">
      <c r="B632" s="5">
        <v>44608</v>
      </c>
      <c r="C632" s="5" t="s">
        <v>177</v>
      </c>
      <c r="D632" s="35">
        <v>2022</v>
      </c>
      <c r="E632" t="s">
        <v>458</v>
      </c>
      <c r="F632" t="s">
        <v>381</v>
      </c>
      <c r="G632" t="s">
        <v>50</v>
      </c>
      <c r="H632" s="92" t="s">
        <v>969</v>
      </c>
      <c r="I632">
        <v>1</v>
      </c>
      <c r="J632" s="46">
        <v>2530</v>
      </c>
      <c r="K632" s="50" t="s">
        <v>397</v>
      </c>
      <c r="L632" s="23">
        <v>2530</v>
      </c>
      <c r="M632" s="46"/>
    </row>
    <row r="633" spans="2:15" ht="15" customHeight="1" x14ac:dyDescent="0.25">
      <c r="B633" s="5">
        <v>44608</v>
      </c>
      <c r="C633" s="5" t="s">
        <v>177</v>
      </c>
      <c r="D633" s="35">
        <v>2022</v>
      </c>
      <c r="E633" t="s">
        <v>458</v>
      </c>
      <c r="F633" t="s">
        <v>243</v>
      </c>
      <c r="G633" t="s">
        <v>192</v>
      </c>
      <c r="H633" s="24" t="s">
        <v>976</v>
      </c>
      <c r="I633">
        <v>1</v>
      </c>
      <c r="J633" s="46">
        <v>1395</v>
      </c>
      <c r="K633" s="50" t="s">
        <v>397</v>
      </c>
      <c r="L633" s="122">
        <v>1390</v>
      </c>
      <c r="M633" s="46"/>
    </row>
    <row r="634" spans="2:15" ht="15" customHeight="1" x14ac:dyDescent="0.25">
      <c r="B634" s="5">
        <v>44608</v>
      </c>
      <c r="C634" s="5" t="s">
        <v>177</v>
      </c>
      <c r="D634" s="35">
        <v>2022</v>
      </c>
      <c r="E634" t="s">
        <v>458</v>
      </c>
      <c r="F634" t="s">
        <v>243</v>
      </c>
      <c r="G634" t="s">
        <v>249</v>
      </c>
      <c r="H634" s="92" t="s">
        <v>972</v>
      </c>
      <c r="I634">
        <v>1</v>
      </c>
      <c r="J634" s="46">
        <v>1080</v>
      </c>
      <c r="K634" s="50" t="s">
        <v>397</v>
      </c>
      <c r="L634" s="23">
        <v>1080</v>
      </c>
      <c r="M634" s="46"/>
    </row>
    <row r="635" spans="2:15" ht="15" customHeight="1" x14ac:dyDescent="0.25">
      <c r="B635" s="5">
        <v>44608</v>
      </c>
      <c r="C635" s="5" t="s">
        <v>177</v>
      </c>
      <c r="D635" s="35">
        <v>2022</v>
      </c>
      <c r="E635" t="s">
        <v>458</v>
      </c>
      <c r="F635" t="s">
        <v>382</v>
      </c>
      <c r="G635" t="s">
        <v>122</v>
      </c>
      <c r="H635" s="92" t="s">
        <v>973</v>
      </c>
      <c r="I635">
        <v>1</v>
      </c>
      <c r="J635" s="46">
        <v>260</v>
      </c>
      <c r="K635" s="50" t="s">
        <v>397</v>
      </c>
      <c r="L635" s="47">
        <v>260</v>
      </c>
      <c r="M635" s="46"/>
    </row>
    <row r="636" spans="2:15" ht="15" customHeight="1" x14ac:dyDescent="0.25">
      <c r="B636" s="5">
        <v>44608</v>
      </c>
      <c r="C636" s="5" t="s">
        <v>177</v>
      </c>
      <c r="D636" s="35">
        <v>2022</v>
      </c>
      <c r="E636" t="s">
        <v>458</v>
      </c>
      <c r="F636" t="s">
        <v>318</v>
      </c>
      <c r="G636" t="s">
        <v>364</v>
      </c>
      <c r="H636" s="92" t="s">
        <v>972</v>
      </c>
      <c r="I636">
        <v>1</v>
      </c>
      <c r="J636" s="46">
        <v>600</v>
      </c>
      <c r="K636" s="50" t="s">
        <v>397</v>
      </c>
      <c r="L636" s="46"/>
      <c r="M636" s="132">
        <v>600</v>
      </c>
      <c r="O636" t="s">
        <v>625</v>
      </c>
    </row>
    <row r="637" spans="2:15" ht="15" customHeight="1" x14ac:dyDescent="0.25">
      <c r="B637" s="5">
        <v>44608</v>
      </c>
      <c r="C637" s="5" t="s">
        <v>177</v>
      </c>
      <c r="D637" s="35">
        <v>2022</v>
      </c>
      <c r="E637" t="s">
        <v>458</v>
      </c>
      <c r="F637" t="s">
        <v>1123</v>
      </c>
      <c r="G637" t="s">
        <v>120</v>
      </c>
      <c r="H637" s="24" t="s">
        <v>968</v>
      </c>
      <c r="I637">
        <v>1</v>
      </c>
      <c r="J637" s="46">
        <v>4400</v>
      </c>
      <c r="K637" s="50" t="s">
        <v>397</v>
      </c>
      <c r="L637" s="46"/>
      <c r="M637" s="132">
        <v>4400</v>
      </c>
      <c r="N637" s="46"/>
      <c r="O637" t="s">
        <v>571</v>
      </c>
    </row>
    <row r="638" spans="2:15" ht="15" customHeight="1" x14ac:dyDescent="0.25">
      <c r="B638" s="5">
        <v>44608</v>
      </c>
      <c r="C638" s="5" t="s">
        <v>177</v>
      </c>
      <c r="D638" s="35">
        <v>2022</v>
      </c>
      <c r="E638" t="s">
        <v>458</v>
      </c>
      <c r="F638" t="s">
        <v>143</v>
      </c>
      <c r="G638" t="s">
        <v>321</v>
      </c>
      <c r="H638" s="92" t="s">
        <v>967</v>
      </c>
      <c r="I638">
        <v>1</v>
      </c>
      <c r="J638" s="46">
        <v>2300</v>
      </c>
      <c r="K638" s="50" t="s">
        <v>397</v>
      </c>
      <c r="L638" s="47">
        <v>2300</v>
      </c>
      <c r="M638" s="46"/>
    </row>
    <row r="639" spans="2:15" ht="15" customHeight="1" x14ac:dyDescent="0.25">
      <c r="B639" s="5">
        <v>44608</v>
      </c>
      <c r="C639" s="5" t="s">
        <v>177</v>
      </c>
      <c r="D639" s="35">
        <v>2022</v>
      </c>
      <c r="E639" t="s">
        <v>458</v>
      </c>
      <c r="F639" t="s">
        <v>143</v>
      </c>
      <c r="G639" t="s">
        <v>457</v>
      </c>
      <c r="H639" s="92" t="s">
        <v>974</v>
      </c>
      <c r="I639">
        <v>1</v>
      </c>
      <c r="J639" s="46">
        <v>420</v>
      </c>
      <c r="K639" s="50" t="s">
        <v>397</v>
      </c>
      <c r="L639" s="46"/>
      <c r="M639" s="132">
        <v>420</v>
      </c>
      <c r="O639" t="s">
        <v>625</v>
      </c>
    </row>
    <row r="640" spans="2:15" ht="15" customHeight="1" x14ac:dyDescent="0.25">
      <c r="B640" s="5">
        <v>44608</v>
      </c>
      <c r="C640" s="5" t="s">
        <v>177</v>
      </c>
      <c r="D640" s="35">
        <v>2022</v>
      </c>
      <c r="E640" t="s">
        <v>458</v>
      </c>
      <c r="F640" t="s">
        <v>384</v>
      </c>
      <c r="G640" t="s">
        <v>269</v>
      </c>
      <c r="H640" s="92" t="s">
        <v>983</v>
      </c>
      <c r="I640">
        <v>2</v>
      </c>
      <c r="J640" s="46">
        <v>580</v>
      </c>
      <c r="K640" s="50" t="s">
        <v>397</v>
      </c>
      <c r="L640" s="47">
        <v>580</v>
      </c>
      <c r="M640" s="46"/>
    </row>
    <row r="641" spans="2:13" ht="15" customHeight="1" x14ac:dyDescent="0.25">
      <c r="B641" s="5">
        <v>44608</v>
      </c>
      <c r="C641" s="5" t="s">
        <v>177</v>
      </c>
      <c r="D641" s="35">
        <v>2022</v>
      </c>
      <c r="E641" t="s">
        <v>458</v>
      </c>
      <c r="F641" t="s">
        <v>384</v>
      </c>
      <c r="G641" t="s">
        <v>413</v>
      </c>
      <c r="H641" s="92" t="s">
        <v>977</v>
      </c>
      <c r="I641">
        <v>1</v>
      </c>
      <c r="J641" s="46">
        <v>560</v>
      </c>
      <c r="K641" s="50" t="s">
        <v>397</v>
      </c>
      <c r="L641" s="47">
        <v>560</v>
      </c>
      <c r="M641" s="46"/>
    </row>
    <row r="642" spans="2:13" ht="15" customHeight="1" x14ac:dyDescent="0.25">
      <c r="B642" s="5">
        <v>44608</v>
      </c>
      <c r="C642" s="5" t="s">
        <v>177</v>
      </c>
      <c r="D642" s="35">
        <v>2022</v>
      </c>
      <c r="E642" t="s">
        <v>458</v>
      </c>
      <c r="F642" t="s">
        <v>456</v>
      </c>
      <c r="G642" t="s">
        <v>413</v>
      </c>
      <c r="H642" s="92" t="s">
        <v>977</v>
      </c>
      <c r="I642">
        <v>1</v>
      </c>
      <c r="J642" s="46">
        <v>560</v>
      </c>
      <c r="K642" s="50" t="s">
        <v>397</v>
      </c>
      <c r="L642" s="47">
        <v>560</v>
      </c>
      <c r="M642" s="46"/>
    </row>
    <row r="643" spans="2:13" ht="15" customHeight="1" x14ac:dyDescent="0.25">
      <c r="B643" s="5">
        <v>44608</v>
      </c>
      <c r="C643" s="5" t="s">
        <v>177</v>
      </c>
      <c r="D643" s="35">
        <v>2022</v>
      </c>
      <c r="E643" t="s">
        <v>458</v>
      </c>
      <c r="F643" t="s">
        <v>140</v>
      </c>
      <c r="G643" t="s">
        <v>49</v>
      </c>
      <c r="H643" s="92" t="s">
        <v>966</v>
      </c>
      <c r="I643">
        <v>1</v>
      </c>
      <c r="J643" s="46">
        <v>1740</v>
      </c>
      <c r="K643" s="50" t="s">
        <v>397</v>
      </c>
      <c r="L643" s="47">
        <v>1740</v>
      </c>
      <c r="M643" s="46"/>
    </row>
    <row r="644" spans="2:13" ht="15" customHeight="1" x14ac:dyDescent="0.25">
      <c r="B644" s="5">
        <v>44608</v>
      </c>
      <c r="C644" s="5" t="s">
        <v>177</v>
      </c>
      <c r="D644" s="35">
        <v>2022</v>
      </c>
      <c r="E644" t="s">
        <v>458</v>
      </c>
      <c r="F644" t="s">
        <v>142</v>
      </c>
      <c r="G644" t="s">
        <v>55</v>
      </c>
      <c r="H644" s="92" t="s">
        <v>965</v>
      </c>
      <c r="I644">
        <v>1</v>
      </c>
      <c r="J644" s="46">
        <v>1390</v>
      </c>
      <c r="K644" s="50" t="s">
        <v>397</v>
      </c>
      <c r="L644" s="47">
        <v>1390</v>
      </c>
      <c r="M644" s="46"/>
    </row>
    <row r="645" spans="2:13" ht="15" customHeight="1" x14ac:dyDescent="0.25">
      <c r="B645" s="5">
        <v>44608</v>
      </c>
      <c r="C645" s="5" t="s">
        <v>177</v>
      </c>
      <c r="D645" s="35">
        <v>2022</v>
      </c>
      <c r="E645" t="s">
        <v>417</v>
      </c>
      <c r="F645" t="s">
        <v>278</v>
      </c>
      <c r="G645" t="s">
        <v>416</v>
      </c>
      <c r="H645" s="24" t="s">
        <v>968</v>
      </c>
      <c r="I645">
        <v>1</v>
      </c>
      <c r="J645" s="46">
        <v>4455</v>
      </c>
      <c r="K645" s="50" t="s">
        <v>397</v>
      </c>
      <c r="L645" s="23">
        <v>4455</v>
      </c>
      <c r="M645" s="46"/>
    </row>
    <row r="646" spans="2:13" ht="15" customHeight="1" x14ac:dyDescent="0.25">
      <c r="B646" s="5">
        <v>44608</v>
      </c>
      <c r="C646" s="5" t="s">
        <v>177</v>
      </c>
      <c r="D646" s="35">
        <v>2022</v>
      </c>
      <c r="E646" t="s">
        <v>417</v>
      </c>
      <c r="F646" t="s">
        <v>13</v>
      </c>
      <c r="G646" t="s">
        <v>120</v>
      </c>
      <c r="H646" s="24" t="s">
        <v>968</v>
      </c>
      <c r="I646">
        <v>1</v>
      </c>
      <c r="J646" s="46">
        <v>4400</v>
      </c>
      <c r="K646" s="50" t="s">
        <v>397</v>
      </c>
      <c r="L646" s="23">
        <v>4400</v>
      </c>
      <c r="M646" s="46"/>
    </row>
    <row r="647" spans="2:13" ht="15" customHeight="1" x14ac:dyDescent="0.25">
      <c r="B647" s="5">
        <v>44608</v>
      </c>
      <c r="C647" s="5" t="s">
        <v>177</v>
      </c>
      <c r="D647" s="35">
        <v>2022</v>
      </c>
      <c r="E647" t="s">
        <v>417</v>
      </c>
      <c r="F647" t="s">
        <v>459</v>
      </c>
      <c r="G647" t="s">
        <v>413</v>
      </c>
      <c r="H647" s="92" t="s">
        <v>977</v>
      </c>
      <c r="I647">
        <v>1</v>
      </c>
      <c r="J647" s="46">
        <v>560</v>
      </c>
      <c r="K647" s="50" t="s">
        <v>397</v>
      </c>
      <c r="L647" s="23">
        <v>560</v>
      </c>
      <c r="M647" s="46"/>
    </row>
    <row r="648" spans="2:13" ht="15" customHeight="1" x14ac:dyDescent="0.25">
      <c r="B648" s="5">
        <v>44608</v>
      </c>
      <c r="C648" s="5" t="s">
        <v>177</v>
      </c>
      <c r="D648" s="35">
        <v>2022</v>
      </c>
      <c r="E648" t="s">
        <v>417</v>
      </c>
      <c r="F648" t="s">
        <v>44</v>
      </c>
      <c r="G648" t="s">
        <v>125</v>
      </c>
      <c r="H648" s="92" t="s">
        <v>971</v>
      </c>
      <c r="I648">
        <v>1</v>
      </c>
      <c r="J648" s="46">
        <v>510</v>
      </c>
      <c r="K648" s="50" t="s">
        <v>397</v>
      </c>
      <c r="L648" s="23">
        <v>510</v>
      </c>
      <c r="M648" s="46"/>
    </row>
    <row r="649" spans="2:13" ht="15" customHeight="1" x14ac:dyDescent="0.25">
      <c r="B649" s="5">
        <v>44608</v>
      </c>
      <c r="C649" s="5" t="s">
        <v>177</v>
      </c>
      <c r="D649" s="35">
        <v>2022</v>
      </c>
      <c r="E649" t="s">
        <v>417</v>
      </c>
      <c r="F649" t="s">
        <v>44</v>
      </c>
      <c r="G649" t="s">
        <v>413</v>
      </c>
      <c r="H649" s="92" t="s">
        <v>977</v>
      </c>
      <c r="I649">
        <v>1</v>
      </c>
      <c r="J649" s="46">
        <v>560</v>
      </c>
      <c r="K649" s="50" t="s">
        <v>397</v>
      </c>
      <c r="L649" s="23">
        <v>560</v>
      </c>
      <c r="M649" s="46"/>
    </row>
    <row r="650" spans="2:13" ht="15" customHeight="1" x14ac:dyDescent="0.25">
      <c r="B650" s="5">
        <v>44608</v>
      </c>
      <c r="C650" s="5" t="s">
        <v>177</v>
      </c>
      <c r="D650" s="35">
        <v>2022</v>
      </c>
      <c r="E650" t="s">
        <v>417</v>
      </c>
      <c r="F650" t="s">
        <v>460</v>
      </c>
      <c r="G650" t="s">
        <v>45</v>
      </c>
      <c r="H650" s="92" t="s">
        <v>965</v>
      </c>
      <c r="I650">
        <v>1</v>
      </c>
      <c r="J650" s="46">
        <v>1390</v>
      </c>
      <c r="K650" s="50" t="s">
        <v>397</v>
      </c>
      <c r="L650" s="23">
        <v>1390</v>
      </c>
      <c r="M650" s="46"/>
    </row>
    <row r="651" spans="2:13" ht="15" customHeight="1" x14ac:dyDescent="0.25">
      <c r="B651" s="5">
        <v>44608</v>
      </c>
      <c r="C651" s="5" t="s">
        <v>177</v>
      </c>
      <c r="D651" s="35">
        <v>2022</v>
      </c>
      <c r="E651" t="s">
        <v>417</v>
      </c>
      <c r="F651" t="s">
        <v>461</v>
      </c>
      <c r="G651" t="s">
        <v>128</v>
      </c>
      <c r="H651" s="92" t="s">
        <v>965</v>
      </c>
      <c r="I651">
        <v>1</v>
      </c>
      <c r="J651" s="46">
        <v>1240</v>
      </c>
      <c r="K651" s="50" t="s">
        <v>397</v>
      </c>
      <c r="L651" s="23">
        <v>1240</v>
      </c>
      <c r="M651" s="46"/>
    </row>
    <row r="652" spans="2:13" ht="15" customHeight="1" x14ac:dyDescent="0.25">
      <c r="B652" s="5">
        <v>44608</v>
      </c>
      <c r="C652" s="5" t="s">
        <v>177</v>
      </c>
      <c r="D652" s="35">
        <v>2022</v>
      </c>
      <c r="E652" t="s">
        <v>417</v>
      </c>
      <c r="F652" t="s">
        <v>462</v>
      </c>
      <c r="G652" t="s">
        <v>121</v>
      </c>
      <c r="H652" s="92" t="s">
        <v>982</v>
      </c>
      <c r="I652">
        <v>1</v>
      </c>
      <c r="J652" s="46">
        <v>230</v>
      </c>
      <c r="K652" s="50" t="s">
        <v>397</v>
      </c>
      <c r="L652" s="23">
        <v>230</v>
      </c>
      <c r="M652" s="46"/>
    </row>
    <row r="653" spans="2:13" ht="15" customHeight="1" x14ac:dyDescent="0.25">
      <c r="B653" s="5">
        <v>44608</v>
      </c>
      <c r="C653" s="5" t="s">
        <v>177</v>
      </c>
      <c r="D653" s="35">
        <v>2022</v>
      </c>
      <c r="E653" t="s">
        <v>417</v>
      </c>
      <c r="F653" t="s">
        <v>463</v>
      </c>
      <c r="G653" t="s">
        <v>45</v>
      </c>
      <c r="H653" s="92" t="s">
        <v>965</v>
      </c>
      <c r="I653">
        <v>1</v>
      </c>
      <c r="J653" s="46">
        <v>1390</v>
      </c>
      <c r="K653" s="50" t="s">
        <v>397</v>
      </c>
      <c r="L653" s="23">
        <v>1390</v>
      </c>
      <c r="M653" s="46"/>
    </row>
    <row r="654" spans="2:13" ht="15" customHeight="1" x14ac:dyDescent="0.25">
      <c r="B654" s="5">
        <v>44608</v>
      </c>
      <c r="C654" s="5" t="s">
        <v>177</v>
      </c>
      <c r="D654" s="35">
        <v>2022</v>
      </c>
      <c r="E654" t="s">
        <v>417</v>
      </c>
      <c r="F654" t="s">
        <v>463</v>
      </c>
      <c r="G654" t="s">
        <v>249</v>
      </c>
      <c r="H654" s="92" t="s">
        <v>972</v>
      </c>
      <c r="I654">
        <v>1</v>
      </c>
      <c r="J654" s="46">
        <v>1080</v>
      </c>
      <c r="K654" s="50" t="s">
        <v>397</v>
      </c>
      <c r="L654" s="23">
        <v>1080</v>
      </c>
      <c r="M654" s="46"/>
    </row>
    <row r="655" spans="2:13" ht="15" customHeight="1" x14ac:dyDescent="0.25">
      <c r="B655" s="5">
        <v>44608</v>
      </c>
      <c r="C655" s="5" t="s">
        <v>177</v>
      </c>
      <c r="D655" s="35">
        <v>2022</v>
      </c>
      <c r="E655" t="s">
        <v>445</v>
      </c>
      <c r="F655" t="s">
        <v>322</v>
      </c>
      <c r="G655" t="s">
        <v>413</v>
      </c>
      <c r="H655" s="92" t="s">
        <v>977</v>
      </c>
      <c r="I655">
        <v>1</v>
      </c>
      <c r="J655" s="46">
        <v>560</v>
      </c>
      <c r="K655" s="50" t="s">
        <v>397</v>
      </c>
      <c r="L655" s="23">
        <v>560</v>
      </c>
      <c r="M655" s="46"/>
    </row>
    <row r="656" spans="2:13" ht="15" customHeight="1" x14ac:dyDescent="0.25">
      <c r="B656" s="5">
        <v>44608</v>
      </c>
      <c r="C656" s="5" t="s">
        <v>177</v>
      </c>
      <c r="D656" s="35">
        <v>2022</v>
      </c>
      <c r="E656" t="s">
        <v>445</v>
      </c>
      <c r="F656" t="s">
        <v>322</v>
      </c>
      <c r="G656" t="s">
        <v>269</v>
      </c>
      <c r="H656" s="92" t="s">
        <v>983</v>
      </c>
      <c r="I656">
        <v>1</v>
      </c>
      <c r="J656" s="46">
        <v>290</v>
      </c>
      <c r="K656" s="50" t="s">
        <v>397</v>
      </c>
      <c r="L656" s="23">
        <v>290</v>
      </c>
      <c r="M656" s="46"/>
    </row>
    <row r="657" spans="2:13" ht="15" customHeight="1" x14ac:dyDescent="0.25">
      <c r="B657" s="5">
        <v>44608</v>
      </c>
      <c r="C657" s="5" t="s">
        <v>177</v>
      </c>
      <c r="D657" s="35">
        <v>2022</v>
      </c>
      <c r="E657" t="s">
        <v>445</v>
      </c>
      <c r="F657" t="s">
        <v>322</v>
      </c>
      <c r="G657" t="s">
        <v>380</v>
      </c>
      <c r="H657" s="92" t="s">
        <v>972</v>
      </c>
      <c r="I657">
        <v>1</v>
      </c>
      <c r="J657" s="46">
        <v>600</v>
      </c>
      <c r="K657" s="50" t="s">
        <v>397</v>
      </c>
      <c r="L657" s="23">
        <v>600</v>
      </c>
      <c r="M657" s="46"/>
    </row>
    <row r="658" spans="2:13" ht="15" customHeight="1" x14ac:dyDescent="0.25">
      <c r="B658" s="5">
        <v>44608</v>
      </c>
      <c r="C658" s="5" t="s">
        <v>177</v>
      </c>
      <c r="D658" s="35">
        <v>2022</v>
      </c>
      <c r="E658" t="s">
        <v>445</v>
      </c>
      <c r="F658" t="s">
        <v>464</v>
      </c>
      <c r="G658" t="s">
        <v>128</v>
      </c>
      <c r="H658" s="92" t="s">
        <v>965</v>
      </c>
      <c r="I658">
        <v>1</v>
      </c>
      <c r="J658" s="46">
        <v>1240</v>
      </c>
      <c r="K658" s="50" t="s">
        <v>397</v>
      </c>
      <c r="L658" s="23">
        <v>1240</v>
      </c>
      <c r="M658" s="46"/>
    </row>
    <row r="659" spans="2:13" ht="15" customHeight="1" x14ac:dyDescent="0.25">
      <c r="B659" s="5">
        <v>44608</v>
      </c>
      <c r="C659" s="5" t="s">
        <v>177</v>
      </c>
      <c r="D659" s="35">
        <v>2022</v>
      </c>
      <c r="E659" t="s">
        <v>445</v>
      </c>
      <c r="F659" t="s">
        <v>465</v>
      </c>
      <c r="G659" t="s">
        <v>45</v>
      </c>
      <c r="H659" s="92" t="s">
        <v>965</v>
      </c>
      <c r="I659">
        <v>1</v>
      </c>
      <c r="J659" s="46">
        <v>1390</v>
      </c>
      <c r="K659" s="50" t="s">
        <v>397</v>
      </c>
      <c r="L659" s="23">
        <v>1390</v>
      </c>
      <c r="M659" s="46"/>
    </row>
    <row r="660" spans="2:13" ht="15" customHeight="1" x14ac:dyDescent="0.25">
      <c r="B660" s="5">
        <v>44608</v>
      </c>
      <c r="C660" s="5" t="s">
        <v>177</v>
      </c>
      <c r="D660" s="35">
        <v>2022</v>
      </c>
      <c r="E660" t="s">
        <v>445</v>
      </c>
      <c r="F660" t="s">
        <v>466</v>
      </c>
      <c r="G660" t="s">
        <v>124</v>
      </c>
      <c r="H660" s="92" t="s">
        <v>982</v>
      </c>
      <c r="I660">
        <v>1</v>
      </c>
      <c r="J660" s="46">
        <v>625</v>
      </c>
      <c r="K660" s="50" t="s">
        <v>397</v>
      </c>
      <c r="L660" s="23">
        <v>625</v>
      </c>
      <c r="M660" s="46"/>
    </row>
    <row r="661" spans="2:13" ht="15" customHeight="1" x14ac:dyDescent="0.25">
      <c r="B661" s="5">
        <v>44608</v>
      </c>
      <c r="C661" s="5" t="s">
        <v>177</v>
      </c>
      <c r="D661" s="35">
        <v>2022</v>
      </c>
      <c r="E661" t="s">
        <v>445</v>
      </c>
      <c r="F661" t="s">
        <v>467</v>
      </c>
      <c r="G661" t="s">
        <v>49</v>
      </c>
      <c r="H661" s="92" t="s">
        <v>966</v>
      </c>
      <c r="I661">
        <v>1</v>
      </c>
      <c r="J661" s="46">
        <v>1740</v>
      </c>
      <c r="K661" s="50" t="s">
        <v>397</v>
      </c>
      <c r="L661" s="23">
        <v>1740</v>
      </c>
      <c r="M661" s="46"/>
    </row>
    <row r="662" spans="2:13" ht="15" customHeight="1" x14ac:dyDescent="0.25">
      <c r="B662" s="5">
        <v>44608</v>
      </c>
      <c r="C662" s="5" t="s">
        <v>177</v>
      </c>
      <c r="D662" s="35">
        <v>2022</v>
      </c>
      <c r="E662" t="s">
        <v>445</v>
      </c>
      <c r="F662" t="s">
        <v>468</v>
      </c>
      <c r="G662" t="s">
        <v>413</v>
      </c>
      <c r="H662" s="92" t="s">
        <v>977</v>
      </c>
      <c r="I662">
        <v>2</v>
      </c>
      <c r="J662" s="46">
        <v>1120</v>
      </c>
      <c r="K662" s="50" t="s">
        <v>397</v>
      </c>
      <c r="L662" s="23">
        <v>1120</v>
      </c>
      <c r="M662" s="46"/>
    </row>
    <row r="663" spans="2:13" ht="15" customHeight="1" x14ac:dyDescent="0.25">
      <c r="B663" s="5">
        <v>44608</v>
      </c>
      <c r="C663" s="5" t="s">
        <v>177</v>
      </c>
      <c r="D663" s="35">
        <v>2022</v>
      </c>
      <c r="E663" t="s">
        <v>445</v>
      </c>
      <c r="F663" t="s">
        <v>468</v>
      </c>
      <c r="G663" t="s">
        <v>58</v>
      </c>
      <c r="H663" s="92" t="s">
        <v>969</v>
      </c>
      <c r="I663">
        <v>1</v>
      </c>
      <c r="J663" s="46">
        <v>2530</v>
      </c>
      <c r="K663" s="50" t="s">
        <v>397</v>
      </c>
      <c r="L663" s="23">
        <v>2530</v>
      </c>
      <c r="M663" s="46"/>
    </row>
    <row r="664" spans="2:13" ht="15" customHeight="1" x14ac:dyDescent="0.25">
      <c r="B664" s="5">
        <v>44608</v>
      </c>
      <c r="C664" s="5" t="s">
        <v>177</v>
      </c>
      <c r="D664" s="35">
        <v>2022</v>
      </c>
      <c r="E664" t="s">
        <v>445</v>
      </c>
      <c r="F664" t="s">
        <v>444</v>
      </c>
      <c r="G664" t="s">
        <v>194</v>
      </c>
      <c r="H664" s="24" t="s">
        <v>968</v>
      </c>
      <c r="I664">
        <v>1</v>
      </c>
      <c r="J664" s="46">
        <v>2300</v>
      </c>
      <c r="K664" s="50" t="s">
        <v>397</v>
      </c>
      <c r="L664" s="23">
        <v>2300</v>
      </c>
      <c r="M664" s="46"/>
    </row>
    <row r="665" spans="2:13" ht="15" customHeight="1" x14ac:dyDescent="0.25">
      <c r="B665" s="5">
        <v>44608</v>
      </c>
      <c r="C665" s="5" t="s">
        <v>177</v>
      </c>
      <c r="D665" s="35">
        <v>2022</v>
      </c>
      <c r="E665" t="s">
        <v>445</v>
      </c>
      <c r="F665" t="s">
        <v>391</v>
      </c>
      <c r="G665" t="s">
        <v>49</v>
      </c>
      <c r="H665" s="92" t="s">
        <v>966</v>
      </c>
      <c r="I665">
        <v>2</v>
      </c>
      <c r="J665" s="46">
        <v>3480</v>
      </c>
      <c r="K665" s="50" t="s">
        <v>397</v>
      </c>
      <c r="L665" s="23">
        <v>3480</v>
      </c>
      <c r="M665" s="46"/>
    </row>
    <row r="666" spans="2:13" ht="15" customHeight="1" x14ac:dyDescent="0.25">
      <c r="B666" s="5">
        <v>44608</v>
      </c>
      <c r="C666" s="5" t="s">
        <v>177</v>
      </c>
      <c r="D666" s="35">
        <v>2022</v>
      </c>
      <c r="E666" t="s">
        <v>445</v>
      </c>
      <c r="F666" t="s">
        <v>469</v>
      </c>
      <c r="G666" t="s">
        <v>126</v>
      </c>
      <c r="H666" s="92" t="s">
        <v>965</v>
      </c>
      <c r="I666">
        <v>1</v>
      </c>
      <c r="J666" s="46">
        <v>1410</v>
      </c>
      <c r="K666" s="50" t="s">
        <v>397</v>
      </c>
      <c r="L666" s="23">
        <v>1410</v>
      </c>
      <c r="M666" s="46"/>
    </row>
    <row r="667" spans="2:13" ht="15" customHeight="1" x14ac:dyDescent="0.25">
      <c r="B667" s="5">
        <v>44608</v>
      </c>
      <c r="C667" s="5" t="s">
        <v>177</v>
      </c>
      <c r="D667" s="35">
        <v>2022</v>
      </c>
      <c r="E667" t="s">
        <v>16</v>
      </c>
      <c r="F667" t="s">
        <v>470</v>
      </c>
      <c r="G667" t="s">
        <v>321</v>
      </c>
      <c r="H667" s="92" t="s">
        <v>967</v>
      </c>
      <c r="I667">
        <v>1</v>
      </c>
      <c r="J667" s="46">
        <v>2300</v>
      </c>
      <c r="K667" s="50" t="s">
        <v>397</v>
      </c>
      <c r="L667" s="23">
        <v>2300</v>
      </c>
      <c r="M667" s="46"/>
    </row>
    <row r="668" spans="2:13" ht="15" customHeight="1" x14ac:dyDescent="0.25">
      <c r="B668" s="5">
        <v>44608</v>
      </c>
      <c r="C668" s="5" t="s">
        <v>177</v>
      </c>
      <c r="D668" s="35">
        <v>2022</v>
      </c>
      <c r="E668" t="s">
        <v>16</v>
      </c>
      <c r="F668" t="s">
        <v>471</v>
      </c>
      <c r="G668" t="s">
        <v>128</v>
      </c>
      <c r="H668" s="92" t="s">
        <v>965</v>
      </c>
      <c r="I668">
        <v>1</v>
      </c>
      <c r="J668" s="46">
        <v>1240</v>
      </c>
      <c r="K668" s="50" t="s">
        <v>397</v>
      </c>
      <c r="L668" s="23">
        <v>1240</v>
      </c>
      <c r="M668" s="46"/>
    </row>
    <row r="669" spans="2:13" ht="15" customHeight="1" x14ac:dyDescent="0.25">
      <c r="B669" s="5">
        <v>44608</v>
      </c>
      <c r="C669" s="5" t="s">
        <v>177</v>
      </c>
      <c r="D669" s="35">
        <v>2022</v>
      </c>
      <c r="E669" t="s">
        <v>16</v>
      </c>
      <c r="F669" t="s">
        <v>472</v>
      </c>
      <c r="G669" t="s">
        <v>321</v>
      </c>
      <c r="H669" s="92" t="s">
        <v>967</v>
      </c>
      <c r="I669">
        <v>1</v>
      </c>
      <c r="J669" s="46">
        <v>2300</v>
      </c>
      <c r="K669" s="50" t="s">
        <v>397</v>
      </c>
      <c r="L669" s="23">
        <v>2300</v>
      </c>
      <c r="M669" s="46"/>
    </row>
    <row r="670" spans="2:13" ht="15" customHeight="1" x14ac:dyDescent="0.25">
      <c r="B670" s="5">
        <v>44608</v>
      </c>
      <c r="C670" s="5" t="s">
        <v>177</v>
      </c>
      <c r="D670" s="35">
        <v>2022</v>
      </c>
      <c r="E670" t="s">
        <v>16</v>
      </c>
      <c r="F670" t="s">
        <v>472</v>
      </c>
      <c r="G670" t="s">
        <v>249</v>
      </c>
      <c r="H670" s="92" t="s">
        <v>972</v>
      </c>
      <c r="I670">
        <v>1</v>
      </c>
      <c r="J670" s="46">
        <v>1080</v>
      </c>
      <c r="K670" s="50" t="s">
        <v>397</v>
      </c>
      <c r="L670" s="23">
        <v>1080</v>
      </c>
      <c r="M670" s="46"/>
    </row>
    <row r="671" spans="2:13" ht="15" customHeight="1" x14ac:dyDescent="0.25">
      <c r="B671" s="5">
        <v>44608</v>
      </c>
      <c r="C671" s="5" t="s">
        <v>177</v>
      </c>
      <c r="D671" s="35">
        <v>2022</v>
      </c>
      <c r="E671" t="s">
        <v>16</v>
      </c>
      <c r="F671" t="s">
        <v>146</v>
      </c>
      <c r="G671" t="s">
        <v>126</v>
      </c>
      <c r="H671" s="92" t="s">
        <v>965</v>
      </c>
      <c r="I671">
        <v>1</v>
      </c>
      <c r="J671" s="46">
        <v>1410</v>
      </c>
      <c r="K671" s="50" t="s">
        <v>397</v>
      </c>
      <c r="L671" s="23">
        <v>1410</v>
      </c>
      <c r="M671" s="46"/>
    </row>
    <row r="672" spans="2:13" ht="15" customHeight="1" x14ac:dyDescent="0.25">
      <c r="B672" s="5">
        <v>44608</v>
      </c>
      <c r="C672" s="5" t="s">
        <v>177</v>
      </c>
      <c r="D672" s="35">
        <v>2022</v>
      </c>
      <c r="E672" t="s">
        <v>16</v>
      </c>
      <c r="F672" t="s">
        <v>146</v>
      </c>
      <c r="G672" t="s">
        <v>274</v>
      </c>
      <c r="H672" s="92" t="s">
        <v>966</v>
      </c>
      <c r="I672">
        <v>1</v>
      </c>
      <c r="J672" s="46">
        <v>1760</v>
      </c>
      <c r="K672" s="50" t="s">
        <v>397</v>
      </c>
      <c r="L672" s="23">
        <v>1760</v>
      </c>
      <c r="M672" s="46"/>
    </row>
    <row r="673" spans="2:15" ht="15" customHeight="1" x14ac:dyDescent="0.25">
      <c r="B673" s="5">
        <v>44609</v>
      </c>
      <c r="C673" s="5" t="s">
        <v>177</v>
      </c>
      <c r="D673" s="35">
        <v>2022</v>
      </c>
      <c r="E673" t="s">
        <v>22</v>
      </c>
      <c r="F673" t="s">
        <v>473</v>
      </c>
      <c r="G673" t="s">
        <v>128</v>
      </c>
      <c r="H673" s="92" t="s">
        <v>965</v>
      </c>
      <c r="I673">
        <v>1</v>
      </c>
      <c r="J673" s="46">
        <v>1240</v>
      </c>
      <c r="K673" s="50" t="s">
        <v>397</v>
      </c>
      <c r="L673" s="110">
        <v>1240</v>
      </c>
      <c r="M673" s="110"/>
    </row>
    <row r="674" spans="2:15" ht="15" customHeight="1" x14ac:dyDescent="0.25">
      <c r="B674" s="5">
        <v>44609</v>
      </c>
      <c r="C674" s="5" t="s">
        <v>177</v>
      </c>
      <c r="D674" s="35">
        <v>2022</v>
      </c>
      <c r="E674" t="s">
        <v>22</v>
      </c>
      <c r="F674" t="s">
        <v>236</v>
      </c>
      <c r="G674" t="s">
        <v>321</v>
      </c>
      <c r="H674" s="92" t="s">
        <v>967</v>
      </c>
      <c r="I674">
        <v>1</v>
      </c>
      <c r="J674" s="46">
        <v>2300</v>
      </c>
      <c r="K674" s="50" t="s">
        <v>397</v>
      </c>
      <c r="L674" s="110">
        <v>2300</v>
      </c>
      <c r="M674" s="110"/>
    </row>
    <row r="675" spans="2:15" ht="15" customHeight="1" x14ac:dyDescent="0.25">
      <c r="B675" s="5">
        <v>44609</v>
      </c>
      <c r="C675" s="5" t="s">
        <v>177</v>
      </c>
      <c r="D675" s="35">
        <v>2022</v>
      </c>
      <c r="E675" t="s">
        <v>22</v>
      </c>
      <c r="F675" t="s">
        <v>236</v>
      </c>
      <c r="G675" t="s">
        <v>476</v>
      </c>
      <c r="H675" s="92" t="s">
        <v>969</v>
      </c>
      <c r="I675">
        <v>1</v>
      </c>
      <c r="J675" s="46">
        <v>6100</v>
      </c>
      <c r="K675" s="50" t="s">
        <v>397</v>
      </c>
      <c r="L675" s="110">
        <v>6100</v>
      </c>
      <c r="M675" s="110"/>
    </row>
    <row r="676" spans="2:15" ht="15" customHeight="1" x14ac:dyDescent="0.25">
      <c r="B676" s="5">
        <v>44609</v>
      </c>
      <c r="C676" s="5" t="s">
        <v>177</v>
      </c>
      <c r="D676" s="35">
        <v>2022</v>
      </c>
      <c r="E676" t="s">
        <v>22</v>
      </c>
      <c r="F676" t="s">
        <v>236</v>
      </c>
      <c r="G676" t="s">
        <v>49</v>
      </c>
      <c r="H676" s="92" t="s">
        <v>966</v>
      </c>
      <c r="I676">
        <v>1</v>
      </c>
      <c r="J676" s="46">
        <v>1740</v>
      </c>
      <c r="K676" s="50" t="s">
        <v>397</v>
      </c>
      <c r="L676" s="110">
        <v>1740</v>
      </c>
      <c r="M676" s="110"/>
    </row>
    <row r="677" spans="2:15" ht="15" customHeight="1" x14ac:dyDescent="0.25">
      <c r="B677" s="5">
        <v>44609</v>
      </c>
      <c r="C677" s="5" t="s">
        <v>177</v>
      </c>
      <c r="D677" s="35">
        <v>2022</v>
      </c>
      <c r="E677" t="s">
        <v>22</v>
      </c>
      <c r="F677" t="s">
        <v>236</v>
      </c>
      <c r="G677" t="s">
        <v>396</v>
      </c>
      <c r="H677" s="92" t="s">
        <v>977</v>
      </c>
      <c r="I677">
        <v>1</v>
      </c>
      <c r="J677" s="46">
        <v>560</v>
      </c>
      <c r="K677" s="50" t="s">
        <v>397</v>
      </c>
      <c r="L677" s="111">
        <v>0</v>
      </c>
      <c r="M677" s="109">
        <v>560</v>
      </c>
      <c r="O677" t="s">
        <v>625</v>
      </c>
    </row>
    <row r="678" spans="2:15" ht="15" customHeight="1" x14ac:dyDescent="0.25">
      <c r="B678" s="5">
        <v>44609</v>
      </c>
      <c r="C678" s="5" t="s">
        <v>177</v>
      </c>
      <c r="D678" s="35">
        <v>2022</v>
      </c>
      <c r="E678" t="s">
        <v>22</v>
      </c>
      <c r="F678" t="s">
        <v>421</v>
      </c>
      <c r="G678" t="s">
        <v>321</v>
      </c>
      <c r="H678" s="92" t="s">
        <v>967</v>
      </c>
      <c r="I678">
        <v>5</v>
      </c>
      <c r="J678" s="46">
        <v>11500</v>
      </c>
      <c r="K678" s="50" t="s">
        <v>397</v>
      </c>
      <c r="L678" s="110">
        <v>11500</v>
      </c>
      <c r="M678" s="110"/>
    </row>
    <row r="679" spans="2:15" ht="15" customHeight="1" x14ac:dyDescent="0.25">
      <c r="B679" s="5">
        <v>44609</v>
      </c>
      <c r="C679" s="5" t="s">
        <v>177</v>
      </c>
      <c r="D679" s="35">
        <v>2022</v>
      </c>
      <c r="E679" t="s">
        <v>22</v>
      </c>
      <c r="F679" t="s">
        <v>474</v>
      </c>
      <c r="G679" t="s">
        <v>49</v>
      </c>
      <c r="H679" s="92" t="s">
        <v>966</v>
      </c>
      <c r="I679">
        <v>1</v>
      </c>
      <c r="J679" s="46">
        <v>1740</v>
      </c>
      <c r="K679" s="50" t="s">
        <v>397</v>
      </c>
      <c r="L679" s="110">
        <v>1740</v>
      </c>
      <c r="M679" s="110"/>
    </row>
    <row r="680" spans="2:15" ht="15" customHeight="1" x14ac:dyDescent="0.25">
      <c r="B680" s="5">
        <v>44609</v>
      </c>
      <c r="C680" s="5" t="s">
        <v>177</v>
      </c>
      <c r="D680" s="35">
        <v>2022</v>
      </c>
      <c r="E680" t="s">
        <v>22</v>
      </c>
      <c r="F680" t="s">
        <v>51</v>
      </c>
      <c r="G680" t="s">
        <v>49</v>
      </c>
      <c r="H680" s="92" t="s">
        <v>966</v>
      </c>
      <c r="I680">
        <v>1</v>
      </c>
      <c r="J680" s="46">
        <v>1740</v>
      </c>
      <c r="K680" s="50" t="s">
        <v>397</v>
      </c>
      <c r="L680" s="110">
        <v>1740</v>
      </c>
      <c r="M680" s="110"/>
    </row>
    <row r="681" spans="2:15" ht="15" customHeight="1" x14ac:dyDescent="0.25">
      <c r="B681" s="5">
        <v>44609</v>
      </c>
      <c r="C681" s="5" t="s">
        <v>177</v>
      </c>
      <c r="D681" s="35">
        <v>2022</v>
      </c>
      <c r="E681" t="s">
        <v>22</v>
      </c>
      <c r="F681" t="s">
        <v>181</v>
      </c>
      <c r="G681" t="s">
        <v>120</v>
      </c>
      <c r="H681" s="24" t="s">
        <v>968</v>
      </c>
      <c r="I681">
        <v>1</v>
      </c>
      <c r="J681" s="46">
        <v>4400</v>
      </c>
      <c r="K681" s="50" t="s">
        <v>397</v>
      </c>
      <c r="L681" s="110">
        <v>4400</v>
      </c>
      <c r="M681" s="110"/>
    </row>
    <row r="682" spans="2:15" ht="15" customHeight="1" x14ac:dyDescent="0.25">
      <c r="B682" s="5">
        <v>44609</v>
      </c>
      <c r="C682" s="5" t="s">
        <v>177</v>
      </c>
      <c r="D682" s="35">
        <v>2022</v>
      </c>
      <c r="E682" t="s">
        <v>22</v>
      </c>
      <c r="F682" t="s">
        <v>475</v>
      </c>
      <c r="G682" t="s">
        <v>412</v>
      </c>
      <c r="H682" s="92" t="s">
        <v>977</v>
      </c>
      <c r="I682">
        <v>1</v>
      </c>
      <c r="J682" s="46">
        <v>3310</v>
      </c>
      <c r="K682" s="50" t="s">
        <v>397</v>
      </c>
      <c r="L682" s="110">
        <v>3310</v>
      </c>
      <c r="M682" s="110"/>
    </row>
    <row r="683" spans="2:15" ht="15" customHeight="1" x14ac:dyDescent="0.25">
      <c r="B683" s="5">
        <v>44609</v>
      </c>
      <c r="C683" s="5" t="s">
        <v>177</v>
      </c>
      <c r="D683" s="35">
        <v>2022</v>
      </c>
      <c r="E683" t="s">
        <v>22</v>
      </c>
      <c r="F683" t="s">
        <v>308</v>
      </c>
      <c r="G683" t="s">
        <v>321</v>
      </c>
      <c r="H683" s="92" t="s">
        <v>967</v>
      </c>
      <c r="I683">
        <v>3</v>
      </c>
      <c r="J683" s="46">
        <v>6900</v>
      </c>
      <c r="K683" s="50" t="s">
        <v>397</v>
      </c>
      <c r="L683" s="110">
        <v>6900</v>
      </c>
      <c r="M683" s="110"/>
    </row>
    <row r="684" spans="2:15" ht="15" customHeight="1" x14ac:dyDescent="0.25">
      <c r="B684" s="5">
        <v>44609</v>
      </c>
      <c r="C684" s="5" t="s">
        <v>177</v>
      </c>
      <c r="D684" s="35">
        <v>2022</v>
      </c>
      <c r="E684" t="s">
        <v>356</v>
      </c>
      <c r="F684" t="s">
        <v>350</v>
      </c>
      <c r="G684" t="s">
        <v>479</v>
      </c>
      <c r="H684" s="24" t="s">
        <v>976</v>
      </c>
      <c r="I684">
        <v>1</v>
      </c>
      <c r="J684" s="46">
        <v>1395</v>
      </c>
      <c r="K684" s="50" t="s">
        <v>397</v>
      </c>
      <c r="L684" s="46">
        <v>0</v>
      </c>
      <c r="M684" s="46"/>
      <c r="N684" s="112"/>
    </row>
    <row r="685" spans="2:15" ht="15" customHeight="1" x14ac:dyDescent="0.25">
      <c r="B685" s="5">
        <v>44609</v>
      </c>
      <c r="C685" s="5" t="s">
        <v>177</v>
      </c>
      <c r="D685" s="35">
        <v>2022</v>
      </c>
      <c r="E685" t="s">
        <v>356</v>
      </c>
      <c r="F685" t="s">
        <v>350</v>
      </c>
      <c r="G685" t="s">
        <v>128</v>
      </c>
      <c r="H685" s="92" t="s">
        <v>965</v>
      </c>
      <c r="I685">
        <v>1</v>
      </c>
      <c r="J685" s="46">
        <v>1240</v>
      </c>
      <c r="K685" s="50" t="s">
        <v>397</v>
      </c>
      <c r="L685" s="46">
        <v>0</v>
      </c>
      <c r="M685" s="46"/>
      <c r="N685" s="112"/>
    </row>
    <row r="686" spans="2:15" ht="15" customHeight="1" x14ac:dyDescent="0.25">
      <c r="B686" s="5">
        <v>44609</v>
      </c>
      <c r="C686" s="5" t="s">
        <v>177</v>
      </c>
      <c r="D686" s="35">
        <v>2022</v>
      </c>
      <c r="E686" t="s">
        <v>356</v>
      </c>
      <c r="F686" t="s">
        <v>56</v>
      </c>
      <c r="G686" t="s">
        <v>321</v>
      </c>
      <c r="H686" s="92" t="s">
        <v>967</v>
      </c>
      <c r="I686">
        <v>5</v>
      </c>
      <c r="J686" s="46">
        <v>11500</v>
      </c>
      <c r="K686" s="50" t="s">
        <v>397</v>
      </c>
      <c r="L686" s="110">
        <v>11500</v>
      </c>
      <c r="M686" s="110"/>
    </row>
    <row r="687" spans="2:15" ht="15" customHeight="1" x14ac:dyDescent="0.25">
      <c r="B687" s="5">
        <v>44609</v>
      </c>
      <c r="C687" s="5" t="s">
        <v>177</v>
      </c>
      <c r="D687" s="35">
        <v>2022</v>
      </c>
      <c r="E687" t="s">
        <v>356</v>
      </c>
      <c r="F687" t="s">
        <v>477</v>
      </c>
      <c r="G687" t="s">
        <v>55</v>
      </c>
      <c r="H687" s="92" t="s">
        <v>965</v>
      </c>
      <c r="I687">
        <v>1</v>
      </c>
      <c r="J687" s="46">
        <v>1390</v>
      </c>
      <c r="K687" s="50" t="s">
        <v>397</v>
      </c>
      <c r="L687" s="110">
        <v>1390</v>
      </c>
      <c r="M687" s="110"/>
    </row>
    <row r="688" spans="2:15" ht="15" customHeight="1" x14ac:dyDescent="0.25">
      <c r="B688" s="5">
        <v>44609</v>
      </c>
      <c r="C688" s="5" t="s">
        <v>177</v>
      </c>
      <c r="D688" s="35">
        <v>2022</v>
      </c>
      <c r="E688" t="s">
        <v>356</v>
      </c>
      <c r="F688" t="s">
        <v>477</v>
      </c>
      <c r="G688" t="s">
        <v>321</v>
      </c>
      <c r="H688" s="92" t="s">
        <v>967</v>
      </c>
      <c r="I688">
        <v>1</v>
      </c>
      <c r="J688" s="46">
        <v>2300</v>
      </c>
      <c r="K688" s="50" t="s">
        <v>397</v>
      </c>
      <c r="L688" s="110">
        <v>2300</v>
      </c>
      <c r="M688" s="110"/>
    </row>
    <row r="689" spans="2:13" ht="15" customHeight="1" x14ac:dyDescent="0.25">
      <c r="B689" s="5">
        <v>44609</v>
      </c>
      <c r="C689" s="5" t="s">
        <v>177</v>
      </c>
      <c r="D689" s="35">
        <v>2022</v>
      </c>
      <c r="E689" t="s">
        <v>356</v>
      </c>
      <c r="F689" t="s">
        <v>428</v>
      </c>
      <c r="G689" t="s">
        <v>432</v>
      </c>
      <c r="H689" s="24" t="s">
        <v>976</v>
      </c>
      <c r="I689">
        <v>1</v>
      </c>
      <c r="J689" s="46">
        <v>3580</v>
      </c>
      <c r="K689" s="50" t="s">
        <v>397</v>
      </c>
      <c r="L689" s="110">
        <v>3580</v>
      </c>
      <c r="M689" s="110"/>
    </row>
    <row r="690" spans="2:13" ht="15" customHeight="1" x14ac:dyDescent="0.25">
      <c r="B690" s="5">
        <v>44609</v>
      </c>
      <c r="C690" s="5" t="s">
        <v>177</v>
      </c>
      <c r="D690" s="35">
        <v>2022</v>
      </c>
      <c r="E690" t="s">
        <v>356</v>
      </c>
      <c r="F690" t="s">
        <v>478</v>
      </c>
      <c r="G690" t="s">
        <v>123</v>
      </c>
      <c r="H690" s="92" t="s">
        <v>966</v>
      </c>
      <c r="I690">
        <v>5</v>
      </c>
      <c r="J690" s="46">
        <v>8750</v>
      </c>
      <c r="K690" s="50" t="s">
        <v>397</v>
      </c>
      <c r="L690" s="110">
        <v>8750</v>
      </c>
      <c r="M690" s="110"/>
    </row>
    <row r="691" spans="2:13" ht="15" customHeight="1" x14ac:dyDescent="0.25">
      <c r="B691" s="5">
        <v>44609</v>
      </c>
      <c r="C691" s="5" t="s">
        <v>177</v>
      </c>
      <c r="D691" s="35">
        <v>2022</v>
      </c>
      <c r="E691" t="s">
        <v>356</v>
      </c>
      <c r="F691" t="s">
        <v>454</v>
      </c>
      <c r="G691" t="s">
        <v>120</v>
      </c>
      <c r="H691" s="24" t="s">
        <v>968</v>
      </c>
      <c r="I691">
        <v>1</v>
      </c>
      <c r="J691" s="46">
        <v>4400</v>
      </c>
      <c r="K691" s="50" t="s">
        <v>397</v>
      </c>
      <c r="L691" s="110">
        <v>4400</v>
      </c>
      <c r="M691" s="110"/>
    </row>
    <row r="692" spans="2:13" ht="15" customHeight="1" x14ac:dyDescent="0.25">
      <c r="B692" s="5">
        <v>44609</v>
      </c>
      <c r="C692" s="5" t="s">
        <v>177</v>
      </c>
      <c r="D692" s="35">
        <v>2022</v>
      </c>
      <c r="E692" t="s">
        <v>356</v>
      </c>
      <c r="F692" t="s">
        <v>454</v>
      </c>
      <c r="G692" t="s">
        <v>128</v>
      </c>
      <c r="H692" s="92" t="s">
        <v>965</v>
      </c>
      <c r="I692">
        <v>3</v>
      </c>
      <c r="J692" s="46">
        <v>3720</v>
      </c>
      <c r="K692" s="50" t="s">
        <v>397</v>
      </c>
      <c r="L692" s="110">
        <v>3720</v>
      </c>
      <c r="M692" s="110"/>
    </row>
    <row r="693" spans="2:13" ht="15" customHeight="1" x14ac:dyDescent="0.25">
      <c r="B693" s="5">
        <v>44609</v>
      </c>
      <c r="C693" s="5" t="s">
        <v>177</v>
      </c>
      <c r="D693" s="35">
        <v>2022</v>
      </c>
      <c r="E693" t="s">
        <v>356</v>
      </c>
      <c r="F693" t="s">
        <v>313</v>
      </c>
      <c r="G693" t="s">
        <v>274</v>
      </c>
      <c r="H693" s="92" t="s">
        <v>966</v>
      </c>
      <c r="I693">
        <v>1</v>
      </c>
      <c r="J693" s="46">
        <v>1760</v>
      </c>
      <c r="K693" s="50" t="s">
        <v>397</v>
      </c>
      <c r="L693" s="110">
        <v>1760</v>
      </c>
      <c r="M693" s="110"/>
    </row>
    <row r="694" spans="2:13" ht="15" customHeight="1" x14ac:dyDescent="0.25">
      <c r="B694" s="5">
        <v>44609</v>
      </c>
      <c r="C694" s="5" t="s">
        <v>177</v>
      </c>
      <c r="D694" s="35">
        <v>2022</v>
      </c>
      <c r="E694" t="s">
        <v>356</v>
      </c>
      <c r="F694" t="s">
        <v>191</v>
      </c>
      <c r="G694" t="s">
        <v>274</v>
      </c>
      <c r="H694" s="92" t="s">
        <v>966</v>
      </c>
      <c r="I694">
        <v>1</v>
      </c>
      <c r="J694" s="46">
        <v>1760</v>
      </c>
      <c r="K694" s="50" t="s">
        <v>397</v>
      </c>
      <c r="L694" s="110">
        <v>1760</v>
      </c>
      <c r="M694" s="110"/>
    </row>
    <row r="695" spans="2:13" ht="15" customHeight="1" x14ac:dyDescent="0.25">
      <c r="B695" s="5">
        <v>44609</v>
      </c>
      <c r="C695" s="5" t="s">
        <v>177</v>
      </c>
      <c r="D695" s="35">
        <v>2022</v>
      </c>
      <c r="E695" t="s">
        <v>356</v>
      </c>
      <c r="F695" t="s">
        <v>431</v>
      </c>
      <c r="G695" t="s">
        <v>120</v>
      </c>
      <c r="H695" s="24" t="s">
        <v>968</v>
      </c>
      <c r="I695">
        <v>1</v>
      </c>
      <c r="J695" s="46">
        <v>4400</v>
      </c>
      <c r="K695" s="50" t="s">
        <v>397</v>
      </c>
      <c r="L695" s="110">
        <v>4400</v>
      </c>
      <c r="M695" s="110"/>
    </row>
    <row r="696" spans="2:13" ht="15" customHeight="1" x14ac:dyDescent="0.25">
      <c r="B696" s="5">
        <v>44609</v>
      </c>
      <c r="C696" s="5" t="s">
        <v>177</v>
      </c>
      <c r="D696" s="35">
        <v>2022</v>
      </c>
      <c r="E696" t="s">
        <v>356</v>
      </c>
      <c r="F696" t="s">
        <v>431</v>
      </c>
      <c r="G696" t="s">
        <v>45</v>
      </c>
      <c r="H696" s="92" t="s">
        <v>965</v>
      </c>
      <c r="I696">
        <v>2</v>
      </c>
      <c r="J696" s="46">
        <v>2780</v>
      </c>
      <c r="K696" s="50" t="s">
        <v>397</v>
      </c>
      <c r="L696" s="110">
        <v>2780</v>
      </c>
      <c r="M696" s="110"/>
    </row>
    <row r="697" spans="2:13" ht="15" customHeight="1" x14ac:dyDescent="0.25">
      <c r="B697" s="5">
        <v>44609</v>
      </c>
      <c r="C697" s="5" t="s">
        <v>177</v>
      </c>
      <c r="D697" s="35">
        <v>2022</v>
      </c>
      <c r="E697" t="s">
        <v>458</v>
      </c>
      <c r="F697" t="s">
        <v>196</v>
      </c>
      <c r="G697" t="s">
        <v>55</v>
      </c>
      <c r="H697" s="92" t="s">
        <v>965</v>
      </c>
      <c r="I697">
        <v>1</v>
      </c>
      <c r="J697" s="46">
        <v>1390</v>
      </c>
      <c r="K697" s="50" t="s">
        <v>397</v>
      </c>
      <c r="L697" s="46">
        <v>1390</v>
      </c>
      <c r="M697" s="46"/>
    </row>
    <row r="698" spans="2:13" ht="15" customHeight="1" x14ac:dyDescent="0.25">
      <c r="B698" s="5">
        <v>44609</v>
      </c>
      <c r="C698" s="5" t="s">
        <v>177</v>
      </c>
      <c r="D698" s="35">
        <v>2022</v>
      </c>
      <c r="E698" t="s">
        <v>458</v>
      </c>
      <c r="F698" t="s">
        <v>382</v>
      </c>
      <c r="G698" t="s">
        <v>283</v>
      </c>
      <c r="H698" s="92" t="s">
        <v>983</v>
      </c>
      <c r="I698">
        <v>1</v>
      </c>
      <c r="J698" s="46">
        <v>505</v>
      </c>
      <c r="K698" s="50" t="s">
        <v>397</v>
      </c>
      <c r="L698" s="46">
        <v>505</v>
      </c>
      <c r="M698" s="46"/>
    </row>
    <row r="699" spans="2:13" ht="15" customHeight="1" x14ac:dyDescent="0.25">
      <c r="B699" s="5">
        <v>44609</v>
      </c>
      <c r="C699" s="5" t="s">
        <v>177</v>
      </c>
      <c r="D699" s="35">
        <v>2022</v>
      </c>
      <c r="E699" t="s">
        <v>458</v>
      </c>
      <c r="F699" t="s">
        <v>246</v>
      </c>
      <c r="G699" t="s">
        <v>120</v>
      </c>
      <c r="H699" s="24" t="s">
        <v>968</v>
      </c>
      <c r="I699">
        <v>1</v>
      </c>
      <c r="J699" s="46">
        <v>4400</v>
      </c>
      <c r="K699" s="50" t="s">
        <v>397</v>
      </c>
      <c r="L699" s="46">
        <v>4400</v>
      </c>
      <c r="M699" s="46"/>
    </row>
    <row r="700" spans="2:13" ht="15" customHeight="1" x14ac:dyDescent="0.25">
      <c r="B700" s="5">
        <v>44609</v>
      </c>
      <c r="C700" s="5" t="s">
        <v>177</v>
      </c>
      <c r="D700" s="35">
        <v>2022</v>
      </c>
      <c r="E700" t="s">
        <v>458</v>
      </c>
      <c r="F700" t="s">
        <v>383</v>
      </c>
      <c r="G700" t="s">
        <v>55</v>
      </c>
      <c r="H700" s="92" t="s">
        <v>965</v>
      </c>
      <c r="I700">
        <v>1</v>
      </c>
      <c r="J700" s="46">
        <v>1390</v>
      </c>
      <c r="K700" s="50" t="s">
        <v>397</v>
      </c>
      <c r="L700" s="46">
        <v>1390</v>
      </c>
      <c r="M700" s="46"/>
    </row>
    <row r="701" spans="2:13" ht="15" customHeight="1" x14ac:dyDescent="0.25">
      <c r="B701" s="5">
        <v>44609</v>
      </c>
      <c r="C701" s="5" t="s">
        <v>177</v>
      </c>
      <c r="D701" s="35">
        <v>2022</v>
      </c>
      <c r="E701" t="s">
        <v>458</v>
      </c>
      <c r="F701" t="s">
        <v>433</v>
      </c>
      <c r="G701" t="s">
        <v>122</v>
      </c>
      <c r="H701" s="92" t="s">
        <v>973</v>
      </c>
      <c r="I701">
        <v>1</v>
      </c>
      <c r="J701" s="46">
        <v>260</v>
      </c>
      <c r="K701" s="50" t="s">
        <v>397</v>
      </c>
      <c r="L701" s="46">
        <v>260</v>
      </c>
      <c r="M701" s="46"/>
    </row>
    <row r="702" spans="2:13" ht="15" customHeight="1" x14ac:dyDescent="0.25">
      <c r="B702" s="5">
        <v>44609</v>
      </c>
      <c r="C702" s="5" t="s">
        <v>177</v>
      </c>
      <c r="D702" s="35">
        <v>2022</v>
      </c>
      <c r="E702" t="s">
        <v>458</v>
      </c>
      <c r="F702" t="s">
        <v>384</v>
      </c>
      <c r="G702" t="s">
        <v>283</v>
      </c>
      <c r="H702" s="92" t="s">
        <v>983</v>
      </c>
      <c r="I702">
        <v>1</v>
      </c>
      <c r="J702" s="46">
        <v>505</v>
      </c>
      <c r="K702" s="50" t="s">
        <v>397</v>
      </c>
      <c r="L702" s="46">
        <v>505</v>
      </c>
      <c r="M702" s="46"/>
    </row>
    <row r="703" spans="2:13" ht="15" customHeight="1" x14ac:dyDescent="0.25">
      <c r="B703" s="5">
        <v>44609</v>
      </c>
      <c r="C703" s="5" t="s">
        <v>177</v>
      </c>
      <c r="D703" s="35">
        <v>2022</v>
      </c>
      <c r="E703" t="s">
        <v>458</v>
      </c>
      <c r="F703" t="s">
        <v>141</v>
      </c>
      <c r="G703" t="s">
        <v>122</v>
      </c>
      <c r="H703" s="92" t="s">
        <v>973</v>
      </c>
      <c r="I703">
        <v>1</v>
      </c>
      <c r="J703" s="46">
        <v>260</v>
      </c>
      <c r="K703" s="50" t="s">
        <v>397</v>
      </c>
      <c r="L703" s="46">
        <v>260</v>
      </c>
      <c r="M703" s="46"/>
    </row>
    <row r="704" spans="2:13" ht="15" customHeight="1" x14ac:dyDescent="0.25">
      <c r="B704" s="5">
        <v>44609</v>
      </c>
      <c r="C704" s="5" t="s">
        <v>177</v>
      </c>
      <c r="D704" s="35">
        <v>2022</v>
      </c>
      <c r="E704" t="s">
        <v>458</v>
      </c>
      <c r="F704" t="s">
        <v>480</v>
      </c>
      <c r="G704" t="s">
        <v>413</v>
      </c>
      <c r="H704" s="92" t="s">
        <v>977</v>
      </c>
      <c r="I704">
        <v>2</v>
      </c>
      <c r="J704" s="46">
        <v>1120</v>
      </c>
      <c r="K704" s="50" t="s">
        <v>397</v>
      </c>
      <c r="L704" s="46">
        <v>1120</v>
      </c>
      <c r="M704" s="46"/>
    </row>
    <row r="705" spans="2:13" ht="15" customHeight="1" x14ac:dyDescent="0.25">
      <c r="B705" s="5">
        <v>44609</v>
      </c>
      <c r="C705" s="5" t="s">
        <v>177</v>
      </c>
      <c r="D705" s="35">
        <v>2022</v>
      </c>
      <c r="E705" t="s">
        <v>458</v>
      </c>
      <c r="F705" t="s">
        <v>272</v>
      </c>
      <c r="G705" t="s">
        <v>413</v>
      </c>
      <c r="H705" s="92" t="s">
        <v>977</v>
      </c>
      <c r="I705">
        <v>1</v>
      </c>
      <c r="J705" s="46">
        <v>560</v>
      </c>
      <c r="K705" s="50" t="s">
        <v>397</v>
      </c>
      <c r="L705" s="46">
        <v>560</v>
      </c>
      <c r="M705" s="46"/>
    </row>
    <row r="706" spans="2:13" ht="15" customHeight="1" x14ac:dyDescent="0.25">
      <c r="B706" s="5">
        <v>44609</v>
      </c>
      <c r="C706" s="5" t="s">
        <v>177</v>
      </c>
      <c r="D706" s="35">
        <v>2022</v>
      </c>
      <c r="E706" t="s">
        <v>458</v>
      </c>
      <c r="F706" t="s">
        <v>272</v>
      </c>
      <c r="G706" t="s">
        <v>269</v>
      </c>
      <c r="H706" s="92" t="s">
        <v>983</v>
      </c>
      <c r="I706">
        <v>1</v>
      </c>
      <c r="J706" s="46">
        <v>290</v>
      </c>
      <c r="K706" s="50" t="s">
        <v>397</v>
      </c>
      <c r="L706" s="46">
        <v>290</v>
      </c>
      <c r="M706" s="46"/>
    </row>
    <row r="707" spans="2:13" ht="15" customHeight="1" x14ac:dyDescent="0.25">
      <c r="B707" s="5">
        <v>44609</v>
      </c>
      <c r="C707" s="5" t="s">
        <v>177</v>
      </c>
      <c r="D707" s="35">
        <v>2022</v>
      </c>
      <c r="E707" t="s">
        <v>458</v>
      </c>
      <c r="F707" t="s">
        <v>272</v>
      </c>
      <c r="G707" t="s">
        <v>122</v>
      </c>
      <c r="H707" s="92" t="s">
        <v>973</v>
      </c>
      <c r="I707">
        <v>1</v>
      </c>
      <c r="J707" s="46">
        <v>260</v>
      </c>
      <c r="K707" s="50" t="s">
        <v>397</v>
      </c>
      <c r="L707" s="46">
        <v>260</v>
      </c>
      <c r="M707" s="46"/>
    </row>
    <row r="708" spans="2:13" ht="15" customHeight="1" x14ac:dyDescent="0.25">
      <c r="B708" s="5">
        <v>44609</v>
      </c>
      <c r="C708" s="5" t="s">
        <v>177</v>
      </c>
      <c r="D708" s="35">
        <v>2022</v>
      </c>
      <c r="E708" t="s">
        <v>458</v>
      </c>
      <c r="F708" t="s">
        <v>142</v>
      </c>
      <c r="G708" t="s">
        <v>321</v>
      </c>
      <c r="H708" s="92" t="s">
        <v>967</v>
      </c>
      <c r="I708">
        <v>1</v>
      </c>
      <c r="J708" s="46">
        <v>2300</v>
      </c>
      <c r="K708" s="50" t="s">
        <v>397</v>
      </c>
      <c r="L708" s="46">
        <v>2300</v>
      </c>
      <c r="M708" s="46"/>
    </row>
    <row r="709" spans="2:13" ht="15" customHeight="1" x14ac:dyDescent="0.25">
      <c r="B709" s="5">
        <v>44609</v>
      </c>
      <c r="C709" s="5" t="s">
        <v>177</v>
      </c>
      <c r="D709" s="35">
        <v>2022</v>
      </c>
      <c r="E709" t="s">
        <v>417</v>
      </c>
      <c r="F709" t="s">
        <v>151</v>
      </c>
      <c r="G709" t="s">
        <v>122</v>
      </c>
      <c r="H709" s="92" t="s">
        <v>973</v>
      </c>
      <c r="I709">
        <v>1</v>
      </c>
      <c r="J709" s="46">
        <v>260</v>
      </c>
      <c r="K709" s="50" t="s">
        <v>397</v>
      </c>
      <c r="L709" s="46">
        <v>260</v>
      </c>
      <c r="M709" s="46"/>
    </row>
    <row r="710" spans="2:13" ht="15" customHeight="1" x14ac:dyDescent="0.25">
      <c r="B710" s="5">
        <v>44609</v>
      </c>
      <c r="C710" s="5" t="s">
        <v>177</v>
      </c>
      <c r="D710" s="35">
        <v>2022</v>
      </c>
      <c r="E710" t="s">
        <v>417</v>
      </c>
      <c r="F710" t="s">
        <v>481</v>
      </c>
      <c r="G710" t="s">
        <v>269</v>
      </c>
      <c r="H710" s="92" t="s">
        <v>983</v>
      </c>
      <c r="I710">
        <v>2</v>
      </c>
      <c r="J710" s="46">
        <v>580</v>
      </c>
      <c r="K710" s="50" t="s">
        <v>397</v>
      </c>
      <c r="L710" s="46">
        <v>580</v>
      </c>
      <c r="M710" s="46"/>
    </row>
    <row r="711" spans="2:13" ht="15" customHeight="1" x14ac:dyDescent="0.25">
      <c r="B711" s="5">
        <v>44609</v>
      </c>
      <c r="C711" s="5" t="s">
        <v>177</v>
      </c>
      <c r="D711" s="35">
        <v>2022</v>
      </c>
      <c r="E711" t="s">
        <v>417</v>
      </c>
      <c r="F711" t="s">
        <v>481</v>
      </c>
      <c r="G711" t="s">
        <v>283</v>
      </c>
      <c r="H711" s="92" t="s">
        <v>983</v>
      </c>
      <c r="I711">
        <v>1</v>
      </c>
      <c r="J711" s="46">
        <v>505</v>
      </c>
      <c r="K711" s="50" t="s">
        <v>397</v>
      </c>
      <c r="L711" s="46">
        <v>505</v>
      </c>
      <c r="M711" s="46"/>
    </row>
    <row r="712" spans="2:13" ht="15" customHeight="1" x14ac:dyDescent="0.25">
      <c r="B712" s="5">
        <v>44609</v>
      </c>
      <c r="C712" s="5" t="s">
        <v>177</v>
      </c>
      <c r="D712" s="35">
        <v>2022</v>
      </c>
      <c r="E712" t="s">
        <v>417</v>
      </c>
      <c r="F712" t="s">
        <v>482</v>
      </c>
      <c r="G712" t="s">
        <v>257</v>
      </c>
      <c r="H712" s="24" t="s">
        <v>976</v>
      </c>
      <c r="I712">
        <v>1</v>
      </c>
      <c r="J712" s="46">
        <v>1450</v>
      </c>
      <c r="K712" s="50" t="s">
        <v>397</v>
      </c>
      <c r="L712" s="46">
        <v>1450</v>
      </c>
      <c r="M712" s="46"/>
    </row>
    <row r="713" spans="2:13" ht="15" customHeight="1" x14ac:dyDescent="0.25">
      <c r="B713" s="5">
        <v>44609</v>
      </c>
      <c r="C713" s="5" t="s">
        <v>177</v>
      </c>
      <c r="D713" s="35">
        <v>2022</v>
      </c>
      <c r="E713" t="s">
        <v>417</v>
      </c>
      <c r="F713" t="s">
        <v>483</v>
      </c>
      <c r="G713" t="s">
        <v>120</v>
      </c>
      <c r="H713" s="24" t="s">
        <v>968</v>
      </c>
      <c r="I713">
        <v>1</v>
      </c>
      <c r="J713" s="46">
        <v>4400</v>
      </c>
      <c r="K713" s="50" t="s">
        <v>397</v>
      </c>
      <c r="L713" s="46">
        <v>4400</v>
      </c>
      <c r="M713" s="46"/>
    </row>
    <row r="714" spans="2:13" ht="15" customHeight="1" x14ac:dyDescent="0.25">
      <c r="B714" s="5">
        <v>44609</v>
      </c>
      <c r="C714" s="5" t="s">
        <v>177</v>
      </c>
      <c r="D714" s="35">
        <v>2022</v>
      </c>
      <c r="E714" t="s">
        <v>417</v>
      </c>
      <c r="F714" t="s">
        <v>483</v>
      </c>
      <c r="G714" t="s">
        <v>485</v>
      </c>
      <c r="H714" s="92" t="s">
        <v>967</v>
      </c>
      <c r="I714">
        <v>1</v>
      </c>
      <c r="J714" s="46">
        <v>2300</v>
      </c>
      <c r="K714" s="50" t="s">
        <v>397</v>
      </c>
      <c r="L714" s="46">
        <v>2300</v>
      </c>
      <c r="M714" s="46"/>
    </row>
    <row r="715" spans="2:13" ht="15" customHeight="1" x14ac:dyDescent="0.25">
      <c r="B715" s="5">
        <v>44609</v>
      </c>
      <c r="C715" s="5" t="s">
        <v>177</v>
      </c>
      <c r="D715" s="35">
        <v>2022</v>
      </c>
      <c r="E715" t="s">
        <v>417</v>
      </c>
      <c r="F715" t="s">
        <v>484</v>
      </c>
      <c r="G715" t="s">
        <v>192</v>
      </c>
      <c r="H715" s="24" t="s">
        <v>976</v>
      </c>
      <c r="I715">
        <v>1</v>
      </c>
      <c r="J715" s="46">
        <v>1395</v>
      </c>
      <c r="K715" s="50" t="s">
        <v>397</v>
      </c>
      <c r="L715" s="46">
        <v>1395</v>
      </c>
      <c r="M715" s="46"/>
    </row>
    <row r="716" spans="2:13" ht="15" customHeight="1" x14ac:dyDescent="0.25">
      <c r="B716" s="5">
        <v>44609</v>
      </c>
      <c r="C716" s="5" t="s">
        <v>177</v>
      </c>
      <c r="D716" s="35">
        <v>2022</v>
      </c>
      <c r="E716" t="s">
        <v>445</v>
      </c>
      <c r="F716" t="s">
        <v>210</v>
      </c>
      <c r="G716" t="s">
        <v>50</v>
      </c>
      <c r="H716" s="92" t="s">
        <v>969</v>
      </c>
      <c r="I716">
        <v>1</v>
      </c>
      <c r="J716" s="46">
        <v>2530</v>
      </c>
      <c r="K716" s="50" t="s">
        <v>397</v>
      </c>
      <c r="L716" s="46">
        <v>2530</v>
      </c>
      <c r="M716" s="46"/>
    </row>
    <row r="717" spans="2:13" ht="15" customHeight="1" x14ac:dyDescent="0.25">
      <c r="B717" s="5">
        <v>44609</v>
      </c>
      <c r="C717" s="5" t="s">
        <v>177</v>
      </c>
      <c r="D717" s="35">
        <v>2022</v>
      </c>
      <c r="E717" t="s">
        <v>445</v>
      </c>
      <c r="F717" t="s">
        <v>211</v>
      </c>
      <c r="G717" t="s">
        <v>50</v>
      </c>
      <c r="H717" s="92" t="s">
        <v>969</v>
      </c>
      <c r="I717">
        <v>1</v>
      </c>
      <c r="J717" s="46">
        <v>2530</v>
      </c>
      <c r="K717" s="50" t="s">
        <v>397</v>
      </c>
      <c r="L717" s="46">
        <v>2530</v>
      </c>
      <c r="M717" s="46"/>
    </row>
    <row r="718" spans="2:13" ht="15" customHeight="1" x14ac:dyDescent="0.25">
      <c r="B718" s="5">
        <v>44609</v>
      </c>
      <c r="C718" s="5" t="s">
        <v>177</v>
      </c>
      <c r="D718" s="35">
        <v>2022</v>
      </c>
      <c r="E718" t="s">
        <v>445</v>
      </c>
      <c r="F718" t="s">
        <v>211</v>
      </c>
      <c r="G718" t="s">
        <v>58</v>
      </c>
      <c r="H718" s="92" t="s">
        <v>969</v>
      </c>
      <c r="I718">
        <v>1</v>
      </c>
      <c r="J718" s="46">
        <v>2530</v>
      </c>
      <c r="K718" s="50" t="s">
        <v>397</v>
      </c>
      <c r="L718" s="46">
        <v>2530</v>
      </c>
      <c r="M718" s="46"/>
    </row>
    <row r="719" spans="2:13" ht="15" customHeight="1" x14ac:dyDescent="0.25">
      <c r="B719" s="5">
        <v>44609</v>
      </c>
      <c r="C719" s="5" t="s">
        <v>177</v>
      </c>
      <c r="D719" s="35">
        <v>2022</v>
      </c>
      <c r="E719" t="s">
        <v>445</v>
      </c>
      <c r="F719" t="s">
        <v>486</v>
      </c>
      <c r="G719" t="s">
        <v>283</v>
      </c>
      <c r="H719" s="92" t="s">
        <v>983</v>
      </c>
      <c r="I719">
        <v>1</v>
      </c>
      <c r="J719" s="46">
        <v>505</v>
      </c>
      <c r="K719" s="50" t="s">
        <v>397</v>
      </c>
      <c r="L719" s="46">
        <v>505</v>
      </c>
      <c r="M719" s="46"/>
    </row>
    <row r="720" spans="2:13" ht="15" customHeight="1" x14ac:dyDescent="0.25">
      <c r="B720" s="5">
        <v>44609</v>
      </c>
      <c r="C720" s="5" t="s">
        <v>177</v>
      </c>
      <c r="D720" s="35">
        <v>2022</v>
      </c>
      <c r="E720" t="s">
        <v>445</v>
      </c>
      <c r="F720" t="s">
        <v>487</v>
      </c>
      <c r="G720" t="s">
        <v>124</v>
      </c>
      <c r="H720" s="92" t="s">
        <v>982</v>
      </c>
      <c r="I720">
        <v>1</v>
      </c>
      <c r="J720" s="46">
        <v>625</v>
      </c>
      <c r="K720" s="50" t="s">
        <v>397</v>
      </c>
      <c r="L720" s="46">
        <v>625</v>
      </c>
      <c r="M720" s="46"/>
    </row>
    <row r="721" spans="2:13" ht="15" customHeight="1" x14ac:dyDescent="0.25">
      <c r="B721" s="5">
        <v>44609</v>
      </c>
      <c r="C721" s="5" t="s">
        <v>177</v>
      </c>
      <c r="D721" s="35">
        <v>2022</v>
      </c>
      <c r="E721" t="s">
        <v>445</v>
      </c>
      <c r="F721" t="s">
        <v>217</v>
      </c>
      <c r="G721" t="s">
        <v>321</v>
      </c>
      <c r="H721" s="92" t="s">
        <v>967</v>
      </c>
      <c r="I721">
        <v>1</v>
      </c>
      <c r="J721" s="46">
        <v>2300</v>
      </c>
      <c r="K721" s="50" t="s">
        <v>397</v>
      </c>
      <c r="L721" s="46">
        <v>2300</v>
      </c>
      <c r="M721" s="46"/>
    </row>
    <row r="722" spans="2:13" ht="15" customHeight="1" x14ac:dyDescent="0.25">
      <c r="B722" s="5">
        <v>44609</v>
      </c>
      <c r="C722" s="5" t="s">
        <v>177</v>
      </c>
      <c r="D722" s="35">
        <v>2022</v>
      </c>
      <c r="E722" t="s">
        <v>445</v>
      </c>
      <c r="F722" t="s">
        <v>444</v>
      </c>
      <c r="G722" t="s">
        <v>192</v>
      </c>
      <c r="H722" s="24" t="s">
        <v>976</v>
      </c>
      <c r="I722">
        <v>1</v>
      </c>
      <c r="J722" s="46">
        <v>1395</v>
      </c>
      <c r="K722" s="50" t="s">
        <v>397</v>
      </c>
      <c r="L722" s="46">
        <v>1395</v>
      </c>
      <c r="M722" s="46"/>
    </row>
    <row r="723" spans="2:13" ht="15" customHeight="1" x14ac:dyDescent="0.25">
      <c r="B723" s="5">
        <v>44609</v>
      </c>
      <c r="C723" s="5" t="s">
        <v>177</v>
      </c>
      <c r="D723" s="35">
        <v>2022</v>
      </c>
      <c r="E723" t="s">
        <v>445</v>
      </c>
      <c r="F723" t="s">
        <v>444</v>
      </c>
      <c r="G723" t="s">
        <v>413</v>
      </c>
      <c r="H723" s="92" t="s">
        <v>977</v>
      </c>
      <c r="I723">
        <v>1</v>
      </c>
      <c r="J723" s="46">
        <v>560</v>
      </c>
      <c r="K723" s="50" t="s">
        <v>397</v>
      </c>
      <c r="L723" s="46">
        <v>560</v>
      </c>
      <c r="M723" s="46"/>
    </row>
    <row r="724" spans="2:13" ht="15" customHeight="1" x14ac:dyDescent="0.25">
      <c r="B724" s="5">
        <v>44609</v>
      </c>
      <c r="C724" s="5" t="s">
        <v>177</v>
      </c>
      <c r="D724" s="35">
        <v>2022</v>
      </c>
      <c r="E724" t="s">
        <v>16</v>
      </c>
      <c r="F724" t="s">
        <v>488</v>
      </c>
      <c r="G724" t="s">
        <v>120</v>
      </c>
      <c r="H724" s="24" t="s">
        <v>968</v>
      </c>
      <c r="I724">
        <v>1</v>
      </c>
      <c r="J724" s="46">
        <v>4400</v>
      </c>
      <c r="K724" s="50" t="s">
        <v>397</v>
      </c>
      <c r="L724" s="46">
        <v>4400</v>
      </c>
      <c r="M724" s="46"/>
    </row>
    <row r="725" spans="2:13" ht="15" customHeight="1" x14ac:dyDescent="0.25">
      <c r="B725" s="5">
        <v>44610</v>
      </c>
      <c r="C725" s="5" t="s">
        <v>177</v>
      </c>
      <c r="D725" s="35">
        <v>2022</v>
      </c>
      <c r="E725" t="s">
        <v>22</v>
      </c>
      <c r="F725" t="s">
        <v>134</v>
      </c>
      <c r="G725" t="s">
        <v>126</v>
      </c>
      <c r="H725" s="92" t="s">
        <v>965</v>
      </c>
      <c r="I725">
        <v>1</v>
      </c>
      <c r="J725" s="46">
        <v>1410</v>
      </c>
      <c r="K725" s="50" t="s">
        <v>397</v>
      </c>
      <c r="L725" s="46">
        <v>1410</v>
      </c>
      <c r="M725" s="46"/>
    </row>
    <row r="726" spans="2:13" ht="15" customHeight="1" x14ac:dyDescent="0.25">
      <c r="B726" s="5">
        <v>44610</v>
      </c>
      <c r="C726" s="5" t="s">
        <v>177</v>
      </c>
      <c r="D726" s="35">
        <v>2022</v>
      </c>
      <c r="E726" t="s">
        <v>22</v>
      </c>
      <c r="F726" t="s">
        <v>134</v>
      </c>
      <c r="G726" t="s">
        <v>45</v>
      </c>
      <c r="H726" s="92" t="s">
        <v>965</v>
      </c>
      <c r="I726">
        <v>1</v>
      </c>
      <c r="J726" s="46">
        <v>1390</v>
      </c>
      <c r="K726" s="50" t="s">
        <v>397</v>
      </c>
      <c r="L726" s="46">
        <v>1390</v>
      </c>
      <c r="M726" s="46"/>
    </row>
    <row r="727" spans="2:13" ht="15" customHeight="1" x14ac:dyDescent="0.25">
      <c r="B727" s="5">
        <v>44610</v>
      </c>
      <c r="C727" s="5" t="s">
        <v>177</v>
      </c>
      <c r="D727" s="35">
        <v>2022</v>
      </c>
      <c r="E727" t="s">
        <v>22</v>
      </c>
      <c r="F727" t="s">
        <v>135</v>
      </c>
      <c r="G727" t="s">
        <v>49</v>
      </c>
      <c r="H727" s="92" t="s">
        <v>966</v>
      </c>
      <c r="I727">
        <v>6</v>
      </c>
      <c r="J727" s="46">
        <v>10440</v>
      </c>
      <c r="K727" s="50" t="s">
        <v>397</v>
      </c>
      <c r="L727" s="46">
        <v>10440</v>
      </c>
      <c r="M727" s="46"/>
    </row>
    <row r="728" spans="2:13" ht="15" customHeight="1" x14ac:dyDescent="0.25">
      <c r="B728" s="5">
        <v>44610</v>
      </c>
      <c r="C728" s="5" t="s">
        <v>177</v>
      </c>
      <c r="D728" s="35">
        <v>2022</v>
      </c>
      <c r="E728" t="s">
        <v>22</v>
      </c>
      <c r="F728" t="s">
        <v>236</v>
      </c>
      <c r="G728" t="s">
        <v>120</v>
      </c>
      <c r="H728" s="24" t="s">
        <v>968</v>
      </c>
      <c r="I728">
        <v>2</v>
      </c>
      <c r="J728" s="46">
        <v>8800</v>
      </c>
      <c r="K728" s="50" t="s">
        <v>397</v>
      </c>
      <c r="L728" s="46">
        <v>8800</v>
      </c>
      <c r="M728" s="46"/>
    </row>
    <row r="729" spans="2:13" ht="15" customHeight="1" x14ac:dyDescent="0.25">
      <c r="B729" s="5">
        <v>44610</v>
      </c>
      <c r="C729" s="5" t="s">
        <v>177</v>
      </c>
      <c r="D729" s="35">
        <v>2022</v>
      </c>
      <c r="E729" t="s">
        <v>22</v>
      </c>
      <c r="F729" t="s">
        <v>346</v>
      </c>
      <c r="G729" t="s">
        <v>49</v>
      </c>
      <c r="H729" s="92" t="s">
        <v>966</v>
      </c>
      <c r="I729">
        <v>1</v>
      </c>
      <c r="J729" s="46">
        <v>1740</v>
      </c>
      <c r="K729" s="50" t="s">
        <v>397</v>
      </c>
      <c r="L729" s="46">
        <v>1740</v>
      </c>
      <c r="M729" s="46"/>
    </row>
    <row r="730" spans="2:13" ht="15" customHeight="1" x14ac:dyDescent="0.25">
      <c r="B730" s="5">
        <v>44610</v>
      </c>
      <c r="C730" s="5" t="s">
        <v>177</v>
      </c>
      <c r="D730" s="35">
        <v>2022</v>
      </c>
      <c r="E730" t="s">
        <v>22</v>
      </c>
      <c r="F730" t="s">
        <v>346</v>
      </c>
      <c r="G730" t="s">
        <v>122</v>
      </c>
      <c r="H730" s="92" t="s">
        <v>973</v>
      </c>
      <c r="I730">
        <v>3</v>
      </c>
      <c r="J730" s="46">
        <v>780</v>
      </c>
      <c r="K730" s="50" t="s">
        <v>397</v>
      </c>
      <c r="L730" s="46">
        <v>780</v>
      </c>
      <c r="M730" s="46"/>
    </row>
    <row r="731" spans="2:13" ht="15" customHeight="1" x14ac:dyDescent="0.25">
      <c r="B731" s="5">
        <v>44610</v>
      </c>
      <c r="C731" s="5" t="s">
        <v>177</v>
      </c>
      <c r="D731" s="35">
        <v>2022</v>
      </c>
      <c r="E731" t="s">
        <v>22</v>
      </c>
      <c r="F731" t="s">
        <v>346</v>
      </c>
      <c r="G731" t="s">
        <v>50</v>
      </c>
      <c r="H731" s="92" t="s">
        <v>969</v>
      </c>
      <c r="I731">
        <v>1</v>
      </c>
      <c r="J731" s="46">
        <v>2530</v>
      </c>
      <c r="K731" s="50" t="s">
        <v>397</v>
      </c>
      <c r="L731" s="46">
        <v>2530</v>
      </c>
      <c r="M731" s="46"/>
    </row>
    <row r="732" spans="2:13" ht="15" customHeight="1" x14ac:dyDescent="0.25">
      <c r="B732" s="5">
        <v>44610</v>
      </c>
      <c r="C732" s="5" t="s">
        <v>177</v>
      </c>
      <c r="D732" s="35">
        <v>2022</v>
      </c>
      <c r="E732" t="s">
        <v>22</v>
      </c>
      <c r="F732" t="s">
        <v>346</v>
      </c>
      <c r="G732" t="s">
        <v>124</v>
      </c>
      <c r="H732" s="92" t="s">
        <v>982</v>
      </c>
      <c r="I732">
        <v>1</v>
      </c>
      <c r="J732" s="46">
        <v>625</v>
      </c>
      <c r="K732" s="50" t="s">
        <v>397</v>
      </c>
      <c r="L732" s="46">
        <v>625</v>
      </c>
      <c r="M732" s="46"/>
    </row>
    <row r="733" spans="2:13" ht="15" customHeight="1" x14ac:dyDescent="0.25">
      <c r="B733" s="5">
        <v>44610</v>
      </c>
      <c r="C733" s="5" t="s">
        <v>177</v>
      </c>
      <c r="D733" s="35">
        <v>2022</v>
      </c>
      <c r="E733" t="s">
        <v>22</v>
      </c>
      <c r="F733" t="s">
        <v>237</v>
      </c>
      <c r="G733" t="s">
        <v>321</v>
      </c>
      <c r="H733" s="92" t="s">
        <v>967</v>
      </c>
      <c r="I733">
        <v>1</v>
      </c>
      <c r="J733" s="46">
        <v>2350</v>
      </c>
      <c r="K733" s="50" t="s">
        <v>397</v>
      </c>
      <c r="L733" s="46">
        <v>2350</v>
      </c>
      <c r="M733" s="46"/>
    </row>
    <row r="734" spans="2:13" ht="15" customHeight="1" x14ac:dyDescent="0.25">
      <c r="B734" s="5">
        <v>44610</v>
      </c>
      <c r="C734" s="5" t="s">
        <v>177</v>
      </c>
      <c r="D734" s="35">
        <v>2022</v>
      </c>
      <c r="E734" t="s">
        <v>22</v>
      </c>
      <c r="F734" t="s">
        <v>411</v>
      </c>
      <c r="G734" t="s">
        <v>321</v>
      </c>
      <c r="H734" s="92" t="s">
        <v>967</v>
      </c>
      <c r="I734">
        <v>2</v>
      </c>
      <c r="J734" s="46">
        <v>4700</v>
      </c>
      <c r="K734" s="50" t="s">
        <v>397</v>
      </c>
      <c r="L734" s="46">
        <v>4700</v>
      </c>
      <c r="M734" s="46"/>
    </row>
    <row r="735" spans="2:13" ht="15" customHeight="1" x14ac:dyDescent="0.25">
      <c r="B735" s="5">
        <v>44610</v>
      </c>
      <c r="C735" s="5" t="s">
        <v>177</v>
      </c>
      <c r="D735" s="35">
        <v>2022</v>
      </c>
      <c r="E735" t="s">
        <v>22</v>
      </c>
      <c r="F735" t="s">
        <v>93</v>
      </c>
      <c r="G735" t="s">
        <v>249</v>
      </c>
      <c r="H735" s="92" t="s">
        <v>972</v>
      </c>
      <c r="I735">
        <v>1</v>
      </c>
      <c r="J735" s="46">
        <v>1080</v>
      </c>
      <c r="K735" s="50" t="s">
        <v>397</v>
      </c>
      <c r="L735" s="46">
        <v>1080</v>
      </c>
      <c r="M735" s="46"/>
    </row>
    <row r="736" spans="2:13" ht="15" customHeight="1" x14ac:dyDescent="0.25">
      <c r="B736" s="5">
        <v>44610</v>
      </c>
      <c r="C736" s="5" t="s">
        <v>177</v>
      </c>
      <c r="D736" s="35">
        <v>2022</v>
      </c>
      <c r="E736" t="s">
        <v>22</v>
      </c>
      <c r="F736" t="s">
        <v>131</v>
      </c>
      <c r="G736" t="s">
        <v>125</v>
      </c>
      <c r="H736" s="92" t="s">
        <v>971</v>
      </c>
      <c r="I736">
        <v>1</v>
      </c>
      <c r="J736" s="46">
        <v>510</v>
      </c>
      <c r="K736" s="50" t="s">
        <v>397</v>
      </c>
      <c r="L736" s="46">
        <v>510</v>
      </c>
      <c r="M736" s="46"/>
    </row>
    <row r="737" spans="2:15" ht="15" customHeight="1" x14ac:dyDescent="0.25">
      <c r="B737" s="5">
        <v>44610</v>
      </c>
      <c r="C737" s="5" t="s">
        <v>177</v>
      </c>
      <c r="D737" s="35">
        <v>2022</v>
      </c>
      <c r="E737" t="s">
        <v>22</v>
      </c>
      <c r="F737" t="s">
        <v>131</v>
      </c>
      <c r="G737" t="s">
        <v>120</v>
      </c>
      <c r="H737" s="24" t="s">
        <v>968</v>
      </c>
      <c r="I737">
        <v>1</v>
      </c>
      <c r="J737" s="46">
        <v>4400</v>
      </c>
      <c r="K737" s="50" t="s">
        <v>397</v>
      </c>
      <c r="L737" s="46">
        <v>4400</v>
      </c>
      <c r="M737" s="46"/>
    </row>
    <row r="738" spans="2:15" ht="15" customHeight="1" x14ac:dyDescent="0.25">
      <c r="B738" s="5">
        <v>44610</v>
      </c>
      <c r="C738" s="5" t="s">
        <v>177</v>
      </c>
      <c r="D738" s="35">
        <v>2022</v>
      </c>
      <c r="E738" t="s">
        <v>22</v>
      </c>
      <c r="F738" t="s">
        <v>131</v>
      </c>
      <c r="G738" t="s">
        <v>323</v>
      </c>
      <c r="H738" s="92" t="s">
        <v>981</v>
      </c>
      <c r="I738">
        <v>2</v>
      </c>
      <c r="J738" s="46">
        <v>620</v>
      </c>
      <c r="K738" s="50" t="s">
        <v>397</v>
      </c>
      <c r="L738" s="46">
        <v>620</v>
      </c>
      <c r="M738" s="46"/>
    </row>
    <row r="739" spans="2:15" ht="15" customHeight="1" x14ac:dyDescent="0.25">
      <c r="B739" s="5">
        <v>44610</v>
      </c>
      <c r="C739" s="5" t="s">
        <v>177</v>
      </c>
      <c r="D739" s="35">
        <v>2022</v>
      </c>
      <c r="E739" t="s">
        <v>22</v>
      </c>
      <c r="F739" t="s">
        <v>500</v>
      </c>
      <c r="G739" t="s">
        <v>58</v>
      </c>
      <c r="H739" s="92" t="s">
        <v>969</v>
      </c>
      <c r="I739">
        <v>1</v>
      </c>
      <c r="J739" s="46">
        <v>2530</v>
      </c>
      <c r="K739" s="50" t="s">
        <v>397</v>
      </c>
      <c r="L739" s="46">
        <v>2530</v>
      </c>
      <c r="M739" s="46"/>
    </row>
    <row r="740" spans="2:15" ht="15" customHeight="1" x14ac:dyDescent="0.25">
      <c r="B740" s="5">
        <v>44610</v>
      </c>
      <c r="C740" s="5" t="s">
        <v>177</v>
      </c>
      <c r="D740" s="35">
        <v>2022</v>
      </c>
      <c r="E740" t="s">
        <v>22</v>
      </c>
      <c r="F740" t="s">
        <v>501</v>
      </c>
      <c r="G740" t="s">
        <v>192</v>
      </c>
      <c r="H740" s="24" t="s">
        <v>976</v>
      </c>
      <c r="I740">
        <v>1</v>
      </c>
      <c r="J740" s="46">
        <v>1395</v>
      </c>
      <c r="K740" s="50" t="s">
        <v>397</v>
      </c>
      <c r="L740" s="46">
        <v>1395</v>
      </c>
      <c r="M740" s="46"/>
    </row>
    <row r="741" spans="2:15" ht="15" customHeight="1" x14ac:dyDescent="0.25">
      <c r="B741" s="5">
        <v>44610</v>
      </c>
      <c r="C741" s="5" t="s">
        <v>177</v>
      </c>
      <c r="D741" s="35">
        <v>2022</v>
      </c>
      <c r="E741" t="s">
        <v>22</v>
      </c>
      <c r="F741" t="s">
        <v>239</v>
      </c>
      <c r="G741" t="s">
        <v>249</v>
      </c>
      <c r="H741" s="92" t="s">
        <v>972</v>
      </c>
      <c r="I741">
        <v>1</v>
      </c>
      <c r="J741" s="46">
        <v>1080</v>
      </c>
      <c r="K741" s="50" t="s">
        <v>397</v>
      </c>
      <c r="L741" s="46">
        <v>1080</v>
      </c>
      <c r="M741" s="46"/>
    </row>
    <row r="742" spans="2:15" ht="15" customHeight="1" x14ac:dyDescent="0.25">
      <c r="B742" s="5">
        <v>44610</v>
      </c>
      <c r="C742" s="5" t="s">
        <v>177</v>
      </c>
      <c r="D742" s="35">
        <v>2022</v>
      </c>
      <c r="E742" t="s">
        <v>22</v>
      </c>
      <c r="F742" t="s">
        <v>502</v>
      </c>
      <c r="G742" t="s">
        <v>58</v>
      </c>
      <c r="H742" s="92" t="s">
        <v>969</v>
      </c>
      <c r="I742">
        <v>1</v>
      </c>
      <c r="J742" s="46">
        <v>2530</v>
      </c>
      <c r="K742" s="50" t="s">
        <v>397</v>
      </c>
      <c r="L742" s="46">
        <v>2530</v>
      </c>
      <c r="M742" s="46"/>
    </row>
    <row r="743" spans="2:15" ht="15" customHeight="1" x14ac:dyDescent="0.25">
      <c r="B743" s="5">
        <v>44610</v>
      </c>
      <c r="C743" s="5" t="s">
        <v>177</v>
      </c>
      <c r="D743" s="35">
        <v>2022</v>
      </c>
      <c r="E743" t="s">
        <v>22</v>
      </c>
      <c r="F743" t="s">
        <v>502</v>
      </c>
      <c r="G743" t="s">
        <v>50</v>
      </c>
      <c r="H743" s="92" t="s">
        <v>969</v>
      </c>
      <c r="I743">
        <v>1</v>
      </c>
      <c r="J743" s="46">
        <v>2530</v>
      </c>
      <c r="K743" s="50" t="s">
        <v>397</v>
      </c>
      <c r="L743" s="46">
        <v>2530</v>
      </c>
      <c r="M743" s="46"/>
    </row>
    <row r="744" spans="2:15" ht="15" customHeight="1" x14ac:dyDescent="0.25">
      <c r="B744" s="5">
        <v>44610</v>
      </c>
      <c r="C744" s="5" t="s">
        <v>177</v>
      </c>
      <c r="D744" s="35">
        <v>2022</v>
      </c>
      <c r="E744" t="s">
        <v>356</v>
      </c>
      <c r="F744" t="s">
        <v>503</v>
      </c>
      <c r="G744" t="s">
        <v>120</v>
      </c>
      <c r="H744" s="24" t="s">
        <v>968</v>
      </c>
      <c r="I744">
        <v>5</v>
      </c>
      <c r="J744" s="46">
        <v>22000</v>
      </c>
      <c r="K744" s="50" t="s">
        <v>397</v>
      </c>
      <c r="L744" s="46">
        <v>22000</v>
      </c>
      <c r="M744" s="46"/>
    </row>
    <row r="745" spans="2:15" ht="15" customHeight="1" x14ac:dyDescent="0.25">
      <c r="B745" s="5">
        <v>44610</v>
      </c>
      <c r="C745" s="5" t="s">
        <v>177</v>
      </c>
      <c r="D745" s="35">
        <v>2022</v>
      </c>
      <c r="E745" t="s">
        <v>356</v>
      </c>
      <c r="F745" t="s">
        <v>241</v>
      </c>
      <c r="G745" t="s">
        <v>49</v>
      </c>
      <c r="H745" s="92" t="s">
        <v>966</v>
      </c>
      <c r="I745">
        <v>10</v>
      </c>
      <c r="J745" s="46">
        <v>17400</v>
      </c>
      <c r="K745" s="50" t="s">
        <v>397</v>
      </c>
      <c r="L745" s="46">
        <v>17400</v>
      </c>
      <c r="M745" s="46"/>
    </row>
    <row r="746" spans="2:15" ht="15" customHeight="1" x14ac:dyDescent="0.25">
      <c r="B746" s="5">
        <v>44610</v>
      </c>
      <c r="C746" s="5" t="s">
        <v>177</v>
      </c>
      <c r="D746" s="35">
        <v>2022</v>
      </c>
      <c r="E746" t="s">
        <v>356</v>
      </c>
      <c r="F746" t="s">
        <v>504</v>
      </c>
      <c r="G746" t="s">
        <v>45</v>
      </c>
      <c r="H746" s="92" t="s">
        <v>965</v>
      </c>
      <c r="I746">
        <v>2</v>
      </c>
      <c r="J746" s="46">
        <v>2780</v>
      </c>
      <c r="K746" s="50" t="s">
        <v>397</v>
      </c>
      <c r="L746" s="46">
        <v>2780</v>
      </c>
      <c r="M746" s="46"/>
    </row>
    <row r="747" spans="2:15" ht="15" customHeight="1" x14ac:dyDescent="0.25">
      <c r="B747" s="5">
        <v>44610</v>
      </c>
      <c r="C747" s="5" t="s">
        <v>177</v>
      </c>
      <c r="D747" s="35">
        <v>2022</v>
      </c>
      <c r="E747" t="s">
        <v>356</v>
      </c>
      <c r="F747" t="s">
        <v>137</v>
      </c>
      <c r="G747" t="s">
        <v>123</v>
      </c>
      <c r="H747" s="92" t="s">
        <v>966</v>
      </c>
      <c r="I747">
        <v>1</v>
      </c>
      <c r="J747" s="46">
        <v>1750</v>
      </c>
      <c r="K747" s="50" t="s">
        <v>397</v>
      </c>
      <c r="L747" s="46">
        <v>1750</v>
      </c>
      <c r="M747" s="46"/>
    </row>
    <row r="748" spans="2:15" ht="15" customHeight="1" x14ac:dyDescent="0.25">
      <c r="B748" s="5">
        <v>44610</v>
      </c>
      <c r="C748" s="5" t="s">
        <v>177</v>
      </c>
      <c r="D748" s="35">
        <v>2022</v>
      </c>
      <c r="E748" t="s">
        <v>356</v>
      </c>
      <c r="G748" t="s">
        <v>123</v>
      </c>
      <c r="H748" s="92" t="s">
        <v>966</v>
      </c>
      <c r="I748">
        <v>1</v>
      </c>
      <c r="J748" s="46">
        <v>1750</v>
      </c>
      <c r="K748" s="50" t="s">
        <v>397</v>
      </c>
      <c r="L748" s="46">
        <v>2350</v>
      </c>
      <c r="M748" s="46"/>
    </row>
    <row r="749" spans="2:15" ht="15" customHeight="1" x14ac:dyDescent="0.25">
      <c r="B749" s="5">
        <v>44610</v>
      </c>
      <c r="C749" s="5" t="s">
        <v>177</v>
      </c>
      <c r="D749" s="35">
        <v>2022</v>
      </c>
      <c r="E749" t="s">
        <v>356</v>
      </c>
      <c r="G749" t="s">
        <v>249</v>
      </c>
      <c r="H749" s="92" t="s">
        <v>972</v>
      </c>
      <c r="I749">
        <v>1</v>
      </c>
      <c r="J749" s="46">
        <v>1080</v>
      </c>
      <c r="K749" s="50" t="s">
        <v>397</v>
      </c>
      <c r="L749" s="46">
        <v>1740</v>
      </c>
      <c r="M749" s="46"/>
    </row>
    <row r="750" spans="2:15" ht="15" customHeight="1" x14ac:dyDescent="0.25">
      <c r="B750" s="5">
        <v>44610</v>
      </c>
      <c r="C750" s="5" t="s">
        <v>177</v>
      </c>
      <c r="D750" s="35">
        <v>2022</v>
      </c>
      <c r="E750" t="s">
        <v>356</v>
      </c>
      <c r="G750" t="s">
        <v>321</v>
      </c>
      <c r="H750" s="92" t="s">
        <v>967</v>
      </c>
      <c r="I750">
        <v>1</v>
      </c>
      <c r="J750" s="46">
        <v>2350</v>
      </c>
      <c r="K750" s="50" t="s">
        <v>397</v>
      </c>
      <c r="L750" s="46">
        <v>1080</v>
      </c>
      <c r="M750" s="46"/>
    </row>
    <row r="751" spans="2:15" ht="15" customHeight="1" x14ac:dyDescent="0.25">
      <c r="B751" s="5">
        <v>44610</v>
      </c>
      <c r="C751" s="5" t="s">
        <v>177</v>
      </c>
      <c r="D751" s="35">
        <v>2022</v>
      </c>
      <c r="E751" t="s">
        <v>458</v>
      </c>
      <c r="F751" t="s">
        <v>243</v>
      </c>
      <c r="G751" t="s">
        <v>249</v>
      </c>
      <c r="H751" s="92" t="s">
        <v>972</v>
      </c>
      <c r="I751">
        <v>1</v>
      </c>
      <c r="J751" s="46">
        <v>1080</v>
      </c>
      <c r="K751" s="50" t="s">
        <v>397</v>
      </c>
      <c r="L751" s="46">
        <v>1080</v>
      </c>
      <c r="M751" s="46"/>
      <c r="N751" s="23"/>
    </row>
    <row r="752" spans="2:15" ht="15" customHeight="1" x14ac:dyDescent="0.25">
      <c r="B752" s="5">
        <v>44610</v>
      </c>
      <c r="C752" s="5" t="s">
        <v>177</v>
      </c>
      <c r="D752" s="35">
        <v>2022</v>
      </c>
      <c r="E752" t="s">
        <v>458</v>
      </c>
      <c r="F752" t="s">
        <v>505</v>
      </c>
      <c r="G752" t="s">
        <v>364</v>
      </c>
      <c r="H752" s="92" t="s">
        <v>972</v>
      </c>
      <c r="I752">
        <v>1</v>
      </c>
      <c r="J752" s="46">
        <v>600</v>
      </c>
      <c r="K752" s="50" t="s">
        <v>397</v>
      </c>
      <c r="L752" s="46"/>
      <c r="M752" s="46"/>
      <c r="N752" s="109"/>
      <c r="O752" t="s">
        <v>571</v>
      </c>
    </row>
    <row r="753" spans="2:14" ht="15" customHeight="1" x14ac:dyDescent="0.25">
      <c r="B753" s="5">
        <v>44610</v>
      </c>
      <c r="C753" s="5" t="s">
        <v>177</v>
      </c>
      <c r="D753" s="35">
        <v>2022</v>
      </c>
      <c r="E753" t="s">
        <v>458</v>
      </c>
      <c r="F753" t="s">
        <v>318</v>
      </c>
      <c r="G753" t="s">
        <v>269</v>
      </c>
      <c r="H753" s="92" t="s">
        <v>983</v>
      </c>
      <c r="I753">
        <v>1</v>
      </c>
      <c r="J753" s="46">
        <v>290</v>
      </c>
      <c r="K753" s="50" t="s">
        <v>397</v>
      </c>
      <c r="L753" s="46">
        <v>290</v>
      </c>
      <c r="M753" s="46"/>
      <c r="N753" s="23"/>
    </row>
    <row r="754" spans="2:14" ht="15" customHeight="1" x14ac:dyDescent="0.25">
      <c r="B754" s="5">
        <v>44610</v>
      </c>
      <c r="C754" s="5" t="s">
        <v>177</v>
      </c>
      <c r="D754" s="35">
        <v>2022</v>
      </c>
      <c r="E754" t="s">
        <v>458</v>
      </c>
      <c r="F754" t="s">
        <v>318</v>
      </c>
      <c r="G754" t="s">
        <v>45</v>
      </c>
      <c r="H754" s="92" t="s">
        <v>965</v>
      </c>
      <c r="I754">
        <v>1</v>
      </c>
      <c r="J754" s="46">
        <v>1390</v>
      </c>
      <c r="K754" s="50" t="s">
        <v>397</v>
      </c>
      <c r="L754" s="46">
        <v>1390</v>
      </c>
      <c r="M754" s="46"/>
      <c r="N754" s="23"/>
    </row>
    <row r="755" spans="2:14" ht="15" customHeight="1" x14ac:dyDescent="0.25">
      <c r="B755" s="5">
        <v>44610</v>
      </c>
      <c r="C755" s="5" t="s">
        <v>177</v>
      </c>
      <c r="D755" s="35">
        <v>2022</v>
      </c>
      <c r="E755" t="s">
        <v>458</v>
      </c>
      <c r="F755" t="s">
        <v>318</v>
      </c>
      <c r="G755" t="s">
        <v>413</v>
      </c>
      <c r="H755" s="92" t="s">
        <v>977</v>
      </c>
      <c r="I755">
        <v>1</v>
      </c>
      <c r="J755" s="46">
        <v>560</v>
      </c>
      <c r="K755" s="50" t="s">
        <v>397</v>
      </c>
      <c r="L755" s="46">
        <v>560</v>
      </c>
      <c r="M755" s="46"/>
      <c r="N755" s="23"/>
    </row>
    <row r="756" spans="2:14" ht="15" customHeight="1" x14ac:dyDescent="0.25">
      <c r="B756" s="5">
        <v>44610</v>
      </c>
      <c r="C756" s="5" t="s">
        <v>177</v>
      </c>
      <c r="D756" s="35">
        <v>2022</v>
      </c>
      <c r="E756" t="s">
        <v>458</v>
      </c>
      <c r="F756" t="s">
        <v>198</v>
      </c>
      <c r="G756" t="s">
        <v>122</v>
      </c>
      <c r="H756" s="92" t="s">
        <v>973</v>
      </c>
      <c r="I756">
        <v>1</v>
      </c>
      <c r="J756" s="46">
        <v>260</v>
      </c>
      <c r="K756" s="50" t="s">
        <v>397</v>
      </c>
      <c r="L756" s="46">
        <v>260</v>
      </c>
      <c r="M756" s="46"/>
      <c r="N756" s="23"/>
    </row>
    <row r="757" spans="2:14" ht="15" customHeight="1" x14ac:dyDescent="0.25">
      <c r="B757" s="5">
        <v>44610</v>
      </c>
      <c r="C757" s="5" t="s">
        <v>177</v>
      </c>
      <c r="D757" s="35">
        <v>2022</v>
      </c>
      <c r="E757" t="s">
        <v>458</v>
      </c>
      <c r="F757" t="s">
        <v>198</v>
      </c>
      <c r="G757" t="s">
        <v>192</v>
      </c>
      <c r="H757" s="24" t="s">
        <v>976</v>
      </c>
      <c r="I757">
        <v>1</v>
      </c>
      <c r="J757" s="46">
        <v>1395</v>
      </c>
      <c r="K757" s="50" t="s">
        <v>397</v>
      </c>
      <c r="L757" s="46">
        <v>1395</v>
      </c>
      <c r="M757" s="46"/>
      <c r="N757" s="23"/>
    </row>
    <row r="758" spans="2:14" ht="15" customHeight="1" x14ac:dyDescent="0.25">
      <c r="B758" s="5">
        <v>44610</v>
      </c>
      <c r="C758" s="5" t="s">
        <v>177</v>
      </c>
      <c r="D758" s="35">
        <v>2022</v>
      </c>
      <c r="E758" t="s">
        <v>458</v>
      </c>
      <c r="F758" t="s">
        <v>1123</v>
      </c>
      <c r="G758" t="s">
        <v>120</v>
      </c>
      <c r="H758" s="24" t="s">
        <v>968</v>
      </c>
      <c r="I758">
        <v>1</v>
      </c>
      <c r="J758" s="46">
        <v>4400</v>
      </c>
      <c r="K758" s="50" t="s">
        <v>397</v>
      </c>
      <c r="L758" s="46">
        <v>4400</v>
      </c>
      <c r="M758" s="46"/>
      <c r="N758" s="23"/>
    </row>
    <row r="759" spans="2:14" ht="15" customHeight="1" x14ac:dyDescent="0.25">
      <c r="B759" s="5">
        <v>44610</v>
      </c>
      <c r="C759" s="5" t="s">
        <v>177</v>
      </c>
      <c r="D759" s="35">
        <v>2022</v>
      </c>
      <c r="E759" t="s">
        <v>458</v>
      </c>
      <c r="F759" t="s">
        <v>384</v>
      </c>
      <c r="G759" t="s">
        <v>192</v>
      </c>
      <c r="H759" s="24" t="s">
        <v>976</v>
      </c>
      <c r="I759">
        <v>1</v>
      </c>
      <c r="J759" s="46">
        <v>1395</v>
      </c>
      <c r="K759" s="50" t="s">
        <v>397</v>
      </c>
      <c r="L759" s="46">
        <v>1395</v>
      </c>
      <c r="M759" s="46"/>
      <c r="N759" s="23"/>
    </row>
    <row r="760" spans="2:14" ht="15" customHeight="1" x14ac:dyDescent="0.25">
      <c r="B760" s="5">
        <v>44610</v>
      </c>
      <c r="C760" s="5" t="s">
        <v>177</v>
      </c>
      <c r="D760" s="35">
        <v>2022</v>
      </c>
      <c r="E760" t="s">
        <v>458</v>
      </c>
      <c r="F760" t="s">
        <v>385</v>
      </c>
      <c r="G760" t="s">
        <v>413</v>
      </c>
      <c r="H760" s="92" t="s">
        <v>977</v>
      </c>
      <c r="I760">
        <v>1</v>
      </c>
      <c r="J760" s="46">
        <v>560</v>
      </c>
      <c r="K760" s="50" t="s">
        <v>397</v>
      </c>
      <c r="L760" s="46">
        <v>560</v>
      </c>
      <c r="M760" s="46"/>
      <c r="N760" s="23"/>
    </row>
    <row r="761" spans="2:14" ht="15" customHeight="1" x14ac:dyDescent="0.25">
      <c r="B761" s="5">
        <v>44610</v>
      </c>
      <c r="C761" s="5" t="s">
        <v>177</v>
      </c>
      <c r="D761" s="35">
        <v>2022</v>
      </c>
      <c r="E761" t="s">
        <v>458</v>
      </c>
      <c r="F761" t="s">
        <v>385</v>
      </c>
      <c r="G761" t="s">
        <v>55</v>
      </c>
      <c r="H761" s="92" t="s">
        <v>965</v>
      </c>
      <c r="I761">
        <v>1</v>
      </c>
      <c r="J761" s="46">
        <v>1390</v>
      </c>
      <c r="K761" s="50" t="s">
        <v>397</v>
      </c>
      <c r="L761" s="46">
        <v>1390</v>
      </c>
      <c r="M761" s="46"/>
      <c r="N761" s="23"/>
    </row>
    <row r="762" spans="2:14" ht="15" customHeight="1" x14ac:dyDescent="0.25">
      <c r="B762" s="5">
        <v>44610</v>
      </c>
      <c r="C762" s="5" t="s">
        <v>177</v>
      </c>
      <c r="D762" s="35">
        <v>2022</v>
      </c>
      <c r="E762" t="s">
        <v>417</v>
      </c>
      <c r="F762" t="s">
        <v>278</v>
      </c>
      <c r="G762" t="s">
        <v>55</v>
      </c>
      <c r="H762" s="92" t="s">
        <v>965</v>
      </c>
      <c r="I762">
        <v>1</v>
      </c>
      <c r="J762" s="46">
        <v>1390</v>
      </c>
      <c r="K762" s="50" t="s">
        <v>397</v>
      </c>
      <c r="L762" s="46">
        <v>1390</v>
      </c>
      <c r="M762" s="46"/>
    </row>
    <row r="763" spans="2:14" ht="15" customHeight="1" x14ac:dyDescent="0.25">
      <c r="B763" s="5">
        <v>44610</v>
      </c>
      <c r="C763" s="5" t="s">
        <v>177</v>
      </c>
      <c r="D763" s="35">
        <v>2022</v>
      </c>
      <c r="E763" t="s">
        <v>417</v>
      </c>
      <c r="F763" t="s">
        <v>278</v>
      </c>
      <c r="G763" t="s">
        <v>123</v>
      </c>
      <c r="H763" s="92" t="s">
        <v>966</v>
      </c>
      <c r="I763">
        <v>1</v>
      </c>
      <c r="J763" s="46">
        <v>1750</v>
      </c>
      <c r="K763" s="50" t="s">
        <v>397</v>
      </c>
      <c r="L763" s="46">
        <v>1750</v>
      </c>
      <c r="M763" s="46"/>
    </row>
    <row r="764" spans="2:14" ht="15" customHeight="1" x14ac:dyDescent="0.25">
      <c r="B764" s="5">
        <v>44610</v>
      </c>
      <c r="C764" s="5" t="s">
        <v>177</v>
      </c>
      <c r="D764" s="35">
        <v>2022</v>
      </c>
      <c r="E764" t="s">
        <v>417</v>
      </c>
      <c r="F764" t="s">
        <v>394</v>
      </c>
      <c r="G764" t="s">
        <v>509</v>
      </c>
      <c r="H764" s="92" t="s">
        <v>977</v>
      </c>
      <c r="I764">
        <v>1</v>
      </c>
      <c r="J764" s="46">
        <v>130</v>
      </c>
      <c r="K764" s="50" t="s">
        <v>397</v>
      </c>
      <c r="L764" s="46">
        <v>130</v>
      </c>
      <c r="M764" s="46"/>
    </row>
    <row r="765" spans="2:14" ht="15" customHeight="1" x14ac:dyDescent="0.25">
      <c r="B765" s="5">
        <v>44610</v>
      </c>
      <c r="C765" s="5" t="s">
        <v>177</v>
      </c>
      <c r="D765" s="35">
        <v>2022</v>
      </c>
      <c r="E765" t="s">
        <v>417</v>
      </c>
      <c r="F765" t="s">
        <v>394</v>
      </c>
      <c r="G765" t="s">
        <v>269</v>
      </c>
      <c r="H765" s="92" t="s">
        <v>983</v>
      </c>
      <c r="I765">
        <v>1</v>
      </c>
      <c r="J765" s="46">
        <v>290</v>
      </c>
      <c r="K765" s="50" t="s">
        <v>397</v>
      </c>
      <c r="L765" s="46">
        <v>290</v>
      </c>
      <c r="M765" s="46"/>
    </row>
    <row r="766" spans="2:14" ht="15" customHeight="1" x14ac:dyDescent="0.25">
      <c r="B766" s="5">
        <v>44610</v>
      </c>
      <c r="C766" s="5" t="s">
        <v>177</v>
      </c>
      <c r="D766" s="35">
        <v>2022</v>
      </c>
      <c r="E766" t="s">
        <v>417</v>
      </c>
      <c r="F766" t="s">
        <v>394</v>
      </c>
      <c r="G766" t="s">
        <v>283</v>
      </c>
      <c r="H766" s="92" t="s">
        <v>983</v>
      </c>
      <c r="I766">
        <v>2</v>
      </c>
      <c r="J766" s="46">
        <v>1010</v>
      </c>
      <c r="K766" s="50" t="s">
        <v>397</v>
      </c>
      <c r="L766" s="46">
        <v>1010</v>
      </c>
      <c r="M766" s="46"/>
    </row>
    <row r="767" spans="2:14" ht="15" customHeight="1" x14ac:dyDescent="0.25">
      <c r="B767" s="5">
        <v>44610</v>
      </c>
      <c r="C767" s="5" t="s">
        <v>177</v>
      </c>
      <c r="D767" s="35">
        <v>2022</v>
      </c>
      <c r="E767" t="s">
        <v>417</v>
      </c>
      <c r="F767" t="s">
        <v>506</v>
      </c>
      <c r="G767" t="s">
        <v>323</v>
      </c>
      <c r="H767" s="92" t="s">
        <v>981</v>
      </c>
      <c r="I767">
        <v>1</v>
      </c>
      <c r="J767" s="46">
        <v>310</v>
      </c>
      <c r="K767" s="50" t="s">
        <v>397</v>
      </c>
      <c r="L767" s="46">
        <v>310</v>
      </c>
      <c r="M767" s="46"/>
    </row>
    <row r="768" spans="2:14" ht="15" customHeight="1" x14ac:dyDescent="0.25">
      <c r="B768" s="5">
        <v>44610</v>
      </c>
      <c r="C768" s="5" t="s">
        <v>177</v>
      </c>
      <c r="D768" s="35">
        <v>2022</v>
      </c>
      <c r="E768" t="s">
        <v>417</v>
      </c>
      <c r="F768" t="s">
        <v>506</v>
      </c>
      <c r="G768" t="s">
        <v>432</v>
      </c>
      <c r="H768" s="24" t="s">
        <v>976</v>
      </c>
      <c r="I768">
        <v>1</v>
      </c>
      <c r="J768" s="46">
        <v>3580</v>
      </c>
      <c r="K768" s="50" t="s">
        <v>397</v>
      </c>
      <c r="L768" s="46">
        <v>3580</v>
      </c>
      <c r="M768" s="46"/>
    </row>
    <row r="769" spans="2:15" ht="15" customHeight="1" x14ac:dyDescent="0.25">
      <c r="B769" s="5">
        <v>44610</v>
      </c>
      <c r="C769" s="5" t="s">
        <v>177</v>
      </c>
      <c r="D769" s="35">
        <v>2022</v>
      </c>
      <c r="E769" t="s">
        <v>417</v>
      </c>
      <c r="F769" t="s">
        <v>507</v>
      </c>
      <c r="G769" t="s">
        <v>485</v>
      </c>
      <c r="H769" s="92" t="s">
        <v>967</v>
      </c>
      <c r="I769">
        <v>2</v>
      </c>
      <c r="J769" s="46">
        <v>4600</v>
      </c>
      <c r="K769" s="50" t="s">
        <v>397</v>
      </c>
      <c r="L769" s="46">
        <v>4600</v>
      </c>
      <c r="M769" s="46"/>
    </row>
    <row r="770" spans="2:15" ht="15" customHeight="1" x14ac:dyDescent="0.25">
      <c r="B770" s="5">
        <v>44610</v>
      </c>
      <c r="C770" s="5" t="s">
        <v>177</v>
      </c>
      <c r="D770" s="35">
        <v>2022</v>
      </c>
      <c r="E770" t="s">
        <v>417</v>
      </c>
      <c r="F770" t="s">
        <v>44</v>
      </c>
      <c r="G770" t="s">
        <v>413</v>
      </c>
      <c r="H770" s="92" t="s">
        <v>977</v>
      </c>
      <c r="I770">
        <v>1</v>
      </c>
      <c r="J770" s="46">
        <v>560</v>
      </c>
      <c r="K770" s="50" t="s">
        <v>397</v>
      </c>
      <c r="L770" s="46">
        <v>560</v>
      </c>
      <c r="M770" s="46"/>
    </row>
    <row r="771" spans="2:15" ht="15" customHeight="1" x14ac:dyDescent="0.25">
      <c r="B771" s="5">
        <v>44610</v>
      </c>
      <c r="C771" s="5" t="s">
        <v>177</v>
      </c>
      <c r="D771" s="35">
        <v>2022</v>
      </c>
      <c r="E771" t="s">
        <v>417</v>
      </c>
      <c r="F771" t="s">
        <v>44</v>
      </c>
      <c r="G771" t="s">
        <v>125</v>
      </c>
      <c r="H771" s="92" t="s">
        <v>971</v>
      </c>
      <c r="I771">
        <v>1</v>
      </c>
      <c r="J771" s="46">
        <v>510</v>
      </c>
      <c r="K771" s="50" t="s">
        <v>397</v>
      </c>
      <c r="L771" s="46">
        <v>510</v>
      </c>
      <c r="M771" s="46"/>
    </row>
    <row r="772" spans="2:15" ht="15" customHeight="1" x14ac:dyDescent="0.25">
      <c r="B772" s="5">
        <v>44610</v>
      </c>
      <c r="C772" s="5" t="s">
        <v>177</v>
      </c>
      <c r="D772" s="35">
        <v>2022</v>
      </c>
      <c r="E772" t="s">
        <v>417</v>
      </c>
      <c r="F772" t="s">
        <v>508</v>
      </c>
      <c r="G772" t="s">
        <v>413</v>
      </c>
      <c r="H772" s="92" t="s">
        <v>977</v>
      </c>
      <c r="I772">
        <v>1</v>
      </c>
      <c r="J772" s="46">
        <v>560</v>
      </c>
      <c r="K772" s="50" t="s">
        <v>397</v>
      </c>
      <c r="L772" s="46">
        <v>560</v>
      </c>
      <c r="M772" s="46"/>
    </row>
    <row r="773" spans="2:15" ht="15" customHeight="1" x14ac:dyDescent="0.25">
      <c r="B773" s="5">
        <v>44610</v>
      </c>
      <c r="C773" s="5" t="s">
        <v>177</v>
      </c>
      <c r="D773" s="35">
        <v>2022</v>
      </c>
      <c r="E773" t="s">
        <v>514</v>
      </c>
      <c r="F773" t="s">
        <v>510</v>
      </c>
      <c r="G773" t="s">
        <v>58</v>
      </c>
      <c r="H773" s="92" t="s">
        <v>969</v>
      </c>
      <c r="I773">
        <v>1</v>
      </c>
      <c r="J773" s="46">
        <v>2530</v>
      </c>
      <c r="K773" s="50" t="s">
        <v>397</v>
      </c>
      <c r="L773" s="46">
        <v>2530</v>
      </c>
      <c r="M773" s="46"/>
    </row>
    <row r="774" spans="2:15" ht="15" customHeight="1" x14ac:dyDescent="0.25">
      <c r="B774" s="5">
        <v>44610</v>
      </c>
      <c r="C774" s="5" t="s">
        <v>177</v>
      </c>
      <c r="D774" s="35">
        <v>2022</v>
      </c>
      <c r="E774" t="s">
        <v>514</v>
      </c>
      <c r="F774" t="s">
        <v>511</v>
      </c>
      <c r="G774" t="s">
        <v>128</v>
      </c>
      <c r="H774" s="92" t="s">
        <v>965</v>
      </c>
      <c r="I774">
        <v>1</v>
      </c>
      <c r="J774" s="46">
        <v>1240</v>
      </c>
      <c r="K774" s="50" t="s">
        <v>397</v>
      </c>
      <c r="L774" s="46">
        <v>1240</v>
      </c>
      <c r="M774" s="46"/>
    </row>
    <row r="775" spans="2:15" ht="15" customHeight="1" x14ac:dyDescent="0.25">
      <c r="B775" s="5">
        <v>44610</v>
      </c>
      <c r="C775" s="5" t="s">
        <v>177</v>
      </c>
      <c r="D775" s="35">
        <v>2022</v>
      </c>
      <c r="E775" t="s">
        <v>514</v>
      </c>
      <c r="F775" t="s">
        <v>512</v>
      </c>
      <c r="G775" t="s">
        <v>55</v>
      </c>
      <c r="H775" s="92" t="s">
        <v>965</v>
      </c>
      <c r="I775">
        <v>1</v>
      </c>
      <c r="J775" s="46">
        <v>1390</v>
      </c>
      <c r="K775" s="50" t="s">
        <v>397</v>
      </c>
      <c r="L775" s="46">
        <v>1390</v>
      </c>
      <c r="M775" s="46"/>
    </row>
    <row r="776" spans="2:15" ht="15" customHeight="1" x14ac:dyDescent="0.25">
      <c r="B776" s="5">
        <v>44610</v>
      </c>
      <c r="C776" s="5" t="s">
        <v>177</v>
      </c>
      <c r="D776" s="35">
        <v>2022</v>
      </c>
      <c r="E776" t="s">
        <v>514</v>
      </c>
      <c r="F776" t="s">
        <v>513</v>
      </c>
      <c r="G776" t="s">
        <v>321</v>
      </c>
      <c r="H776" s="92" t="s">
        <v>967</v>
      </c>
      <c r="I776">
        <v>1</v>
      </c>
      <c r="J776" s="46">
        <v>2350</v>
      </c>
      <c r="K776" s="50" t="s">
        <v>397</v>
      </c>
      <c r="L776" s="46">
        <v>2350</v>
      </c>
      <c r="M776" s="46"/>
    </row>
    <row r="777" spans="2:15" ht="15" customHeight="1" x14ac:dyDescent="0.25">
      <c r="B777" s="5">
        <v>44610</v>
      </c>
      <c r="C777" s="5" t="s">
        <v>177</v>
      </c>
      <c r="D777" s="35">
        <v>2022</v>
      </c>
      <c r="E777" t="s">
        <v>445</v>
      </c>
      <c r="F777" t="s">
        <v>216</v>
      </c>
      <c r="G777" t="s">
        <v>55</v>
      </c>
      <c r="H777" s="92" t="s">
        <v>965</v>
      </c>
      <c r="I777">
        <v>1</v>
      </c>
      <c r="J777" s="46">
        <v>1390</v>
      </c>
      <c r="K777" s="50" t="s">
        <v>397</v>
      </c>
      <c r="L777" s="46">
        <v>1390</v>
      </c>
      <c r="M777" s="46"/>
    </row>
    <row r="778" spans="2:15" ht="15" customHeight="1" x14ac:dyDescent="0.25">
      <c r="B778" s="5">
        <v>44610</v>
      </c>
      <c r="C778" s="5" t="s">
        <v>177</v>
      </c>
      <c r="D778" s="35">
        <v>2022</v>
      </c>
      <c r="E778" t="s">
        <v>445</v>
      </c>
      <c r="F778" t="s">
        <v>468</v>
      </c>
      <c r="G778" t="s">
        <v>413</v>
      </c>
      <c r="H778" s="92" t="s">
        <v>977</v>
      </c>
      <c r="I778">
        <v>2</v>
      </c>
      <c r="J778" s="46">
        <v>1120</v>
      </c>
      <c r="K778" s="50" t="s">
        <v>397</v>
      </c>
      <c r="L778" s="46">
        <v>1120</v>
      </c>
      <c r="M778" s="46"/>
    </row>
    <row r="779" spans="2:15" ht="15" customHeight="1" x14ac:dyDescent="0.25">
      <c r="B779" s="5">
        <v>44610</v>
      </c>
      <c r="C779" s="5" t="s">
        <v>177</v>
      </c>
      <c r="D779" s="35">
        <v>2022</v>
      </c>
      <c r="E779" t="s">
        <v>445</v>
      </c>
      <c r="F779" t="s">
        <v>468</v>
      </c>
      <c r="G779" t="s">
        <v>58</v>
      </c>
      <c r="H779" s="92" t="s">
        <v>969</v>
      </c>
      <c r="I779">
        <v>1</v>
      </c>
      <c r="J779" s="46">
        <v>2530</v>
      </c>
      <c r="K779" s="50" t="s">
        <v>397</v>
      </c>
      <c r="L779" s="46">
        <v>2530</v>
      </c>
      <c r="M779" s="46"/>
    </row>
    <row r="780" spans="2:15" ht="15" customHeight="1" x14ac:dyDescent="0.25">
      <c r="B780" s="5">
        <v>44610</v>
      </c>
      <c r="C780" s="5" t="s">
        <v>177</v>
      </c>
      <c r="D780" s="35">
        <v>2022</v>
      </c>
      <c r="E780" t="s">
        <v>445</v>
      </c>
      <c r="F780" t="s">
        <v>515</v>
      </c>
      <c r="G780" t="s">
        <v>413</v>
      </c>
      <c r="H780" s="92" t="s">
        <v>977</v>
      </c>
      <c r="I780">
        <v>2</v>
      </c>
      <c r="J780" s="46">
        <v>1120</v>
      </c>
      <c r="K780" s="50" t="s">
        <v>397</v>
      </c>
      <c r="L780" s="46">
        <v>1120</v>
      </c>
      <c r="M780" s="46"/>
    </row>
    <row r="781" spans="2:15" ht="15" customHeight="1" x14ac:dyDescent="0.25">
      <c r="B781" s="5">
        <v>44610</v>
      </c>
      <c r="C781" s="5" t="s">
        <v>177</v>
      </c>
      <c r="D781" s="35">
        <v>2022</v>
      </c>
      <c r="E781" t="s">
        <v>445</v>
      </c>
      <c r="F781" t="s">
        <v>516</v>
      </c>
      <c r="G781" t="s">
        <v>485</v>
      </c>
      <c r="H781" s="92" t="s">
        <v>967</v>
      </c>
      <c r="I781">
        <v>1</v>
      </c>
      <c r="J781" s="46">
        <v>2300</v>
      </c>
      <c r="K781" s="50" t="s">
        <v>397</v>
      </c>
      <c r="L781" s="46">
        <v>2300</v>
      </c>
      <c r="M781" s="46"/>
    </row>
    <row r="782" spans="2:15" ht="15" customHeight="1" x14ac:dyDescent="0.25">
      <c r="B782" s="5">
        <v>44610</v>
      </c>
      <c r="C782" s="5" t="s">
        <v>177</v>
      </c>
      <c r="D782" s="35">
        <v>2022</v>
      </c>
      <c r="E782" t="s">
        <v>445</v>
      </c>
      <c r="F782" t="s">
        <v>517</v>
      </c>
      <c r="G782" t="s">
        <v>50</v>
      </c>
      <c r="H782" s="92" t="s">
        <v>969</v>
      </c>
      <c r="I782">
        <v>1</v>
      </c>
      <c r="J782" s="46">
        <v>2530</v>
      </c>
      <c r="K782" s="50" t="s">
        <v>397</v>
      </c>
      <c r="L782" s="46">
        <v>2530</v>
      </c>
      <c r="M782" s="46"/>
    </row>
    <row r="783" spans="2:15" ht="15" customHeight="1" x14ac:dyDescent="0.25">
      <c r="B783" s="5">
        <v>44610</v>
      </c>
      <c r="C783" s="5" t="s">
        <v>177</v>
      </c>
      <c r="D783" s="35">
        <v>2022</v>
      </c>
      <c r="E783" t="s">
        <v>445</v>
      </c>
      <c r="F783" t="s">
        <v>444</v>
      </c>
      <c r="G783" t="s">
        <v>45</v>
      </c>
      <c r="H783" s="92" t="s">
        <v>965</v>
      </c>
      <c r="I783">
        <v>2</v>
      </c>
      <c r="J783" s="46">
        <v>2780</v>
      </c>
      <c r="K783" s="50" t="s">
        <v>397</v>
      </c>
      <c r="L783" s="46">
        <v>2780</v>
      </c>
      <c r="M783" s="46"/>
    </row>
    <row r="784" spans="2:15" ht="15" customHeight="1" x14ac:dyDescent="0.25">
      <c r="B784" s="5">
        <v>44610</v>
      </c>
      <c r="C784" s="5" t="s">
        <v>177</v>
      </c>
      <c r="D784" s="35">
        <v>2022</v>
      </c>
      <c r="E784" t="s">
        <v>445</v>
      </c>
      <c r="F784" t="s">
        <v>369</v>
      </c>
      <c r="G784" t="s">
        <v>50</v>
      </c>
      <c r="H784" s="92" t="s">
        <v>969</v>
      </c>
      <c r="I784">
        <v>1</v>
      </c>
      <c r="J784" s="46">
        <v>2530</v>
      </c>
      <c r="K784" s="50" t="s">
        <v>397</v>
      </c>
      <c r="L784" s="46">
        <v>0</v>
      </c>
      <c r="M784" s="109">
        <v>2530</v>
      </c>
      <c r="O784" t="s">
        <v>625</v>
      </c>
    </row>
    <row r="785" spans="2:18" ht="15" customHeight="1" x14ac:dyDescent="0.25">
      <c r="B785" s="5">
        <v>44611</v>
      </c>
      <c r="C785" s="5" t="s">
        <v>177</v>
      </c>
      <c r="D785" s="35">
        <v>2022</v>
      </c>
      <c r="E785" t="s">
        <v>22</v>
      </c>
      <c r="F785" t="s">
        <v>260</v>
      </c>
      <c r="G785" t="s">
        <v>126</v>
      </c>
      <c r="H785" s="92" t="s">
        <v>965</v>
      </c>
      <c r="I785">
        <v>1</v>
      </c>
      <c r="J785" s="46">
        <v>1410</v>
      </c>
      <c r="K785" s="50" t="s">
        <v>397</v>
      </c>
      <c r="L785" s="23">
        <v>1410</v>
      </c>
      <c r="M785" s="46"/>
    </row>
    <row r="786" spans="2:18" ht="15" customHeight="1" x14ac:dyDescent="0.25">
      <c r="B786" s="5">
        <v>44611</v>
      </c>
      <c r="C786" s="5" t="s">
        <v>177</v>
      </c>
      <c r="D786" s="35">
        <v>2022</v>
      </c>
      <c r="E786" t="s">
        <v>22</v>
      </c>
      <c r="F786" t="s">
        <v>260</v>
      </c>
      <c r="G786" t="s">
        <v>45</v>
      </c>
      <c r="H786" s="92" t="s">
        <v>965</v>
      </c>
      <c r="I786">
        <v>1</v>
      </c>
      <c r="J786" s="46">
        <v>1390</v>
      </c>
      <c r="K786" s="50" t="s">
        <v>397</v>
      </c>
      <c r="L786" s="23">
        <v>1390</v>
      </c>
      <c r="M786" s="46"/>
    </row>
    <row r="787" spans="2:18" ht="15" customHeight="1" x14ac:dyDescent="0.25">
      <c r="B787" s="5">
        <v>44611</v>
      </c>
      <c r="C787" s="5" t="s">
        <v>177</v>
      </c>
      <c r="D787" s="35">
        <v>2022</v>
      </c>
      <c r="E787" t="s">
        <v>22</v>
      </c>
      <c r="F787" t="s">
        <v>261</v>
      </c>
      <c r="G787" t="s">
        <v>45</v>
      </c>
      <c r="H787" s="92" t="s">
        <v>965</v>
      </c>
      <c r="I787">
        <v>1</v>
      </c>
      <c r="J787" s="46">
        <v>1390</v>
      </c>
      <c r="K787" s="50" t="s">
        <v>397</v>
      </c>
      <c r="L787" s="23">
        <v>1390</v>
      </c>
      <c r="M787" s="46"/>
    </row>
    <row r="788" spans="2:18" ht="15" customHeight="1" x14ac:dyDescent="0.25">
      <c r="B788" s="5">
        <v>44611</v>
      </c>
      <c r="C788" s="5" t="s">
        <v>177</v>
      </c>
      <c r="D788" s="35">
        <v>2022</v>
      </c>
      <c r="E788" t="s">
        <v>22</v>
      </c>
      <c r="F788" t="s">
        <v>410</v>
      </c>
      <c r="G788" t="s">
        <v>412</v>
      </c>
      <c r="H788" s="92" t="s">
        <v>977</v>
      </c>
      <c r="I788">
        <v>2</v>
      </c>
      <c r="J788" s="46">
        <v>6620</v>
      </c>
      <c r="K788" s="50" t="s">
        <v>397</v>
      </c>
      <c r="L788" s="106">
        <v>6620</v>
      </c>
      <c r="M788" s="46"/>
    </row>
    <row r="789" spans="2:18" ht="15" customHeight="1" x14ac:dyDescent="0.25">
      <c r="B789" s="5">
        <v>44611</v>
      </c>
      <c r="C789" s="5" t="s">
        <v>177</v>
      </c>
      <c r="D789" s="35">
        <v>2022</v>
      </c>
      <c r="E789" t="s">
        <v>22</v>
      </c>
      <c r="F789" t="s">
        <v>411</v>
      </c>
      <c r="G789" t="s">
        <v>321</v>
      </c>
      <c r="H789" s="92" t="s">
        <v>967</v>
      </c>
      <c r="I789">
        <v>5</v>
      </c>
      <c r="J789" s="46">
        <v>11500</v>
      </c>
      <c r="K789" s="50" t="s">
        <v>397</v>
      </c>
      <c r="L789" s="46">
        <v>0</v>
      </c>
      <c r="M789" s="103">
        <v>11500</v>
      </c>
    </row>
    <row r="790" spans="2:18" ht="15" customHeight="1" x14ac:dyDescent="0.25">
      <c r="B790" s="5">
        <v>44611</v>
      </c>
      <c r="C790" s="5" t="s">
        <v>177</v>
      </c>
      <c r="D790" s="35">
        <v>2022</v>
      </c>
      <c r="E790" t="s">
        <v>22</v>
      </c>
      <c r="F790" t="s">
        <v>523</v>
      </c>
      <c r="G790" t="s">
        <v>323</v>
      </c>
      <c r="H790" s="92" t="s">
        <v>981</v>
      </c>
      <c r="I790">
        <v>2</v>
      </c>
      <c r="J790" s="46">
        <v>620</v>
      </c>
      <c r="K790" s="50" t="s">
        <v>397</v>
      </c>
      <c r="L790" s="23">
        <v>620</v>
      </c>
      <c r="M790" s="46"/>
      <c r="N790" s="123"/>
    </row>
    <row r="791" spans="2:18" ht="15" customHeight="1" x14ac:dyDescent="0.25">
      <c r="B791" s="5">
        <v>44611</v>
      </c>
      <c r="C791" s="5" t="s">
        <v>177</v>
      </c>
      <c r="D791" s="35">
        <v>2022</v>
      </c>
      <c r="E791" t="s">
        <v>22</v>
      </c>
      <c r="F791" t="s">
        <v>523</v>
      </c>
      <c r="G791" t="s">
        <v>321</v>
      </c>
      <c r="H791" s="92" t="s">
        <v>967</v>
      </c>
      <c r="I791">
        <v>1</v>
      </c>
      <c r="J791" s="46">
        <v>2300</v>
      </c>
      <c r="K791" s="50" t="s">
        <v>397</v>
      </c>
      <c r="L791" s="46">
        <v>0</v>
      </c>
      <c r="M791" s="103">
        <v>2300</v>
      </c>
    </row>
    <row r="792" spans="2:18" ht="15" customHeight="1" x14ac:dyDescent="0.25">
      <c r="B792" s="5">
        <v>44611</v>
      </c>
      <c r="C792" s="5" t="s">
        <v>177</v>
      </c>
      <c r="D792" s="35">
        <v>2022</v>
      </c>
      <c r="E792" t="s">
        <v>22</v>
      </c>
      <c r="F792" t="s">
        <v>475</v>
      </c>
      <c r="G792" t="s">
        <v>321</v>
      </c>
      <c r="H792" s="92" t="s">
        <v>967</v>
      </c>
      <c r="I792">
        <v>2</v>
      </c>
      <c r="J792" s="46">
        <v>4600</v>
      </c>
      <c r="K792" s="50" t="s">
        <v>397</v>
      </c>
      <c r="L792" s="46">
        <v>0</v>
      </c>
      <c r="M792" s="103">
        <v>4600</v>
      </c>
    </row>
    <row r="793" spans="2:18" ht="15" customHeight="1" x14ac:dyDescent="0.25">
      <c r="B793" s="5">
        <v>44611</v>
      </c>
      <c r="C793" s="5" t="s">
        <v>177</v>
      </c>
      <c r="D793" s="35">
        <v>2022</v>
      </c>
      <c r="E793" t="s">
        <v>22</v>
      </c>
      <c r="F793" t="s">
        <v>475</v>
      </c>
      <c r="G793" t="s">
        <v>412</v>
      </c>
      <c r="H793" s="92" t="s">
        <v>977</v>
      </c>
      <c r="I793">
        <v>1</v>
      </c>
      <c r="J793" s="46">
        <v>3310</v>
      </c>
      <c r="K793" s="50" t="s">
        <v>397</v>
      </c>
      <c r="L793" s="23">
        <v>3310</v>
      </c>
      <c r="M793" s="46"/>
      <c r="N793" s="107"/>
    </row>
    <row r="794" spans="2:18" ht="15" customHeight="1" x14ac:dyDescent="0.25">
      <c r="B794" s="5">
        <v>44611</v>
      </c>
      <c r="C794" s="5" t="s">
        <v>177</v>
      </c>
      <c r="D794" s="35">
        <v>2022</v>
      </c>
      <c r="E794" t="s">
        <v>22</v>
      </c>
      <c r="F794" t="s">
        <v>131</v>
      </c>
      <c r="G794" t="s">
        <v>120</v>
      </c>
      <c r="H794" s="24" t="s">
        <v>968</v>
      </c>
      <c r="I794">
        <v>1</v>
      </c>
      <c r="J794" s="46">
        <v>4400</v>
      </c>
      <c r="K794" s="50" t="s">
        <v>397</v>
      </c>
      <c r="L794" s="23">
        <v>4400</v>
      </c>
      <c r="M794" s="46"/>
    </row>
    <row r="795" spans="2:18" ht="15" customHeight="1" x14ac:dyDescent="0.25">
      <c r="B795" s="5">
        <v>44611</v>
      </c>
      <c r="C795" s="5" t="s">
        <v>177</v>
      </c>
      <c r="D795" s="35">
        <v>2022</v>
      </c>
      <c r="E795" t="s">
        <v>22</v>
      </c>
      <c r="F795" t="s">
        <v>131</v>
      </c>
      <c r="G795" t="s">
        <v>321</v>
      </c>
      <c r="H795" s="92" t="s">
        <v>967</v>
      </c>
      <c r="I795">
        <v>2</v>
      </c>
      <c r="J795" s="46">
        <v>4600</v>
      </c>
      <c r="K795" s="50" t="s">
        <v>397</v>
      </c>
      <c r="L795" s="46">
        <v>0</v>
      </c>
      <c r="M795" s="103">
        <v>4600</v>
      </c>
    </row>
    <row r="796" spans="2:18" ht="15" customHeight="1" x14ac:dyDescent="0.25">
      <c r="B796" s="5">
        <v>44611</v>
      </c>
      <c r="C796" s="5" t="s">
        <v>177</v>
      </c>
      <c r="D796" s="35">
        <v>2022</v>
      </c>
      <c r="E796" t="s">
        <v>22</v>
      </c>
      <c r="F796" t="s">
        <v>132</v>
      </c>
      <c r="G796" t="s">
        <v>128</v>
      </c>
      <c r="H796" s="92" t="s">
        <v>965</v>
      </c>
      <c r="I796">
        <v>2</v>
      </c>
      <c r="J796" s="46">
        <v>2480</v>
      </c>
      <c r="K796" s="50" t="s">
        <v>397</v>
      </c>
      <c r="L796" s="23">
        <v>2480</v>
      </c>
      <c r="M796" s="46"/>
    </row>
    <row r="797" spans="2:18" ht="15" customHeight="1" x14ac:dyDescent="0.25">
      <c r="B797" s="5">
        <v>44611</v>
      </c>
      <c r="C797" s="5" t="s">
        <v>177</v>
      </c>
      <c r="D797" s="35">
        <v>2022</v>
      </c>
      <c r="E797" t="s">
        <v>22</v>
      </c>
      <c r="F797" t="s">
        <v>132</v>
      </c>
      <c r="G797" t="s">
        <v>122</v>
      </c>
      <c r="H797" s="92" t="s">
        <v>973</v>
      </c>
      <c r="I797">
        <v>1</v>
      </c>
      <c r="J797" s="46">
        <v>260</v>
      </c>
      <c r="K797" s="50" t="s">
        <v>397</v>
      </c>
      <c r="L797" s="23">
        <v>260</v>
      </c>
      <c r="M797" s="46"/>
    </row>
    <row r="798" spans="2:18" ht="15" customHeight="1" x14ac:dyDescent="0.25">
      <c r="B798" s="5">
        <v>44611</v>
      </c>
      <c r="C798" s="5" t="s">
        <v>177</v>
      </c>
      <c r="D798" s="35">
        <v>2022</v>
      </c>
      <c r="E798" t="s">
        <v>356</v>
      </c>
      <c r="F798" t="s">
        <v>350</v>
      </c>
      <c r="G798" t="s">
        <v>249</v>
      </c>
      <c r="H798" s="92" t="s">
        <v>972</v>
      </c>
      <c r="I798">
        <v>1</v>
      </c>
      <c r="J798" s="46">
        <v>1080</v>
      </c>
      <c r="K798" s="50" t="s">
        <v>397</v>
      </c>
      <c r="L798" s="23">
        <v>1080</v>
      </c>
      <c r="M798" s="46"/>
      <c r="R798" s="120"/>
    </row>
    <row r="799" spans="2:18" ht="15" customHeight="1" x14ac:dyDescent="0.25">
      <c r="B799" s="5">
        <v>44611</v>
      </c>
      <c r="C799" s="5" t="s">
        <v>177</v>
      </c>
      <c r="D799" s="35">
        <v>2022</v>
      </c>
      <c r="E799" t="s">
        <v>356</v>
      </c>
      <c r="F799" t="s">
        <v>350</v>
      </c>
      <c r="G799" t="s">
        <v>321</v>
      </c>
      <c r="H799" s="92" t="s">
        <v>967</v>
      </c>
      <c r="I799">
        <v>1</v>
      </c>
      <c r="J799" s="46">
        <v>2300</v>
      </c>
      <c r="K799" s="50" t="s">
        <v>397</v>
      </c>
      <c r="L799" s="46">
        <v>0</v>
      </c>
      <c r="M799" s="103">
        <v>2300</v>
      </c>
      <c r="R799" s="121"/>
    </row>
    <row r="800" spans="2:18" ht="15" customHeight="1" x14ac:dyDescent="0.25">
      <c r="B800" s="5">
        <v>44611</v>
      </c>
      <c r="C800" s="5" t="s">
        <v>177</v>
      </c>
      <c r="D800" s="35">
        <v>2022</v>
      </c>
      <c r="E800" t="s">
        <v>356</v>
      </c>
      <c r="F800" t="s">
        <v>350</v>
      </c>
      <c r="G800" t="s">
        <v>123</v>
      </c>
      <c r="H800" s="92" t="s">
        <v>966</v>
      </c>
      <c r="I800">
        <v>1</v>
      </c>
      <c r="J800" s="46">
        <v>1750</v>
      </c>
      <c r="K800" s="50" t="s">
        <v>397</v>
      </c>
      <c r="L800" s="23">
        <v>1750</v>
      </c>
      <c r="M800" s="46"/>
      <c r="R800" s="121"/>
    </row>
    <row r="801" spans="2:18" ht="15" customHeight="1" x14ac:dyDescent="0.25">
      <c r="B801" s="5">
        <v>44611</v>
      </c>
      <c r="C801" s="5" t="s">
        <v>177</v>
      </c>
      <c r="D801" s="35">
        <v>2022</v>
      </c>
      <c r="E801" t="s">
        <v>356</v>
      </c>
      <c r="F801" t="s">
        <v>241</v>
      </c>
      <c r="G801" t="s">
        <v>49</v>
      </c>
      <c r="H801" s="92" t="s">
        <v>966</v>
      </c>
      <c r="I801">
        <v>1</v>
      </c>
      <c r="J801" s="46">
        <v>1740</v>
      </c>
      <c r="K801" s="50" t="s">
        <v>397</v>
      </c>
      <c r="L801" s="23">
        <v>1740</v>
      </c>
      <c r="M801" s="46"/>
      <c r="R801" s="121"/>
    </row>
    <row r="802" spans="2:18" ht="15" customHeight="1" x14ac:dyDescent="0.25">
      <c r="B802" s="5">
        <v>44611</v>
      </c>
      <c r="C802" s="5" t="s">
        <v>177</v>
      </c>
      <c r="D802" s="35">
        <v>2022</v>
      </c>
      <c r="E802" t="s">
        <v>356</v>
      </c>
      <c r="F802" t="s">
        <v>428</v>
      </c>
      <c r="G802" t="s">
        <v>264</v>
      </c>
      <c r="H802" s="24" t="s">
        <v>976</v>
      </c>
      <c r="I802">
        <v>1</v>
      </c>
      <c r="J802" s="46">
        <v>3580</v>
      </c>
      <c r="K802" s="50" t="s">
        <v>397</v>
      </c>
      <c r="L802" s="23">
        <v>3580</v>
      </c>
      <c r="M802" s="46"/>
      <c r="R802" s="121"/>
    </row>
    <row r="803" spans="2:18" ht="15" customHeight="1" x14ac:dyDescent="0.25">
      <c r="B803" s="5">
        <v>44611</v>
      </c>
      <c r="C803" s="5" t="s">
        <v>177</v>
      </c>
      <c r="D803" s="35">
        <v>2022</v>
      </c>
      <c r="E803" t="s">
        <v>356</v>
      </c>
      <c r="F803" t="s">
        <v>353</v>
      </c>
      <c r="G803" t="s">
        <v>120</v>
      </c>
      <c r="H803" s="24" t="s">
        <v>968</v>
      </c>
      <c r="I803">
        <v>2</v>
      </c>
      <c r="J803" s="46">
        <v>8800</v>
      </c>
      <c r="K803" s="50" t="s">
        <v>397</v>
      </c>
      <c r="L803" s="23">
        <v>8800</v>
      </c>
      <c r="M803" s="46"/>
      <c r="R803" s="121"/>
    </row>
    <row r="804" spans="2:18" ht="15" customHeight="1" x14ac:dyDescent="0.25">
      <c r="B804" s="5">
        <v>44611</v>
      </c>
      <c r="C804" s="5" t="s">
        <v>177</v>
      </c>
      <c r="D804" s="35">
        <v>2022</v>
      </c>
      <c r="E804" t="s">
        <v>356</v>
      </c>
      <c r="F804" t="s">
        <v>137</v>
      </c>
      <c r="G804" t="s">
        <v>120</v>
      </c>
      <c r="H804" s="24" t="s">
        <v>968</v>
      </c>
      <c r="I804">
        <v>3</v>
      </c>
      <c r="J804" s="46">
        <v>13200</v>
      </c>
      <c r="K804" s="50" t="s">
        <v>397</v>
      </c>
      <c r="L804" s="23">
        <v>13200</v>
      </c>
      <c r="M804" s="46"/>
    </row>
    <row r="805" spans="2:18" ht="15" customHeight="1" x14ac:dyDescent="0.25">
      <c r="B805" s="5">
        <v>44611</v>
      </c>
      <c r="C805" s="5" t="s">
        <v>177</v>
      </c>
      <c r="D805" s="35">
        <v>2022</v>
      </c>
      <c r="E805" t="s">
        <v>458</v>
      </c>
      <c r="F805" t="s">
        <v>318</v>
      </c>
      <c r="G805" t="s">
        <v>364</v>
      </c>
      <c r="H805" s="92" t="s">
        <v>972</v>
      </c>
      <c r="I805">
        <v>1</v>
      </c>
      <c r="J805" s="46">
        <v>600</v>
      </c>
      <c r="K805" s="50" t="s">
        <v>397</v>
      </c>
      <c r="L805" s="46">
        <v>0</v>
      </c>
      <c r="M805" s="103">
        <v>600</v>
      </c>
    </row>
    <row r="806" spans="2:18" ht="15" customHeight="1" x14ac:dyDescent="0.25">
      <c r="B806" s="5">
        <v>44611</v>
      </c>
      <c r="C806" s="5" t="s">
        <v>177</v>
      </c>
      <c r="D806" s="35">
        <v>2022</v>
      </c>
      <c r="E806" t="s">
        <v>458</v>
      </c>
      <c r="F806" t="s">
        <v>199</v>
      </c>
      <c r="G806" t="s">
        <v>321</v>
      </c>
      <c r="H806" s="92" t="s">
        <v>967</v>
      </c>
      <c r="I806">
        <v>1</v>
      </c>
      <c r="J806" s="46">
        <v>2300</v>
      </c>
      <c r="K806" s="50" t="s">
        <v>397</v>
      </c>
      <c r="L806" s="46">
        <v>0</v>
      </c>
      <c r="M806" s="103">
        <v>2300</v>
      </c>
    </row>
    <row r="807" spans="2:18" ht="15" customHeight="1" x14ac:dyDescent="0.25">
      <c r="B807" s="5">
        <v>44611</v>
      </c>
      <c r="C807" s="5" t="s">
        <v>177</v>
      </c>
      <c r="D807" s="35">
        <v>2022</v>
      </c>
      <c r="E807" t="s">
        <v>458</v>
      </c>
      <c r="F807" t="s">
        <v>199</v>
      </c>
      <c r="G807" t="s">
        <v>485</v>
      </c>
      <c r="H807" s="92" t="s">
        <v>967</v>
      </c>
      <c r="I807">
        <v>1</v>
      </c>
      <c r="J807" s="46">
        <v>2300</v>
      </c>
      <c r="K807" s="50" t="s">
        <v>397</v>
      </c>
      <c r="L807" s="107">
        <v>2300</v>
      </c>
      <c r="M807" s="46"/>
    </row>
    <row r="808" spans="2:18" ht="15" customHeight="1" x14ac:dyDescent="0.25">
      <c r="B808" s="5">
        <v>44611</v>
      </c>
      <c r="C808" s="5" t="s">
        <v>177</v>
      </c>
      <c r="D808" s="35">
        <v>2022</v>
      </c>
      <c r="E808" t="s">
        <v>458</v>
      </c>
      <c r="F808" t="s">
        <v>524</v>
      </c>
      <c r="G808" t="s">
        <v>283</v>
      </c>
      <c r="H808" s="92" t="s">
        <v>983</v>
      </c>
      <c r="I808">
        <v>1</v>
      </c>
      <c r="J808" s="46">
        <v>505</v>
      </c>
      <c r="K808" s="50" t="s">
        <v>397</v>
      </c>
      <c r="L808" s="23">
        <v>505</v>
      </c>
      <c r="M808" s="46"/>
    </row>
    <row r="809" spans="2:18" ht="15" customHeight="1" x14ac:dyDescent="0.25">
      <c r="B809" s="5">
        <v>44611</v>
      </c>
      <c r="C809" s="5" t="s">
        <v>177</v>
      </c>
      <c r="D809" s="35">
        <v>2022</v>
      </c>
      <c r="E809" t="s">
        <v>458</v>
      </c>
      <c r="F809" t="s">
        <v>524</v>
      </c>
      <c r="G809" t="s">
        <v>192</v>
      </c>
      <c r="H809" s="24" t="s">
        <v>976</v>
      </c>
      <c r="I809">
        <v>1</v>
      </c>
      <c r="J809" s="46">
        <v>1395</v>
      </c>
      <c r="K809" s="50" t="s">
        <v>397</v>
      </c>
      <c r="L809" s="23">
        <v>1395</v>
      </c>
      <c r="M809" s="46"/>
    </row>
    <row r="810" spans="2:18" ht="15" customHeight="1" x14ac:dyDescent="0.25">
      <c r="B810" s="5">
        <v>44611</v>
      </c>
      <c r="C810" s="5" t="s">
        <v>177</v>
      </c>
      <c r="D810" s="35">
        <v>2022</v>
      </c>
      <c r="E810" t="s">
        <v>514</v>
      </c>
      <c r="F810" t="s">
        <v>525</v>
      </c>
      <c r="G810" t="s">
        <v>55</v>
      </c>
      <c r="H810" s="92" t="s">
        <v>965</v>
      </c>
      <c r="I810">
        <v>1</v>
      </c>
      <c r="J810" s="46">
        <v>1390</v>
      </c>
      <c r="K810" s="50" t="s">
        <v>397</v>
      </c>
      <c r="L810" s="23">
        <v>1390</v>
      </c>
      <c r="M810" s="46"/>
    </row>
    <row r="811" spans="2:18" ht="15" customHeight="1" x14ac:dyDescent="0.25">
      <c r="B811" s="5">
        <v>44611</v>
      </c>
      <c r="C811" s="5" t="s">
        <v>177</v>
      </c>
      <c r="D811" s="35">
        <v>2022</v>
      </c>
      <c r="E811" t="s">
        <v>514</v>
      </c>
      <c r="F811" t="s">
        <v>436</v>
      </c>
      <c r="G811" t="s">
        <v>321</v>
      </c>
      <c r="H811" s="92" t="s">
        <v>967</v>
      </c>
      <c r="I811">
        <v>2</v>
      </c>
      <c r="J811" s="46">
        <v>4600</v>
      </c>
      <c r="K811" s="50" t="s">
        <v>397</v>
      </c>
      <c r="L811" s="23">
        <v>4600</v>
      </c>
      <c r="M811" s="46"/>
    </row>
    <row r="812" spans="2:18" ht="15" customHeight="1" x14ac:dyDescent="0.25">
      <c r="B812" s="5">
        <v>44611</v>
      </c>
      <c r="C812" s="5" t="s">
        <v>177</v>
      </c>
      <c r="D812" s="35">
        <v>2022</v>
      </c>
      <c r="E812" t="s">
        <v>514</v>
      </c>
      <c r="F812" t="s">
        <v>436</v>
      </c>
      <c r="G812" t="s">
        <v>485</v>
      </c>
      <c r="H812" s="92" t="s">
        <v>967</v>
      </c>
      <c r="I812">
        <v>2</v>
      </c>
      <c r="J812" s="46">
        <v>4600</v>
      </c>
      <c r="K812" s="50" t="s">
        <v>397</v>
      </c>
      <c r="L812" s="122">
        <v>4600</v>
      </c>
      <c r="M812" s="46"/>
    </row>
    <row r="813" spans="2:18" ht="15" customHeight="1" x14ac:dyDescent="0.25">
      <c r="B813" s="5">
        <v>44611</v>
      </c>
      <c r="C813" s="5" t="s">
        <v>177</v>
      </c>
      <c r="D813" s="35">
        <v>2022</v>
      </c>
      <c r="E813" t="s">
        <v>445</v>
      </c>
      <c r="F813" t="s">
        <v>366</v>
      </c>
      <c r="G813" t="s">
        <v>50</v>
      </c>
      <c r="H813" s="92" t="s">
        <v>969</v>
      </c>
      <c r="I813">
        <v>1</v>
      </c>
      <c r="J813" s="46">
        <v>2530</v>
      </c>
      <c r="K813" s="50" t="s">
        <v>397</v>
      </c>
      <c r="L813" s="23">
        <v>2530</v>
      </c>
      <c r="M813" s="46"/>
    </row>
    <row r="814" spans="2:18" ht="15" customHeight="1" x14ac:dyDescent="0.25">
      <c r="B814" s="5">
        <v>44611</v>
      </c>
      <c r="C814" s="5" t="s">
        <v>177</v>
      </c>
      <c r="D814" s="35">
        <v>2022</v>
      </c>
      <c r="E814" t="s">
        <v>445</v>
      </c>
      <c r="F814" t="s">
        <v>526</v>
      </c>
      <c r="G814" t="s">
        <v>485</v>
      </c>
      <c r="H814" s="92" t="s">
        <v>967</v>
      </c>
      <c r="I814">
        <v>2</v>
      </c>
      <c r="J814" s="46">
        <v>4600</v>
      </c>
      <c r="K814" s="50" t="s">
        <v>397</v>
      </c>
      <c r="L814" s="23">
        <v>4600</v>
      </c>
      <c r="M814" s="46"/>
    </row>
    <row r="815" spans="2:18" ht="15" customHeight="1" x14ac:dyDescent="0.25">
      <c r="B815" s="5">
        <v>44611</v>
      </c>
      <c r="C815" s="5" t="s">
        <v>177</v>
      </c>
      <c r="D815" s="35">
        <v>2022</v>
      </c>
      <c r="E815" t="s">
        <v>445</v>
      </c>
      <c r="F815" t="s">
        <v>285</v>
      </c>
      <c r="G815" t="s">
        <v>485</v>
      </c>
      <c r="H815" s="92" t="s">
        <v>967</v>
      </c>
      <c r="I815">
        <v>1</v>
      </c>
      <c r="J815" s="46">
        <v>2300</v>
      </c>
      <c r="K815" s="50" t="s">
        <v>397</v>
      </c>
      <c r="L815" s="23">
        <v>2300</v>
      </c>
      <c r="M815" s="46"/>
    </row>
    <row r="816" spans="2:18" ht="15" customHeight="1" x14ac:dyDescent="0.25">
      <c r="B816" s="5">
        <v>44611</v>
      </c>
      <c r="C816" s="5" t="s">
        <v>177</v>
      </c>
      <c r="D816" s="35">
        <v>2022</v>
      </c>
      <c r="E816" t="s">
        <v>445</v>
      </c>
      <c r="F816" t="s">
        <v>212</v>
      </c>
      <c r="G816" t="s">
        <v>485</v>
      </c>
      <c r="H816" s="92" t="s">
        <v>967</v>
      </c>
      <c r="I816">
        <v>1</v>
      </c>
      <c r="J816" s="46">
        <v>2300</v>
      </c>
      <c r="K816" s="50" t="s">
        <v>397</v>
      </c>
      <c r="L816" s="23">
        <v>2300</v>
      </c>
      <c r="M816" s="46"/>
    </row>
    <row r="817" spans="2:13" ht="15" customHeight="1" x14ac:dyDescent="0.25">
      <c r="B817" s="5">
        <v>44611</v>
      </c>
      <c r="C817" s="5" t="s">
        <v>177</v>
      </c>
      <c r="D817" s="35">
        <v>2022</v>
      </c>
      <c r="E817" t="s">
        <v>445</v>
      </c>
      <c r="F817" t="s">
        <v>212</v>
      </c>
      <c r="G817" t="s">
        <v>128</v>
      </c>
      <c r="H817" s="92" t="s">
        <v>965</v>
      </c>
      <c r="I817">
        <v>1</v>
      </c>
      <c r="J817" s="46">
        <v>1240</v>
      </c>
      <c r="K817" s="50" t="s">
        <v>397</v>
      </c>
      <c r="L817" s="23">
        <v>1240</v>
      </c>
      <c r="M817" s="46"/>
    </row>
    <row r="818" spans="2:13" ht="15" customHeight="1" x14ac:dyDescent="0.25">
      <c r="B818" s="5">
        <v>44611</v>
      </c>
      <c r="C818" s="5" t="s">
        <v>177</v>
      </c>
      <c r="D818" s="35">
        <v>2022</v>
      </c>
      <c r="E818" t="s">
        <v>445</v>
      </c>
      <c r="F818" t="s">
        <v>89</v>
      </c>
      <c r="G818" t="s">
        <v>58</v>
      </c>
      <c r="H818" s="92" t="s">
        <v>969</v>
      </c>
      <c r="I818">
        <v>1</v>
      </c>
      <c r="J818" s="46">
        <v>2530</v>
      </c>
      <c r="K818" s="50" t="s">
        <v>397</v>
      </c>
      <c r="L818" s="23">
        <v>2530</v>
      </c>
      <c r="M818" s="46"/>
    </row>
    <row r="819" spans="2:13" ht="15" customHeight="1" x14ac:dyDescent="0.25">
      <c r="B819" s="5">
        <v>44611</v>
      </c>
      <c r="C819" s="5" t="s">
        <v>177</v>
      </c>
      <c r="D819" s="35">
        <v>2022</v>
      </c>
      <c r="E819" t="s">
        <v>445</v>
      </c>
      <c r="F819" t="s">
        <v>468</v>
      </c>
      <c r="G819" t="s">
        <v>50</v>
      </c>
      <c r="H819" s="92" t="s">
        <v>969</v>
      </c>
      <c r="I819">
        <v>1</v>
      </c>
      <c r="J819" s="46">
        <v>2530</v>
      </c>
      <c r="K819" s="50" t="s">
        <v>397</v>
      </c>
      <c r="L819" s="46">
        <v>0</v>
      </c>
      <c r="M819" s="103">
        <v>2530</v>
      </c>
    </row>
    <row r="820" spans="2:13" ht="15" customHeight="1" x14ac:dyDescent="0.25">
      <c r="B820" s="5">
        <v>44611</v>
      </c>
      <c r="C820" s="5" t="s">
        <v>177</v>
      </c>
      <c r="D820" s="35">
        <v>2022</v>
      </c>
      <c r="E820" t="s">
        <v>445</v>
      </c>
      <c r="F820" t="s">
        <v>468</v>
      </c>
      <c r="G820" t="s">
        <v>192</v>
      </c>
      <c r="H820" s="24" t="s">
        <v>976</v>
      </c>
      <c r="I820">
        <v>1</v>
      </c>
      <c r="J820" s="46">
        <v>1395</v>
      </c>
      <c r="K820" s="50" t="s">
        <v>397</v>
      </c>
      <c r="L820" s="23">
        <v>1395</v>
      </c>
      <c r="M820" s="46"/>
    </row>
    <row r="821" spans="2:13" ht="15" customHeight="1" x14ac:dyDescent="0.25">
      <c r="B821" s="5">
        <v>44611</v>
      </c>
      <c r="C821" s="5" t="s">
        <v>177</v>
      </c>
      <c r="D821" s="35">
        <v>2022</v>
      </c>
      <c r="E821" t="s">
        <v>445</v>
      </c>
      <c r="F821" t="s">
        <v>444</v>
      </c>
      <c r="G821" t="s">
        <v>122</v>
      </c>
      <c r="H821" s="92" t="s">
        <v>973</v>
      </c>
      <c r="I821">
        <v>1</v>
      </c>
      <c r="J821" s="46">
        <v>260</v>
      </c>
      <c r="K821" s="50" t="s">
        <v>397</v>
      </c>
      <c r="L821" s="23">
        <v>260</v>
      </c>
      <c r="M821" s="46"/>
    </row>
    <row r="822" spans="2:13" ht="15" customHeight="1" x14ac:dyDescent="0.25">
      <c r="B822" s="5">
        <v>44611</v>
      </c>
      <c r="C822" s="5" t="s">
        <v>177</v>
      </c>
      <c r="D822" s="35">
        <v>2022</v>
      </c>
      <c r="E822" t="s">
        <v>445</v>
      </c>
      <c r="F822" t="s">
        <v>444</v>
      </c>
      <c r="G822" t="s">
        <v>485</v>
      </c>
      <c r="H822" s="92" t="s">
        <v>967</v>
      </c>
      <c r="I822">
        <v>1</v>
      </c>
      <c r="J822" s="46">
        <v>2300</v>
      </c>
      <c r="K822" s="50" t="s">
        <v>397</v>
      </c>
      <c r="L822" s="23">
        <v>2300</v>
      </c>
      <c r="M822" s="46"/>
    </row>
    <row r="823" spans="2:13" ht="15" customHeight="1" x14ac:dyDescent="0.25">
      <c r="B823" s="5">
        <v>44611</v>
      </c>
      <c r="C823" s="5" t="s">
        <v>177</v>
      </c>
      <c r="D823" s="35">
        <v>2022</v>
      </c>
      <c r="E823" t="s">
        <v>445</v>
      </c>
      <c r="F823" t="s">
        <v>253</v>
      </c>
      <c r="G823" t="s">
        <v>58</v>
      </c>
      <c r="H823" s="92" t="s">
        <v>969</v>
      </c>
      <c r="I823">
        <v>1</v>
      </c>
      <c r="J823" s="46">
        <v>2530</v>
      </c>
      <c r="K823" s="50" t="s">
        <v>397</v>
      </c>
      <c r="L823" s="23">
        <v>2530</v>
      </c>
      <c r="M823" s="46"/>
    </row>
    <row r="824" spans="2:13" ht="15" customHeight="1" x14ac:dyDescent="0.25">
      <c r="B824" s="5">
        <v>44612</v>
      </c>
      <c r="C824" s="5" t="s">
        <v>177</v>
      </c>
      <c r="D824" s="35">
        <v>2022</v>
      </c>
      <c r="E824" t="s">
        <v>417</v>
      </c>
      <c r="F824" t="s">
        <v>527</v>
      </c>
      <c r="G824" t="s">
        <v>274</v>
      </c>
      <c r="H824" s="92" t="s">
        <v>966</v>
      </c>
      <c r="I824">
        <v>1</v>
      </c>
      <c r="J824" s="46">
        <v>1760</v>
      </c>
      <c r="K824" s="50" t="s">
        <v>397</v>
      </c>
      <c r="L824" s="23">
        <v>1760</v>
      </c>
      <c r="M824" s="46"/>
    </row>
    <row r="825" spans="2:13" ht="15" customHeight="1" x14ac:dyDescent="0.25">
      <c r="B825" s="5">
        <v>44612</v>
      </c>
      <c r="C825" s="5" t="s">
        <v>177</v>
      </c>
      <c r="D825" s="35">
        <v>2022</v>
      </c>
      <c r="E825" t="s">
        <v>417</v>
      </c>
      <c r="F825" t="s">
        <v>528</v>
      </c>
      <c r="G825" t="s">
        <v>364</v>
      </c>
      <c r="H825" s="92" t="s">
        <v>972</v>
      </c>
      <c r="I825">
        <v>1</v>
      </c>
      <c r="J825" s="46">
        <v>600</v>
      </c>
      <c r="K825" s="50" t="s">
        <v>397</v>
      </c>
      <c r="L825" s="46">
        <v>0</v>
      </c>
      <c r="M825" s="103">
        <v>600</v>
      </c>
    </row>
    <row r="826" spans="2:13" ht="15" customHeight="1" x14ac:dyDescent="0.25">
      <c r="B826" s="5">
        <v>44612</v>
      </c>
      <c r="C826" s="5" t="s">
        <v>177</v>
      </c>
      <c r="D826" s="35">
        <v>2022</v>
      </c>
      <c r="E826" t="s">
        <v>417</v>
      </c>
      <c r="F826" t="s">
        <v>529</v>
      </c>
      <c r="G826" t="s">
        <v>128</v>
      </c>
      <c r="H826" s="92" t="s">
        <v>965</v>
      </c>
      <c r="I826">
        <v>1</v>
      </c>
      <c r="J826" s="46">
        <v>1240</v>
      </c>
      <c r="K826" s="50" t="s">
        <v>397</v>
      </c>
      <c r="L826" s="23">
        <v>1240</v>
      </c>
      <c r="M826" s="46"/>
    </row>
    <row r="827" spans="2:13" ht="15" customHeight="1" x14ac:dyDescent="0.25">
      <c r="B827" s="5">
        <v>44612</v>
      </c>
      <c r="C827" s="5" t="s">
        <v>177</v>
      </c>
      <c r="D827" s="35">
        <v>2022</v>
      </c>
      <c r="E827" t="s">
        <v>417</v>
      </c>
      <c r="F827" t="s">
        <v>530</v>
      </c>
      <c r="G827" t="s">
        <v>49</v>
      </c>
      <c r="H827" s="92" t="s">
        <v>966</v>
      </c>
      <c r="I827">
        <v>1</v>
      </c>
      <c r="J827" s="46">
        <v>1740</v>
      </c>
      <c r="K827" s="50" t="s">
        <v>397</v>
      </c>
      <c r="L827" s="23">
        <v>1740</v>
      </c>
      <c r="M827" s="46"/>
    </row>
    <row r="828" spans="2:13" ht="15" customHeight="1" x14ac:dyDescent="0.25">
      <c r="B828" s="5">
        <v>44612</v>
      </c>
      <c r="C828" s="5" t="s">
        <v>177</v>
      </c>
      <c r="D828" s="35">
        <v>2022</v>
      </c>
      <c r="E828" t="s">
        <v>417</v>
      </c>
      <c r="F828" t="s">
        <v>531</v>
      </c>
      <c r="G828" t="s">
        <v>364</v>
      </c>
      <c r="H828" s="92" t="s">
        <v>972</v>
      </c>
      <c r="I828">
        <v>1</v>
      </c>
      <c r="J828" s="46">
        <v>600</v>
      </c>
      <c r="K828" s="50" t="s">
        <v>397</v>
      </c>
      <c r="L828" s="46">
        <v>0</v>
      </c>
      <c r="M828" s="103">
        <v>600</v>
      </c>
    </row>
    <row r="829" spans="2:13" ht="15" customHeight="1" x14ac:dyDescent="0.25">
      <c r="B829" s="5">
        <v>44612</v>
      </c>
      <c r="C829" s="5" t="s">
        <v>177</v>
      </c>
      <c r="D829" s="35">
        <v>2022</v>
      </c>
      <c r="E829" t="s">
        <v>417</v>
      </c>
      <c r="F829" t="s">
        <v>44</v>
      </c>
      <c r="G829" t="s">
        <v>274</v>
      </c>
      <c r="H829" s="92" t="s">
        <v>966</v>
      </c>
      <c r="I829">
        <v>1</v>
      </c>
      <c r="J829" s="46">
        <v>1760</v>
      </c>
      <c r="K829" s="50" t="s">
        <v>397</v>
      </c>
      <c r="L829" s="23">
        <v>1760</v>
      </c>
      <c r="M829" s="46"/>
    </row>
    <row r="830" spans="2:13" ht="15" customHeight="1" x14ac:dyDescent="0.25">
      <c r="B830" s="5">
        <v>44612</v>
      </c>
      <c r="C830" s="5" t="s">
        <v>177</v>
      </c>
      <c r="D830" s="35">
        <v>2022</v>
      </c>
      <c r="E830" t="s">
        <v>417</v>
      </c>
      <c r="F830" t="s">
        <v>107</v>
      </c>
      <c r="G830" t="s">
        <v>364</v>
      </c>
      <c r="H830" s="92" t="s">
        <v>972</v>
      </c>
      <c r="I830">
        <v>1</v>
      </c>
      <c r="J830" s="46">
        <v>600</v>
      </c>
      <c r="K830" s="50" t="s">
        <v>397</v>
      </c>
      <c r="L830" s="46">
        <v>0</v>
      </c>
      <c r="M830" s="103">
        <v>600</v>
      </c>
    </row>
    <row r="831" spans="2:13" ht="15" customHeight="1" x14ac:dyDescent="0.25">
      <c r="B831" s="5">
        <v>44612</v>
      </c>
      <c r="C831" s="5" t="s">
        <v>177</v>
      </c>
      <c r="D831" s="35">
        <v>2022</v>
      </c>
      <c r="E831" t="s">
        <v>417</v>
      </c>
      <c r="F831" t="s">
        <v>107</v>
      </c>
      <c r="G831" t="s">
        <v>123</v>
      </c>
      <c r="H831" s="92" t="s">
        <v>966</v>
      </c>
      <c r="I831">
        <v>1</v>
      </c>
      <c r="J831" s="46">
        <v>1750</v>
      </c>
      <c r="K831" s="50" t="s">
        <v>397</v>
      </c>
      <c r="L831" s="23">
        <v>1750</v>
      </c>
      <c r="M831" s="46"/>
    </row>
    <row r="832" spans="2:13" ht="15" customHeight="1" x14ac:dyDescent="0.25">
      <c r="B832" s="5">
        <v>44612</v>
      </c>
      <c r="C832" s="5" t="s">
        <v>177</v>
      </c>
      <c r="D832" s="35">
        <v>2022</v>
      </c>
      <c r="E832" t="s">
        <v>417</v>
      </c>
      <c r="F832" t="s">
        <v>46</v>
      </c>
      <c r="G832" t="s">
        <v>120</v>
      </c>
      <c r="H832" s="24" t="s">
        <v>968</v>
      </c>
      <c r="I832">
        <v>1</v>
      </c>
      <c r="J832" s="46">
        <v>4400</v>
      </c>
      <c r="K832" s="50" t="s">
        <v>397</v>
      </c>
      <c r="L832" s="23">
        <v>4400</v>
      </c>
      <c r="M832" s="46"/>
    </row>
    <row r="833" spans="2:16" ht="15" customHeight="1" x14ac:dyDescent="0.25">
      <c r="B833" s="5">
        <v>44612</v>
      </c>
      <c r="C833" s="5" t="s">
        <v>177</v>
      </c>
      <c r="D833" s="35">
        <v>2022</v>
      </c>
      <c r="E833" t="s">
        <v>417</v>
      </c>
      <c r="F833" t="s">
        <v>482</v>
      </c>
      <c r="G833" t="s">
        <v>485</v>
      </c>
      <c r="H833" s="92" t="s">
        <v>967</v>
      </c>
      <c r="I833">
        <v>1</v>
      </c>
      <c r="J833" s="46">
        <v>2300</v>
      </c>
      <c r="K833" s="50" t="s">
        <v>397</v>
      </c>
      <c r="L833" s="23">
        <v>2300</v>
      </c>
      <c r="M833" s="46"/>
    </row>
    <row r="834" spans="2:16" ht="15" customHeight="1" x14ac:dyDescent="0.25">
      <c r="B834" s="5">
        <v>44612</v>
      </c>
      <c r="C834" s="5" t="s">
        <v>177</v>
      </c>
      <c r="D834" s="35">
        <v>2022</v>
      </c>
      <c r="E834" t="s">
        <v>417</v>
      </c>
      <c r="F834" t="s">
        <v>482</v>
      </c>
      <c r="G834" t="s">
        <v>269</v>
      </c>
      <c r="H834" s="92" t="s">
        <v>983</v>
      </c>
      <c r="I834">
        <v>1</v>
      </c>
      <c r="J834" s="46">
        <v>290</v>
      </c>
      <c r="K834" s="50" t="s">
        <v>397</v>
      </c>
      <c r="L834" s="23">
        <v>290</v>
      </c>
      <c r="M834" s="46"/>
    </row>
    <row r="835" spans="2:16" ht="15" customHeight="1" x14ac:dyDescent="0.25">
      <c r="B835" s="5">
        <v>44612</v>
      </c>
      <c r="C835" s="5" t="s">
        <v>177</v>
      </c>
      <c r="D835" s="35">
        <v>2022</v>
      </c>
      <c r="E835" t="s">
        <v>417</v>
      </c>
      <c r="F835" t="s">
        <v>482</v>
      </c>
      <c r="G835" t="s">
        <v>128</v>
      </c>
      <c r="H835" s="92" t="s">
        <v>965</v>
      </c>
      <c r="I835">
        <v>1</v>
      </c>
      <c r="J835" s="46">
        <v>1240</v>
      </c>
      <c r="K835" s="50" t="s">
        <v>397</v>
      </c>
      <c r="L835" s="23">
        <v>1240</v>
      </c>
      <c r="M835" s="46"/>
    </row>
    <row r="836" spans="2:16" ht="15" customHeight="1" x14ac:dyDescent="0.25">
      <c r="B836" s="5">
        <v>44612</v>
      </c>
      <c r="C836" s="5" t="s">
        <v>177</v>
      </c>
      <c r="D836" s="35">
        <v>2022</v>
      </c>
      <c r="E836" t="s">
        <v>417</v>
      </c>
      <c r="F836" t="s">
        <v>483</v>
      </c>
      <c r="G836" t="s">
        <v>194</v>
      </c>
      <c r="H836" s="24" t="s">
        <v>968</v>
      </c>
      <c r="I836">
        <v>1</v>
      </c>
      <c r="J836" s="46">
        <v>2300</v>
      </c>
      <c r="K836" s="50" t="s">
        <v>397</v>
      </c>
      <c r="L836" s="23">
        <v>2300</v>
      </c>
      <c r="M836" s="46"/>
    </row>
    <row r="837" spans="2:16" ht="15" customHeight="1" x14ac:dyDescent="0.25">
      <c r="B837" s="5">
        <v>44612</v>
      </c>
      <c r="C837" s="5" t="s">
        <v>177</v>
      </c>
      <c r="D837" s="35">
        <v>2022</v>
      </c>
      <c r="E837" t="s">
        <v>417</v>
      </c>
      <c r="F837" t="s">
        <v>532</v>
      </c>
      <c r="G837" t="s">
        <v>269</v>
      </c>
      <c r="H837" s="92" t="s">
        <v>983</v>
      </c>
      <c r="I837">
        <v>1</v>
      </c>
      <c r="J837" s="46">
        <v>290</v>
      </c>
      <c r="K837" s="50" t="s">
        <v>397</v>
      </c>
      <c r="L837" s="23">
        <v>290</v>
      </c>
      <c r="M837" s="46"/>
    </row>
    <row r="838" spans="2:16" ht="15" customHeight="1" x14ac:dyDescent="0.25">
      <c r="B838" s="5">
        <v>44613</v>
      </c>
      <c r="C838" s="5" t="s">
        <v>177</v>
      </c>
      <c r="D838" s="35">
        <v>2022</v>
      </c>
      <c r="E838" t="s">
        <v>22</v>
      </c>
      <c r="F838" t="s">
        <v>306</v>
      </c>
      <c r="G838" t="s">
        <v>192</v>
      </c>
      <c r="H838" s="24" t="s">
        <v>976</v>
      </c>
      <c r="I838">
        <v>1</v>
      </c>
      <c r="J838" s="46">
        <v>1395</v>
      </c>
      <c r="K838" s="50" t="s">
        <v>545</v>
      </c>
      <c r="L838" s="23">
        <v>1395</v>
      </c>
      <c r="M838" s="46"/>
    </row>
    <row r="839" spans="2:16" ht="15" customHeight="1" x14ac:dyDescent="0.25">
      <c r="B839" s="5">
        <v>44613</v>
      </c>
      <c r="C839" s="5" t="s">
        <v>177</v>
      </c>
      <c r="D839" s="35">
        <v>2022</v>
      </c>
      <c r="E839" t="s">
        <v>22</v>
      </c>
      <c r="F839" t="s">
        <v>420</v>
      </c>
      <c r="G839" t="s">
        <v>412</v>
      </c>
      <c r="H839" s="92" t="s">
        <v>977</v>
      </c>
      <c r="I839">
        <v>1</v>
      </c>
      <c r="J839" s="46">
        <v>3310</v>
      </c>
      <c r="K839" s="50" t="s">
        <v>545</v>
      </c>
      <c r="L839" s="23">
        <v>3310</v>
      </c>
      <c r="M839" s="46"/>
    </row>
    <row r="840" spans="2:16" ht="15" customHeight="1" x14ac:dyDescent="0.25">
      <c r="B840" s="5">
        <v>44613</v>
      </c>
      <c r="C840" s="5" t="s">
        <v>177</v>
      </c>
      <c r="D840" s="35">
        <v>2022</v>
      </c>
      <c r="E840" t="s">
        <v>22</v>
      </c>
      <c r="F840" t="s">
        <v>473</v>
      </c>
      <c r="G840" t="s">
        <v>128</v>
      </c>
      <c r="H840" s="92" t="s">
        <v>965</v>
      </c>
      <c r="I840">
        <v>1</v>
      </c>
      <c r="J840" s="46">
        <v>1240</v>
      </c>
      <c r="K840" s="50" t="s">
        <v>545</v>
      </c>
      <c r="L840" s="23">
        <v>1240</v>
      </c>
      <c r="M840" s="46"/>
    </row>
    <row r="841" spans="2:16" ht="15" customHeight="1" x14ac:dyDescent="0.25">
      <c r="B841" s="5">
        <v>44613</v>
      </c>
      <c r="C841" s="5" t="s">
        <v>177</v>
      </c>
      <c r="D841" s="35">
        <v>2022</v>
      </c>
      <c r="E841" t="s">
        <v>22</v>
      </c>
      <c r="F841" t="s">
        <v>236</v>
      </c>
      <c r="G841" t="s">
        <v>425</v>
      </c>
      <c r="H841" s="92" t="s">
        <v>980</v>
      </c>
      <c r="I841">
        <v>1</v>
      </c>
      <c r="J841" s="46">
        <v>210</v>
      </c>
      <c r="K841" s="50" t="s">
        <v>545</v>
      </c>
      <c r="L841" s="23">
        <v>210</v>
      </c>
      <c r="M841" s="46"/>
    </row>
    <row r="842" spans="2:16" ht="15" customHeight="1" x14ac:dyDescent="0.25">
      <c r="B842" s="5">
        <v>44613</v>
      </c>
      <c r="C842" s="5" t="s">
        <v>177</v>
      </c>
      <c r="D842" s="35">
        <v>2022</v>
      </c>
      <c r="E842" t="s">
        <v>22</v>
      </c>
      <c r="F842" t="s">
        <v>236</v>
      </c>
      <c r="G842" t="s">
        <v>416</v>
      </c>
      <c r="H842" s="24" t="s">
        <v>968</v>
      </c>
      <c r="I842">
        <v>2</v>
      </c>
      <c r="J842" s="46">
        <v>8910</v>
      </c>
      <c r="K842" s="50" t="s">
        <v>545</v>
      </c>
      <c r="L842" s="23">
        <v>8910</v>
      </c>
      <c r="M842" s="46"/>
    </row>
    <row r="843" spans="2:16" ht="15" customHeight="1" x14ac:dyDescent="0.25">
      <c r="B843" s="5">
        <v>44613</v>
      </c>
      <c r="C843" s="5" t="s">
        <v>177</v>
      </c>
      <c r="D843" s="35">
        <v>2022</v>
      </c>
      <c r="E843" t="s">
        <v>22</v>
      </c>
      <c r="F843" t="s">
        <v>236</v>
      </c>
      <c r="G843" t="s">
        <v>55</v>
      </c>
      <c r="H843" s="92" t="s">
        <v>965</v>
      </c>
      <c r="I843">
        <v>1</v>
      </c>
      <c r="J843" s="46">
        <v>1390</v>
      </c>
      <c r="K843" s="50" t="s">
        <v>545</v>
      </c>
      <c r="L843" s="23">
        <v>1390</v>
      </c>
      <c r="M843" s="46"/>
    </row>
    <row r="844" spans="2:16" ht="15" customHeight="1" x14ac:dyDescent="0.25">
      <c r="B844" s="5">
        <v>44613</v>
      </c>
      <c r="C844" s="5" t="s">
        <v>177</v>
      </c>
      <c r="D844" s="35">
        <v>2022</v>
      </c>
      <c r="E844" t="s">
        <v>22</v>
      </c>
      <c r="F844" t="s">
        <v>93</v>
      </c>
      <c r="G844" t="s">
        <v>380</v>
      </c>
      <c r="H844" s="92" t="s">
        <v>972</v>
      </c>
      <c r="I844">
        <v>2</v>
      </c>
      <c r="J844" s="46">
        <v>1200</v>
      </c>
      <c r="K844" s="50" t="s">
        <v>545</v>
      </c>
      <c r="L844" s="23">
        <v>1200</v>
      </c>
      <c r="M844" s="46"/>
    </row>
    <row r="845" spans="2:16" ht="15" customHeight="1" x14ac:dyDescent="0.25">
      <c r="B845" s="5">
        <v>44613</v>
      </c>
      <c r="C845" s="5" t="s">
        <v>177</v>
      </c>
      <c r="D845" s="35">
        <v>2022</v>
      </c>
      <c r="E845" t="s">
        <v>22</v>
      </c>
      <c r="F845" t="s">
        <v>502</v>
      </c>
      <c r="G845" t="s">
        <v>128</v>
      </c>
      <c r="H845" s="92" t="s">
        <v>965</v>
      </c>
      <c r="I845">
        <v>1</v>
      </c>
      <c r="J845" s="46">
        <v>1240</v>
      </c>
      <c r="K845" s="50" t="s">
        <v>545</v>
      </c>
      <c r="L845" s="23">
        <v>1240</v>
      </c>
      <c r="M845" s="46"/>
    </row>
    <row r="846" spans="2:16" ht="15" customHeight="1" x14ac:dyDescent="0.25">
      <c r="B846" s="5">
        <v>44613</v>
      </c>
      <c r="C846" s="5" t="s">
        <v>177</v>
      </c>
      <c r="D846" s="35">
        <v>2022</v>
      </c>
      <c r="E846" t="s">
        <v>22</v>
      </c>
      <c r="F846" t="s">
        <v>502</v>
      </c>
      <c r="G846" t="s">
        <v>476</v>
      </c>
      <c r="H846" s="92" t="s">
        <v>969</v>
      </c>
      <c r="I846">
        <v>1</v>
      </c>
      <c r="J846" s="46">
        <v>6100</v>
      </c>
      <c r="K846" s="50" t="s">
        <v>545</v>
      </c>
      <c r="L846" s="23">
        <v>6100</v>
      </c>
      <c r="M846" s="46"/>
    </row>
    <row r="847" spans="2:16" ht="15" customHeight="1" x14ac:dyDescent="0.25">
      <c r="B847" s="5">
        <v>44613</v>
      </c>
      <c r="C847" s="5" t="s">
        <v>177</v>
      </c>
      <c r="D847" s="35">
        <v>2022</v>
      </c>
      <c r="E847" t="s">
        <v>356</v>
      </c>
      <c r="F847" t="s">
        <v>350</v>
      </c>
      <c r="G847" t="s">
        <v>58</v>
      </c>
      <c r="H847" s="92" t="s">
        <v>969</v>
      </c>
      <c r="I847">
        <v>1</v>
      </c>
      <c r="J847" s="46">
        <v>2530</v>
      </c>
      <c r="K847" s="50" t="s">
        <v>545</v>
      </c>
      <c r="L847" s="23">
        <v>2530</v>
      </c>
      <c r="M847" s="46"/>
    </row>
    <row r="848" spans="2:16" ht="15" customHeight="1" x14ac:dyDescent="0.25">
      <c r="B848" s="5">
        <v>44613</v>
      </c>
      <c r="C848" s="5" t="s">
        <v>177</v>
      </c>
      <c r="D848" s="35">
        <v>2022</v>
      </c>
      <c r="E848" t="s">
        <v>356</v>
      </c>
      <c r="F848" t="s">
        <v>56</v>
      </c>
      <c r="G848" t="s">
        <v>120</v>
      </c>
      <c r="H848" s="24" t="s">
        <v>968</v>
      </c>
      <c r="I848">
        <v>6</v>
      </c>
      <c r="J848" s="46">
        <v>26880</v>
      </c>
      <c r="K848" s="50" t="s">
        <v>545</v>
      </c>
      <c r="L848" s="23">
        <v>26880</v>
      </c>
      <c r="M848" s="46"/>
      <c r="N848" s="46">
        <v>26880</v>
      </c>
      <c r="P848" t="s">
        <v>571</v>
      </c>
    </row>
    <row r="849" spans="2:14" ht="15" customHeight="1" x14ac:dyDescent="0.25">
      <c r="B849" s="5">
        <v>44613</v>
      </c>
      <c r="C849" s="5" t="s">
        <v>177</v>
      </c>
      <c r="D849" s="35">
        <v>2022</v>
      </c>
      <c r="E849" t="s">
        <v>356</v>
      </c>
      <c r="F849" t="s">
        <v>477</v>
      </c>
      <c r="G849" t="s">
        <v>55</v>
      </c>
      <c r="H849" s="92" t="s">
        <v>965</v>
      </c>
      <c r="I849">
        <v>1</v>
      </c>
      <c r="J849" s="46">
        <v>1390</v>
      </c>
      <c r="K849" s="50" t="s">
        <v>545</v>
      </c>
      <c r="L849" s="23">
        <v>1390</v>
      </c>
      <c r="M849" s="46"/>
    </row>
    <row r="850" spans="2:14" ht="15" customHeight="1" x14ac:dyDescent="0.25">
      <c r="B850" s="5">
        <v>44613</v>
      </c>
      <c r="C850" s="5" t="s">
        <v>177</v>
      </c>
      <c r="D850" s="35">
        <v>2022</v>
      </c>
      <c r="E850" t="s">
        <v>356</v>
      </c>
      <c r="F850" t="s">
        <v>353</v>
      </c>
      <c r="G850" t="s">
        <v>120</v>
      </c>
      <c r="H850" s="24" t="s">
        <v>968</v>
      </c>
      <c r="I850">
        <v>1</v>
      </c>
      <c r="J850" s="46">
        <v>4480</v>
      </c>
      <c r="K850" s="50" t="s">
        <v>545</v>
      </c>
      <c r="L850" s="23">
        <v>4480</v>
      </c>
      <c r="M850" s="46"/>
    </row>
    <row r="851" spans="2:14" ht="15" customHeight="1" x14ac:dyDescent="0.25">
      <c r="B851" s="5">
        <v>44613</v>
      </c>
      <c r="C851" s="5" t="s">
        <v>177</v>
      </c>
      <c r="D851" s="35">
        <v>2022</v>
      </c>
      <c r="E851" t="s">
        <v>356</v>
      </c>
      <c r="F851" t="s">
        <v>353</v>
      </c>
      <c r="G851" t="s">
        <v>45</v>
      </c>
      <c r="H851" s="92" t="s">
        <v>965</v>
      </c>
      <c r="I851">
        <v>7</v>
      </c>
      <c r="J851" s="46">
        <v>9730</v>
      </c>
      <c r="K851" s="50" t="s">
        <v>545</v>
      </c>
      <c r="L851" s="23">
        <v>9730</v>
      </c>
      <c r="M851" s="46"/>
    </row>
    <row r="852" spans="2:14" ht="15" customHeight="1" x14ac:dyDescent="0.25">
      <c r="B852" s="5">
        <v>44613</v>
      </c>
      <c r="C852" s="5" t="s">
        <v>177</v>
      </c>
      <c r="D852" s="35">
        <v>2022</v>
      </c>
      <c r="E852" t="s">
        <v>356</v>
      </c>
      <c r="F852" t="s">
        <v>353</v>
      </c>
      <c r="G852" t="s">
        <v>126</v>
      </c>
      <c r="H852" s="92" t="s">
        <v>965</v>
      </c>
      <c r="I852">
        <v>2</v>
      </c>
      <c r="J852" s="46">
        <v>2820</v>
      </c>
      <c r="K852" s="50" t="s">
        <v>545</v>
      </c>
      <c r="L852" s="23">
        <v>2820</v>
      </c>
      <c r="M852" s="46"/>
    </row>
    <row r="853" spans="2:14" ht="15" customHeight="1" x14ac:dyDescent="0.25">
      <c r="B853" s="5">
        <v>44613</v>
      </c>
      <c r="C853" s="5" t="s">
        <v>177</v>
      </c>
      <c r="D853" s="35">
        <v>2022</v>
      </c>
      <c r="E853" t="s">
        <v>356</v>
      </c>
      <c r="F853" t="s">
        <v>313</v>
      </c>
      <c r="G853" t="s">
        <v>58</v>
      </c>
      <c r="H853" s="92" t="s">
        <v>969</v>
      </c>
      <c r="I853">
        <v>1</v>
      </c>
      <c r="J853" s="46">
        <v>2530</v>
      </c>
      <c r="K853" s="50" t="s">
        <v>545</v>
      </c>
      <c r="L853" s="23">
        <v>2530</v>
      </c>
      <c r="M853" s="46"/>
    </row>
    <row r="854" spans="2:14" ht="15" customHeight="1" x14ac:dyDescent="0.25">
      <c r="B854" s="5">
        <v>44613</v>
      </c>
      <c r="C854" s="5" t="s">
        <v>177</v>
      </c>
      <c r="D854" s="35">
        <v>2022</v>
      </c>
      <c r="E854" t="s">
        <v>356</v>
      </c>
      <c r="F854" t="s">
        <v>313</v>
      </c>
      <c r="G854" t="s">
        <v>53</v>
      </c>
      <c r="H854" s="92" t="s">
        <v>984</v>
      </c>
      <c r="I854">
        <v>1</v>
      </c>
      <c r="J854" s="46">
        <v>950</v>
      </c>
      <c r="K854" s="50" t="s">
        <v>545</v>
      </c>
      <c r="L854" s="46"/>
      <c r="M854" s="46"/>
      <c r="N854" s="103">
        <v>950</v>
      </c>
    </row>
    <row r="855" spans="2:14" ht="15" customHeight="1" x14ac:dyDescent="0.25">
      <c r="B855" s="5">
        <v>44613</v>
      </c>
      <c r="C855" s="5" t="s">
        <v>177</v>
      </c>
      <c r="D855" s="35">
        <v>2022</v>
      </c>
      <c r="E855" t="s">
        <v>356</v>
      </c>
      <c r="F855" t="s">
        <v>137</v>
      </c>
      <c r="G855" t="s">
        <v>123</v>
      </c>
      <c r="H855" s="92" t="s">
        <v>966</v>
      </c>
      <c r="I855">
        <v>2</v>
      </c>
      <c r="J855" s="46">
        <v>3500</v>
      </c>
      <c r="K855" s="50" t="s">
        <v>545</v>
      </c>
      <c r="L855" s="46"/>
      <c r="M855" s="46"/>
      <c r="N855" s="103">
        <v>3500</v>
      </c>
    </row>
    <row r="856" spans="2:14" ht="15" customHeight="1" x14ac:dyDescent="0.25">
      <c r="B856" s="5">
        <v>44613</v>
      </c>
      <c r="C856" s="5" t="s">
        <v>177</v>
      </c>
      <c r="D856" s="35">
        <v>2022</v>
      </c>
      <c r="E856" t="s">
        <v>356</v>
      </c>
      <c r="F856" t="s">
        <v>137</v>
      </c>
      <c r="G856" t="s">
        <v>49</v>
      </c>
      <c r="H856" s="92" t="s">
        <v>966</v>
      </c>
      <c r="I856">
        <v>2</v>
      </c>
      <c r="J856" s="46">
        <v>3480</v>
      </c>
      <c r="K856" s="50" t="s">
        <v>545</v>
      </c>
      <c r="L856" s="23">
        <v>3480</v>
      </c>
      <c r="M856" s="46"/>
    </row>
    <row r="857" spans="2:14" ht="15" customHeight="1" x14ac:dyDescent="0.25">
      <c r="B857" s="5">
        <v>44613</v>
      </c>
      <c r="C857" s="5" t="s">
        <v>177</v>
      </c>
      <c r="D857" s="35">
        <v>2022</v>
      </c>
      <c r="E857" t="s">
        <v>417</v>
      </c>
      <c r="F857" t="s">
        <v>276</v>
      </c>
      <c r="G857" t="s">
        <v>552</v>
      </c>
      <c r="H857" s="24" t="s">
        <v>968</v>
      </c>
      <c r="I857">
        <v>1</v>
      </c>
      <c r="J857" s="46">
        <v>720</v>
      </c>
      <c r="K857" s="50" t="s">
        <v>545</v>
      </c>
      <c r="L857" s="23">
        <v>720</v>
      </c>
      <c r="M857" s="46"/>
    </row>
    <row r="858" spans="2:14" ht="15" customHeight="1" x14ac:dyDescent="0.25">
      <c r="B858" s="5">
        <v>44613</v>
      </c>
      <c r="C858" s="5" t="s">
        <v>177</v>
      </c>
      <c r="D858" s="35">
        <v>2022</v>
      </c>
      <c r="E858" t="s">
        <v>417</v>
      </c>
      <c r="F858" t="s">
        <v>278</v>
      </c>
      <c r="G858" t="s">
        <v>123</v>
      </c>
      <c r="H858" s="92" t="s">
        <v>966</v>
      </c>
      <c r="I858">
        <v>2</v>
      </c>
      <c r="J858" s="46">
        <v>3500</v>
      </c>
      <c r="K858" s="50" t="s">
        <v>545</v>
      </c>
      <c r="L858" s="23">
        <v>3500</v>
      </c>
      <c r="M858" s="46"/>
    </row>
    <row r="859" spans="2:14" ht="15" customHeight="1" x14ac:dyDescent="0.25">
      <c r="B859" s="5">
        <v>44613</v>
      </c>
      <c r="C859" s="5" t="s">
        <v>177</v>
      </c>
      <c r="D859" s="35">
        <v>2022</v>
      </c>
      <c r="E859" t="s">
        <v>417</v>
      </c>
      <c r="F859" t="s">
        <v>278</v>
      </c>
      <c r="G859" t="s">
        <v>413</v>
      </c>
      <c r="H859" s="92" t="s">
        <v>977</v>
      </c>
      <c r="I859">
        <v>2</v>
      </c>
      <c r="J859" s="46">
        <v>1120</v>
      </c>
      <c r="K859" s="50" t="s">
        <v>545</v>
      </c>
      <c r="L859" s="23">
        <v>1120</v>
      </c>
      <c r="M859" s="46"/>
    </row>
    <row r="860" spans="2:14" ht="15" customHeight="1" x14ac:dyDescent="0.25">
      <c r="B860" s="5">
        <v>44613</v>
      </c>
      <c r="C860" s="5" t="s">
        <v>177</v>
      </c>
      <c r="D860" s="35">
        <v>2022</v>
      </c>
      <c r="E860" t="s">
        <v>417</v>
      </c>
      <c r="F860" t="s">
        <v>279</v>
      </c>
      <c r="G860" t="s">
        <v>485</v>
      </c>
      <c r="H860" s="92" t="s">
        <v>967</v>
      </c>
      <c r="I860">
        <v>1</v>
      </c>
      <c r="J860" s="46">
        <v>2300</v>
      </c>
      <c r="K860" s="50" t="s">
        <v>545</v>
      </c>
      <c r="L860" s="23">
        <v>2300</v>
      </c>
      <c r="M860" s="46"/>
    </row>
    <row r="861" spans="2:14" ht="15" customHeight="1" x14ac:dyDescent="0.25">
      <c r="B861" s="5">
        <v>44613</v>
      </c>
      <c r="C861" s="5" t="s">
        <v>177</v>
      </c>
      <c r="D861" s="35">
        <v>2022</v>
      </c>
      <c r="E861" t="s">
        <v>417</v>
      </c>
      <c r="F861" t="s">
        <v>150</v>
      </c>
      <c r="G861" t="s">
        <v>364</v>
      </c>
      <c r="H861" s="92" t="s">
        <v>972</v>
      </c>
      <c r="I861">
        <v>1</v>
      </c>
      <c r="J861" s="46">
        <v>600</v>
      </c>
      <c r="K861" s="50" t="s">
        <v>545</v>
      </c>
      <c r="L861" s="46"/>
      <c r="M861" s="46"/>
      <c r="N861" s="103">
        <v>600</v>
      </c>
    </row>
    <row r="862" spans="2:14" ht="15" customHeight="1" x14ac:dyDescent="0.25">
      <c r="B862" s="5">
        <v>44613</v>
      </c>
      <c r="C862" s="5" t="s">
        <v>177</v>
      </c>
      <c r="D862" s="35">
        <v>2022</v>
      </c>
      <c r="E862" t="s">
        <v>417</v>
      </c>
      <c r="F862" t="s">
        <v>547</v>
      </c>
      <c r="G862" t="s">
        <v>413</v>
      </c>
      <c r="H862" s="92" t="s">
        <v>977</v>
      </c>
      <c r="I862">
        <v>1</v>
      </c>
      <c r="J862" s="46">
        <v>560</v>
      </c>
      <c r="K862" s="50" t="s">
        <v>545</v>
      </c>
      <c r="L862" s="23">
        <v>560</v>
      </c>
      <c r="M862" s="46"/>
    </row>
    <row r="863" spans="2:14" ht="15" customHeight="1" x14ac:dyDescent="0.25">
      <c r="B863" s="5">
        <v>44613</v>
      </c>
      <c r="C863" s="5" t="s">
        <v>177</v>
      </c>
      <c r="D863" s="35">
        <v>2022</v>
      </c>
      <c r="E863" t="s">
        <v>417</v>
      </c>
      <c r="F863" t="s">
        <v>547</v>
      </c>
      <c r="G863" t="s">
        <v>192</v>
      </c>
      <c r="H863" s="24" t="s">
        <v>976</v>
      </c>
      <c r="I863">
        <v>1</v>
      </c>
      <c r="J863" s="46">
        <v>1395</v>
      </c>
      <c r="K863" s="50" t="s">
        <v>545</v>
      </c>
      <c r="L863" s="23">
        <v>1395</v>
      </c>
      <c r="M863" s="46"/>
    </row>
    <row r="864" spans="2:14" ht="15" customHeight="1" x14ac:dyDescent="0.25">
      <c r="B864" s="5">
        <v>44613</v>
      </c>
      <c r="C864" s="5" t="s">
        <v>177</v>
      </c>
      <c r="D864" s="35">
        <v>2022</v>
      </c>
      <c r="E864" t="s">
        <v>417</v>
      </c>
      <c r="F864" t="s">
        <v>394</v>
      </c>
      <c r="G864" t="s">
        <v>124</v>
      </c>
      <c r="H864" s="92" t="s">
        <v>982</v>
      </c>
      <c r="I864">
        <v>1</v>
      </c>
      <c r="J864" s="46">
        <v>625</v>
      </c>
      <c r="K864" s="50" t="s">
        <v>545</v>
      </c>
      <c r="L864" s="23">
        <v>625</v>
      </c>
      <c r="M864" s="46"/>
    </row>
    <row r="865" spans="2:14" ht="15" customHeight="1" x14ac:dyDescent="0.25">
      <c r="B865" s="5">
        <v>44613</v>
      </c>
      <c r="C865" s="5" t="s">
        <v>177</v>
      </c>
      <c r="D865" s="35">
        <v>2022</v>
      </c>
      <c r="E865" t="s">
        <v>417</v>
      </c>
      <c r="F865" t="s">
        <v>358</v>
      </c>
      <c r="G865" t="s">
        <v>55</v>
      </c>
      <c r="H865" s="92" t="s">
        <v>965</v>
      </c>
      <c r="I865">
        <v>1</v>
      </c>
      <c r="J865" s="46">
        <v>1390</v>
      </c>
      <c r="K865" s="50" t="s">
        <v>545</v>
      </c>
      <c r="L865" s="23">
        <v>1390</v>
      </c>
      <c r="M865" s="46"/>
    </row>
    <row r="866" spans="2:14" ht="15" customHeight="1" x14ac:dyDescent="0.25">
      <c r="B866" s="5">
        <v>44613</v>
      </c>
      <c r="C866" s="5" t="s">
        <v>177</v>
      </c>
      <c r="D866" s="35">
        <v>2022</v>
      </c>
      <c r="E866" t="s">
        <v>417</v>
      </c>
      <c r="F866" t="s">
        <v>358</v>
      </c>
      <c r="G866" t="s">
        <v>413</v>
      </c>
      <c r="H866" s="92" t="s">
        <v>977</v>
      </c>
      <c r="I866">
        <v>1</v>
      </c>
      <c r="J866" s="46">
        <v>560</v>
      </c>
      <c r="K866" s="50" t="s">
        <v>545</v>
      </c>
      <c r="L866" s="23">
        <v>560</v>
      </c>
      <c r="M866" s="46"/>
    </row>
    <row r="867" spans="2:14" ht="15" customHeight="1" x14ac:dyDescent="0.25">
      <c r="B867" s="5">
        <v>44613</v>
      </c>
      <c r="C867" s="5" t="s">
        <v>177</v>
      </c>
      <c r="D867" s="35">
        <v>2022</v>
      </c>
      <c r="E867" t="s">
        <v>417</v>
      </c>
      <c r="F867" t="s">
        <v>548</v>
      </c>
      <c r="G867" t="s">
        <v>553</v>
      </c>
      <c r="H867" s="92" t="s">
        <v>981</v>
      </c>
      <c r="I867">
        <v>1</v>
      </c>
      <c r="J867" s="46">
        <v>280</v>
      </c>
      <c r="K867" s="50" t="s">
        <v>545</v>
      </c>
      <c r="L867" s="23">
        <v>280</v>
      </c>
      <c r="M867" s="46"/>
    </row>
    <row r="868" spans="2:14" ht="15" customHeight="1" x14ac:dyDescent="0.25">
      <c r="B868" s="5">
        <v>44613</v>
      </c>
      <c r="C868" s="5" t="s">
        <v>177</v>
      </c>
      <c r="D868" s="35">
        <v>2022</v>
      </c>
      <c r="E868" t="s">
        <v>417</v>
      </c>
      <c r="F868" t="s">
        <v>549</v>
      </c>
      <c r="G868" t="s">
        <v>269</v>
      </c>
      <c r="H868" s="92" t="s">
        <v>983</v>
      </c>
      <c r="I868">
        <v>2</v>
      </c>
      <c r="J868" s="46">
        <v>580</v>
      </c>
      <c r="K868" s="50" t="s">
        <v>545</v>
      </c>
      <c r="L868" s="23">
        <v>580</v>
      </c>
      <c r="M868" s="46"/>
    </row>
    <row r="869" spans="2:14" s="126" customFormat="1" ht="15" customHeight="1" x14ac:dyDescent="0.25">
      <c r="B869" s="124">
        <v>44613</v>
      </c>
      <c r="C869" s="124" t="s">
        <v>177</v>
      </c>
      <c r="D869" s="125">
        <v>2022</v>
      </c>
      <c r="E869" s="126" t="s">
        <v>417</v>
      </c>
      <c r="F869" s="126" t="s">
        <v>549</v>
      </c>
      <c r="G869" s="126" t="s">
        <v>554</v>
      </c>
      <c r="H869" s="92" t="s">
        <v>983</v>
      </c>
      <c r="I869" s="126">
        <v>1</v>
      </c>
      <c r="J869" s="127">
        <v>6060</v>
      </c>
      <c r="K869" s="128" t="s">
        <v>545</v>
      </c>
      <c r="L869" s="23">
        <v>6060</v>
      </c>
      <c r="M869" s="127"/>
    </row>
    <row r="870" spans="2:14" ht="15" customHeight="1" x14ac:dyDescent="0.25">
      <c r="B870" s="5">
        <v>44613</v>
      </c>
      <c r="C870" s="5" t="s">
        <v>177</v>
      </c>
      <c r="D870" s="35">
        <v>2022</v>
      </c>
      <c r="E870" t="s">
        <v>417</v>
      </c>
      <c r="F870" t="s">
        <v>550</v>
      </c>
      <c r="G870" t="s">
        <v>128</v>
      </c>
      <c r="H870" s="92" t="s">
        <v>965</v>
      </c>
      <c r="I870">
        <v>1</v>
      </c>
      <c r="J870" s="46">
        <v>1240</v>
      </c>
      <c r="K870" s="50" t="s">
        <v>545</v>
      </c>
      <c r="L870" s="23">
        <v>1240</v>
      </c>
      <c r="M870" s="46"/>
    </row>
    <row r="871" spans="2:14" ht="15" customHeight="1" x14ac:dyDescent="0.25">
      <c r="B871" s="5">
        <v>44613</v>
      </c>
      <c r="C871" s="5" t="s">
        <v>177</v>
      </c>
      <c r="D871" s="35">
        <v>2022</v>
      </c>
      <c r="E871" t="s">
        <v>417</v>
      </c>
      <c r="F871" t="s">
        <v>460</v>
      </c>
      <c r="G871" t="s">
        <v>364</v>
      </c>
      <c r="H871" s="92" t="s">
        <v>972</v>
      </c>
      <c r="I871">
        <v>1</v>
      </c>
      <c r="J871" s="46">
        <v>600</v>
      </c>
      <c r="K871" s="50" t="s">
        <v>545</v>
      </c>
      <c r="L871" s="46"/>
      <c r="M871" s="46"/>
      <c r="N871" s="103">
        <v>600</v>
      </c>
    </row>
    <row r="872" spans="2:14" ht="15" customHeight="1" x14ac:dyDescent="0.25">
      <c r="B872" s="5">
        <v>44613</v>
      </c>
      <c r="C872" s="5" t="s">
        <v>177</v>
      </c>
      <c r="D872" s="35">
        <v>2022</v>
      </c>
      <c r="E872" t="s">
        <v>417</v>
      </c>
      <c r="F872" t="s">
        <v>551</v>
      </c>
      <c r="G872" t="s">
        <v>413</v>
      </c>
      <c r="H872" s="92" t="s">
        <v>977</v>
      </c>
      <c r="I872">
        <v>1</v>
      </c>
      <c r="J872" s="46">
        <v>560</v>
      </c>
      <c r="K872" s="50" t="s">
        <v>545</v>
      </c>
      <c r="L872" s="23">
        <v>560</v>
      </c>
      <c r="M872" s="46"/>
    </row>
    <row r="873" spans="2:14" ht="15" customHeight="1" x14ac:dyDescent="0.25">
      <c r="B873" s="5">
        <v>44613</v>
      </c>
      <c r="C873" s="5" t="s">
        <v>177</v>
      </c>
      <c r="D873" s="35">
        <v>2022</v>
      </c>
      <c r="E873" t="s">
        <v>417</v>
      </c>
      <c r="F873" t="s">
        <v>208</v>
      </c>
      <c r="G873" t="s">
        <v>413</v>
      </c>
      <c r="H873" s="92" t="s">
        <v>977</v>
      </c>
      <c r="I873">
        <v>1</v>
      </c>
      <c r="J873" s="46">
        <v>560</v>
      </c>
      <c r="K873" s="50" t="s">
        <v>545</v>
      </c>
      <c r="L873" s="23">
        <v>560</v>
      </c>
      <c r="M873" s="46"/>
    </row>
    <row r="874" spans="2:14" ht="15" customHeight="1" x14ac:dyDescent="0.25">
      <c r="B874" s="5">
        <v>44613</v>
      </c>
      <c r="C874" s="5" t="s">
        <v>177</v>
      </c>
      <c r="D874" s="35">
        <v>2022</v>
      </c>
      <c r="E874" t="s">
        <v>445</v>
      </c>
      <c r="F874" t="s">
        <v>366</v>
      </c>
      <c r="G874" t="s">
        <v>49</v>
      </c>
      <c r="H874" s="92" t="s">
        <v>966</v>
      </c>
      <c r="I874">
        <v>1</v>
      </c>
      <c r="J874" s="46">
        <v>1740</v>
      </c>
      <c r="K874" s="50" t="s">
        <v>545</v>
      </c>
      <c r="L874" s="23">
        <v>1740</v>
      </c>
      <c r="M874" s="46"/>
    </row>
    <row r="875" spans="2:14" ht="15" customHeight="1" x14ac:dyDescent="0.25">
      <c r="B875" s="5">
        <v>44613</v>
      </c>
      <c r="C875" s="5" t="s">
        <v>177</v>
      </c>
      <c r="D875" s="35">
        <v>2022</v>
      </c>
      <c r="E875" t="s">
        <v>445</v>
      </c>
      <c r="F875" t="s">
        <v>211</v>
      </c>
      <c r="G875" t="s">
        <v>49</v>
      </c>
      <c r="H875" s="92" t="s">
        <v>966</v>
      </c>
      <c r="I875">
        <v>1</v>
      </c>
      <c r="J875" s="46">
        <v>1740</v>
      </c>
      <c r="K875" s="50" t="s">
        <v>545</v>
      </c>
      <c r="L875" s="23">
        <v>1740</v>
      </c>
      <c r="M875" s="46"/>
    </row>
    <row r="876" spans="2:14" ht="15" customHeight="1" x14ac:dyDescent="0.25">
      <c r="B876" s="5">
        <v>44613</v>
      </c>
      <c r="C876" s="5" t="s">
        <v>177</v>
      </c>
      <c r="D876" s="35">
        <v>2022</v>
      </c>
      <c r="E876" t="s">
        <v>445</v>
      </c>
      <c r="F876" t="s">
        <v>212</v>
      </c>
      <c r="G876" t="s">
        <v>55</v>
      </c>
      <c r="H876" s="92" t="s">
        <v>965</v>
      </c>
      <c r="I876">
        <v>1</v>
      </c>
      <c r="J876" s="46">
        <v>1390</v>
      </c>
      <c r="K876" s="50" t="s">
        <v>545</v>
      </c>
      <c r="L876" s="23">
        <v>1390</v>
      </c>
      <c r="M876" s="46"/>
    </row>
    <row r="877" spans="2:14" ht="15" customHeight="1" x14ac:dyDescent="0.25">
      <c r="B877" s="5">
        <v>44613</v>
      </c>
      <c r="C877" s="5" t="s">
        <v>177</v>
      </c>
      <c r="D877" s="35">
        <v>2022</v>
      </c>
      <c r="E877" t="s">
        <v>445</v>
      </c>
      <c r="F877" t="s">
        <v>89</v>
      </c>
      <c r="G877" t="s">
        <v>58</v>
      </c>
      <c r="H877" s="92" t="s">
        <v>969</v>
      </c>
      <c r="I877">
        <v>1</v>
      </c>
      <c r="J877" s="46">
        <v>2530</v>
      </c>
      <c r="K877" s="50" t="s">
        <v>545</v>
      </c>
      <c r="L877" s="23">
        <v>2530</v>
      </c>
      <c r="M877" s="46"/>
    </row>
    <row r="878" spans="2:14" ht="15" customHeight="1" x14ac:dyDescent="0.25">
      <c r="B878" s="5">
        <v>44613</v>
      </c>
      <c r="C878" s="5" t="s">
        <v>177</v>
      </c>
      <c r="D878" s="35">
        <v>2022</v>
      </c>
      <c r="E878" t="s">
        <v>445</v>
      </c>
      <c r="F878" t="s">
        <v>555</v>
      </c>
      <c r="G878" t="s">
        <v>485</v>
      </c>
      <c r="H878" s="92" t="s">
        <v>967</v>
      </c>
      <c r="I878">
        <v>1</v>
      </c>
      <c r="J878" s="46">
        <v>2300</v>
      </c>
      <c r="K878" s="50" t="s">
        <v>545</v>
      </c>
      <c r="L878" s="23">
        <v>2300</v>
      </c>
      <c r="M878" s="46"/>
    </row>
    <row r="879" spans="2:14" ht="15" customHeight="1" x14ac:dyDescent="0.25">
      <c r="B879" s="5">
        <v>44613</v>
      </c>
      <c r="C879" s="5" t="s">
        <v>177</v>
      </c>
      <c r="D879" s="35">
        <v>2022</v>
      </c>
      <c r="E879" t="s">
        <v>445</v>
      </c>
      <c r="F879" t="s">
        <v>467</v>
      </c>
      <c r="G879" t="s">
        <v>396</v>
      </c>
      <c r="H879" s="92" t="s">
        <v>977</v>
      </c>
      <c r="I879">
        <v>1</v>
      </c>
      <c r="J879" s="46">
        <v>560</v>
      </c>
      <c r="K879" s="50" t="s">
        <v>545</v>
      </c>
      <c r="L879" s="46"/>
      <c r="M879" s="46"/>
      <c r="N879" s="103">
        <v>560</v>
      </c>
    </row>
    <row r="880" spans="2:14" ht="15" customHeight="1" x14ac:dyDescent="0.25">
      <c r="B880" s="5">
        <v>44613</v>
      </c>
      <c r="C880" s="5" t="s">
        <v>177</v>
      </c>
      <c r="D880" s="35">
        <v>2022</v>
      </c>
      <c r="E880" t="s">
        <v>445</v>
      </c>
      <c r="F880" t="s">
        <v>467</v>
      </c>
      <c r="G880" t="s">
        <v>413</v>
      </c>
      <c r="H880" s="92" t="s">
        <v>977</v>
      </c>
      <c r="I880">
        <v>1</v>
      </c>
      <c r="J880" s="46">
        <v>560</v>
      </c>
      <c r="K880" s="50" t="s">
        <v>545</v>
      </c>
      <c r="L880" s="23">
        <v>560</v>
      </c>
      <c r="M880" s="46"/>
    </row>
    <row r="881" spans="2:13" ht="15" customHeight="1" x14ac:dyDescent="0.25">
      <c r="B881" s="5">
        <v>44613</v>
      </c>
      <c r="C881" s="5" t="s">
        <v>177</v>
      </c>
      <c r="D881" s="35">
        <v>2022</v>
      </c>
      <c r="E881" t="s">
        <v>445</v>
      </c>
      <c r="F881" t="s">
        <v>216</v>
      </c>
      <c r="G881" t="s">
        <v>55</v>
      </c>
      <c r="H881" s="92" t="s">
        <v>965</v>
      </c>
      <c r="I881">
        <v>1</v>
      </c>
      <c r="J881" s="46">
        <v>1390</v>
      </c>
      <c r="K881" s="50" t="s">
        <v>545</v>
      </c>
      <c r="L881" s="23">
        <v>1390</v>
      </c>
      <c r="M881" s="46"/>
    </row>
    <row r="882" spans="2:13" ht="15" customHeight="1" x14ac:dyDescent="0.25">
      <c r="B882" s="5">
        <v>44613</v>
      </c>
      <c r="C882" s="5" t="s">
        <v>177</v>
      </c>
      <c r="D882" s="35">
        <v>2022</v>
      </c>
      <c r="E882" t="s">
        <v>445</v>
      </c>
      <c r="F882" t="s">
        <v>468</v>
      </c>
      <c r="G882" t="s">
        <v>192</v>
      </c>
      <c r="H882" s="24" t="s">
        <v>976</v>
      </c>
      <c r="I882">
        <v>1</v>
      </c>
      <c r="J882" s="46">
        <v>1395</v>
      </c>
      <c r="K882" s="50" t="s">
        <v>545</v>
      </c>
      <c r="L882" s="23">
        <v>1395</v>
      </c>
      <c r="M882" s="46"/>
    </row>
    <row r="883" spans="2:13" ht="15" customHeight="1" x14ac:dyDescent="0.25">
      <c r="B883" s="5">
        <v>44613</v>
      </c>
      <c r="C883" s="5" t="s">
        <v>177</v>
      </c>
      <c r="D883" s="35">
        <v>2022</v>
      </c>
      <c r="E883" t="s">
        <v>445</v>
      </c>
      <c r="F883" t="s">
        <v>556</v>
      </c>
      <c r="G883" t="s">
        <v>485</v>
      </c>
      <c r="H883" s="92" t="s">
        <v>967</v>
      </c>
      <c r="I883">
        <v>1</v>
      </c>
      <c r="J883" s="46">
        <v>2300</v>
      </c>
      <c r="K883" s="50" t="s">
        <v>545</v>
      </c>
      <c r="L883" s="23">
        <v>2300</v>
      </c>
      <c r="M883" s="46"/>
    </row>
    <row r="884" spans="2:13" ht="15" customHeight="1" x14ac:dyDescent="0.25">
      <c r="B884" s="5">
        <v>44613</v>
      </c>
      <c r="C884" s="5" t="s">
        <v>177</v>
      </c>
      <c r="D884" s="35">
        <v>2022</v>
      </c>
      <c r="E884" t="s">
        <v>445</v>
      </c>
      <c r="F884" t="s">
        <v>517</v>
      </c>
      <c r="G884" t="s">
        <v>121</v>
      </c>
      <c r="H884" s="92" t="s">
        <v>982</v>
      </c>
      <c r="I884">
        <v>1</v>
      </c>
      <c r="J884" s="46">
        <v>230</v>
      </c>
      <c r="K884" s="50" t="s">
        <v>545</v>
      </c>
      <c r="L884" s="23">
        <v>230</v>
      </c>
      <c r="M884" s="46"/>
    </row>
    <row r="885" spans="2:13" ht="15" customHeight="1" x14ac:dyDescent="0.25">
      <c r="B885" s="5">
        <v>44613</v>
      </c>
      <c r="C885" s="5" t="s">
        <v>177</v>
      </c>
      <c r="D885" s="35">
        <v>2022</v>
      </c>
      <c r="E885" t="s">
        <v>445</v>
      </c>
      <c r="F885" t="s">
        <v>557</v>
      </c>
      <c r="G885" t="s">
        <v>128</v>
      </c>
      <c r="H885" s="92" t="s">
        <v>965</v>
      </c>
      <c r="I885">
        <v>1</v>
      </c>
      <c r="J885" s="46">
        <v>1240</v>
      </c>
      <c r="K885" s="50" t="s">
        <v>545</v>
      </c>
      <c r="L885" s="23">
        <v>1240</v>
      </c>
      <c r="M885" s="46"/>
    </row>
    <row r="886" spans="2:13" ht="15" customHeight="1" x14ac:dyDescent="0.25">
      <c r="B886" s="5">
        <v>44613</v>
      </c>
      <c r="C886" s="5" t="s">
        <v>177</v>
      </c>
      <c r="D886" s="35">
        <v>2022</v>
      </c>
      <c r="E886" t="s">
        <v>445</v>
      </c>
      <c r="F886" t="s">
        <v>558</v>
      </c>
      <c r="G886" t="s">
        <v>124</v>
      </c>
      <c r="H886" s="92" t="s">
        <v>982</v>
      </c>
      <c r="I886">
        <v>2</v>
      </c>
      <c r="J886" s="46">
        <v>1250</v>
      </c>
      <c r="K886" s="50" t="s">
        <v>545</v>
      </c>
      <c r="L886" s="23">
        <v>1250</v>
      </c>
      <c r="M886" s="46"/>
    </row>
    <row r="887" spans="2:13" ht="15" customHeight="1" x14ac:dyDescent="0.25">
      <c r="B887" s="5">
        <v>44613</v>
      </c>
      <c r="C887" s="5" t="s">
        <v>177</v>
      </c>
      <c r="D887" s="35">
        <v>2022</v>
      </c>
      <c r="E887" t="s">
        <v>445</v>
      </c>
      <c r="F887" t="s">
        <v>444</v>
      </c>
      <c r="G887" t="s">
        <v>380</v>
      </c>
      <c r="H887" s="92" t="s">
        <v>972</v>
      </c>
      <c r="I887">
        <v>1</v>
      </c>
      <c r="J887" s="46">
        <v>600</v>
      </c>
      <c r="K887" s="50" t="s">
        <v>545</v>
      </c>
      <c r="L887" s="23">
        <v>600</v>
      </c>
      <c r="M887" s="46"/>
    </row>
    <row r="888" spans="2:13" ht="15" customHeight="1" x14ac:dyDescent="0.25">
      <c r="B888" s="5">
        <v>44613</v>
      </c>
      <c r="C888" s="5" t="s">
        <v>177</v>
      </c>
      <c r="D888" s="35">
        <v>2022</v>
      </c>
      <c r="E888" t="s">
        <v>445</v>
      </c>
      <c r="F888" t="s">
        <v>391</v>
      </c>
      <c r="G888" t="s">
        <v>485</v>
      </c>
      <c r="H888" s="92" t="s">
        <v>967</v>
      </c>
      <c r="I888">
        <v>1</v>
      </c>
      <c r="J888" s="46">
        <v>2300</v>
      </c>
      <c r="K888" s="50" t="s">
        <v>545</v>
      </c>
      <c r="L888" s="23">
        <v>2300</v>
      </c>
      <c r="M888" s="46"/>
    </row>
    <row r="889" spans="2:13" ht="15" customHeight="1" x14ac:dyDescent="0.25">
      <c r="B889" s="5">
        <v>44613</v>
      </c>
      <c r="C889" s="5" t="s">
        <v>177</v>
      </c>
      <c r="D889" s="35">
        <v>2022</v>
      </c>
      <c r="E889" t="s">
        <v>445</v>
      </c>
      <c r="F889" t="s">
        <v>559</v>
      </c>
      <c r="G889" t="s">
        <v>126</v>
      </c>
      <c r="H889" s="92" t="s">
        <v>965</v>
      </c>
      <c r="I889">
        <v>1</v>
      </c>
      <c r="J889" s="46">
        <v>1410</v>
      </c>
      <c r="K889" s="50" t="s">
        <v>545</v>
      </c>
      <c r="L889" s="23">
        <v>1410</v>
      </c>
      <c r="M889" s="46"/>
    </row>
    <row r="890" spans="2:13" ht="15" customHeight="1" x14ac:dyDescent="0.25">
      <c r="B890" s="5">
        <v>44613</v>
      </c>
      <c r="C890" s="5" t="s">
        <v>177</v>
      </c>
      <c r="D890" s="35">
        <v>2022</v>
      </c>
      <c r="E890" t="s">
        <v>445</v>
      </c>
      <c r="F890" t="s">
        <v>369</v>
      </c>
      <c r="G890" t="s">
        <v>58</v>
      </c>
      <c r="H890" s="92" t="s">
        <v>969</v>
      </c>
      <c r="I890">
        <v>1</v>
      </c>
      <c r="J890" s="46">
        <v>2530</v>
      </c>
      <c r="K890" s="50" t="s">
        <v>545</v>
      </c>
      <c r="L890" s="23">
        <v>2530</v>
      </c>
      <c r="M890" s="46"/>
    </row>
    <row r="891" spans="2:13" ht="15" customHeight="1" x14ac:dyDescent="0.25">
      <c r="B891" s="5">
        <v>44613</v>
      </c>
      <c r="C891" s="5" t="s">
        <v>177</v>
      </c>
      <c r="D891" s="35">
        <v>2022</v>
      </c>
      <c r="E891" t="s">
        <v>445</v>
      </c>
      <c r="F891" t="s">
        <v>145</v>
      </c>
      <c r="G891" t="s">
        <v>485</v>
      </c>
      <c r="H891" s="92" t="s">
        <v>967</v>
      </c>
      <c r="I891">
        <v>1</v>
      </c>
      <c r="J891" s="46">
        <v>2300</v>
      </c>
      <c r="K891" s="50" t="s">
        <v>545</v>
      </c>
      <c r="L891" s="23">
        <v>2300</v>
      </c>
      <c r="M891" s="46"/>
    </row>
    <row r="892" spans="2:13" ht="15" customHeight="1" x14ac:dyDescent="0.25">
      <c r="B892" s="5">
        <v>44613</v>
      </c>
      <c r="C892" s="5" t="s">
        <v>177</v>
      </c>
      <c r="D892" s="35">
        <v>2022</v>
      </c>
      <c r="E892" t="s">
        <v>458</v>
      </c>
      <c r="F892" t="s">
        <v>146</v>
      </c>
      <c r="G892" t="s">
        <v>58</v>
      </c>
      <c r="H892" s="92" t="s">
        <v>969</v>
      </c>
      <c r="I892">
        <v>1</v>
      </c>
      <c r="J892" s="46">
        <v>2530</v>
      </c>
      <c r="K892" s="50" t="s">
        <v>545</v>
      </c>
      <c r="L892" s="23">
        <v>2530</v>
      </c>
      <c r="M892" s="46"/>
    </row>
    <row r="893" spans="2:13" ht="15" customHeight="1" x14ac:dyDescent="0.25">
      <c r="B893" s="5">
        <v>44613</v>
      </c>
      <c r="C893" s="5" t="s">
        <v>177</v>
      </c>
      <c r="D893" s="35">
        <v>2022</v>
      </c>
      <c r="E893" t="s">
        <v>458</v>
      </c>
      <c r="F893" t="s">
        <v>560</v>
      </c>
      <c r="G893" t="s">
        <v>192</v>
      </c>
      <c r="H893" s="24" t="s">
        <v>976</v>
      </c>
      <c r="I893">
        <v>1</v>
      </c>
      <c r="J893" s="46">
        <v>1395</v>
      </c>
      <c r="K893" s="50" t="s">
        <v>545</v>
      </c>
      <c r="L893" s="23">
        <v>1395</v>
      </c>
      <c r="M893" s="46"/>
    </row>
    <row r="894" spans="2:13" ht="15" customHeight="1" x14ac:dyDescent="0.25">
      <c r="B894" s="5">
        <v>44614</v>
      </c>
      <c r="C894" s="5" t="s">
        <v>177</v>
      </c>
      <c r="D894" s="35">
        <v>2022</v>
      </c>
      <c r="E894" t="s">
        <v>22</v>
      </c>
      <c r="F894" t="s">
        <v>236</v>
      </c>
      <c r="G894" t="s">
        <v>128</v>
      </c>
      <c r="H894" s="92" t="s">
        <v>965</v>
      </c>
      <c r="I894">
        <v>1</v>
      </c>
      <c r="J894" s="46">
        <v>1240</v>
      </c>
      <c r="K894" s="50" t="s">
        <v>545</v>
      </c>
      <c r="L894" s="23">
        <v>1240</v>
      </c>
      <c r="M894" s="23"/>
    </row>
    <row r="895" spans="2:13" ht="15" customHeight="1" x14ac:dyDescent="0.25">
      <c r="B895" s="5">
        <v>44614</v>
      </c>
      <c r="C895" s="5" t="s">
        <v>177</v>
      </c>
      <c r="D895" s="35">
        <v>2022</v>
      </c>
      <c r="E895" t="s">
        <v>22</v>
      </c>
      <c r="F895" t="s">
        <v>236</v>
      </c>
      <c r="G895" t="s">
        <v>416</v>
      </c>
      <c r="H895" s="24" t="s">
        <v>968</v>
      </c>
      <c r="I895">
        <v>2</v>
      </c>
      <c r="J895" s="46">
        <v>8910</v>
      </c>
      <c r="K895" s="50" t="s">
        <v>545</v>
      </c>
      <c r="L895" s="23">
        <v>8910</v>
      </c>
      <c r="M895" s="23"/>
    </row>
    <row r="896" spans="2:13" ht="15" customHeight="1" x14ac:dyDescent="0.25">
      <c r="B896" s="5">
        <v>44614</v>
      </c>
      <c r="C896" s="5" t="s">
        <v>177</v>
      </c>
      <c r="D896" s="35">
        <v>2022</v>
      </c>
      <c r="E896" t="s">
        <v>22</v>
      </c>
      <c r="F896" t="s">
        <v>346</v>
      </c>
      <c r="G896" t="s">
        <v>58</v>
      </c>
      <c r="H896" s="92" t="s">
        <v>969</v>
      </c>
      <c r="I896">
        <v>1</v>
      </c>
      <c r="J896" s="46">
        <v>2530</v>
      </c>
      <c r="K896" s="50" t="s">
        <v>545</v>
      </c>
      <c r="L896" s="23">
        <v>2530</v>
      </c>
      <c r="M896" s="23"/>
    </row>
    <row r="897" spans="2:16" ht="15" customHeight="1" x14ac:dyDescent="0.25">
      <c r="B897" s="5">
        <v>44614</v>
      </c>
      <c r="C897" s="5" t="s">
        <v>177</v>
      </c>
      <c r="D897" s="35">
        <v>2022</v>
      </c>
      <c r="E897" t="s">
        <v>22</v>
      </c>
      <c r="F897" t="s">
        <v>346</v>
      </c>
      <c r="G897" t="s">
        <v>49</v>
      </c>
      <c r="H897" s="92" t="s">
        <v>966</v>
      </c>
      <c r="I897">
        <v>1</v>
      </c>
      <c r="J897" s="46">
        <v>1740</v>
      </c>
      <c r="K897" s="50" t="s">
        <v>545</v>
      </c>
      <c r="L897" s="23">
        <v>1740</v>
      </c>
      <c r="M897" s="23"/>
    </row>
    <row r="898" spans="2:16" ht="15" customHeight="1" x14ac:dyDescent="0.25">
      <c r="B898" s="5">
        <v>44614</v>
      </c>
      <c r="C898" s="5" t="s">
        <v>177</v>
      </c>
      <c r="D898" s="35">
        <v>2022</v>
      </c>
      <c r="E898" t="s">
        <v>22</v>
      </c>
      <c r="F898" t="s">
        <v>237</v>
      </c>
      <c r="G898" t="s">
        <v>192</v>
      </c>
      <c r="H898" s="24" t="s">
        <v>976</v>
      </c>
      <c r="I898">
        <v>1</v>
      </c>
      <c r="J898" s="46">
        <v>1395</v>
      </c>
      <c r="K898" s="50" t="s">
        <v>545</v>
      </c>
      <c r="L898" s="23">
        <v>1395</v>
      </c>
      <c r="M898" s="23"/>
    </row>
    <row r="899" spans="2:16" ht="15" customHeight="1" x14ac:dyDescent="0.25">
      <c r="B899" s="5">
        <v>44614</v>
      </c>
      <c r="C899" s="5" t="s">
        <v>177</v>
      </c>
      <c r="D899" s="35">
        <v>2022</v>
      </c>
      <c r="E899" t="s">
        <v>22</v>
      </c>
      <c r="F899" t="s">
        <v>181</v>
      </c>
      <c r="G899" t="s">
        <v>49</v>
      </c>
      <c r="H899" s="92" t="s">
        <v>966</v>
      </c>
      <c r="I899">
        <v>1</v>
      </c>
      <c r="J899" s="46">
        <v>1740</v>
      </c>
      <c r="K899" s="50" t="s">
        <v>545</v>
      </c>
      <c r="L899" s="23">
        <v>1740</v>
      </c>
      <c r="M899" s="23"/>
    </row>
    <row r="900" spans="2:16" ht="15" customHeight="1" x14ac:dyDescent="0.25">
      <c r="B900" s="5">
        <v>44614</v>
      </c>
      <c r="C900" s="5" t="s">
        <v>177</v>
      </c>
      <c r="D900" s="35">
        <v>2022</v>
      </c>
      <c r="E900" t="s">
        <v>22</v>
      </c>
      <c r="F900" t="s">
        <v>308</v>
      </c>
      <c r="G900" t="s">
        <v>416</v>
      </c>
      <c r="H900" s="24" t="s">
        <v>968</v>
      </c>
      <c r="I900">
        <v>1</v>
      </c>
      <c r="J900" s="46">
        <v>4455</v>
      </c>
      <c r="K900" s="50" t="s">
        <v>545</v>
      </c>
      <c r="L900" s="23">
        <v>4455</v>
      </c>
      <c r="M900" s="23"/>
    </row>
    <row r="901" spans="2:16" ht="15" customHeight="1" x14ac:dyDescent="0.25">
      <c r="B901" s="5">
        <v>44614</v>
      </c>
      <c r="C901" s="5" t="s">
        <v>177</v>
      </c>
      <c r="D901" s="35">
        <v>2022</v>
      </c>
      <c r="E901" t="s">
        <v>22</v>
      </c>
      <c r="F901" t="s">
        <v>131</v>
      </c>
      <c r="G901" t="s">
        <v>49</v>
      </c>
      <c r="H901" s="92" t="s">
        <v>966</v>
      </c>
      <c r="I901">
        <v>1</v>
      </c>
      <c r="J901" s="46">
        <v>1740</v>
      </c>
      <c r="K901" s="50" t="s">
        <v>545</v>
      </c>
      <c r="L901" s="23">
        <v>1740</v>
      </c>
      <c r="M901" s="23"/>
    </row>
    <row r="902" spans="2:16" ht="15" customHeight="1" x14ac:dyDescent="0.25">
      <c r="B902" s="5">
        <v>44614</v>
      </c>
      <c r="C902" s="5" t="s">
        <v>177</v>
      </c>
      <c r="D902" s="35">
        <v>2022</v>
      </c>
      <c r="E902" t="s">
        <v>22</v>
      </c>
      <c r="F902" t="s">
        <v>131</v>
      </c>
      <c r="G902" t="s">
        <v>416</v>
      </c>
      <c r="H902" s="24" t="s">
        <v>968</v>
      </c>
      <c r="I902">
        <v>1</v>
      </c>
      <c r="J902" s="46">
        <v>4455</v>
      </c>
      <c r="K902" s="50" t="s">
        <v>545</v>
      </c>
      <c r="L902" s="23">
        <v>4455</v>
      </c>
      <c r="M902" s="23"/>
    </row>
    <row r="903" spans="2:16" ht="15" customHeight="1" x14ac:dyDescent="0.25">
      <c r="B903" s="5">
        <v>44614</v>
      </c>
      <c r="C903" s="5" t="s">
        <v>177</v>
      </c>
      <c r="D903" s="35">
        <v>2022</v>
      </c>
      <c r="E903" t="s">
        <v>22</v>
      </c>
      <c r="F903" t="s">
        <v>262</v>
      </c>
      <c r="G903" t="s">
        <v>412</v>
      </c>
      <c r="H903" s="92" t="s">
        <v>977</v>
      </c>
      <c r="I903">
        <v>2</v>
      </c>
      <c r="J903" s="46">
        <v>6620</v>
      </c>
      <c r="K903" s="50" t="s">
        <v>545</v>
      </c>
      <c r="L903" s="23">
        <v>6620</v>
      </c>
      <c r="M903" s="23"/>
      <c r="N903" s="23">
        <v>6620</v>
      </c>
      <c r="P903" t="s">
        <v>616</v>
      </c>
    </row>
    <row r="904" spans="2:16" ht="15" customHeight="1" x14ac:dyDescent="0.25">
      <c r="B904" s="5">
        <v>44614</v>
      </c>
      <c r="C904" s="5" t="s">
        <v>177</v>
      </c>
      <c r="D904" s="35">
        <v>2022</v>
      </c>
      <c r="E904" t="s">
        <v>22</v>
      </c>
      <c r="F904" t="s">
        <v>568</v>
      </c>
      <c r="G904" t="s">
        <v>569</v>
      </c>
      <c r="H904" s="24" t="s">
        <v>968</v>
      </c>
      <c r="I904">
        <v>1</v>
      </c>
      <c r="J904" s="46">
        <v>4455</v>
      </c>
      <c r="K904" s="50" t="s">
        <v>545</v>
      </c>
      <c r="L904" s="23">
        <v>4455</v>
      </c>
      <c r="M904" s="46"/>
    </row>
    <row r="905" spans="2:16" ht="15" customHeight="1" x14ac:dyDescent="0.25">
      <c r="B905" s="5">
        <v>44614</v>
      </c>
      <c r="C905" s="5" t="s">
        <v>177</v>
      </c>
      <c r="D905" s="35">
        <v>2022</v>
      </c>
      <c r="E905" t="s">
        <v>356</v>
      </c>
      <c r="F905" t="s">
        <v>561</v>
      </c>
      <c r="G905" t="s">
        <v>192</v>
      </c>
      <c r="H905" s="24" t="s">
        <v>976</v>
      </c>
      <c r="I905">
        <v>1</v>
      </c>
      <c r="J905" s="46">
        <v>1395</v>
      </c>
      <c r="K905" s="50" t="s">
        <v>545</v>
      </c>
      <c r="L905" s="23">
        <v>1395</v>
      </c>
      <c r="M905" s="46"/>
    </row>
    <row r="906" spans="2:16" ht="15" customHeight="1" x14ac:dyDescent="0.25">
      <c r="B906" s="5">
        <v>44614</v>
      </c>
      <c r="C906" s="5" t="s">
        <v>177</v>
      </c>
      <c r="D906" s="35">
        <v>2022</v>
      </c>
      <c r="E906" t="s">
        <v>356</v>
      </c>
      <c r="F906" t="s">
        <v>187</v>
      </c>
      <c r="G906" t="s">
        <v>562</v>
      </c>
      <c r="H906" s="24" t="s">
        <v>968</v>
      </c>
      <c r="I906">
        <v>2</v>
      </c>
      <c r="J906" s="46">
        <v>8910</v>
      </c>
      <c r="K906" s="50" t="s">
        <v>545</v>
      </c>
      <c r="L906" s="46">
        <v>0</v>
      </c>
      <c r="M906" s="103">
        <v>8910</v>
      </c>
      <c r="N906" s="106"/>
      <c r="P906" t="s">
        <v>571</v>
      </c>
    </row>
    <row r="907" spans="2:16" ht="15" customHeight="1" x14ac:dyDescent="0.25">
      <c r="B907" s="5">
        <v>44614</v>
      </c>
      <c r="C907" s="5" t="s">
        <v>177</v>
      </c>
      <c r="D907" s="35">
        <v>2022</v>
      </c>
      <c r="E907" t="s">
        <v>356</v>
      </c>
      <c r="F907" t="s">
        <v>311</v>
      </c>
      <c r="G907" t="s">
        <v>416</v>
      </c>
      <c r="H907" s="24" t="s">
        <v>968</v>
      </c>
      <c r="I907">
        <v>5</v>
      </c>
      <c r="J907" s="46">
        <v>22275</v>
      </c>
      <c r="K907" s="50" t="s">
        <v>545</v>
      </c>
      <c r="L907" s="23">
        <v>22275</v>
      </c>
      <c r="M907" s="46"/>
      <c r="N907">
        <v>4455</v>
      </c>
      <c r="P907" t="s">
        <v>616</v>
      </c>
    </row>
    <row r="908" spans="2:16" ht="15" customHeight="1" x14ac:dyDescent="0.25">
      <c r="B908" s="5">
        <v>44614</v>
      </c>
      <c r="C908" s="5" t="s">
        <v>177</v>
      </c>
      <c r="D908" s="35">
        <v>2022</v>
      </c>
      <c r="E908" t="s">
        <v>356</v>
      </c>
      <c r="F908" t="s">
        <v>478</v>
      </c>
      <c r="G908" t="s">
        <v>416</v>
      </c>
      <c r="H908" s="24" t="s">
        <v>968</v>
      </c>
      <c r="I908">
        <v>2</v>
      </c>
      <c r="J908" s="46">
        <v>8910</v>
      </c>
      <c r="K908" s="50" t="s">
        <v>545</v>
      </c>
      <c r="L908" s="23">
        <v>8910</v>
      </c>
      <c r="M908" s="46"/>
    </row>
    <row r="909" spans="2:16" ht="15" customHeight="1" x14ac:dyDescent="0.25">
      <c r="B909" s="5">
        <v>44614</v>
      </c>
      <c r="C909" s="5" t="s">
        <v>177</v>
      </c>
      <c r="D909" s="35">
        <v>2022</v>
      </c>
      <c r="E909" t="s">
        <v>356</v>
      </c>
      <c r="F909" t="s">
        <v>478</v>
      </c>
      <c r="G909" t="s">
        <v>128</v>
      </c>
      <c r="H909" s="92" t="s">
        <v>965</v>
      </c>
      <c r="I909">
        <v>1</v>
      </c>
      <c r="J909" s="46">
        <v>1240</v>
      </c>
      <c r="K909" s="50" t="s">
        <v>545</v>
      </c>
      <c r="L909" s="23">
        <v>1240</v>
      </c>
      <c r="M909" s="46"/>
    </row>
    <row r="910" spans="2:16" ht="15" customHeight="1" x14ac:dyDescent="0.25">
      <c r="B910" s="5">
        <v>44614</v>
      </c>
      <c r="C910" s="5" t="s">
        <v>177</v>
      </c>
      <c r="D910" s="35">
        <v>2022</v>
      </c>
      <c r="E910" t="s">
        <v>356</v>
      </c>
      <c r="F910" t="s">
        <v>191</v>
      </c>
      <c r="G910" t="s">
        <v>50</v>
      </c>
      <c r="H910" s="92" t="s">
        <v>969</v>
      </c>
      <c r="I910">
        <v>1</v>
      </c>
      <c r="J910" s="46">
        <v>2530</v>
      </c>
      <c r="K910" s="50" t="s">
        <v>545</v>
      </c>
      <c r="L910" s="46">
        <v>0</v>
      </c>
      <c r="M910" s="103">
        <v>2530</v>
      </c>
      <c r="O910" t="s">
        <v>625</v>
      </c>
    </row>
    <row r="911" spans="2:16" ht="15" customHeight="1" x14ac:dyDescent="0.25">
      <c r="B911" s="5">
        <v>44614</v>
      </c>
      <c r="C911" s="5" t="s">
        <v>177</v>
      </c>
      <c r="D911" s="35">
        <v>2022</v>
      </c>
      <c r="E911" t="s">
        <v>417</v>
      </c>
      <c r="F911" t="s">
        <v>276</v>
      </c>
      <c r="G911" t="s">
        <v>416</v>
      </c>
      <c r="H911" s="24" t="s">
        <v>968</v>
      </c>
      <c r="I911">
        <v>1</v>
      </c>
      <c r="J911" s="46">
        <v>4455</v>
      </c>
      <c r="K911" s="50" t="s">
        <v>545</v>
      </c>
      <c r="L911" s="23">
        <v>4455</v>
      </c>
      <c r="M911" s="46"/>
    </row>
    <row r="912" spans="2:16" ht="15" customHeight="1" x14ac:dyDescent="0.25">
      <c r="B912" s="5">
        <v>44614</v>
      </c>
      <c r="C912" s="5" t="s">
        <v>177</v>
      </c>
      <c r="D912" s="35">
        <v>2022</v>
      </c>
      <c r="E912" t="s">
        <v>417</v>
      </c>
      <c r="F912" t="s">
        <v>563</v>
      </c>
      <c r="G912" t="s">
        <v>416</v>
      </c>
      <c r="H912" s="24" t="s">
        <v>968</v>
      </c>
      <c r="I912">
        <v>1</v>
      </c>
      <c r="J912" s="46">
        <v>4455</v>
      </c>
      <c r="K912" s="50" t="s">
        <v>545</v>
      </c>
      <c r="L912" s="23">
        <v>4455</v>
      </c>
      <c r="M912" s="46"/>
      <c r="N912" s="46">
        <v>4455</v>
      </c>
      <c r="P912" t="s">
        <v>616</v>
      </c>
    </row>
    <row r="913" spans="2:16" ht="15" customHeight="1" x14ac:dyDescent="0.25">
      <c r="B913" s="5">
        <v>44614</v>
      </c>
      <c r="C913" s="5" t="s">
        <v>177</v>
      </c>
      <c r="D913" s="35">
        <v>2022</v>
      </c>
      <c r="E913" t="s">
        <v>417</v>
      </c>
      <c r="F913" t="s">
        <v>278</v>
      </c>
      <c r="G913" t="s">
        <v>416</v>
      </c>
      <c r="H913" s="24" t="s">
        <v>968</v>
      </c>
      <c r="I913">
        <v>1</v>
      </c>
      <c r="J913" s="46">
        <v>4455</v>
      </c>
      <c r="K913" s="50" t="s">
        <v>545</v>
      </c>
      <c r="L913" s="23">
        <v>4455</v>
      </c>
      <c r="M913" s="46"/>
    </row>
    <row r="914" spans="2:16" ht="15" customHeight="1" x14ac:dyDescent="0.25">
      <c r="B914" s="5">
        <v>44614</v>
      </c>
      <c r="C914" s="5" t="s">
        <v>177</v>
      </c>
      <c r="D914" s="35">
        <v>2022</v>
      </c>
      <c r="E914" t="s">
        <v>417</v>
      </c>
      <c r="F914" t="s">
        <v>483</v>
      </c>
      <c r="G914" t="s">
        <v>485</v>
      </c>
      <c r="H914" s="92" t="s">
        <v>967</v>
      </c>
      <c r="I914">
        <v>1</v>
      </c>
      <c r="J914" s="46">
        <v>2300</v>
      </c>
      <c r="K914" s="50" t="s">
        <v>545</v>
      </c>
      <c r="L914" s="23">
        <v>2300</v>
      </c>
      <c r="M914" s="46"/>
    </row>
    <row r="915" spans="2:16" ht="15" customHeight="1" x14ac:dyDescent="0.25">
      <c r="B915" s="5">
        <v>44614</v>
      </c>
      <c r="C915" s="5" t="s">
        <v>177</v>
      </c>
      <c r="D915" s="35">
        <v>2022</v>
      </c>
      <c r="E915" t="s">
        <v>536</v>
      </c>
      <c r="F915" t="s">
        <v>564</v>
      </c>
      <c r="G915" t="s">
        <v>58</v>
      </c>
      <c r="H915" s="92" t="s">
        <v>969</v>
      </c>
      <c r="I915">
        <v>1</v>
      </c>
      <c r="J915" s="46">
        <v>2530</v>
      </c>
      <c r="K915" s="50" t="s">
        <v>545</v>
      </c>
      <c r="L915" s="23">
        <v>2530</v>
      </c>
      <c r="M915" s="46"/>
    </row>
    <row r="916" spans="2:16" ht="15" customHeight="1" x14ac:dyDescent="0.25">
      <c r="B916" s="5">
        <v>44614</v>
      </c>
      <c r="C916" s="5" t="s">
        <v>177</v>
      </c>
      <c r="D916" s="35">
        <v>2022</v>
      </c>
      <c r="E916" t="s">
        <v>445</v>
      </c>
      <c r="F916" t="s">
        <v>565</v>
      </c>
      <c r="G916" t="s">
        <v>126</v>
      </c>
      <c r="H916" s="92" t="s">
        <v>965</v>
      </c>
      <c r="I916">
        <v>1</v>
      </c>
      <c r="J916" s="46">
        <v>1410</v>
      </c>
      <c r="K916" s="50" t="s">
        <v>545</v>
      </c>
      <c r="L916" s="23">
        <v>1410</v>
      </c>
      <c r="M916" s="46"/>
      <c r="N916" s="46">
        <v>1410</v>
      </c>
      <c r="P916" t="s">
        <v>617</v>
      </c>
    </row>
    <row r="917" spans="2:16" ht="15" customHeight="1" x14ac:dyDescent="0.25">
      <c r="B917" s="5">
        <v>44614</v>
      </c>
      <c r="C917" s="5" t="s">
        <v>177</v>
      </c>
      <c r="D917" s="35">
        <v>2022</v>
      </c>
      <c r="E917" t="s">
        <v>445</v>
      </c>
      <c r="F917" t="s">
        <v>565</v>
      </c>
      <c r="G917" t="s">
        <v>45</v>
      </c>
      <c r="H917" s="92" t="s">
        <v>965</v>
      </c>
      <c r="I917">
        <v>1</v>
      </c>
      <c r="J917" s="46">
        <v>1390</v>
      </c>
      <c r="K917" s="50" t="s">
        <v>545</v>
      </c>
      <c r="L917" s="23">
        <v>1390</v>
      </c>
      <c r="M917" s="46"/>
      <c r="N917" s="46">
        <v>1390</v>
      </c>
      <c r="P917" t="s">
        <v>617</v>
      </c>
    </row>
    <row r="918" spans="2:16" ht="15" customHeight="1" x14ac:dyDescent="0.25">
      <c r="B918" s="5">
        <v>44614</v>
      </c>
      <c r="C918" s="5" t="s">
        <v>177</v>
      </c>
      <c r="D918" s="35">
        <v>2022</v>
      </c>
      <c r="E918" t="s">
        <v>445</v>
      </c>
      <c r="F918" t="s">
        <v>517</v>
      </c>
      <c r="G918" t="s">
        <v>45</v>
      </c>
      <c r="H918" s="92" t="s">
        <v>965</v>
      </c>
      <c r="I918">
        <v>1</v>
      </c>
      <c r="J918" s="46">
        <v>1390</v>
      </c>
      <c r="K918" s="50" t="s">
        <v>545</v>
      </c>
      <c r="L918" s="23">
        <v>1390</v>
      </c>
      <c r="M918" s="46"/>
    </row>
    <row r="919" spans="2:16" ht="15" customHeight="1" x14ac:dyDescent="0.25">
      <c r="B919" s="5">
        <v>44614</v>
      </c>
      <c r="C919" s="5" t="s">
        <v>177</v>
      </c>
      <c r="D919" s="35">
        <v>2022</v>
      </c>
      <c r="E919" t="s">
        <v>445</v>
      </c>
      <c r="F919" t="s">
        <v>557</v>
      </c>
      <c r="G919" t="s">
        <v>413</v>
      </c>
      <c r="H919" s="92" t="s">
        <v>977</v>
      </c>
      <c r="I919">
        <v>1</v>
      </c>
      <c r="J919" s="46">
        <v>560</v>
      </c>
      <c r="K919" s="50" t="s">
        <v>545</v>
      </c>
      <c r="L919" s="23">
        <v>560</v>
      </c>
      <c r="M919" s="46"/>
    </row>
    <row r="920" spans="2:16" ht="15" customHeight="1" x14ac:dyDescent="0.25">
      <c r="B920" s="5">
        <v>44614</v>
      </c>
      <c r="C920" s="5" t="s">
        <v>177</v>
      </c>
      <c r="D920" s="35">
        <v>2022</v>
      </c>
      <c r="E920" t="s">
        <v>445</v>
      </c>
      <c r="F920" t="s">
        <v>566</v>
      </c>
      <c r="G920" t="s">
        <v>416</v>
      </c>
      <c r="H920" s="24" t="s">
        <v>968</v>
      </c>
      <c r="I920">
        <v>1</v>
      </c>
      <c r="J920" s="46">
        <v>4455</v>
      </c>
      <c r="K920" s="50" t="s">
        <v>545</v>
      </c>
      <c r="L920" s="23">
        <v>4455</v>
      </c>
      <c r="M920" s="46"/>
    </row>
    <row r="921" spans="2:16" ht="15" customHeight="1" x14ac:dyDescent="0.25">
      <c r="B921" s="5">
        <v>44614</v>
      </c>
      <c r="C921" s="5" t="s">
        <v>177</v>
      </c>
      <c r="D921" s="35">
        <v>2022</v>
      </c>
      <c r="E921" t="s">
        <v>445</v>
      </c>
      <c r="F921" t="s">
        <v>566</v>
      </c>
      <c r="G921" t="s">
        <v>49</v>
      </c>
      <c r="H921" s="92" t="s">
        <v>966</v>
      </c>
      <c r="I921">
        <v>1</v>
      </c>
      <c r="J921" s="46">
        <v>1740</v>
      </c>
      <c r="K921" s="50" t="s">
        <v>545</v>
      </c>
      <c r="L921" s="23">
        <v>1740</v>
      </c>
      <c r="M921" s="46"/>
    </row>
    <row r="922" spans="2:16" ht="15" customHeight="1" x14ac:dyDescent="0.25">
      <c r="B922" s="5">
        <v>44614</v>
      </c>
      <c r="C922" s="5" t="s">
        <v>177</v>
      </c>
      <c r="D922" s="35">
        <v>2022</v>
      </c>
      <c r="E922" t="s">
        <v>445</v>
      </c>
      <c r="F922" t="s">
        <v>566</v>
      </c>
      <c r="G922" t="s">
        <v>264</v>
      </c>
      <c r="H922" s="24" t="s">
        <v>976</v>
      </c>
      <c r="I922">
        <v>1</v>
      </c>
      <c r="J922" s="46">
        <v>3580</v>
      </c>
      <c r="K922" s="50" t="s">
        <v>545</v>
      </c>
      <c r="L922" s="23">
        <v>3580</v>
      </c>
      <c r="M922" s="46"/>
    </row>
    <row r="923" spans="2:16" ht="15" customHeight="1" x14ac:dyDescent="0.25">
      <c r="B923" s="5">
        <v>44614</v>
      </c>
      <c r="C923" s="5" t="s">
        <v>177</v>
      </c>
      <c r="D923" s="35">
        <v>2022</v>
      </c>
      <c r="E923" t="s">
        <v>445</v>
      </c>
      <c r="F923" t="s">
        <v>570</v>
      </c>
      <c r="G923" t="s">
        <v>58</v>
      </c>
      <c r="H923" s="92" t="s">
        <v>969</v>
      </c>
      <c r="I923">
        <v>1</v>
      </c>
      <c r="J923" s="46">
        <v>2530</v>
      </c>
      <c r="K923" s="50" t="s">
        <v>545</v>
      </c>
      <c r="L923" s="23">
        <v>2530</v>
      </c>
      <c r="M923" s="46"/>
    </row>
    <row r="924" spans="2:16" ht="15" customHeight="1" x14ac:dyDescent="0.25">
      <c r="B924" s="5">
        <v>44615</v>
      </c>
      <c r="C924" s="5" t="s">
        <v>177</v>
      </c>
      <c r="D924" s="35">
        <v>2022</v>
      </c>
      <c r="E924" t="s">
        <v>22</v>
      </c>
      <c r="F924" t="s">
        <v>260</v>
      </c>
      <c r="G924" t="s">
        <v>283</v>
      </c>
      <c r="H924" s="92" t="s">
        <v>983</v>
      </c>
      <c r="I924">
        <v>1</v>
      </c>
      <c r="J924" s="46">
        <v>505</v>
      </c>
      <c r="K924" s="50" t="s">
        <v>545</v>
      </c>
      <c r="L924" s="23">
        <v>505</v>
      </c>
      <c r="M924" s="46"/>
      <c r="N924" s="23"/>
    </row>
    <row r="925" spans="2:16" ht="15" customHeight="1" x14ac:dyDescent="0.25">
      <c r="B925" s="5">
        <v>44615</v>
      </c>
      <c r="C925" s="5" t="s">
        <v>177</v>
      </c>
      <c r="D925" s="35">
        <v>2022</v>
      </c>
      <c r="E925" t="s">
        <v>22</v>
      </c>
      <c r="F925" t="s">
        <v>260</v>
      </c>
      <c r="G925" t="s">
        <v>121</v>
      </c>
      <c r="H925" s="92" t="s">
        <v>982</v>
      </c>
      <c r="I925">
        <v>1</v>
      </c>
      <c r="J925" s="46">
        <v>230</v>
      </c>
      <c r="K925" s="50" t="s">
        <v>545</v>
      </c>
      <c r="L925" s="23">
        <v>230</v>
      </c>
      <c r="M925" s="46"/>
      <c r="N925" s="23"/>
    </row>
    <row r="926" spans="2:16" ht="15" customHeight="1" x14ac:dyDescent="0.25">
      <c r="B926" s="5">
        <v>44615</v>
      </c>
      <c r="C926" s="5" t="s">
        <v>177</v>
      </c>
      <c r="D926" s="35">
        <v>2022</v>
      </c>
      <c r="E926" t="s">
        <v>22</v>
      </c>
      <c r="F926" t="s">
        <v>260</v>
      </c>
      <c r="G926" t="s">
        <v>323</v>
      </c>
      <c r="H926" s="92" t="s">
        <v>981</v>
      </c>
      <c r="I926">
        <v>1</v>
      </c>
      <c r="J926" s="46">
        <v>310</v>
      </c>
      <c r="K926" s="50" t="s">
        <v>545</v>
      </c>
      <c r="L926" s="23">
        <v>310</v>
      </c>
      <c r="M926" s="46"/>
      <c r="N926" s="23"/>
    </row>
    <row r="927" spans="2:16" ht="15" customHeight="1" x14ac:dyDescent="0.25">
      <c r="B927" s="5">
        <v>44615</v>
      </c>
      <c r="C927" s="5" t="s">
        <v>177</v>
      </c>
      <c r="D927" s="35">
        <v>2022</v>
      </c>
      <c r="E927" t="s">
        <v>22</v>
      </c>
      <c r="F927" t="s">
        <v>260</v>
      </c>
      <c r="G927" t="s">
        <v>425</v>
      </c>
      <c r="H927" s="92" t="s">
        <v>980</v>
      </c>
      <c r="I927">
        <v>1</v>
      </c>
      <c r="J927" s="46">
        <v>210</v>
      </c>
      <c r="K927" s="50" t="s">
        <v>545</v>
      </c>
      <c r="L927" s="23">
        <v>210</v>
      </c>
      <c r="M927" s="46"/>
      <c r="N927" s="23"/>
    </row>
    <row r="928" spans="2:16" ht="15" customHeight="1" x14ac:dyDescent="0.25">
      <c r="B928" s="5">
        <v>44615</v>
      </c>
      <c r="C928" s="5" t="s">
        <v>177</v>
      </c>
      <c r="D928" s="35">
        <v>2022</v>
      </c>
      <c r="E928" t="s">
        <v>22</v>
      </c>
      <c r="F928" t="s">
        <v>473</v>
      </c>
      <c r="G928" t="s">
        <v>128</v>
      </c>
      <c r="H928" s="92" t="s">
        <v>965</v>
      </c>
      <c r="I928">
        <v>1</v>
      </c>
      <c r="J928" s="46">
        <v>1240</v>
      </c>
      <c r="K928" s="50" t="s">
        <v>545</v>
      </c>
      <c r="L928" s="23">
        <v>1240</v>
      </c>
      <c r="M928" s="46"/>
      <c r="N928" s="23"/>
    </row>
    <row r="929" spans="2:15" ht="15" customHeight="1" x14ac:dyDescent="0.25">
      <c r="B929" s="5">
        <v>44615</v>
      </c>
      <c r="C929" s="5" t="s">
        <v>177</v>
      </c>
      <c r="D929" s="35">
        <v>2022</v>
      </c>
      <c r="E929" t="s">
        <v>22</v>
      </c>
      <c r="F929" t="s">
        <v>135</v>
      </c>
      <c r="G929" t="s">
        <v>432</v>
      </c>
      <c r="H929" s="24" t="s">
        <v>976</v>
      </c>
      <c r="I929">
        <v>1</v>
      </c>
      <c r="J929" s="46">
        <v>3580</v>
      </c>
      <c r="K929" s="50" t="s">
        <v>545</v>
      </c>
      <c r="L929" s="23">
        <v>3580</v>
      </c>
      <c r="M929" s="46"/>
      <c r="N929" s="23"/>
    </row>
    <row r="930" spans="2:15" ht="15" customHeight="1" x14ac:dyDescent="0.25">
      <c r="B930" s="5">
        <v>44615</v>
      </c>
      <c r="C930" s="5" t="s">
        <v>177</v>
      </c>
      <c r="D930" s="35">
        <v>2022</v>
      </c>
      <c r="E930" t="s">
        <v>22</v>
      </c>
      <c r="F930" t="s">
        <v>236</v>
      </c>
      <c r="G930" t="s">
        <v>416</v>
      </c>
      <c r="H930" s="24" t="s">
        <v>968</v>
      </c>
      <c r="I930">
        <v>2</v>
      </c>
      <c r="J930" s="46">
        <v>8910</v>
      </c>
      <c r="K930" s="50" t="s">
        <v>545</v>
      </c>
      <c r="L930" s="23">
        <v>8910</v>
      </c>
      <c r="M930" s="46"/>
      <c r="N930" s="23"/>
    </row>
    <row r="931" spans="2:15" ht="15" customHeight="1" x14ac:dyDescent="0.25">
      <c r="B931" s="5">
        <v>44615</v>
      </c>
      <c r="C931" s="5" t="s">
        <v>177</v>
      </c>
      <c r="D931" s="35">
        <v>2022</v>
      </c>
      <c r="E931" t="s">
        <v>22</v>
      </c>
      <c r="F931" t="s">
        <v>573</v>
      </c>
      <c r="G931" t="s">
        <v>192</v>
      </c>
      <c r="H931" s="24" t="s">
        <v>976</v>
      </c>
      <c r="I931">
        <v>5</v>
      </c>
      <c r="J931" s="46">
        <v>6975</v>
      </c>
      <c r="K931" s="50" t="s">
        <v>545</v>
      </c>
      <c r="L931" s="23">
        <v>6975</v>
      </c>
      <c r="M931" s="46"/>
      <c r="N931" s="23"/>
    </row>
    <row r="932" spans="2:15" ht="15" customHeight="1" x14ac:dyDescent="0.25">
      <c r="B932" s="5">
        <v>44615</v>
      </c>
      <c r="C932" s="5" t="s">
        <v>177</v>
      </c>
      <c r="D932" s="35">
        <v>2022</v>
      </c>
      <c r="E932" t="s">
        <v>22</v>
      </c>
      <c r="F932" t="s">
        <v>181</v>
      </c>
      <c r="G932" t="s">
        <v>476</v>
      </c>
      <c r="H932" s="92" t="s">
        <v>969</v>
      </c>
      <c r="I932">
        <v>1</v>
      </c>
      <c r="J932" s="46">
        <v>6000</v>
      </c>
      <c r="K932" s="50" t="s">
        <v>545</v>
      </c>
      <c r="L932" s="46"/>
      <c r="M932" s="23">
        <v>6000</v>
      </c>
      <c r="N932" s="23"/>
      <c r="O932" t="s">
        <v>998</v>
      </c>
    </row>
    <row r="933" spans="2:15" ht="15" customHeight="1" x14ac:dyDescent="0.25">
      <c r="B933" s="5">
        <v>44615</v>
      </c>
      <c r="C933" s="5" t="s">
        <v>177</v>
      </c>
      <c r="D933" s="35">
        <v>2022</v>
      </c>
      <c r="E933" t="s">
        <v>22</v>
      </c>
      <c r="F933" t="s">
        <v>423</v>
      </c>
      <c r="G933" t="s">
        <v>485</v>
      </c>
      <c r="H933" s="92" t="s">
        <v>967</v>
      </c>
      <c r="I933">
        <v>1</v>
      </c>
      <c r="J933" s="46">
        <v>2300</v>
      </c>
      <c r="K933" s="50" t="s">
        <v>545</v>
      </c>
      <c r="L933" s="23">
        <v>2300</v>
      </c>
      <c r="M933" s="46"/>
      <c r="N933" s="23"/>
    </row>
    <row r="934" spans="2:15" ht="15" customHeight="1" x14ac:dyDescent="0.25">
      <c r="B934" s="5">
        <v>44615</v>
      </c>
      <c r="C934" s="5" t="s">
        <v>177</v>
      </c>
      <c r="D934" s="35">
        <v>2022</v>
      </c>
      <c r="E934" t="s">
        <v>22</v>
      </c>
      <c r="F934" t="s">
        <v>423</v>
      </c>
      <c r="G934" t="s">
        <v>413</v>
      </c>
      <c r="H934" s="92" t="s">
        <v>977</v>
      </c>
      <c r="I934">
        <v>1</v>
      </c>
      <c r="J934" s="46">
        <v>560</v>
      </c>
      <c r="K934" s="50" t="s">
        <v>545</v>
      </c>
      <c r="L934" s="23">
        <v>560</v>
      </c>
      <c r="M934" s="46"/>
      <c r="N934" s="23"/>
    </row>
    <row r="935" spans="2:15" ht="15" customHeight="1" x14ac:dyDescent="0.25">
      <c r="B935" s="5">
        <v>44615</v>
      </c>
      <c r="C935" s="5" t="s">
        <v>177</v>
      </c>
      <c r="D935" s="35">
        <v>2022</v>
      </c>
      <c r="E935" t="s">
        <v>22</v>
      </c>
      <c r="F935" t="s">
        <v>132</v>
      </c>
      <c r="G935" t="s">
        <v>416</v>
      </c>
      <c r="H935" s="24" t="s">
        <v>968</v>
      </c>
      <c r="I935">
        <v>1</v>
      </c>
      <c r="J935" s="46">
        <v>4455</v>
      </c>
      <c r="K935" s="50" t="s">
        <v>545</v>
      </c>
      <c r="L935" s="23">
        <v>4455</v>
      </c>
      <c r="M935" s="46"/>
      <c r="N935" s="23"/>
    </row>
    <row r="936" spans="2:15" ht="15" customHeight="1" x14ac:dyDescent="0.25">
      <c r="B936" s="5">
        <v>44615</v>
      </c>
      <c r="C936" s="5" t="s">
        <v>177</v>
      </c>
      <c r="D936" s="35">
        <v>2022</v>
      </c>
      <c r="E936" t="s">
        <v>22</v>
      </c>
      <c r="F936" t="s">
        <v>574</v>
      </c>
      <c r="G936" t="s">
        <v>412</v>
      </c>
      <c r="H936" s="92" t="s">
        <v>977</v>
      </c>
      <c r="I936">
        <v>1</v>
      </c>
      <c r="J936" s="46">
        <v>3310</v>
      </c>
      <c r="K936" s="50" t="s">
        <v>545</v>
      </c>
      <c r="L936" s="23">
        <v>3310</v>
      </c>
      <c r="M936" s="46"/>
      <c r="N936" s="23"/>
    </row>
    <row r="937" spans="2:15" ht="15" customHeight="1" x14ac:dyDescent="0.25">
      <c r="B937" s="5">
        <v>44615</v>
      </c>
      <c r="C937" s="5" t="s">
        <v>177</v>
      </c>
      <c r="D937" s="35">
        <v>2022</v>
      </c>
      <c r="E937" t="s">
        <v>356</v>
      </c>
      <c r="F937" t="s">
        <v>56</v>
      </c>
      <c r="G937" t="s">
        <v>49</v>
      </c>
      <c r="H937" s="92" t="s">
        <v>966</v>
      </c>
      <c r="I937">
        <v>1</v>
      </c>
      <c r="J937" s="46">
        <v>1740</v>
      </c>
      <c r="K937" s="50" t="s">
        <v>545</v>
      </c>
      <c r="L937" s="23">
        <v>1740</v>
      </c>
      <c r="M937" s="46"/>
    </row>
    <row r="938" spans="2:15" ht="15" customHeight="1" x14ac:dyDescent="0.25">
      <c r="B938" s="5">
        <v>44615</v>
      </c>
      <c r="C938" s="5" t="s">
        <v>177</v>
      </c>
      <c r="D938" s="35">
        <v>2022</v>
      </c>
      <c r="E938" t="s">
        <v>356</v>
      </c>
      <c r="F938" t="s">
        <v>138</v>
      </c>
      <c r="G938" t="s">
        <v>575</v>
      </c>
      <c r="H938" s="92" t="s">
        <v>975</v>
      </c>
      <c r="I938">
        <v>2</v>
      </c>
      <c r="J938" s="46">
        <v>2620</v>
      </c>
      <c r="K938" s="50" t="s">
        <v>545</v>
      </c>
      <c r="L938" s="23">
        <v>2620</v>
      </c>
      <c r="M938" s="46"/>
    </row>
    <row r="939" spans="2:15" ht="15" customHeight="1" x14ac:dyDescent="0.25">
      <c r="B939" s="5">
        <v>44615</v>
      </c>
      <c r="C939" s="5" t="s">
        <v>177</v>
      </c>
      <c r="D939" s="35">
        <v>2022</v>
      </c>
      <c r="E939" t="s">
        <v>356</v>
      </c>
      <c r="F939" t="s">
        <v>138</v>
      </c>
      <c r="G939" t="s">
        <v>416</v>
      </c>
      <c r="H939" s="24" t="s">
        <v>968</v>
      </c>
      <c r="I939">
        <v>10</v>
      </c>
      <c r="J939" s="46">
        <v>44550</v>
      </c>
      <c r="K939" s="50" t="s">
        <v>545</v>
      </c>
      <c r="L939" s="23">
        <v>44550</v>
      </c>
      <c r="M939" s="46"/>
    </row>
    <row r="940" spans="2:15" ht="15" customHeight="1" x14ac:dyDescent="0.25">
      <c r="B940" s="5">
        <v>44615</v>
      </c>
      <c r="C940" s="5" t="s">
        <v>177</v>
      </c>
      <c r="D940" s="35">
        <v>2022</v>
      </c>
      <c r="E940" t="s">
        <v>356</v>
      </c>
      <c r="F940" t="s">
        <v>313</v>
      </c>
      <c r="G940" t="s">
        <v>274</v>
      </c>
      <c r="H940" s="92" t="s">
        <v>966</v>
      </c>
      <c r="I940">
        <v>1</v>
      </c>
      <c r="J940" s="46">
        <v>1760</v>
      </c>
      <c r="K940" s="50" t="s">
        <v>545</v>
      </c>
      <c r="L940" s="46"/>
      <c r="M940" s="133">
        <v>1760</v>
      </c>
      <c r="O940" t="s">
        <v>1014</v>
      </c>
    </row>
    <row r="941" spans="2:15" ht="15" customHeight="1" x14ac:dyDescent="0.25">
      <c r="B941" s="5">
        <v>44615</v>
      </c>
      <c r="C941" s="5" t="s">
        <v>177</v>
      </c>
      <c r="D941" s="35">
        <v>2022</v>
      </c>
      <c r="E941" t="s">
        <v>356</v>
      </c>
      <c r="F941" t="s">
        <v>313</v>
      </c>
      <c r="G941" t="s">
        <v>53</v>
      </c>
      <c r="H941" s="92" t="s">
        <v>984</v>
      </c>
      <c r="I941">
        <v>1</v>
      </c>
      <c r="J941" s="46">
        <v>950</v>
      </c>
      <c r="K941" s="50" t="s">
        <v>545</v>
      </c>
      <c r="L941" s="46"/>
      <c r="M941" s="133">
        <v>950</v>
      </c>
    </row>
    <row r="942" spans="2:15" ht="15" customHeight="1" x14ac:dyDescent="0.25">
      <c r="B942" s="5">
        <v>44615</v>
      </c>
      <c r="C942" s="5" t="s">
        <v>177</v>
      </c>
      <c r="D942" s="35">
        <v>2022</v>
      </c>
      <c r="E942" t="s">
        <v>356</v>
      </c>
      <c r="F942" t="s">
        <v>692</v>
      </c>
      <c r="G942" t="s">
        <v>416</v>
      </c>
      <c r="H942" s="24" t="s">
        <v>968</v>
      </c>
      <c r="I942">
        <v>2</v>
      </c>
      <c r="J942" s="46">
        <v>8910</v>
      </c>
      <c r="K942" s="50" t="s">
        <v>545</v>
      </c>
      <c r="L942" s="46">
        <v>8910</v>
      </c>
      <c r="M942" s="134"/>
    </row>
    <row r="943" spans="2:15" ht="15" customHeight="1" x14ac:dyDescent="0.25">
      <c r="B943" s="5">
        <v>44615</v>
      </c>
      <c r="C943" s="5" t="s">
        <v>177</v>
      </c>
      <c r="D943" s="35">
        <v>2022</v>
      </c>
      <c r="E943" t="s">
        <v>417</v>
      </c>
      <c r="F943" t="s">
        <v>278</v>
      </c>
      <c r="G943" t="s">
        <v>45</v>
      </c>
      <c r="H943" s="92" t="s">
        <v>965</v>
      </c>
      <c r="I943">
        <v>2</v>
      </c>
      <c r="J943" s="46">
        <v>2780</v>
      </c>
      <c r="K943" s="50" t="s">
        <v>545</v>
      </c>
      <c r="L943" s="23">
        <v>2780</v>
      </c>
      <c r="M943" s="46"/>
    </row>
    <row r="944" spans="2:15" ht="15" customHeight="1" x14ac:dyDescent="0.25">
      <c r="B944" s="5">
        <v>44615</v>
      </c>
      <c r="C944" s="5" t="s">
        <v>177</v>
      </c>
      <c r="D944" s="35">
        <v>2022</v>
      </c>
      <c r="E944" t="s">
        <v>417</v>
      </c>
      <c r="F944" t="s">
        <v>394</v>
      </c>
      <c r="G944" t="s">
        <v>124</v>
      </c>
      <c r="H944" s="92" t="s">
        <v>982</v>
      </c>
      <c r="I944">
        <v>1</v>
      </c>
      <c r="J944" s="46">
        <v>625</v>
      </c>
      <c r="K944" s="50" t="s">
        <v>545</v>
      </c>
      <c r="L944" s="23">
        <v>625</v>
      </c>
      <c r="M944" s="46"/>
    </row>
    <row r="945" spans="2:13" ht="15" customHeight="1" x14ac:dyDescent="0.25">
      <c r="B945" s="5">
        <v>44615</v>
      </c>
      <c r="C945" s="5" t="s">
        <v>177</v>
      </c>
      <c r="D945" s="35">
        <v>2022</v>
      </c>
      <c r="E945" t="s">
        <v>417</v>
      </c>
      <c r="F945" t="s">
        <v>550</v>
      </c>
      <c r="G945" t="s">
        <v>380</v>
      </c>
      <c r="H945" s="92" t="s">
        <v>972</v>
      </c>
      <c r="I945">
        <v>1</v>
      </c>
      <c r="J945" s="46">
        <v>600</v>
      </c>
      <c r="K945" s="50" t="s">
        <v>545</v>
      </c>
      <c r="L945" s="23">
        <v>600</v>
      </c>
      <c r="M945" s="46"/>
    </row>
    <row r="946" spans="2:13" ht="15" customHeight="1" x14ac:dyDescent="0.25">
      <c r="B946" s="5">
        <v>44615</v>
      </c>
      <c r="C946" s="5" t="s">
        <v>177</v>
      </c>
      <c r="D946" s="35">
        <v>2022</v>
      </c>
      <c r="E946" t="s">
        <v>417</v>
      </c>
      <c r="F946" t="s">
        <v>460</v>
      </c>
      <c r="G946" t="s">
        <v>380</v>
      </c>
      <c r="H946" s="92" t="s">
        <v>972</v>
      </c>
      <c r="I946">
        <v>1</v>
      </c>
      <c r="J946" s="46">
        <v>600</v>
      </c>
      <c r="K946" s="50" t="s">
        <v>545</v>
      </c>
      <c r="L946" s="23">
        <v>600</v>
      </c>
      <c r="M946" s="46"/>
    </row>
    <row r="947" spans="2:13" ht="15" customHeight="1" x14ac:dyDescent="0.25">
      <c r="B947" s="5">
        <v>44615</v>
      </c>
      <c r="C947" s="5" t="s">
        <v>177</v>
      </c>
      <c r="D947" s="35">
        <v>2022</v>
      </c>
      <c r="E947" t="s">
        <v>417</v>
      </c>
      <c r="F947" t="s">
        <v>576</v>
      </c>
      <c r="G947" t="s">
        <v>192</v>
      </c>
      <c r="H947" s="24" t="s">
        <v>976</v>
      </c>
      <c r="I947">
        <v>1</v>
      </c>
      <c r="J947" s="46">
        <v>1395</v>
      </c>
      <c r="K947" s="50" t="s">
        <v>545</v>
      </c>
      <c r="L947" s="23">
        <v>1395</v>
      </c>
      <c r="M947" s="46"/>
    </row>
    <row r="948" spans="2:13" ht="15" customHeight="1" x14ac:dyDescent="0.25">
      <c r="B948" s="5">
        <v>44615</v>
      </c>
      <c r="C948" s="5" t="s">
        <v>177</v>
      </c>
      <c r="D948" s="35">
        <v>2022</v>
      </c>
      <c r="E948" t="s">
        <v>417</v>
      </c>
      <c r="F948" t="s">
        <v>693</v>
      </c>
      <c r="G948" t="s">
        <v>125</v>
      </c>
      <c r="H948" s="92" t="s">
        <v>971</v>
      </c>
      <c r="I948">
        <v>1</v>
      </c>
      <c r="J948" s="46">
        <v>510</v>
      </c>
      <c r="K948" s="50" t="s">
        <v>545</v>
      </c>
      <c r="L948" s="46">
        <v>510</v>
      </c>
      <c r="M948" s="46"/>
    </row>
    <row r="949" spans="2:13" ht="15" customHeight="1" x14ac:dyDescent="0.25">
      <c r="B949" s="5">
        <v>44615</v>
      </c>
      <c r="C949" s="5" t="s">
        <v>177</v>
      </c>
      <c r="D949" s="35">
        <v>2022</v>
      </c>
      <c r="E949" t="s">
        <v>417</v>
      </c>
      <c r="F949" t="s">
        <v>693</v>
      </c>
      <c r="G949" t="s">
        <v>598</v>
      </c>
      <c r="H949" s="92" t="s">
        <v>973</v>
      </c>
      <c r="I949">
        <v>1</v>
      </c>
      <c r="J949" s="46">
        <v>260</v>
      </c>
      <c r="K949" s="50" t="s">
        <v>545</v>
      </c>
      <c r="L949" s="46">
        <v>260</v>
      </c>
      <c r="M949" s="46"/>
    </row>
    <row r="950" spans="2:13" ht="15" customHeight="1" x14ac:dyDescent="0.25">
      <c r="B950" s="5">
        <v>44615</v>
      </c>
      <c r="C950" s="5" t="s">
        <v>177</v>
      </c>
      <c r="D950" s="35">
        <v>2022</v>
      </c>
      <c r="E950" t="s">
        <v>536</v>
      </c>
      <c r="F950" t="s">
        <v>577</v>
      </c>
      <c r="G950" t="s">
        <v>192</v>
      </c>
      <c r="H950" s="24" t="s">
        <v>976</v>
      </c>
      <c r="I950">
        <v>2</v>
      </c>
      <c r="J950" s="46">
        <v>2790</v>
      </c>
      <c r="K950" s="50" t="s">
        <v>545</v>
      </c>
      <c r="L950" s="23">
        <v>2790</v>
      </c>
      <c r="M950" s="46"/>
    </row>
    <row r="951" spans="2:13" ht="15" customHeight="1" x14ac:dyDescent="0.25">
      <c r="B951" s="5">
        <v>44615</v>
      </c>
      <c r="C951" s="5" t="s">
        <v>177</v>
      </c>
      <c r="D951" s="35">
        <v>2022</v>
      </c>
      <c r="E951" t="s">
        <v>536</v>
      </c>
      <c r="F951" t="s">
        <v>578</v>
      </c>
      <c r="G951" t="s">
        <v>485</v>
      </c>
      <c r="H951" s="92" t="s">
        <v>967</v>
      </c>
      <c r="I951">
        <v>1</v>
      </c>
      <c r="J951" s="46">
        <v>2300</v>
      </c>
      <c r="K951" s="50" t="s">
        <v>545</v>
      </c>
      <c r="L951" s="23">
        <v>2300</v>
      </c>
      <c r="M951" s="46"/>
    </row>
    <row r="952" spans="2:13" ht="15" customHeight="1" x14ac:dyDescent="0.25">
      <c r="B952" s="5">
        <v>44615</v>
      </c>
      <c r="C952" s="5" t="s">
        <v>177</v>
      </c>
      <c r="D952" s="35">
        <v>2022</v>
      </c>
      <c r="E952" t="s">
        <v>445</v>
      </c>
      <c r="F952" t="s">
        <v>579</v>
      </c>
      <c r="G952" t="s">
        <v>55</v>
      </c>
      <c r="H952" s="92" t="s">
        <v>965</v>
      </c>
      <c r="I952">
        <v>1</v>
      </c>
      <c r="J952" s="46">
        <v>1390</v>
      </c>
      <c r="K952" s="50" t="s">
        <v>545</v>
      </c>
      <c r="L952" s="46">
        <v>1390</v>
      </c>
      <c r="M952" s="46"/>
    </row>
    <row r="953" spans="2:13" ht="15" customHeight="1" x14ac:dyDescent="0.25">
      <c r="B953" s="5">
        <v>44615</v>
      </c>
      <c r="C953" s="5" t="s">
        <v>177</v>
      </c>
      <c r="D953" s="35">
        <v>2022</v>
      </c>
      <c r="E953" t="s">
        <v>445</v>
      </c>
      <c r="F953" t="s">
        <v>387</v>
      </c>
      <c r="G953" t="s">
        <v>485</v>
      </c>
      <c r="H953" s="92" t="s">
        <v>967</v>
      </c>
      <c r="I953">
        <v>1</v>
      </c>
      <c r="J953" s="46">
        <v>2300</v>
      </c>
      <c r="K953" s="50" t="s">
        <v>545</v>
      </c>
      <c r="L953" s="46">
        <v>2300</v>
      </c>
      <c r="M953" s="46"/>
    </row>
    <row r="954" spans="2:13" ht="15" customHeight="1" x14ac:dyDescent="0.25">
      <c r="B954" s="5">
        <v>44615</v>
      </c>
      <c r="C954" s="5" t="s">
        <v>177</v>
      </c>
      <c r="D954" s="35">
        <v>2022</v>
      </c>
      <c r="E954" t="s">
        <v>445</v>
      </c>
      <c r="F954" t="s">
        <v>565</v>
      </c>
      <c r="G954" t="s">
        <v>45</v>
      </c>
      <c r="H954" s="92" t="s">
        <v>965</v>
      </c>
      <c r="I954">
        <v>1</v>
      </c>
      <c r="J954" s="46">
        <v>1390</v>
      </c>
      <c r="K954" s="50" t="s">
        <v>545</v>
      </c>
      <c r="L954" s="46">
        <v>1390</v>
      </c>
      <c r="M954" s="46"/>
    </row>
    <row r="955" spans="2:13" ht="15" customHeight="1" x14ac:dyDescent="0.25">
      <c r="B955" s="5">
        <v>44615</v>
      </c>
      <c r="C955" s="5" t="s">
        <v>177</v>
      </c>
      <c r="D955" s="35">
        <v>2022</v>
      </c>
      <c r="E955" t="s">
        <v>445</v>
      </c>
      <c r="F955" t="s">
        <v>565</v>
      </c>
      <c r="G955" t="s">
        <v>126</v>
      </c>
      <c r="H955" s="92" t="s">
        <v>965</v>
      </c>
      <c r="I955">
        <v>1</v>
      </c>
      <c r="J955" s="46">
        <v>1410</v>
      </c>
      <c r="K955" s="50" t="s">
        <v>545</v>
      </c>
      <c r="L955" s="46">
        <v>1410</v>
      </c>
      <c r="M955" s="46"/>
    </row>
    <row r="956" spans="2:13" ht="15" customHeight="1" x14ac:dyDescent="0.25">
      <c r="B956" s="5">
        <v>44615</v>
      </c>
      <c r="C956" s="5" t="s">
        <v>177</v>
      </c>
      <c r="D956" s="35">
        <v>2022</v>
      </c>
      <c r="E956" t="s">
        <v>445</v>
      </c>
      <c r="F956" t="s">
        <v>281</v>
      </c>
      <c r="G956" t="s">
        <v>413</v>
      </c>
      <c r="H956" s="92" t="s">
        <v>977</v>
      </c>
      <c r="I956">
        <v>2</v>
      </c>
      <c r="J956" s="46">
        <v>1120</v>
      </c>
      <c r="K956" s="50" t="s">
        <v>545</v>
      </c>
      <c r="L956" s="46">
        <v>1120</v>
      </c>
      <c r="M956" s="46"/>
    </row>
    <row r="957" spans="2:13" ht="15" customHeight="1" x14ac:dyDescent="0.25">
      <c r="B957" s="5">
        <v>44615</v>
      </c>
      <c r="C957" s="5" t="s">
        <v>177</v>
      </c>
      <c r="D957" s="35">
        <v>2022</v>
      </c>
      <c r="E957" t="s">
        <v>445</v>
      </c>
      <c r="F957" t="s">
        <v>442</v>
      </c>
      <c r="G957" t="s">
        <v>412</v>
      </c>
      <c r="H957" s="92" t="s">
        <v>977</v>
      </c>
      <c r="I957">
        <v>1</v>
      </c>
      <c r="J957" s="46">
        <v>3310</v>
      </c>
      <c r="K957" s="50" t="s">
        <v>545</v>
      </c>
      <c r="L957" s="46">
        <v>3310</v>
      </c>
      <c r="M957" s="46"/>
    </row>
    <row r="958" spans="2:13" ht="15" customHeight="1" x14ac:dyDescent="0.25">
      <c r="B958" s="5">
        <v>44615</v>
      </c>
      <c r="C958" s="5" t="s">
        <v>177</v>
      </c>
      <c r="D958" s="35">
        <v>2022</v>
      </c>
      <c r="E958" t="s">
        <v>445</v>
      </c>
      <c r="F958" t="s">
        <v>555</v>
      </c>
      <c r="G958" t="s">
        <v>58</v>
      </c>
      <c r="H958" s="92" t="s">
        <v>969</v>
      </c>
      <c r="I958">
        <v>1</v>
      </c>
      <c r="J958" s="46">
        <v>2530</v>
      </c>
      <c r="K958" s="50" t="s">
        <v>545</v>
      </c>
      <c r="L958" s="46">
        <v>2530</v>
      </c>
      <c r="M958" s="46"/>
    </row>
    <row r="959" spans="2:13" ht="15" customHeight="1" x14ac:dyDescent="0.25">
      <c r="B959" s="5">
        <v>44615</v>
      </c>
      <c r="C959" s="5" t="s">
        <v>177</v>
      </c>
      <c r="D959" s="35">
        <v>2022</v>
      </c>
      <c r="E959" t="s">
        <v>445</v>
      </c>
      <c r="F959" t="s">
        <v>216</v>
      </c>
      <c r="G959" t="s">
        <v>416</v>
      </c>
      <c r="H959" s="24" t="s">
        <v>968</v>
      </c>
      <c r="I959">
        <v>1</v>
      </c>
      <c r="J959" s="46">
        <v>4455</v>
      </c>
      <c r="K959" s="50" t="s">
        <v>545</v>
      </c>
      <c r="L959" s="46">
        <v>4455</v>
      </c>
      <c r="M959" s="46"/>
    </row>
    <row r="960" spans="2:13" ht="15" customHeight="1" x14ac:dyDescent="0.25">
      <c r="B960" s="5">
        <v>44615</v>
      </c>
      <c r="C960" s="5" t="s">
        <v>177</v>
      </c>
      <c r="D960" s="35">
        <v>2022</v>
      </c>
      <c r="E960" t="s">
        <v>445</v>
      </c>
      <c r="F960" t="s">
        <v>252</v>
      </c>
      <c r="G960" t="s">
        <v>485</v>
      </c>
      <c r="H960" s="92" t="s">
        <v>967</v>
      </c>
      <c r="I960">
        <v>1</v>
      </c>
      <c r="J960" s="46">
        <v>2300</v>
      </c>
      <c r="K960" s="50" t="s">
        <v>545</v>
      </c>
      <c r="L960" s="46">
        <v>2300</v>
      </c>
      <c r="M960" s="46"/>
    </row>
    <row r="961" spans="2:13" ht="15" customHeight="1" x14ac:dyDescent="0.25">
      <c r="B961" s="5">
        <v>44615</v>
      </c>
      <c r="C961" s="5" t="s">
        <v>177</v>
      </c>
      <c r="D961" s="35">
        <v>2022</v>
      </c>
      <c r="E961" t="s">
        <v>445</v>
      </c>
      <c r="F961" t="s">
        <v>558</v>
      </c>
      <c r="G961" t="s">
        <v>124</v>
      </c>
      <c r="H961" s="92" t="s">
        <v>982</v>
      </c>
      <c r="I961">
        <v>1</v>
      </c>
      <c r="J961" s="46">
        <v>625</v>
      </c>
      <c r="K961" s="50" t="s">
        <v>545</v>
      </c>
      <c r="L961" s="46">
        <v>625</v>
      </c>
      <c r="M961" s="46"/>
    </row>
    <row r="962" spans="2:13" ht="15" customHeight="1" x14ac:dyDescent="0.25">
      <c r="B962" s="5">
        <v>44615</v>
      </c>
      <c r="C962" s="5" t="s">
        <v>177</v>
      </c>
      <c r="D962" s="35">
        <v>2022</v>
      </c>
      <c r="E962" t="s">
        <v>445</v>
      </c>
      <c r="F962" t="s">
        <v>391</v>
      </c>
      <c r="G962" t="s">
        <v>58</v>
      </c>
      <c r="H962" s="92" t="s">
        <v>969</v>
      </c>
      <c r="I962">
        <v>1</v>
      </c>
      <c r="J962" s="46">
        <v>2530</v>
      </c>
      <c r="K962" s="50" t="s">
        <v>545</v>
      </c>
      <c r="L962" s="46">
        <v>2530</v>
      </c>
      <c r="M962" s="46"/>
    </row>
    <row r="963" spans="2:13" ht="15" customHeight="1" x14ac:dyDescent="0.25">
      <c r="B963" s="5">
        <v>44615</v>
      </c>
      <c r="C963" s="5" t="s">
        <v>177</v>
      </c>
      <c r="D963" s="35">
        <v>2022</v>
      </c>
      <c r="E963" t="s">
        <v>445</v>
      </c>
      <c r="F963" t="s">
        <v>369</v>
      </c>
      <c r="G963" t="s">
        <v>416</v>
      </c>
      <c r="H963" s="24" t="s">
        <v>968</v>
      </c>
      <c r="I963">
        <v>1</v>
      </c>
      <c r="J963" s="46">
        <v>4455</v>
      </c>
      <c r="K963" s="50" t="s">
        <v>545</v>
      </c>
      <c r="L963" s="46">
        <v>4455</v>
      </c>
      <c r="M963" s="46"/>
    </row>
    <row r="964" spans="2:13" ht="15" customHeight="1" x14ac:dyDescent="0.25">
      <c r="B964" s="5">
        <v>44615</v>
      </c>
      <c r="C964" s="5" t="s">
        <v>177</v>
      </c>
      <c r="D964" s="35">
        <v>2022</v>
      </c>
      <c r="E964" t="s">
        <v>445</v>
      </c>
      <c r="F964" t="s">
        <v>580</v>
      </c>
      <c r="G964" t="s">
        <v>582</v>
      </c>
      <c r="H964" s="92" t="s">
        <v>966</v>
      </c>
      <c r="I964">
        <v>5</v>
      </c>
      <c r="J964" s="46">
        <v>8700</v>
      </c>
      <c r="K964" s="50" t="s">
        <v>545</v>
      </c>
      <c r="L964" s="46">
        <v>8700</v>
      </c>
      <c r="M964" s="46"/>
    </row>
    <row r="965" spans="2:13" ht="15" customHeight="1" x14ac:dyDescent="0.25">
      <c r="B965" s="5">
        <v>44615</v>
      </c>
      <c r="C965" s="5" t="s">
        <v>177</v>
      </c>
      <c r="D965" s="35">
        <v>2022</v>
      </c>
      <c r="E965" t="s">
        <v>445</v>
      </c>
      <c r="F965" t="s">
        <v>581</v>
      </c>
      <c r="G965" t="s">
        <v>192</v>
      </c>
      <c r="H965" s="24" t="s">
        <v>976</v>
      </c>
      <c r="I965">
        <v>1</v>
      </c>
      <c r="J965" s="46">
        <v>1395</v>
      </c>
      <c r="K965" s="50" t="s">
        <v>545</v>
      </c>
      <c r="L965" s="46">
        <v>1395</v>
      </c>
      <c r="M965" s="46"/>
    </row>
    <row r="966" spans="2:13" ht="15" customHeight="1" x14ac:dyDescent="0.25">
      <c r="B966" s="5">
        <v>44615</v>
      </c>
      <c r="C966" s="5" t="s">
        <v>177</v>
      </c>
      <c r="D966" s="35">
        <v>2022</v>
      </c>
      <c r="E966" t="s">
        <v>599</v>
      </c>
      <c r="F966" t="s">
        <v>583</v>
      </c>
      <c r="G966" t="s">
        <v>58</v>
      </c>
      <c r="H966" s="92" t="s">
        <v>969</v>
      </c>
      <c r="I966">
        <v>1</v>
      </c>
      <c r="J966" s="46">
        <v>2530</v>
      </c>
      <c r="K966" s="50" t="s">
        <v>545</v>
      </c>
      <c r="L966" s="46">
        <v>2530</v>
      </c>
      <c r="M966" s="46"/>
    </row>
    <row r="967" spans="2:13" ht="15" customHeight="1" x14ac:dyDescent="0.25">
      <c r="B967" s="5">
        <v>44615</v>
      </c>
      <c r="C967" s="5" t="s">
        <v>177</v>
      </c>
      <c r="D967" s="35">
        <v>2022</v>
      </c>
      <c r="E967" t="s">
        <v>599</v>
      </c>
      <c r="F967" t="s">
        <v>583</v>
      </c>
      <c r="G967" t="s">
        <v>283</v>
      </c>
      <c r="H967" s="92" t="s">
        <v>983</v>
      </c>
      <c r="I967">
        <v>1</v>
      </c>
      <c r="J967" s="46">
        <v>505</v>
      </c>
      <c r="K967" s="50" t="s">
        <v>545</v>
      </c>
      <c r="L967" s="46">
        <v>505</v>
      </c>
      <c r="M967" s="46"/>
    </row>
    <row r="968" spans="2:13" ht="15" customHeight="1" x14ac:dyDescent="0.25">
      <c r="B968" s="5">
        <v>44615</v>
      </c>
      <c r="C968" s="5" t="s">
        <v>177</v>
      </c>
      <c r="D968" s="35">
        <v>2022</v>
      </c>
      <c r="E968" t="s">
        <v>599</v>
      </c>
      <c r="F968" t="s">
        <v>583</v>
      </c>
      <c r="G968" t="s">
        <v>269</v>
      </c>
      <c r="H968" s="92" t="s">
        <v>983</v>
      </c>
      <c r="I968">
        <v>1</v>
      </c>
      <c r="J968" s="46">
        <v>290</v>
      </c>
      <c r="K968" s="50" t="s">
        <v>545</v>
      </c>
      <c r="L968" s="46">
        <v>290</v>
      </c>
      <c r="M968" s="46"/>
    </row>
    <row r="969" spans="2:13" ht="15" customHeight="1" x14ac:dyDescent="0.25">
      <c r="B969" s="5">
        <v>44615</v>
      </c>
      <c r="C969" s="5" t="s">
        <v>177</v>
      </c>
      <c r="D969" s="35">
        <v>2022</v>
      </c>
      <c r="E969" t="s">
        <v>599</v>
      </c>
      <c r="F969" t="s">
        <v>584</v>
      </c>
      <c r="G969" t="s">
        <v>592</v>
      </c>
      <c r="H969" s="24" t="s">
        <v>968</v>
      </c>
      <c r="I969">
        <v>3</v>
      </c>
      <c r="J969" s="46">
        <v>2160</v>
      </c>
      <c r="K969" s="50" t="s">
        <v>545</v>
      </c>
      <c r="L969" s="46">
        <v>2160</v>
      </c>
      <c r="M969" s="46"/>
    </row>
    <row r="970" spans="2:13" ht="15" customHeight="1" x14ac:dyDescent="0.25">
      <c r="B970" s="5">
        <v>44615</v>
      </c>
      <c r="C970" s="5" t="s">
        <v>177</v>
      </c>
      <c r="D970" s="35">
        <v>2022</v>
      </c>
      <c r="E970" t="s">
        <v>599</v>
      </c>
      <c r="F970" t="s">
        <v>584</v>
      </c>
      <c r="G970" t="s">
        <v>593</v>
      </c>
      <c r="H970" s="92" t="s">
        <v>968</v>
      </c>
      <c r="I970">
        <v>1</v>
      </c>
      <c r="J970" s="46">
        <v>1200</v>
      </c>
      <c r="K970" s="50" t="s">
        <v>545</v>
      </c>
      <c r="L970" s="46">
        <v>1200</v>
      </c>
      <c r="M970" s="46"/>
    </row>
    <row r="971" spans="2:13" ht="15" customHeight="1" x14ac:dyDescent="0.25">
      <c r="B971" s="5">
        <v>44615</v>
      </c>
      <c r="C971" s="5" t="s">
        <v>177</v>
      </c>
      <c r="D971" s="35">
        <v>2022</v>
      </c>
      <c r="E971" t="s">
        <v>599</v>
      </c>
      <c r="F971" t="s">
        <v>585</v>
      </c>
      <c r="G971" t="s">
        <v>594</v>
      </c>
      <c r="H971" s="92" t="s">
        <v>977</v>
      </c>
      <c r="I971">
        <v>1</v>
      </c>
      <c r="J971" s="46">
        <v>560</v>
      </c>
      <c r="K971" s="50" t="s">
        <v>545</v>
      </c>
      <c r="L971" s="46">
        <v>560</v>
      </c>
      <c r="M971" s="46"/>
    </row>
    <row r="972" spans="2:13" ht="15" customHeight="1" x14ac:dyDescent="0.25">
      <c r="B972" s="5">
        <v>44615</v>
      </c>
      <c r="C972" s="5" t="s">
        <v>177</v>
      </c>
      <c r="D972" s="35">
        <v>2022</v>
      </c>
      <c r="E972" t="s">
        <v>599</v>
      </c>
      <c r="F972" t="s">
        <v>586</v>
      </c>
      <c r="G972" t="s">
        <v>485</v>
      </c>
      <c r="H972" s="92" t="s">
        <v>967</v>
      </c>
      <c r="I972">
        <v>1</v>
      </c>
      <c r="J972" s="46">
        <v>2300</v>
      </c>
      <c r="K972" s="50" t="s">
        <v>545</v>
      </c>
      <c r="L972" s="46">
        <v>2300</v>
      </c>
      <c r="M972" s="46"/>
    </row>
    <row r="973" spans="2:13" ht="15" customHeight="1" x14ac:dyDescent="0.25">
      <c r="B973" s="5">
        <v>44615</v>
      </c>
      <c r="C973" s="5" t="s">
        <v>177</v>
      </c>
      <c r="D973" s="35">
        <v>2022</v>
      </c>
      <c r="E973" t="s">
        <v>599</v>
      </c>
      <c r="F973" t="s">
        <v>587</v>
      </c>
      <c r="G973" t="s">
        <v>432</v>
      </c>
      <c r="H973" s="24" t="s">
        <v>976</v>
      </c>
      <c r="I973">
        <v>1</v>
      </c>
      <c r="J973" s="46">
        <v>3580</v>
      </c>
      <c r="K973" s="50" t="s">
        <v>545</v>
      </c>
      <c r="L973" s="46">
        <v>3580</v>
      </c>
      <c r="M973" s="46"/>
    </row>
    <row r="974" spans="2:13" ht="15" customHeight="1" x14ac:dyDescent="0.25">
      <c r="B974" s="5">
        <v>44615</v>
      </c>
      <c r="C974" s="5" t="s">
        <v>177</v>
      </c>
      <c r="D974" s="35">
        <v>2022</v>
      </c>
      <c r="E974" t="s">
        <v>599</v>
      </c>
      <c r="F974" t="s">
        <v>588</v>
      </c>
      <c r="G974" t="s">
        <v>595</v>
      </c>
      <c r="H974" s="92" t="s">
        <v>977</v>
      </c>
      <c r="I974">
        <v>4</v>
      </c>
      <c r="J974" s="46">
        <v>520</v>
      </c>
      <c r="K974" s="50" t="s">
        <v>545</v>
      </c>
      <c r="L974" s="46">
        <v>520</v>
      </c>
      <c r="M974" s="46"/>
    </row>
    <row r="975" spans="2:13" ht="15" customHeight="1" x14ac:dyDescent="0.25">
      <c r="B975" s="5">
        <v>44615</v>
      </c>
      <c r="C975" s="5" t="s">
        <v>177</v>
      </c>
      <c r="D975" s="35">
        <v>2022</v>
      </c>
      <c r="E975" t="s">
        <v>599</v>
      </c>
      <c r="F975" t="s">
        <v>589</v>
      </c>
      <c r="G975" t="s">
        <v>264</v>
      </c>
      <c r="H975" s="24" t="s">
        <v>976</v>
      </c>
      <c r="I975">
        <v>1</v>
      </c>
      <c r="J975" s="46">
        <v>3580</v>
      </c>
      <c r="K975" s="50" t="s">
        <v>545</v>
      </c>
      <c r="L975" s="46">
        <v>3580</v>
      </c>
      <c r="M975" s="46"/>
    </row>
    <row r="976" spans="2:13" ht="15" customHeight="1" x14ac:dyDescent="0.25">
      <c r="B976" s="5">
        <v>44615</v>
      </c>
      <c r="C976" s="5" t="s">
        <v>177</v>
      </c>
      <c r="D976" s="35">
        <v>2022</v>
      </c>
      <c r="E976" t="s">
        <v>599</v>
      </c>
      <c r="F976" t="s">
        <v>589</v>
      </c>
      <c r="G976" t="s">
        <v>269</v>
      </c>
      <c r="H976" s="92" t="s">
        <v>983</v>
      </c>
      <c r="I976">
        <v>2</v>
      </c>
      <c r="J976" s="46">
        <v>580</v>
      </c>
      <c r="K976" s="50" t="s">
        <v>545</v>
      </c>
      <c r="L976" s="46">
        <v>580</v>
      </c>
      <c r="M976" s="46"/>
    </row>
    <row r="977" spans="2:15" ht="15" customHeight="1" x14ac:dyDescent="0.25">
      <c r="B977" s="5">
        <v>44615</v>
      </c>
      <c r="C977" s="5" t="s">
        <v>177</v>
      </c>
      <c r="D977" s="35">
        <v>2022</v>
      </c>
      <c r="E977" t="s">
        <v>599</v>
      </c>
      <c r="F977" t="s">
        <v>589</v>
      </c>
      <c r="G977" t="s">
        <v>283</v>
      </c>
      <c r="H977" s="92" t="s">
        <v>983</v>
      </c>
      <c r="I977">
        <v>2</v>
      </c>
      <c r="J977" s="46">
        <v>1010</v>
      </c>
      <c r="K977" s="50" t="s">
        <v>545</v>
      </c>
      <c r="L977" s="46">
        <v>1010</v>
      </c>
      <c r="M977" s="46"/>
    </row>
    <row r="978" spans="2:15" ht="15" customHeight="1" x14ac:dyDescent="0.25">
      <c r="B978" s="5">
        <v>44615</v>
      </c>
      <c r="C978" s="5" t="s">
        <v>177</v>
      </c>
      <c r="D978" s="35">
        <v>2022</v>
      </c>
      <c r="E978" t="s">
        <v>599</v>
      </c>
      <c r="F978" t="s">
        <v>590</v>
      </c>
      <c r="G978" t="s">
        <v>249</v>
      </c>
      <c r="H978" s="92" t="s">
        <v>972</v>
      </c>
      <c r="I978">
        <v>1</v>
      </c>
      <c r="J978" s="46">
        <v>1080</v>
      </c>
      <c r="K978" s="50" t="s">
        <v>545</v>
      </c>
      <c r="L978" s="46">
        <v>1080</v>
      </c>
      <c r="M978" s="46"/>
    </row>
    <row r="979" spans="2:15" ht="15" customHeight="1" x14ac:dyDescent="0.25">
      <c r="B979" s="5">
        <v>44615</v>
      </c>
      <c r="C979" s="5" t="s">
        <v>177</v>
      </c>
      <c r="D979" s="35">
        <v>2022</v>
      </c>
      <c r="E979" t="s">
        <v>599</v>
      </c>
      <c r="F979" t="s">
        <v>591</v>
      </c>
      <c r="G979" t="s">
        <v>598</v>
      </c>
      <c r="H979" s="92" t="s">
        <v>973</v>
      </c>
      <c r="I979">
        <v>4</v>
      </c>
      <c r="J979" s="46">
        <v>1040</v>
      </c>
      <c r="K979" s="50" t="s">
        <v>545</v>
      </c>
      <c r="L979" s="46">
        <v>1040</v>
      </c>
      <c r="M979" s="46"/>
    </row>
    <row r="980" spans="2:15" ht="15" customHeight="1" x14ac:dyDescent="0.25">
      <c r="B980" s="5">
        <v>44615</v>
      </c>
      <c r="C980" s="5" t="s">
        <v>177</v>
      </c>
      <c r="D980" s="35">
        <v>2022</v>
      </c>
      <c r="E980" t="s">
        <v>458</v>
      </c>
      <c r="F980" t="s">
        <v>600</v>
      </c>
      <c r="G980" t="s">
        <v>55</v>
      </c>
      <c r="H980" s="92" t="s">
        <v>965</v>
      </c>
      <c r="I980">
        <v>1</v>
      </c>
      <c r="J980" s="46">
        <v>1390</v>
      </c>
      <c r="K980" s="50" t="s">
        <v>545</v>
      </c>
      <c r="L980" s="23">
        <f>I980*J980</f>
        <v>1390</v>
      </c>
      <c r="M980" s="46"/>
    </row>
    <row r="981" spans="2:15" ht="15" customHeight="1" x14ac:dyDescent="0.25">
      <c r="B981" s="5">
        <v>44615</v>
      </c>
      <c r="C981" s="5" t="s">
        <v>177</v>
      </c>
      <c r="D981" s="35">
        <v>2022</v>
      </c>
      <c r="E981" t="s">
        <v>458</v>
      </c>
      <c r="F981" t="s">
        <v>601</v>
      </c>
      <c r="G981" t="s">
        <v>192</v>
      </c>
      <c r="H981" s="24" t="s">
        <v>976</v>
      </c>
      <c r="I981">
        <v>1</v>
      </c>
      <c r="J981" s="46">
        <v>1395</v>
      </c>
      <c r="K981" s="50" t="s">
        <v>545</v>
      </c>
      <c r="L981" s="23">
        <f t="shared" ref="L981:L985" si="0">I981*J981</f>
        <v>1395</v>
      </c>
      <c r="M981" s="46"/>
    </row>
    <row r="982" spans="2:15" ht="15" customHeight="1" x14ac:dyDescent="0.25">
      <c r="B982" s="5">
        <v>44615</v>
      </c>
      <c r="C982" s="5" t="s">
        <v>177</v>
      </c>
      <c r="D982" s="35">
        <v>2022</v>
      </c>
      <c r="E982" t="s">
        <v>458</v>
      </c>
      <c r="F982" t="s">
        <v>602</v>
      </c>
      <c r="G982" t="s">
        <v>58</v>
      </c>
      <c r="H982" s="92" t="s">
        <v>969</v>
      </c>
      <c r="I982">
        <v>1</v>
      </c>
      <c r="J982" s="46">
        <v>2530</v>
      </c>
      <c r="K982" s="50" t="s">
        <v>545</v>
      </c>
      <c r="L982" s="23">
        <f t="shared" si="0"/>
        <v>2530</v>
      </c>
      <c r="M982" s="46"/>
    </row>
    <row r="983" spans="2:15" ht="15" customHeight="1" x14ac:dyDescent="0.25">
      <c r="B983" s="5">
        <v>44615</v>
      </c>
      <c r="C983" s="5" t="s">
        <v>177</v>
      </c>
      <c r="D983" s="35">
        <v>2022</v>
      </c>
      <c r="E983" t="s">
        <v>458</v>
      </c>
      <c r="F983" t="s">
        <v>603</v>
      </c>
      <c r="G983" t="s">
        <v>606</v>
      </c>
      <c r="H983" s="92" t="s">
        <v>968</v>
      </c>
      <c r="I983">
        <v>1</v>
      </c>
      <c r="J983" s="46">
        <v>1175</v>
      </c>
      <c r="K983" s="50" t="s">
        <v>545</v>
      </c>
      <c r="L983" s="46"/>
      <c r="M983" s="133">
        <f>I983*J983</f>
        <v>1175</v>
      </c>
      <c r="O983" t="s">
        <v>625</v>
      </c>
    </row>
    <row r="984" spans="2:15" ht="15" customHeight="1" x14ac:dyDescent="0.25">
      <c r="B984" s="5">
        <v>44615</v>
      </c>
      <c r="C984" s="5" t="s">
        <v>177</v>
      </c>
      <c r="D984" s="35">
        <v>2022</v>
      </c>
      <c r="E984" t="s">
        <v>458</v>
      </c>
      <c r="F984" t="s">
        <v>604</v>
      </c>
      <c r="G984" t="s">
        <v>414</v>
      </c>
      <c r="H984" s="92" t="s">
        <v>969</v>
      </c>
      <c r="I984">
        <v>2</v>
      </c>
      <c r="J984" s="46">
        <v>4900</v>
      </c>
      <c r="K984" s="50" t="s">
        <v>545</v>
      </c>
      <c r="L984" s="23">
        <f t="shared" si="0"/>
        <v>9800</v>
      </c>
      <c r="M984" s="46"/>
    </row>
    <row r="985" spans="2:15" ht="15" customHeight="1" x14ac:dyDescent="0.25">
      <c r="B985" s="5">
        <v>44615</v>
      </c>
      <c r="C985" s="5" t="s">
        <v>177</v>
      </c>
      <c r="D985" s="35">
        <v>2022</v>
      </c>
      <c r="E985" t="s">
        <v>458</v>
      </c>
      <c r="F985" t="s">
        <v>605</v>
      </c>
      <c r="G985" t="s">
        <v>128</v>
      </c>
      <c r="H985" s="92" t="s">
        <v>965</v>
      </c>
      <c r="I985">
        <v>1</v>
      </c>
      <c r="J985" s="46">
        <v>1240</v>
      </c>
      <c r="K985" s="50" t="s">
        <v>545</v>
      </c>
      <c r="L985" s="23">
        <f t="shared" si="0"/>
        <v>1240</v>
      </c>
      <c r="M985" s="46"/>
    </row>
    <row r="986" spans="2:15" ht="15" customHeight="1" x14ac:dyDescent="0.25">
      <c r="B986" s="5">
        <v>44616</v>
      </c>
      <c r="C986" s="5" t="s">
        <v>177</v>
      </c>
      <c r="D986" s="35">
        <v>2022</v>
      </c>
      <c r="E986" t="s">
        <v>22</v>
      </c>
      <c r="F986" t="s">
        <v>694</v>
      </c>
      <c r="G986" t="s">
        <v>416</v>
      </c>
      <c r="H986" s="24" t="s">
        <v>968</v>
      </c>
      <c r="I986">
        <v>6</v>
      </c>
      <c r="J986" s="46">
        <v>26730</v>
      </c>
      <c r="K986" s="50" t="s">
        <v>545</v>
      </c>
      <c r="L986" s="23">
        <v>26730</v>
      </c>
      <c r="M986" s="46"/>
    </row>
    <row r="987" spans="2:15" ht="15" customHeight="1" x14ac:dyDescent="0.25">
      <c r="B987" s="5">
        <v>44616</v>
      </c>
      <c r="C987" s="5" t="s">
        <v>177</v>
      </c>
      <c r="D987" s="35">
        <v>2022</v>
      </c>
      <c r="E987" t="s">
        <v>22</v>
      </c>
      <c r="F987" t="s">
        <v>236</v>
      </c>
      <c r="G987" t="s">
        <v>416</v>
      </c>
      <c r="H987" s="24" t="s">
        <v>968</v>
      </c>
      <c r="I987">
        <v>5</v>
      </c>
      <c r="J987" s="46">
        <v>22275</v>
      </c>
      <c r="K987" s="50" t="s">
        <v>545</v>
      </c>
      <c r="L987" s="23">
        <v>22275</v>
      </c>
      <c r="M987" s="46"/>
    </row>
    <row r="988" spans="2:15" ht="15" customHeight="1" x14ac:dyDescent="0.25">
      <c r="B988" s="5">
        <v>44616</v>
      </c>
      <c r="C988" s="5" t="s">
        <v>177</v>
      </c>
      <c r="D988" s="35">
        <v>2022</v>
      </c>
      <c r="E988" t="s">
        <v>22</v>
      </c>
      <c r="F988" t="s">
        <v>421</v>
      </c>
      <c r="G988" t="s">
        <v>58</v>
      </c>
      <c r="H988" s="92" t="s">
        <v>969</v>
      </c>
      <c r="I988">
        <v>1</v>
      </c>
      <c r="J988" s="46">
        <v>2530</v>
      </c>
      <c r="K988" s="50" t="s">
        <v>545</v>
      </c>
      <c r="L988" s="23">
        <v>2530</v>
      </c>
      <c r="M988" s="46"/>
    </row>
    <row r="989" spans="2:15" ht="15" customHeight="1" x14ac:dyDescent="0.25">
      <c r="B989" s="5">
        <v>44616</v>
      </c>
      <c r="C989" s="5" t="s">
        <v>177</v>
      </c>
      <c r="D989" s="35">
        <v>2022</v>
      </c>
      <c r="E989" t="s">
        <v>22</v>
      </c>
      <c r="F989" t="s">
        <v>695</v>
      </c>
      <c r="G989" t="s">
        <v>58</v>
      </c>
      <c r="H989" s="92" t="s">
        <v>969</v>
      </c>
      <c r="I989">
        <v>1</v>
      </c>
      <c r="J989" s="46">
        <v>2530</v>
      </c>
      <c r="K989" s="50" t="s">
        <v>545</v>
      </c>
      <c r="L989" s="23">
        <v>2530</v>
      </c>
      <c r="M989" s="46"/>
    </row>
    <row r="990" spans="2:15" ht="15" customHeight="1" x14ac:dyDescent="0.25">
      <c r="B990" s="5">
        <v>44616</v>
      </c>
      <c r="C990" s="5" t="s">
        <v>177</v>
      </c>
      <c r="D990" s="35">
        <v>2022</v>
      </c>
      <c r="E990" t="s">
        <v>22</v>
      </c>
      <c r="F990" t="s">
        <v>411</v>
      </c>
      <c r="G990" t="s">
        <v>379</v>
      </c>
      <c r="H990" s="92" t="s">
        <v>977</v>
      </c>
      <c r="I990">
        <v>1</v>
      </c>
      <c r="J990" s="46">
        <v>3310</v>
      </c>
      <c r="K990" s="50" t="s">
        <v>545</v>
      </c>
      <c r="L990" s="23">
        <v>3310</v>
      </c>
      <c r="M990" s="46"/>
    </row>
    <row r="991" spans="2:15" ht="15" customHeight="1" x14ac:dyDescent="0.25">
      <c r="B991" s="5">
        <v>44616</v>
      </c>
      <c r="C991" s="5" t="s">
        <v>177</v>
      </c>
      <c r="D991" s="35">
        <v>2022</v>
      </c>
      <c r="E991" t="s">
        <v>22</v>
      </c>
      <c r="F991" t="s">
        <v>51</v>
      </c>
      <c r="G991" t="s">
        <v>49</v>
      </c>
      <c r="H991" s="92" t="s">
        <v>966</v>
      </c>
      <c r="I991">
        <v>1</v>
      </c>
      <c r="J991" s="46">
        <v>1740</v>
      </c>
      <c r="K991" s="50" t="s">
        <v>545</v>
      </c>
      <c r="L991" s="23">
        <v>1740</v>
      </c>
      <c r="M991" s="46"/>
    </row>
    <row r="992" spans="2:15" ht="15" customHeight="1" x14ac:dyDescent="0.25">
      <c r="B992" s="5">
        <v>44616</v>
      </c>
      <c r="C992" s="5" t="s">
        <v>177</v>
      </c>
      <c r="D992" s="35">
        <v>2022</v>
      </c>
      <c r="E992" t="s">
        <v>22</v>
      </c>
      <c r="F992" t="s">
        <v>696</v>
      </c>
      <c r="G992" t="s">
        <v>125</v>
      </c>
      <c r="H992" s="92" t="s">
        <v>971</v>
      </c>
      <c r="I992">
        <v>1</v>
      </c>
      <c r="J992" s="46">
        <v>510</v>
      </c>
      <c r="K992" s="50" t="s">
        <v>545</v>
      </c>
      <c r="L992" s="23">
        <v>510</v>
      </c>
      <c r="M992" s="46"/>
    </row>
    <row r="993" spans="2:13" ht="15" customHeight="1" x14ac:dyDescent="0.25">
      <c r="B993" s="5">
        <v>44616</v>
      </c>
      <c r="C993" s="5" t="s">
        <v>177</v>
      </c>
      <c r="D993" s="35">
        <v>2022</v>
      </c>
      <c r="E993" t="s">
        <v>22</v>
      </c>
      <c r="F993" t="s">
        <v>696</v>
      </c>
      <c r="G993" t="s">
        <v>425</v>
      </c>
      <c r="H993" s="92" t="s">
        <v>980</v>
      </c>
      <c r="I993">
        <v>1</v>
      </c>
      <c r="J993" s="46">
        <v>210</v>
      </c>
      <c r="K993" s="50" t="s">
        <v>545</v>
      </c>
      <c r="L993" s="23">
        <v>210</v>
      </c>
      <c r="M993" s="46"/>
    </row>
    <row r="994" spans="2:13" ht="15" customHeight="1" x14ac:dyDescent="0.25">
      <c r="B994" s="5">
        <v>44616</v>
      </c>
      <c r="C994" s="5" t="s">
        <v>177</v>
      </c>
      <c r="D994" s="35">
        <v>2022</v>
      </c>
      <c r="E994" t="s">
        <v>356</v>
      </c>
      <c r="F994" t="s">
        <v>185</v>
      </c>
      <c r="G994" t="s">
        <v>50</v>
      </c>
      <c r="H994" s="92" t="s">
        <v>969</v>
      </c>
      <c r="I994">
        <v>1</v>
      </c>
      <c r="J994" s="46">
        <v>2530</v>
      </c>
      <c r="K994" s="50" t="s">
        <v>545</v>
      </c>
      <c r="L994" s="23">
        <v>2530</v>
      </c>
      <c r="M994" s="46"/>
    </row>
    <row r="995" spans="2:13" ht="15" customHeight="1" x14ac:dyDescent="0.25">
      <c r="B995" s="5">
        <v>44616</v>
      </c>
      <c r="C995" s="5" t="s">
        <v>177</v>
      </c>
      <c r="D995" s="35">
        <v>2022</v>
      </c>
      <c r="E995" t="s">
        <v>356</v>
      </c>
      <c r="F995" t="s">
        <v>240</v>
      </c>
      <c r="G995" t="s">
        <v>416</v>
      </c>
      <c r="H995" s="24" t="s">
        <v>968</v>
      </c>
      <c r="I995">
        <v>1</v>
      </c>
      <c r="J995" s="46">
        <v>4455</v>
      </c>
      <c r="K995" s="50" t="s">
        <v>545</v>
      </c>
      <c r="L995" s="23">
        <v>4455</v>
      </c>
      <c r="M995" s="46"/>
    </row>
    <row r="996" spans="2:13" ht="15" customHeight="1" x14ac:dyDescent="0.25">
      <c r="B996" s="5">
        <v>44616</v>
      </c>
      <c r="C996" s="5" t="s">
        <v>177</v>
      </c>
      <c r="D996" s="35">
        <v>2022</v>
      </c>
      <c r="E996" t="s">
        <v>356</v>
      </c>
      <c r="F996" t="s">
        <v>241</v>
      </c>
      <c r="G996" t="s">
        <v>416</v>
      </c>
      <c r="H996" s="24" t="s">
        <v>968</v>
      </c>
      <c r="I996">
        <v>5</v>
      </c>
      <c r="J996" s="46">
        <v>22275</v>
      </c>
      <c r="K996" s="50" t="s">
        <v>545</v>
      </c>
      <c r="L996" s="21">
        <v>22275</v>
      </c>
      <c r="M996" s="46"/>
    </row>
    <row r="997" spans="2:13" ht="15" customHeight="1" x14ac:dyDescent="0.25">
      <c r="B997" s="5">
        <v>44616</v>
      </c>
      <c r="C997" s="5" t="s">
        <v>177</v>
      </c>
      <c r="D997" s="35">
        <v>2022</v>
      </c>
      <c r="E997" t="s">
        <v>356</v>
      </c>
      <c r="F997" t="s">
        <v>477</v>
      </c>
      <c r="G997" t="s">
        <v>416</v>
      </c>
      <c r="H997" s="24" t="s">
        <v>968</v>
      </c>
      <c r="I997">
        <v>1</v>
      </c>
      <c r="J997" s="46">
        <v>4455</v>
      </c>
      <c r="K997" s="50" t="s">
        <v>545</v>
      </c>
      <c r="L997" s="23">
        <v>4455</v>
      </c>
      <c r="M997" s="46"/>
    </row>
    <row r="998" spans="2:13" ht="15" customHeight="1" x14ac:dyDescent="0.25">
      <c r="B998" s="5">
        <v>44616</v>
      </c>
      <c r="C998" s="5" t="s">
        <v>177</v>
      </c>
      <c r="D998" s="35">
        <v>2022</v>
      </c>
      <c r="E998" t="s">
        <v>356</v>
      </c>
      <c r="F998" t="s">
        <v>137</v>
      </c>
      <c r="G998" t="s">
        <v>416</v>
      </c>
      <c r="H998" s="24" t="s">
        <v>968</v>
      </c>
      <c r="I998">
        <v>3</v>
      </c>
      <c r="J998" s="46">
        <v>13365</v>
      </c>
      <c r="K998" s="50" t="s">
        <v>545</v>
      </c>
      <c r="L998" s="23">
        <v>13365</v>
      </c>
      <c r="M998" s="46"/>
    </row>
    <row r="999" spans="2:13" ht="15" customHeight="1" x14ac:dyDescent="0.25">
      <c r="B999" s="5">
        <v>44616</v>
      </c>
      <c r="C999" s="5" t="s">
        <v>177</v>
      </c>
      <c r="D999" s="35">
        <v>2022</v>
      </c>
      <c r="E999" t="s">
        <v>356</v>
      </c>
      <c r="F999" t="s">
        <v>137</v>
      </c>
      <c r="G999" t="s">
        <v>45</v>
      </c>
      <c r="H999" s="92" t="s">
        <v>965</v>
      </c>
      <c r="I999">
        <v>2</v>
      </c>
      <c r="J999" s="46">
        <v>2780</v>
      </c>
      <c r="K999" s="50" t="s">
        <v>545</v>
      </c>
      <c r="L999" s="23">
        <v>2780</v>
      </c>
      <c r="M999" s="46"/>
    </row>
    <row r="1000" spans="2:13" ht="15" customHeight="1" x14ac:dyDescent="0.25">
      <c r="B1000" s="5">
        <v>44616</v>
      </c>
      <c r="C1000" s="5" t="s">
        <v>177</v>
      </c>
      <c r="D1000" s="35">
        <v>2022</v>
      </c>
      <c r="E1000" t="s">
        <v>356</v>
      </c>
      <c r="F1000" t="s">
        <v>137</v>
      </c>
      <c r="G1000" t="s">
        <v>49</v>
      </c>
      <c r="H1000" s="92" t="s">
        <v>966</v>
      </c>
      <c r="I1000">
        <v>1</v>
      </c>
      <c r="J1000" s="46">
        <v>1740</v>
      </c>
      <c r="K1000" s="50" t="s">
        <v>545</v>
      </c>
      <c r="L1000" s="23">
        <v>1740</v>
      </c>
      <c r="M1000" s="46"/>
    </row>
    <row r="1001" spans="2:13" ht="15" customHeight="1" x14ac:dyDescent="0.25">
      <c r="B1001" s="5">
        <v>44616</v>
      </c>
      <c r="C1001" s="5" t="s">
        <v>177</v>
      </c>
      <c r="D1001" s="35">
        <v>2022</v>
      </c>
      <c r="E1001" t="s">
        <v>356</v>
      </c>
      <c r="F1001" t="s">
        <v>430</v>
      </c>
      <c r="G1001" t="s">
        <v>55</v>
      </c>
      <c r="H1001" s="92" t="s">
        <v>965</v>
      </c>
      <c r="I1001">
        <v>1</v>
      </c>
      <c r="J1001" s="46">
        <v>1390</v>
      </c>
      <c r="K1001" s="50" t="s">
        <v>545</v>
      </c>
      <c r="L1001" s="23">
        <v>1390</v>
      </c>
      <c r="M1001" s="46"/>
    </row>
    <row r="1002" spans="2:13" ht="15" customHeight="1" x14ac:dyDescent="0.25">
      <c r="B1002" s="5">
        <v>44616</v>
      </c>
      <c r="C1002" s="5" t="s">
        <v>177</v>
      </c>
      <c r="D1002" s="35">
        <v>2022</v>
      </c>
      <c r="E1002" t="s">
        <v>599</v>
      </c>
      <c r="F1002" t="s">
        <v>281</v>
      </c>
      <c r="G1002" t="s">
        <v>249</v>
      </c>
      <c r="H1002" s="92" t="s">
        <v>972</v>
      </c>
      <c r="I1002">
        <v>1</v>
      </c>
      <c r="J1002" s="46">
        <v>1080</v>
      </c>
      <c r="K1002" s="50" t="s">
        <v>545</v>
      </c>
      <c r="L1002" s="23">
        <v>1080</v>
      </c>
      <c r="M1002" s="46"/>
    </row>
    <row r="1003" spans="2:13" ht="15" customHeight="1" x14ac:dyDescent="0.25">
      <c r="B1003" s="5">
        <v>44616</v>
      </c>
      <c r="C1003" s="5" t="s">
        <v>177</v>
      </c>
      <c r="D1003" s="35">
        <v>2022</v>
      </c>
      <c r="E1003" t="s">
        <v>599</v>
      </c>
      <c r="F1003" t="s">
        <v>146</v>
      </c>
      <c r="G1003" t="s">
        <v>192</v>
      </c>
      <c r="H1003" s="24" t="s">
        <v>976</v>
      </c>
      <c r="I1003">
        <v>1</v>
      </c>
      <c r="J1003" s="46">
        <v>1395</v>
      </c>
      <c r="K1003" s="50" t="s">
        <v>545</v>
      </c>
      <c r="L1003" s="23">
        <v>1395</v>
      </c>
      <c r="M1003" s="46"/>
    </row>
    <row r="1004" spans="2:13" ht="15" customHeight="1" x14ac:dyDescent="0.25">
      <c r="B1004" s="5">
        <v>44616</v>
      </c>
      <c r="C1004" s="5" t="s">
        <v>177</v>
      </c>
      <c r="D1004" s="35">
        <v>2022</v>
      </c>
      <c r="E1004" t="s">
        <v>599</v>
      </c>
      <c r="F1004" t="s">
        <v>697</v>
      </c>
      <c r="G1004" t="s">
        <v>249</v>
      </c>
      <c r="H1004" s="92" t="s">
        <v>972</v>
      </c>
      <c r="I1004">
        <v>1</v>
      </c>
      <c r="J1004" s="46">
        <v>1080</v>
      </c>
      <c r="K1004" s="50" t="s">
        <v>545</v>
      </c>
      <c r="L1004" s="23">
        <v>1080</v>
      </c>
      <c r="M1004" s="46"/>
    </row>
    <row r="1005" spans="2:13" ht="15" customHeight="1" x14ac:dyDescent="0.25">
      <c r="B1005" s="5">
        <v>44616</v>
      </c>
      <c r="C1005" s="5" t="s">
        <v>177</v>
      </c>
      <c r="D1005" s="35">
        <v>2022</v>
      </c>
      <c r="E1005" t="s">
        <v>599</v>
      </c>
      <c r="F1005" t="s">
        <v>698</v>
      </c>
      <c r="G1005" t="s">
        <v>269</v>
      </c>
      <c r="H1005" s="92" t="s">
        <v>983</v>
      </c>
      <c r="I1005">
        <v>1</v>
      </c>
      <c r="J1005" s="46">
        <v>290</v>
      </c>
      <c r="K1005" s="50" t="s">
        <v>545</v>
      </c>
      <c r="L1005" s="23">
        <v>290</v>
      </c>
      <c r="M1005" s="46"/>
    </row>
    <row r="1006" spans="2:13" ht="15" customHeight="1" x14ac:dyDescent="0.25">
      <c r="B1006" s="5">
        <v>44616</v>
      </c>
      <c r="C1006" s="5" t="s">
        <v>177</v>
      </c>
      <c r="D1006" s="35">
        <v>2022</v>
      </c>
      <c r="E1006" t="s">
        <v>599</v>
      </c>
      <c r="F1006" t="s">
        <v>698</v>
      </c>
      <c r="G1006" t="s">
        <v>413</v>
      </c>
      <c r="H1006" s="92" t="s">
        <v>977</v>
      </c>
      <c r="I1006">
        <v>1</v>
      </c>
      <c r="J1006" s="46">
        <v>560</v>
      </c>
      <c r="K1006" s="50" t="s">
        <v>545</v>
      </c>
      <c r="L1006" s="23">
        <v>560</v>
      </c>
      <c r="M1006" s="46"/>
    </row>
    <row r="1007" spans="2:13" ht="15" customHeight="1" x14ac:dyDescent="0.25">
      <c r="B1007" s="5">
        <v>44616</v>
      </c>
      <c r="C1007" s="5" t="s">
        <v>177</v>
      </c>
      <c r="D1007" s="35">
        <v>2022</v>
      </c>
      <c r="E1007" t="s">
        <v>599</v>
      </c>
      <c r="F1007" t="s">
        <v>699</v>
      </c>
      <c r="G1007" t="s">
        <v>122</v>
      </c>
      <c r="H1007" s="92" t="s">
        <v>973</v>
      </c>
      <c r="I1007">
        <v>2</v>
      </c>
      <c r="J1007" s="46">
        <v>520</v>
      </c>
      <c r="K1007" s="50" t="s">
        <v>545</v>
      </c>
      <c r="L1007" s="23">
        <v>520</v>
      </c>
      <c r="M1007" s="46"/>
    </row>
    <row r="1008" spans="2:13" ht="15" customHeight="1" x14ac:dyDescent="0.25">
      <c r="B1008" s="5">
        <v>44616</v>
      </c>
      <c r="C1008" s="5" t="s">
        <v>177</v>
      </c>
      <c r="D1008" s="35">
        <v>2022</v>
      </c>
      <c r="E1008" t="s">
        <v>599</v>
      </c>
      <c r="F1008" t="s">
        <v>700</v>
      </c>
      <c r="G1008" t="s">
        <v>192</v>
      </c>
      <c r="H1008" s="24" t="s">
        <v>976</v>
      </c>
      <c r="I1008">
        <v>1</v>
      </c>
      <c r="J1008" s="46">
        <v>1395</v>
      </c>
      <c r="K1008" s="50" t="s">
        <v>545</v>
      </c>
      <c r="L1008" s="23">
        <v>1395</v>
      </c>
      <c r="M1008" s="46"/>
    </row>
    <row r="1009" spans="2:15" ht="15" customHeight="1" x14ac:dyDescent="0.25">
      <c r="B1009" s="5">
        <v>44616</v>
      </c>
      <c r="C1009" s="5" t="s">
        <v>177</v>
      </c>
      <c r="D1009" s="35">
        <v>2022</v>
      </c>
      <c r="E1009" t="s">
        <v>599</v>
      </c>
      <c r="F1009" t="s">
        <v>701</v>
      </c>
      <c r="G1009" t="s">
        <v>412</v>
      </c>
      <c r="H1009" s="92" t="s">
        <v>977</v>
      </c>
      <c r="I1009">
        <v>1</v>
      </c>
      <c r="J1009" s="46">
        <v>3310</v>
      </c>
      <c r="K1009" s="50" t="s">
        <v>545</v>
      </c>
      <c r="L1009" s="23">
        <v>3310</v>
      </c>
      <c r="M1009" s="46"/>
    </row>
    <row r="1010" spans="2:15" ht="15" customHeight="1" x14ac:dyDescent="0.25">
      <c r="B1010" s="5">
        <v>44616</v>
      </c>
      <c r="C1010" s="5" t="s">
        <v>177</v>
      </c>
      <c r="D1010" s="35">
        <v>2022</v>
      </c>
      <c r="E1010" t="s">
        <v>599</v>
      </c>
      <c r="F1010" t="s">
        <v>701</v>
      </c>
      <c r="G1010" t="s">
        <v>704</v>
      </c>
      <c r="H1010" s="92" t="s">
        <v>980</v>
      </c>
      <c r="I1010">
        <v>1</v>
      </c>
      <c r="J1010" s="46">
        <v>1064</v>
      </c>
      <c r="K1010" s="50" t="s">
        <v>545</v>
      </c>
      <c r="L1010" s="23">
        <v>1064</v>
      </c>
      <c r="M1010" s="46"/>
    </row>
    <row r="1011" spans="2:15" ht="15" customHeight="1" x14ac:dyDescent="0.25">
      <c r="B1011" s="5">
        <v>44616</v>
      </c>
      <c r="C1011" s="5" t="s">
        <v>177</v>
      </c>
      <c r="D1011" s="35">
        <v>2022</v>
      </c>
      <c r="E1011" t="s">
        <v>599</v>
      </c>
      <c r="F1011" t="s">
        <v>702</v>
      </c>
      <c r="G1011" t="s">
        <v>413</v>
      </c>
      <c r="H1011" s="92" t="s">
        <v>977</v>
      </c>
      <c r="I1011">
        <v>1</v>
      </c>
      <c r="J1011" s="46">
        <v>560</v>
      </c>
      <c r="K1011" s="50" t="s">
        <v>545</v>
      </c>
      <c r="L1011" s="23">
        <v>560</v>
      </c>
      <c r="M1011" s="46"/>
    </row>
    <row r="1012" spans="2:15" ht="15" customHeight="1" x14ac:dyDescent="0.25">
      <c r="B1012" s="5">
        <v>44616</v>
      </c>
      <c r="C1012" s="5" t="s">
        <v>177</v>
      </c>
      <c r="D1012" s="35">
        <v>2022</v>
      </c>
      <c r="E1012" t="s">
        <v>599</v>
      </c>
      <c r="F1012" t="s">
        <v>703</v>
      </c>
      <c r="G1012" t="s">
        <v>192</v>
      </c>
      <c r="H1012" s="24" t="s">
        <v>976</v>
      </c>
      <c r="I1012">
        <v>1</v>
      </c>
      <c r="J1012" s="46">
        <v>1395</v>
      </c>
      <c r="K1012" s="50" t="s">
        <v>545</v>
      </c>
      <c r="L1012" s="23">
        <v>1395</v>
      </c>
      <c r="M1012" s="46"/>
    </row>
    <row r="1013" spans="2:15" ht="15" customHeight="1" x14ac:dyDescent="0.25">
      <c r="B1013" s="5">
        <v>44616</v>
      </c>
      <c r="C1013" s="5" t="s">
        <v>177</v>
      </c>
      <c r="D1013" s="35">
        <v>2022</v>
      </c>
      <c r="E1013" t="s">
        <v>417</v>
      </c>
      <c r="F1013" t="s">
        <v>415</v>
      </c>
      <c r="G1013" t="s">
        <v>440</v>
      </c>
      <c r="H1013" s="92" t="s">
        <v>978</v>
      </c>
      <c r="I1013">
        <v>1</v>
      </c>
      <c r="J1013" s="46">
        <v>750</v>
      </c>
      <c r="K1013" s="50" t="s">
        <v>545</v>
      </c>
      <c r="L1013" s="46"/>
      <c r="M1013" s="139">
        <v>750</v>
      </c>
      <c r="O1013" t="s">
        <v>748</v>
      </c>
    </row>
    <row r="1014" spans="2:15" ht="15" customHeight="1" x14ac:dyDescent="0.25">
      <c r="B1014" s="5">
        <v>44616</v>
      </c>
      <c r="C1014" s="5" t="s">
        <v>177</v>
      </c>
      <c r="D1014" s="35">
        <v>2022</v>
      </c>
      <c r="E1014" t="s">
        <v>417</v>
      </c>
      <c r="F1014" t="s">
        <v>394</v>
      </c>
      <c r="G1014" t="s">
        <v>121</v>
      </c>
      <c r="H1014" s="92" t="s">
        <v>982</v>
      </c>
      <c r="I1014">
        <v>1</v>
      </c>
      <c r="J1014" s="46">
        <v>230</v>
      </c>
      <c r="K1014" s="50" t="s">
        <v>545</v>
      </c>
      <c r="L1014" s="46"/>
      <c r="M1014" s="139">
        <v>230</v>
      </c>
      <c r="O1014" t="s">
        <v>748</v>
      </c>
    </row>
    <row r="1015" spans="2:15" ht="15" customHeight="1" x14ac:dyDescent="0.25">
      <c r="B1015" s="5">
        <v>44616</v>
      </c>
      <c r="C1015" s="5" t="s">
        <v>177</v>
      </c>
      <c r="D1015" s="35">
        <v>2022</v>
      </c>
      <c r="E1015" t="s">
        <v>417</v>
      </c>
      <c r="F1015" t="s">
        <v>44</v>
      </c>
      <c r="G1015" t="s">
        <v>49</v>
      </c>
      <c r="H1015" s="92" t="s">
        <v>966</v>
      </c>
      <c r="I1015">
        <v>1</v>
      </c>
      <c r="J1015" s="46">
        <v>1740</v>
      </c>
      <c r="K1015" s="50" t="s">
        <v>545</v>
      </c>
      <c r="L1015" s="46"/>
      <c r="M1015" s="139">
        <v>1740</v>
      </c>
      <c r="O1015" t="s">
        <v>748</v>
      </c>
    </row>
    <row r="1016" spans="2:15" ht="15" customHeight="1" x14ac:dyDescent="0.25">
      <c r="B1016" s="5">
        <v>44616</v>
      </c>
      <c r="C1016" s="5" t="s">
        <v>177</v>
      </c>
      <c r="D1016" s="35">
        <v>2022</v>
      </c>
      <c r="E1016" t="s">
        <v>417</v>
      </c>
      <c r="F1016" t="s">
        <v>705</v>
      </c>
      <c r="G1016" t="s">
        <v>249</v>
      </c>
      <c r="H1016" s="92" t="s">
        <v>972</v>
      </c>
      <c r="I1016">
        <v>1</v>
      </c>
      <c r="J1016" s="46">
        <v>1080</v>
      </c>
      <c r="K1016" s="50" t="s">
        <v>545</v>
      </c>
      <c r="L1016" s="46"/>
      <c r="M1016" s="139">
        <v>1080</v>
      </c>
      <c r="O1016" t="s">
        <v>748</v>
      </c>
    </row>
    <row r="1017" spans="2:15" ht="15" customHeight="1" x14ac:dyDescent="0.25">
      <c r="B1017" s="5">
        <v>44616</v>
      </c>
      <c r="C1017" s="5" t="s">
        <v>177</v>
      </c>
      <c r="D1017" s="35">
        <v>2022</v>
      </c>
      <c r="E1017" t="s">
        <v>417</v>
      </c>
      <c r="F1017" t="s">
        <v>705</v>
      </c>
      <c r="G1017" t="s">
        <v>122</v>
      </c>
      <c r="H1017" s="92" t="s">
        <v>973</v>
      </c>
      <c r="I1017">
        <v>1</v>
      </c>
      <c r="J1017" s="46">
        <v>260</v>
      </c>
      <c r="K1017" s="50" t="s">
        <v>545</v>
      </c>
      <c r="L1017" s="46"/>
      <c r="M1017" s="139">
        <v>260</v>
      </c>
      <c r="O1017" t="s">
        <v>748</v>
      </c>
    </row>
    <row r="1018" spans="2:15" ht="15" customHeight="1" x14ac:dyDescent="0.25">
      <c r="B1018" s="5">
        <v>44616</v>
      </c>
      <c r="C1018" s="5" t="s">
        <v>177</v>
      </c>
      <c r="D1018" s="35">
        <v>2022</v>
      </c>
      <c r="E1018" t="s">
        <v>417</v>
      </c>
      <c r="F1018" t="s">
        <v>705</v>
      </c>
      <c r="G1018" t="s">
        <v>55</v>
      </c>
      <c r="H1018" s="92" t="s">
        <v>965</v>
      </c>
      <c r="I1018">
        <v>1</v>
      </c>
      <c r="J1018" s="46">
        <v>1390</v>
      </c>
      <c r="K1018" s="50" t="s">
        <v>545</v>
      </c>
      <c r="L1018" s="46"/>
      <c r="M1018" s="139">
        <v>1390</v>
      </c>
      <c r="O1018" t="s">
        <v>748</v>
      </c>
    </row>
    <row r="1019" spans="2:15" ht="15" customHeight="1" x14ac:dyDescent="0.25">
      <c r="B1019" s="5">
        <v>44616</v>
      </c>
      <c r="C1019" s="5" t="s">
        <v>177</v>
      </c>
      <c r="D1019" s="35">
        <v>2022</v>
      </c>
      <c r="E1019" t="s">
        <v>417</v>
      </c>
      <c r="F1019" t="s">
        <v>208</v>
      </c>
      <c r="G1019" t="s">
        <v>485</v>
      </c>
      <c r="H1019" s="92" t="s">
        <v>967</v>
      </c>
      <c r="I1019">
        <v>1</v>
      </c>
      <c r="J1019" s="46">
        <v>2300</v>
      </c>
      <c r="K1019" s="50" t="s">
        <v>545</v>
      </c>
      <c r="L1019" s="46"/>
      <c r="M1019" s="139">
        <v>2300</v>
      </c>
      <c r="O1019" t="s">
        <v>748</v>
      </c>
    </row>
    <row r="1020" spans="2:15" ht="15" customHeight="1" x14ac:dyDescent="0.25">
      <c r="B1020" s="5">
        <v>44616</v>
      </c>
      <c r="C1020" s="5" t="s">
        <v>177</v>
      </c>
      <c r="D1020" s="35">
        <v>2022</v>
      </c>
      <c r="E1020" t="s">
        <v>417</v>
      </c>
      <c r="F1020" t="s">
        <v>463</v>
      </c>
      <c r="G1020" t="s">
        <v>121</v>
      </c>
      <c r="H1020" s="92" t="s">
        <v>982</v>
      </c>
      <c r="I1020">
        <v>1</v>
      </c>
      <c r="J1020" s="46">
        <v>230</v>
      </c>
      <c r="K1020" s="50" t="s">
        <v>545</v>
      </c>
      <c r="L1020" s="46"/>
      <c r="M1020" s="139">
        <v>230</v>
      </c>
      <c r="O1020" t="s">
        <v>748</v>
      </c>
    </row>
    <row r="1021" spans="2:15" ht="15" customHeight="1" x14ac:dyDescent="0.25">
      <c r="B1021" s="5">
        <v>44616</v>
      </c>
      <c r="C1021" s="5" t="s">
        <v>177</v>
      </c>
      <c r="D1021" s="35">
        <v>2022</v>
      </c>
      <c r="E1021" t="s">
        <v>417</v>
      </c>
      <c r="F1021" t="s">
        <v>463</v>
      </c>
      <c r="G1021" t="s">
        <v>124</v>
      </c>
      <c r="H1021" s="92" t="s">
        <v>982</v>
      </c>
      <c r="I1021">
        <v>1</v>
      </c>
      <c r="J1021" s="46">
        <v>625</v>
      </c>
      <c r="K1021" s="50" t="s">
        <v>545</v>
      </c>
      <c r="L1021" s="46"/>
      <c r="M1021" s="139">
        <v>625</v>
      </c>
      <c r="O1021" t="s">
        <v>748</v>
      </c>
    </row>
    <row r="1022" spans="2:15" ht="15" customHeight="1" x14ac:dyDescent="0.25">
      <c r="B1022" s="5">
        <v>44616</v>
      </c>
      <c r="C1022" s="5" t="s">
        <v>177</v>
      </c>
      <c r="D1022" s="35">
        <v>2022</v>
      </c>
      <c r="E1022" t="s">
        <v>417</v>
      </c>
      <c r="F1022" t="s">
        <v>706</v>
      </c>
      <c r="G1022" t="s">
        <v>269</v>
      </c>
      <c r="H1022" s="92" t="s">
        <v>983</v>
      </c>
      <c r="I1022">
        <v>1</v>
      </c>
      <c r="J1022" s="46">
        <v>290</v>
      </c>
      <c r="K1022" s="50" t="s">
        <v>545</v>
      </c>
      <c r="L1022" s="46"/>
      <c r="M1022" s="139">
        <v>290</v>
      </c>
      <c r="O1022" t="s">
        <v>748</v>
      </c>
    </row>
    <row r="1023" spans="2:15" ht="15" customHeight="1" x14ac:dyDescent="0.25">
      <c r="B1023" s="5">
        <v>44616</v>
      </c>
      <c r="C1023" s="5" t="s">
        <v>177</v>
      </c>
      <c r="D1023" s="35">
        <v>2022</v>
      </c>
      <c r="E1023" t="s">
        <v>417</v>
      </c>
      <c r="F1023" t="s">
        <v>706</v>
      </c>
      <c r="G1023" t="s">
        <v>413</v>
      </c>
      <c r="H1023" s="92" t="s">
        <v>977</v>
      </c>
      <c r="I1023">
        <v>1</v>
      </c>
      <c r="J1023" s="46">
        <v>560</v>
      </c>
      <c r="K1023" s="50" t="s">
        <v>545</v>
      </c>
      <c r="L1023" s="46"/>
      <c r="M1023" s="139">
        <v>560</v>
      </c>
      <c r="O1023" t="s">
        <v>748</v>
      </c>
    </row>
    <row r="1024" spans="2:15" ht="15" customHeight="1" x14ac:dyDescent="0.25">
      <c r="B1024" s="5">
        <v>44616</v>
      </c>
      <c r="C1024" s="5" t="s">
        <v>177</v>
      </c>
      <c r="D1024" s="35">
        <v>2022</v>
      </c>
      <c r="E1024" t="s">
        <v>417</v>
      </c>
      <c r="F1024" t="s">
        <v>707</v>
      </c>
      <c r="G1024" t="s">
        <v>416</v>
      </c>
      <c r="H1024" s="24" t="s">
        <v>968</v>
      </c>
      <c r="I1024">
        <v>4</v>
      </c>
      <c r="J1024" s="46">
        <v>17820</v>
      </c>
      <c r="K1024" s="50" t="s">
        <v>545</v>
      </c>
      <c r="L1024" s="46"/>
      <c r="M1024" s="139">
        <v>17820</v>
      </c>
      <c r="O1024" t="s">
        <v>748</v>
      </c>
    </row>
    <row r="1025" spans="2:18" ht="15" customHeight="1" x14ac:dyDescent="0.25">
      <c r="B1025" s="5">
        <v>44616</v>
      </c>
      <c r="C1025" s="5" t="s">
        <v>177</v>
      </c>
      <c r="D1025" s="35">
        <v>2022</v>
      </c>
      <c r="E1025" t="s">
        <v>445</v>
      </c>
      <c r="F1025" t="s">
        <v>367</v>
      </c>
      <c r="G1025" t="s">
        <v>49</v>
      </c>
      <c r="H1025" s="92" t="s">
        <v>966</v>
      </c>
      <c r="I1025">
        <v>1</v>
      </c>
      <c r="J1025" s="46">
        <v>1740</v>
      </c>
      <c r="K1025" s="50" t="s">
        <v>545</v>
      </c>
      <c r="L1025" s="23">
        <v>1740</v>
      </c>
      <c r="M1025" s="46"/>
    </row>
    <row r="1026" spans="2:18" ht="15" customHeight="1" x14ac:dyDescent="0.25">
      <c r="B1026" s="5">
        <v>44616</v>
      </c>
      <c r="C1026" s="5" t="s">
        <v>177</v>
      </c>
      <c r="D1026" s="35">
        <v>2022</v>
      </c>
      <c r="E1026" t="s">
        <v>445</v>
      </c>
      <c r="F1026" t="s">
        <v>708</v>
      </c>
      <c r="G1026" t="s">
        <v>416</v>
      </c>
      <c r="H1026" s="24" t="s">
        <v>968</v>
      </c>
      <c r="I1026">
        <v>1</v>
      </c>
      <c r="J1026" s="46">
        <v>4455</v>
      </c>
      <c r="K1026" s="50" t="s">
        <v>545</v>
      </c>
      <c r="L1026" s="23">
        <v>4455</v>
      </c>
      <c r="M1026" s="46"/>
    </row>
    <row r="1027" spans="2:18" ht="15" customHeight="1" x14ac:dyDescent="0.25">
      <c r="B1027" s="5">
        <v>44616</v>
      </c>
      <c r="C1027" s="5" t="s">
        <v>177</v>
      </c>
      <c r="D1027" s="35">
        <v>2022</v>
      </c>
      <c r="E1027" t="s">
        <v>445</v>
      </c>
      <c r="F1027" t="s">
        <v>709</v>
      </c>
      <c r="G1027" t="s">
        <v>485</v>
      </c>
      <c r="H1027" s="92" t="s">
        <v>967</v>
      </c>
      <c r="I1027">
        <v>1</v>
      </c>
      <c r="J1027" s="46">
        <v>2300</v>
      </c>
      <c r="K1027" s="50" t="s">
        <v>545</v>
      </c>
      <c r="L1027" s="23">
        <v>2300</v>
      </c>
      <c r="M1027" s="46"/>
    </row>
    <row r="1028" spans="2:18" ht="15" customHeight="1" x14ac:dyDescent="0.25">
      <c r="B1028" s="5">
        <v>44616</v>
      </c>
      <c r="C1028" s="5" t="s">
        <v>177</v>
      </c>
      <c r="D1028" s="35">
        <v>2022</v>
      </c>
      <c r="E1028" t="s">
        <v>445</v>
      </c>
      <c r="F1028" t="s">
        <v>517</v>
      </c>
      <c r="G1028" t="s">
        <v>127</v>
      </c>
      <c r="H1028" s="92" t="s">
        <v>973</v>
      </c>
      <c r="I1028">
        <v>1</v>
      </c>
      <c r="J1028" s="46">
        <v>260</v>
      </c>
      <c r="K1028" s="50" t="s">
        <v>545</v>
      </c>
      <c r="L1028" s="23">
        <v>260</v>
      </c>
      <c r="M1028" s="46"/>
    </row>
    <row r="1029" spans="2:18" ht="15" customHeight="1" x14ac:dyDescent="0.25">
      <c r="B1029" s="5">
        <v>44616</v>
      </c>
      <c r="C1029" s="5" t="s">
        <v>177</v>
      </c>
      <c r="D1029" s="35">
        <v>2022</v>
      </c>
      <c r="E1029" t="s">
        <v>445</v>
      </c>
      <c r="F1029" t="s">
        <v>517</v>
      </c>
      <c r="G1029" t="s">
        <v>49</v>
      </c>
      <c r="H1029" s="92" t="s">
        <v>966</v>
      </c>
      <c r="I1029">
        <v>1</v>
      </c>
      <c r="J1029" s="46">
        <v>1740</v>
      </c>
      <c r="K1029" s="50" t="s">
        <v>545</v>
      </c>
      <c r="L1029" s="23">
        <v>1740</v>
      </c>
      <c r="M1029" s="46"/>
    </row>
    <row r="1030" spans="2:18" ht="15" customHeight="1" x14ac:dyDescent="0.25">
      <c r="B1030" s="5">
        <v>44616</v>
      </c>
      <c r="C1030" s="5" t="s">
        <v>177</v>
      </c>
      <c r="D1030" s="35">
        <v>2022</v>
      </c>
      <c r="E1030" t="s">
        <v>445</v>
      </c>
      <c r="F1030" t="s">
        <v>444</v>
      </c>
      <c r="G1030" t="s">
        <v>126</v>
      </c>
      <c r="H1030" s="92" t="s">
        <v>965</v>
      </c>
      <c r="I1030">
        <v>1</v>
      </c>
      <c r="J1030" s="46">
        <v>1410</v>
      </c>
      <c r="K1030" s="50" t="s">
        <v>545</v>
      </c>
      <c r="L1030" s="23">
        <v>1410</v>
      </c>
      <c r="M1030" s="46"/>
    </row>
    <row r="1031" spans="2:18" ht="15" customHeight="1" x14ac:dyDescent="0.25">
      <c r="B1031" s="5">
        <v>44616</v>
      </c>
      <c r="C1031" s="5" t="s">
        <v>177</v>
      </c>
      <c r="D1031" s="35">
        <v>2022</v>
      </c>
      <c r="E1031" t="s">
        <v>445</v>
      </c>
      <c r="F1031" t="s">
        <v>391</v>
      </c>
      <c r="G1031" t="s">
        <v>58</v>
      </c>
      <c r="H1031" s="92" t="s">
        <v>969</v>
      </c>
      <c r="I1031">
        <v>1</v>
      </c>
      <c r="J1031" s="46">
        <v>2530</v>
      </c>
      <c r="K1031" s="50" t="s">
        <v>545</v>
      </c>
      <c r="L1031" s="23">
        <v>2530</v>
      </c>
      <c r="M1031" s="46"/>
    </row>
    <row r="1032" spans="2:18" ht="15" customHeight="1" x14ac:dyDescent="0.25">
      <c r="B1032" s="5">
        <v>44616</v>
      </c>
      <c r="C1032" s="5" t="s">
        <v>177</v>
      </c>
      <c r="D1032" s="35">
        <v>2022</v>
      </c>
      <c r="E1032" t="s">
        <v>458</v>
      </c>
      <c r="F1032" t="s">
        <v>315</v>
      </c>
      <c r="G1032" t="s">
        <v>485</v>
      </c>
      <c r="H1032" s="92" t="s">
        <v>967</v>
      </c>
      <c r="I1032">
        <v>1</v>
      </c>
      <c r="J1032" s="46">
        <v>2300</v>
      </c>
      <c r="K1032" s="50" t="s">
        <v>545</v>
      </c>
      <c r="L1032" s="136">
        <v>2300</v>
      </c>
      <c r="M1032" s="136"/>
      <c r="Q1032" s="137"/>
      <c r="R1032" s="137"/>
    </row>
    <row r="1033" spans="2:18" ht="15" customHeight="1" x14ac:dyDescent="0.25">
      <c r="B1033" s="5">
        <v>44616</v>
      </c>
      <c r="C1033" s="5" t="s">
        <v>177</v>
      </c>
      <c r="D1033" s="35">
        <v>2022</v>
      </c>
      <c r="E1033" t="s">
        <v>458</v>
      </c>
      <c r="F1033" t="s">
        <v>315</v>
      </c>
      <c r="G1033" t="s">
        <v>128</v>
      </c>
      <c r="H1033" s="92" t="s">
        <v>965</v>
      </c>
      <c r="I1033">
        <v>1</v>
      </c>
      <c r="J1033" s="46">
        <v>1240</v>
      </c>
      <c r="K1033" s="50" t="s">
        <v>545</v>
      </c>
      <c r="L1033" s="137">
        <v>1240</v>
      </c>
      <c r="M1033" s="137"/>
      <c r="Q1033" s="137"/>
      <c r="R1033" s="137"/>
    </row>
    <row r="1034" spans="2:18" ht="15" customHeight="1" x14ac:dyDescent="0.25">
      <c r="B1034" s="5">
        <v>44616</v>
      </c>
      <c r="C1034" s="5" t="s">
        <v>177</v>
      </c>
      <c r="D1034" s="35">
        <v>2022</v>
      </c>
      <c r="E1034" t="s">
        <v>458</v>
      </c>
      <c r="F1034" t="s">
        <v>315</v>
      </c>
      <c r="G1034" t="s">
        <v>745</v>
      </c>
      <c r="H1034" s="92" t="s">
        <v>980</v>
      </c>
      <c r="I1034">
        <v>1</v>
      </c>
      <c r="J1034" s="46">
        <v>210</v>
      </c>
      <c r="K1034" s="50" t="s">
        <v>545</v>
      </c>
      <c r="L1034" s="136">
        <v>210</v>
      </c>
      <c r="M1034" s="136"/>
      <c r="Q1034" s="137"/>
      <c r="R1034" s="137"/>
    </row>
    <row r="1035" spans="2:18" ht="15" customHeight="1" x14ac:dyDescent="0.25">
      <c r="B1035" s="5">
        <v>44616</v>
      </c>
      <c r="C1035" s="5" t="s">
        <v>177</v>
      </c>
      <c r="D1035" s="35">
        <v>2022</v>
      </c>
      <c r="E1035" t="s">
        <v>458</v>
      </c>
      <c r="F1035" t="s">
        <v>742</v>
      </c>
      <c r="G1035" t="s">
        <v>364</v>
      </c>
      <c r="H1035" s="92" t="s">
        <v>972</v>
      </c>
      <c r="I1035">
        <v>1</v>
      </c>
      <c r="J1035" s="46">
        <v>600</v>
      </c>
      <c r="K1035" s="50" t="s">
        <v>545</v>
      </c>
      <c r="L1035" s="137"/>
      <c r="M1035" s="137">
        <v>600</v>
      </c>
      <c r="O1035" t="s">
        <v>625</v>
      </c>
      <c r="Q1035" s="137"/>
      <c r="R1035" s="137"/>
    </row>
    <row r="1036" spans="2:18" ht="15" customHeight="1" x14ac:dyDescent="0.25">
      <c r="B1036" s="5">
        <v>44616</v>
      </c>
      <c r="C1036" s="5" t="s">
        <v>177</v>
      </c>
      <c r="D1036" s="35">
        <v>2022</v>
      </c>
      <c r="E1036" t="s">
        <v>458</v>
      </c>
      <c r="F1036" t="s">
        <v>320</v>
      </c>
      <c r="G1036" t="s">
        <v>746</v>
      </c>
      <c r="H1036" s="92" t="s">
        <v>980</v>
      </c>
      <c r="I1036">
        <v>2</v>
      </c>
      <c r="J1036" s="46">
        <v>420</v>
      </c>
      <c r="K1036" s="50" t="s">
        <v>545</v>
      </c>
      <c r="L1036" s="136">
        <v>420</v>
      </c>
      <c r="M1036" s="136"/>
      <c r="Q1036" s="137"/>
      <c r="R1036" s="137"/>
    </row>
    <row r="1037" spans="2:18" ht="15" customHeight="1" x14ac:dyDescent="0.25">
      <c r="B1037" s="5">
        <v>44616</v>
      </c>
      <c r="C1037" s="5" t="s">
        <v>177</v>
      </c>
      <c r="D1037" s="35">
        <v>2022</v>
      </c>
      <c r="E1037" t="s">
        <v>458</v>
      </c>
      <c r="F1037" t="s">
        <v>320</v>
      </c>
      <c r="G1037" t="s">
        <v>747</v>
      </c>
      <c r="H1037" s="92" t="s">
        <v>977</v>
      </c>
      <c r="I1037">
        <v>1</v>
      </c>
      <c r="J1037" s="46">
        <v>560</v>
      </c>
      <c r="K1037" s="50" t="s">
        <v>545</v>
      </c>
      <c r="L1037" s="137"/>
      <c r="M1037" s="137">
        <v>560</v>
      </c>
      <c r="O1037" t="s">
        <v>625</v>
      </c>
      <c r="Q1037" s="137"/>
      <c r="R1037" s="137"/>
    </row>
    <row r="1038" spans="2:18" ht="15" customHeight="1" x14ac:dyDescent="0.25">
      <c r="B1038" s="5">
        <v>44616</v>
      </c>
      <c r="C1038" s="5" t="s">
        <v>177</v>
      </c>
      <c r="D1038" s="35">
        <v>2022</v>
      </c>
      <c r="E1038" t="s">
        <v>458</v>
      </c>
      <c r="F1038" t="s">
        <v>743</v>
      </c>
      <c r="G1038" t="s">
        <v>192</v>
      </c>
      <c r="H1038" s="24" t="s">
        <v>976</v>
      </c>
      <c r="I1038">
        <v>3</v>
      </c>
      <c r="J1038" s="46">
        <v>4185</v>
      </c>
      <c r="K1038" s="50" t="s">
        <v>545</v>
      </c>
      <c r="L1038" s="136">
        <v>4185</v>
      </c>
      <c r="M1038" s="136"/>
      <c r="Q1038" s="137"/>
      <c r="R1038" s="137"/>
    </row>
    <row r="1039" spans="2:18" ht="15" customHeight="1" x14ac:dyDescent="0.25">
      <c r="B1039" s="5">
        <v>44616</v>
      </c>
      <c r="C1039" s="5" t="s">
        <v>177</v>
      </c>
      <c r="D1039" s="35">
        <v>2022</v>
      </c>
      <c r="E1039" t="s">
        <v>458</v>
      </c>
      <c r="F1039" t="s">
        <v>744</v>
      </c>
      <c r="G1039" t="s">
        <v>128</v>
      </c>
      <c r="H1039" s="92" t="s">
        <v>965</v>
      </c>
      <c r="I1039">
        <v>1</v>
      </c>
      <c r="J1039" s="46">
        <v>1240</v>
      </c>
      <c r="K1039" s="50" t="s">
        <v>545</v>
      </c>
      <c r="L1039" s="137">
        <v>1240</v>
      </c>
      <c r="M1039" s="137"/>
      <c r="Q1039" s="137"/>
      <c r="R1039" s="137"/>
    </row>
    <row r="1040" spans="2:18" ht="15" customHeight="1" x14ac:dyDescent="0.25">
      <c r="B1040" s="5">
        <v>44616</v>
      </c>
      <c r="C1040" s="5" t="s">
        <v>177</v>
      </c>
      <c r="D1040" s="35">
        <v>2022</v>
      </c>
      <c r="E1040" t="s">
        <v>458</v>
      </c>
      <c r="F1040" t="s">
        <v>142</v>
      </c>
      <c r="G1040" t="s">
        <v>747</v>
      </c>
      <c r="H1040" s="92" t="s">
        <v>977</v>
      </c>
      <c r="I1040">
        <v>1</v>
      </c>
      <c r="J1040" s="46">
        <v>560</v>
      </c>
      <c r="K1040" s="50" t="s">
        <v>545</v>
      </c>
      <c r="L1040" s="136"/>
      <c r="M1040" s="136">
        <v>560</v>
      </c>
      <c r="O1040" t="s">
        <v>625</v>
      </c>
      <c r="Q1040" s="137"/>
      <c r="R1040" s="137"/>
    </row>
    <row r="1041" spans="2:18" ht="15" customHeight="1" x14ac:dyDescent="0.25">
      <c r="B1041" s="5">
        <v>44616</v>
      </c>
      <c r="C1041" s="5" t="s">
        <v>177</v>
      </c>
      <c r="D1041" s="35">
        <v>2022</v>
      </c>
      <c r="E1041" t="s">
        <v>458</v>
      </c>
      <c r="F1041" t="s">
        <v>142</v>
      </c>
      <c r="G1041" t="s">
        <v>283</v>
      </c>
      <c r="H1041" s="92" t="s">
        <v>983</v>
      </c>
      <c r="I1041">
        <v>1</v>
      </c>
      <c r="J1041" s="46">
        <v>505</v>
      </c>
      <c r="K1041" s="50" t="s">
        <v>545</v>
      </c>
      <c r="L1041" s="137">
        <v>505</v>
      </c>
      <c r="M1041" s="137"/>
      <c r="Q1041" s="137"/>
      <c r="R1041" s="137"/>
    </row>
    <row r="1042" spans="2:18" ht="15" customHeight="1" x14ac:dyDescent="0.25">
      <c r="B1042" s="5">
        <v>44616</v>
      </c>
      <c r="C1042" s="5" t="s">
        <v>177</v>
      </c>
      <c r="D1042" s="35">
        <v>2022</v>
      </c>
      <c r="E1042" t="s">
        <v>458</v>
      </c>
      <c r="F1042" t="s">
        <v>142</v>
      </c>
      <c r="G1042" t="s">
        <v>732</v>
      </c>
      <c r="H1042" s="92" t="s">
        <v>980</v>
      </c>
      <c r="I1042">
        <v>1</v>
      </c>
      <c r="J1042" s="46">
        <v>210</v>
      </c>
      <c r="K1042" s="50" t="s">
        <v>545</v>
      </c>
      <c r="L1042" s="136">
        <v>210</v>
      </c>
      <c r="M1042" s="136"/>
      <c r="Q1042" s="137"/>
      <c r="R1042" s="137"/>
    </row>
    <row r="1043" spans="2:18" ht="15" customHeight="1" x14ac:dyDescent="0.25">
      <c r="B1043" s="5">
        <v>44617</v>
      </c>
      <c r="C1043" s="5" t="s">
        <v>177</v>
      </c>
      <c r="D1043" s="35">
        <v>2022</v>
      </c>
      <c r="E1043" t="s">
        <v>22</v>
      </c>
      <c r="F1043" t="s">
        <v>134</v>
      </c>
      <c r="G1043" t="s">
        <v>121</v>
      </c>
      <c r="H1043" s="92" t="s">
        <v>982</v>
      </c>
      <c r="I1043">
        <v>1</v>
      </c>
      <c r="J1043" s="46">
        <v>230</v>
      </c>
      <c r="K1043" s="50" t="s">
        <v>545</v>
      </c>
      <c r="L1043" s="23">
        <v>230</v>
      </c>
      <c r="M1043" s="46"/>
    </row>
    <row r="1044" spans="2:18" ht="15" customHeight="1" x14ac:dyDescent="0.25">
      <c r="B1044" s="5">
        <v>44617</v>
      </c>
      <c r="C1044" s="5" t="s">
        <v>177</v>
      </c>
      <c r="D1044" s="35">
        <v>2022</v>
      </c>
      <c r="E1044" t="s">
        <v>22</v>
      </c>
      <c r="F1044" t="s">
        <v>134</v>
      </c>
      <c r="G1044" t="s">
        <v>323</v>
      </c>
      <c r="H1044" s="92" t="s">
        <v>981</v>
      </c>
      <c r="I1044">
        <v>1</v>
      </c>
      <c r="J1044" s="46">
        <v>310</v>
      </c>
      <c r="K1044" s="50" t="s">
        <v>545</v>
      </c>
      <c r="L1044" s="23">
        <v>310</v>
      </c>
      <c r="M1044" s="46"/>
    </row>
    <row r="1045" spans="2:18" ht="15" customHeight="1" x14ac:dyDescent="0.25">
      <c r="B1045" s="5">
        <v>44617</v>
      </c>
      <c r="C1045" s="5" t="s">
        <v>177</v>
      </c>
      <c r="D1045" s="35">
        <v>2022</v>
      </c>
      <c r="E1045" t="s">
        <v>22</v>
      </c>
      <c r="F1045" t="s">
        <v>134</v>
      </c>
      <c r="G1045" t="s">
        <v>425</v>
      </c>
      <c r="H1045" s="92" t="s">
        <v>980</v>
      </c>
      <c r="I1045">
        <v>1</v>
      </c>
      <c r="J1045" s="46">
        <v>210</v>
      </c>
      <c r="K1045" s="50" t="s">
        <v>545</v>
      </c>
      <c r="L1045" s="23">
        <v>210</v>
      </c>
      <c r="M1045" s="46"/>
    </row>
    <row r="1046" spans="2:18" ht="15" customHeight="1" x14ac:dyDescent="0.25">
      <c r="B1046" s="5">
        <v>44617</v>
      </c>
      <c r="C1046" s="5" t="s">
        <v>177</v>
      </c>
      <c r="D1046" s="35">
        <v>2022</v>
      </c>
      <c r="E1046" t="s">
        <v>22</v>
      </c>
      <c r="F1046" t="s">
        <v>134</v>
      </c>
      <c r="G1046" t="s">
        <v>283</v>
      </c>
      <c r="H1046" s="92" t="s">
        <v>983</v>
      </c>
      <c r="I1046">
        <v>1</v>
      </c>
      <c r="J1046" s="46">
        <v>505</v>
      </c>
      <c r="K1046" s="50" t="s">
        <v>545</v>
      </c>
      <c r="L1046" s="23">
        <v>505</v>
      </c>
      <c r="M1046" s="46"/>
    </row>
    <row r="1047" spans="2:18" ht="15" customHeight="1" x14ac:dyDescent="0.25">
      <c r="B1047" s="5">
        <v>44617</v>
      </c>
      <c r="C1047" s="5" t="s">
        <v>177</v>
      </c>
      <c r="D1047" s="35">
        <v>2022</v>
      </c>
      <c r="E1047" t="s">
        <v>22</v>
      </c>
      <c r="F1047" t="s">
        <v>376</v>
      </c>
      <c r="G1047" t="s">
        <v>120</v>
      </c>
      <c r="H1047" s="24" t="s">
        <v>968</v>
      </c>
      <c r="I1047">
        <v>1</v>
      </c>
      <c r="J1047" s="46">
        <v>4480</v>
      </c>
      <c r="K1047" s="50" t="s">
        <v>545</v>
      </c>
      <c r="L1047" s="23">
        <v>4480</v>
      </c>
      <c r="M1047" s="46"/>
    </row>
    <row r="1048" spans="2:18" ht="15" customHeight="1" x14ac:dyDescent="0.25">
      <c r="B1048" s="5">
        <v>44617</v>
      </c>
      <c r="C1048" s="5" t="s">
        <v>177</v>
      </c>
      <c r="D1048" s="35">
        <v>2022</v>
      </c>
      <c r="E1048" t="s">
        <v>22</v>
      </c>
      <c r="F1048" t="s">
        <v>473</v>
      </c>
      <c r="G1048" t="s">
        <v>192</v>
      </c>
      <c r="H1048" s="24" t="s">
        <v>976</v>
      </c>
      <c r="I1048">
        <v>1</v>
      </c>
      <c r="J1048" s="46">
        <v>1395</v>
      </c>
      <c r="K1048" s="50" t="s">
        <v>545</v>
      </c>
      <c r="L1048" s="23">
        <v>1395</v>
      </c>
      <c r="M1048" s="46"/>
    </row>
    <row r="1049" spans="2:18" ht="15" customHeight="1" x14ac:dyDescent="0.25">
      <c r="B1049" s="5">
        <v>44617</v>
      </c>
      <c r="C1049" s="5" t="s">
        <v>177</v>
      </c>
      <c r="D1049" s="35">
        <v>2022</v>
      </c>
      <c r="E1049" t="s">
        <v>22</v>
      </c>
      <c r="F1049" t="s">
        <v>450</v>
      </c>
      <c r="G1049" t="s">
        <v>49</v>
      </c>
      <c r="H1049" s="92" t="s">
        <v>966</v>
      </c>
      <c r="I1049">
        <v>1</v>
      </c>
      <c r="J1049" s="46">
        <v>1740</v>
      </c>
      <c r="K1049" s="50" t="s">
        <v>545</v>
      </c>
      <c r="L1049" s="23">
        <v>1740</v>
      </c>
      <c r="M1049" s="46"/>
    </row>
    <row r="1050" spans="2:18" ht="15" customHeight="1" x14ac:dyDescent="0.25">
      <c r="B1050" s="5">
        <v>44617</v>
      </c>
      <c r="C1050" s="5" t="s">
        <v>177</v>
      </c>
      <c r="D1050" s="35">
        <v>2022</v>
      </c>
      <c r="E1050" t="s">
        <v>22</v>
      </c>
      <c r="F1050" t="s">
        <v>377</v>
      </c>
      <c r="G1050" t="s">
        <v>128</v>
      </c>
      <c r="H1050" s="92" t="s">
        <v>965</v>
      </c>
      <c r="I1050">
        <v>1</v>
      </c>
      <c r="J1050" s="46">
        <v>1240</v>
      </c>
      <c r="K1050" s="50" t="s">
        <v>545</v>
      </c>
      <c r="L1050" s="23">
        <v>1240</v>
      </c>
      <c r="M1050" s="46"/>
    </row>
    <row r="1051" spans="2:18" ht="15" customHeight="1" x14ac:dyDescent="0.25">
      <c r="B1051" s="5">
        <v>44617</v>
      </c>
      <c r="C1051" s="5" t="s">
        <v>177</v>
      </c>
      <c r="D1051" s="35">
        <v>2022</v>
      </c>
      <c r="E1051" t="s">
        <v>22</v>
      </c>
      <c r="F1051" t="s">
        <v>234</v>
      </c>
      <c r="G1051" t="s">
        <v>128</v>
      </c>
      <c r="H1051" s="92" t="s">
        <v>965</v>
      </c>
      <c r="I1051">
        <v>1</v>
      </c>
      <c r="J1051" s="46">
        <v>1240</v>
      </c>
      <c r="K1051" s="50" t="s">
        <v>545</v>
      </c>
      <c r="L1051" s="23">
        <v>1240</v>
      </c>
      <c r="M1051" s="46"/>
    </row>
    <row r="1052" spans="2:18" ht="15" customHeight="1" x14ac:dyDescent="0.25">
      <c r="B1052" s="5">
        <v>44617</v>
      </c>
      <c r="C1052" s="5" t="s">
        <v>177</v>
      </c>
      <c r="D1052" s="35">
        <v>2022</v>
      </c>
      <c r="E1052" t="s">
        <v>22</v>
      </c>
      <c r="F1052" t="s">
        <v>237</v>
      </c>
      <c r="G1052" t="s">
        <v>432</v>
      </c>
      <c r="H1052" s="24" t="s">
        <v>976</v>
      </c>
      <c r="I1052">
        <v>1</v>
      </c>
      <c r="J1052" s="46">
        <v>3580</v>
      </c>
      <c r="K1052" s="50" t="s">
        <v>545</v>
      </c>
      <c r="L1052" s="23">
        <v>3580</v>
      </c>
      <c r="M1052" s="46"/>
    </row>
    <row r="1053" spans="2:18" ht="15" customHeight="1" x14ac:dyDescent="0.25">
      <c r="B1053" s="5">
        <v>44617</v>
      </c>
      <c r="C1053" s="5" t="s">
        <v>177</v>
      </c>
      <c r="D1053" s="35">
        <v>2022</v>
      </c>
      <c r="E1053" t="s">
        <v>22</v>
      </c>
      <c r="F1053" t="s">
        <v>131</v>
      </c>
      <c r="G1053" t="s">
        <v>412</v>
      </c>
      <c r="H1053" s="92" t="s">
        <v>977</v>
      </c>
      <c r="I1053">
        <v>1</v>
      </c>
      <c r="J1053" s="46">
        <v>3310</v>
      </c>
      <c r="K1053" s="50" t="s">
        <v>545</v>
      </c>
      <c r="L1053" s="23">
        <v>3310</v>
      </c>
      <c r="M1053" s="46"/>
    </row>
    <row r="1054" spans="2:18" ht="15" customHeight="1" x14ac:dyDescent="0.25">
      <c r="B1054" s="5">
        <v>44617</v>
      </c>
      <c r="C1054" s="5" t="s">
        <v>177</v>
      </c>
      <c r="D1054" s="35">
        <v>2022</v>
      </c>
      <c r="E1054" t="s">
        <v>22</v>
      </c>
      <c r="F1054" t="s">
        <v>131</v>
      </c>
      <c r="G1054" t="s">
        <v>49</v>
      </c>
      <c r="H1054" s="92" t="s">
        <v>966</v>
      </c>
      <c r="I1054">
        <v>1</v>
      </c>
      <c r="J1054" s="46">
        <v>1740</v>
      </c>
      <c r="K1054" s="50" t="s">
        <v>545</v>
      </c>
      <c r="L1054" s="23">
        <v>1740</v>
      </c>
      <c r="M1054" s="46"/>
    </row>
    <row r="1055" spans="2:18" ht="15" customHeight="1" x14ac:dyDescent="0.25">
      <c r="B1055" s="5">
        <v>44617</v>
      </c>
      <c r="C1055" s="5" t="s">
        <v>177</v>
      </c>
      <c r="D1055" s="35">
        <v>2022</v>
      </c>
      <c r="E1055" t="s">
        <v>22</v>
      </c>
      <c r="F1055" t="s">
        <v>500</v>
      </c>
      <c r="G1055" t="s">
        <v>412</v>
      </c>
      <c r="H1055" s="92" t="s">
        <v>977</v>
      </c>
      <c r="I1055">
        <v>1</v>
      </c>
      <c r="J1055" s="46">
        <v>3310</v>
      </c>
      <c r="K1055" s="50" t="s">
        <v>545</v>
      </c>
      <c r="L1055" s="23">
        <v>3310</v>
      </c>
      <c r="M1055" s="46"/>
    </row>
    <row r="1056" spans="2:18" ht="15" customHeight="1" x14ac:dyDescent="0.25">
      <c r="B1056" s="5">
        <v>44617</v>
      </c>
      <c r="C1056" s="5" t="s">
        <v>177</v>
      </c>
      <c r="D1056" s="35">
        <v>2022</v>
      </c>
      <c r="E1056" t="s">
        <v>356</v>
      </c>
      <c r="F1056" t="s">
        <v>56</v>
      </c>
      <c r="G1056" t="s">
        <v>120</v>
      </c>
      <c r="H1056" s="24" t="s">
        <v>968</v>
      </c>
      <c r="I1056">
        <v>6</v>
      </c>
      <c r="J1056" s="46">
        <v>26880</v>
      </c>
      <c r="K1056" s="50" t="s">
        <v>545</v>
      </c>
      <c r="L1056" s="152">
        <v>22400</v>
      </c>
      <c r="M1056" s="46">
        <v>4480</v>
      </c>
      <c r="O1056" t="s">
        <v>625</v>
      </c>
    </row>
    <row r="1057" spans="2:15" ht="15" customHeight="1" x14ac:dyDescent="0.25">
      <c r="B1057" s="5">
        <v>44617</v>
      </c>
      <c r="C1057" s="5" t="s">
        <v>177</v>
      </c>
      <c r="D1057" s="35">
        <v>2022</v>
      </c>
      <c r="E1057" t="s">
        <v>356</v>
      </c>
      <c r="F1057" t="s">
        <v>710</v>
      </c>
      <c r="G1057" t="s">
        <v>711</v>
      </c>
      <c r="H1057" s="92" t="s">
        <v>977</v>
      </c>
      <c r="I1057">
        <v>1</v>
      </c>
      <c r="J1057" s="46">
        <v>3310</v>
      </c>
      <c r="K1057" s="50" t="s">
        <v>545</v>
      </c>
      <c r="L1057" s="23">
        <f>I1057*J1057</f>
        <v>3310</v>
      </c>
      <c r="M1057" s="46"/>
    </row>
    <row r="1058" spans="2:15" ht="15" customHeight="1" x14ac:dyDescent="0.25">
      <c r="B1058" s="5">
        <v>44617</v>
      </c>
      <c r="C1058" s="5" t="s">
        <v>177</v>
      </c>
      <c r="D1058" s="35">
        <v>2022</v>
      </c>
      <c r="E1058" t="s">
        <v>356</v>
      </c>
      <c r="F1058" t="s">
        <v>137</v>
      </c>
      <c r="G1058" t="s">
        <v>126</v>
      </c>
      <c r="H1058" s="92" t="s">
        <v>965</v>
      </c>
      <c r="I1058">
        <v>1</v>
      </c>
      <c r="J1058" s="46">
        <v>1410</v>
      </c>
      <c r="K1058" s="50" t="s">
        <v>545</v>
      </c>
      <c r="L1058" s="23">
        <v>1410</v>
      </c>
      <c r="M1058" s="46"/>
    </row>
    <row r="1059" spans="2:15" ht="15" customHeight="1" x14ac:dyDescent="0.25">
      <c r="B1059" s="5">
        <v>44617</v>
      </c>
      <c r="C1059" s="5" t="s">
        <v>177</v>
      </c>
      <c r="D1059" s="35">
        <v>2022</v>
      </c>
      <c r="E1059" t="s">
        <v>356</v>
      </c>
      <c r="F1059" t="s">
        <v>137</v>
      </c>
      <c r="G1059" t="s">
        <v>45</v>
      </c>
      <c r="H1059" s="92" t="s">
        <v>965</v>
      </c>
      <c r="I1059">
        <v>2</v>
      </c>
      <c r="J1059" s="46">
        <v>2780</v>
      </c>
      <c r="K1059" s="50" t="s">
        <v>545</v>
      </c>
      <c r="L1059" s="23">
        <v>2780</v>
      </c>
      <c r="M1059" s="46"/>
    </row>
    <row r="1060" spans="2:15" ht="15" customHeight="1" x14ac:dyDescent="0.25">
      <c r="B1060" s="5">
        <v>44617</v>
      </c>
      <c r="C1060" s="5" t="s">
        <v>177</v>
      </c>
      <c r="D1060" s="35">
        <v>2022</v>
      </c>
      <c r="E1060" t="s">
        <v>599</v>
      </c>
      <c r="F1060" t="s">
        <v>487</v>
      </c>
      <c r="G1060" t="s">
        <v>485</v>
      </c>
      <c r="H1060" s="92" t="s">
        <v>967</v>
      </c>
      <c r="I1060">
        <v>1</v>
      </c>
      <c r="J1060" s="46">
        <v>2300</v>
      </c>
      <c r="K1060" s="50" t="s">
        <v>545</v>
      </c>
      <c r="L1060" s="23">
        <v>2300</v>
      </c>
      <c r="M1060" s="46"/>
    </row>
    <row r="1061" spans="2:15" ht="15" customHeight="1" x14ac:dyDescent="0.25">
      <c r="B1061" s="5">
        <v>44617</v>
      </c>
      <c r="C1061" s="5" t="s">
        <v>177</v>
      </c>
      <c r="D1061" s="35">
        <v>2022</v>
      </c>
      <c r="E1061" t="s">
        <v>599</v>
      </c>
      <c r="F1061" t="s">
        <v>712</v>
      </c>
      <c r="G1061" t="s">
        <v>49</v>
      </c>
      <c r="H1061" s="92" t="s">
        <v>966</v>
      </c>
      <c r="I1061">
        <v>2</v>
      </c>
      <c r="J1061" s="46">
        <v>3480</v>
      </c>
      <c r="K1061" s="50" t="s">
        <v>545</v>
      </c>
      <c r="L1061" s="23">
        <v>3480</v>
      </c>
      <c r="M1061" s="46"/>
    </row>
    <row r="1062" spans="2:15" ht="15" customHeight="1" x14ac:dyDescent="0.25">
      <c r="B1062" s="5">
        <v>44617</v>
      </c>
      <c r="C1062" s="5" t="s">
        <v>177</v>
      </c>
      <c r="D1062" s="35">
        <v>2022</v>
      </c>
      <c r="E1062" t="s">
        <v>599</v>
      </c>
      <c r="F1062" t="s">
        <v>713</v>
      </c>
      <c r="G1062" t="s">
        <v>424</v>
      </c>
      <c r="H1062" s="24" t="s">
        <v>968</v>
      </c>
      <c r="I1062">
        <v>1</v>
      </c>
      <c r="J1062" s="46">
        <v>4495</v>
      </c>
      <c r="K1062" s="50" t="s">
        <v>545</v>
      </c>
      <c r="L1062" s="23">
        <v>4495</v>
      </c>
      <c r="M1062" s="46"/>
    </row>
    <row r="1063" spans="2:15" ht="15" customHeight="1" x14ac:dyDescent="0.25">
      <c r="B1063" s="5">
        <v>44617</v>
      </c>
      <c r="C1063" s="5" t="s">
        <v>177</v>
      </c>
      <c r="D1063" s="35">
        <v>2022</v>
      </c>
      <c r="E1063" t="s">
        <v>599</v>
      </c>
      <c r="F1063" t="s">
        <v>714</v>
      </c>
      <c r="G1063" t="s">
        <v>120</v>
      </c>
      <c r="H1063" s="24" t="s">
        <v>968</v>
      </c>
      <c r="I1063">
        <v>1</v>
      </c>
      <c r="J1063" s="46">
        <v>4480</v>
      </c>
      <c r="K1063" s="50" t="s">
        <v>545</v>
      </c>
      <c r="L1063" s="46"/>
      <c r="M1063" s="103">
        <v>4480</v>
      </c>
      <c r="O1063" t="s">
        <v>625</v>
      </c>
    </row>
    <row r="1064" spans="2:15" ht="15" customHeight="1" x14ac:dyDescent="0.25">
      <c r="B1064" s="5">
        <v>44617</v>
      </c>
      <c r="C1064" s="5" t="s">
        <v>177</v>
      </c>
      <c r="D1064" s="35">
        <v>2022</v>
      </c>
      <c r="E1064" t="s">
        <v>599</v>
      </c>
      <c r="F1064" t="s">
        <v>714</v>
      </c>
      <c r="G1064" t="s">
        <v>440</v>
      </c>
      <c r="H1064" s="92" t="s">
        <v>978</v>
      </c>
      <c r="I1064">
        <v>1</v>
      </c>
      <c r="J1064" s="46">
        <v>750</v>
      </c>
      <c r="K1064" s="50" t="s">
        <v>545</v>
      </c>
      <c r="L1064" s="23">
        <v>750</v>
      </c>
      <c r="M1064" s="46"/>
    </row>
    <row r="1065" spans="2:15" ht="15" customHeight="1" x14ac:dyDescent="0.25">
      <c r="B1065" s="5">
        <v>44617</v>
      </c>
      <c r="C1065" s="5" t="s">
        <v>177</v>
      </c>
      <c r="D1065" s="35">
        <v>2022</v>
      </c>
      <c r="E1065" t="s">
        <v>599</v>
      </c>
      <c r="F1065" t="s">
        <v>715</v>
      </c>
      <c r="G1065" t="s">
        <v>413</v>
      </c>
      <c r="H1065" s="92" t="s">
        <v>977</v>
      </c>
      <c r="I1065">
        <v>1</v>
      </c>
      <c r="J1065" s="46">
        <v>560</v>
      </c>
      <c r="K1065" s="50" t="s">
        <v>545</v>
      </c>
      <c r="L1065" s="23">
        <v>560</v>
      </c>
      <c r="M1065" s="46"/>
    </row>
    <row r="1066" spans="2:15" ht="15" customHeight="1" x14ac:dyDescent="0.25">
      <c r="B1066" s="5">
        <v>44617</v>
      </c>
      <c r="C1066" s="5" t="s">
        <v>177</v>
      </c>
      <c r="D1066" s="35">
        <v>2022</v>
      </c>
      <c r="E1066" t="s">
        <v>599</v>
      </c>
      <c r="F1066" t="s">
        <v>44</v>
      </c>
      <c r="G1066" t="s">
        <v>192</v>
      </c>
      <c r="H1066" s="24" t="s">
        <v>976</v>
      </c>
      <c r="I1066">
        <v>1</v>
      </c>
      <c r="J1066" s="46">
        <v>1395</v>
      </c>
      <c r="K1066" s="50" t="s">
        <v>545</v>
      </c>
      <c r="L1066" s="23">
        <v>1395</v>
      </c>
      <c r="M1066" s="46"/>
    </row>
    <row r="1067" spans="2:15" ht="15" customHeight="1" x14ac:dyDescent="0.25">
      <c r="B1067" s="5">
        <v>44617</v>
      </c>
      <c r="C1067" s="5" t="s">
        <v>177</v>
      </c>
      <c r="D1067" s="35">
        <v>2022</v>
      </c>
      <c r="E1067" t="s">
        <v>599</v>
      </c>
      <c r="F1067" t="s">
        <v>44</v>
      </c>
      <c r="G1067" t="s">
        <v>380</v>
      </c>
      <c r="H1067" s="92" t="s">
        <v>972</v>
      </c>
      <c r="I1067">
        <v>1</v>
      </c>
      <c r="J1067" s="46">
        <v>600</v>
      </c>
      <c r="K1067" s="50" t="s">
        <v>545</v>
      </c>
      <c r="L1067" s="23">
        <v>600</v>
      </c>
      <c r="M1067" s="46"/>
    </row>
    <row r="1068" spans="2:15" ht="15" customHeight="1" x14ac:dyDescent="0.25">
      <c r="B1068" s="5">
        <v>44617</v>
      </c>
      <c r="C1068" s="5" t="s">
        <v>177</v>
      </c>
      <c r="D1068" s="35">
        <v>2022</v>
      </c>
      <c r="E1068" t="s">
        <v>599</v>
      </c>
      <c r="F1068" t="s">
        <v>44</v>
      </c>
      <c r="G1068" t="s">
        <v>364</v>
      </c>
      <c r="H1068" s="92" t="s">
        <v>972</v>
      </c>
      <c r="I1068">
        <v>1</v>
      </c>
      <c r="J1068" s="46">
        <v>600</v>
      </c>
      <c r="K1068" s="50" t="s">
        <v>545</v>
      </c>
      <c r="L1068" s="46"/>
      <c r="M1068" s="103">
        <v>600</v>
      </c>
      <c r="O1068" t="s">
        <v>625</v>
      </c>
    </row>
    <row r="1069" spans="2:15" ht="15" customHeight="1" x14ac:dyDescent="0.25">
      <c r="B1069" s="5">
        <v>44617</v>
      </c>
      <c r="C1069" s="5" t="s">
        <v>177</v>
      </c>
      <c r="D1069" s="35">
        <v>2022</v>
      </c>
      <c r="E1069" t="s">
        <v>599</v>
      </c>
      <c r="F1069" t="s">
        <v>716</v>
      </c>
      <c r="G1069" t="s">
        <v>412</v>
      </c>
      <c r="H1069" s="92" t="s">
        <v>977</v>
      </c>
      <c r="I1069">
        <v>1</v>
      </c>
      <c r="J1069" s="46">
        <v>3310</v>
      </c>
      <c r="K1069" s="50" t="s">
        <v>545</v>
      </c>
      <c r="L1069" s="23">
        <v>3310</v>
      </c>
      <c r="M1069" s="46"/>
    </row>
    <row r="1070" spans="2:15" ht="15" customHeight="1" x14ac:dyDescent="0.25">
      <c r="B1070" s="5">
        <v>44617</v>
      </c>
      <c r="C1070" s="5" t="s">
        <v>177</v>
      </c>
      <c r="D1070" s="35">
        <v>2022</v>
      </c>
      <c r="E1070" t="s">
        <v>599</v>
      </c>
      <c r="F1070" t="s">
        <v>717</v>
      </c>
      <c r="G1070" t="s">
        <v>192</v>
      </c>
      <c r="H1070" s="24" t="s">
        <v>976</v>
      </c>
      <c r="I1070">
        <v>1</v>
      </c>
      <c r="J1070" s="46">
        <v>1395</v>
      </c>
      <c r="K1070" s="50" t="s">
        <v>545</v>
      </c>
      <c r="L1070" s="23">
        <v>1395</v>
      </c>
      <c r="M1070" s="46"/>
    </row>
    <row r="1071" spans="2:15" ht="15" customHeight="1" x14ac:dyDescent="0.25">
      <c r="B1071" s="5">
        <v>44617</v>
      </c>
      <c r="C1071" s="5" t="s">
        <v>177</v>
      </c>
      <c r="D1071" s="35">
        <v>2022</v>
      </c>
      <c r="E1071" t="s">
        <v>417</v>
      </c>
      <c r="F1071" t="s">
        <v>718</v>
      </c>
      <c r="G1071" t="s">
        <v>120</v>
      </c>
      <c r="H1071" s="24" t="s">
        <v>968</v>
      </c>
      <c r="I1071">
        <v>1</v>
      </c>
      <c r="J1071" s="46">
        <v>4480</v>
      </c>
      <c r="K1071" s="50" t="s">
        <v>545</v>
      </c>
      <c r="L1071" s="46"/>
      <c r="M1071" s="103">
        <v>4480</v>
      </c>
      <c r="O1071" t="s">
        <v>625</v>
      </c>
    </row>
    <row r="1072" spans="2:15" ht="15" customHeight="1" x14ac:dyDescent="0.25">
      <c r="B1072" s="5">
        <v>44617</v>
      </c>
      <c r="C1072" s="5" t="s">
        <v>177</v>
      </c>
      <c r="D1072" s="35">
        <v>2022</v>
      </c>
      <c r="E1072" t="s">
        <v>417</v>
      </c>
      <c r="F1072" t="s">
        <v>718</v>
      </c>
      <c r="G1072" t="s">
        <v>416</v>
      </c>
      <c r="H1072" s="24" t="s">
        <v>968</v>
      </c>
      <c r="I1072">
        <v>1</v>
      </c>
      <c r="J1072" s="46">
        <v>4455</v>
      </c>
      <c r="K1072" s="50" t="s">
        <v>545</v>
      </c>
      <c r="L1072" s="46">
        <v>4455</v>
      </c>
      <c r="M1072" s="46"/>
    </row>
    <row r="1073" spans="2:15" ht="15" customHeight="1" x14ac:dyDescent="0.25">
      <c r="B1073" s="5">
        <v>44617</v>
      </c>
      <c r="C1073" s="5" t="s">
        <v>177</v>
      </c>
      <c r="D1073" s="35">
        <v>2022</v>
      </c>
      <c r="E1073" t="s">
        <v>417</v>
      </c>
      <c r="F1073" t="s">
        <v>13</v>
      </c>
      <c r="G1073" t="s">
        <v>49</v>
      </c>
      <c r="H1073" s="92" t="s">
        <v>966</v>
      </c>
      <c r="I1073">
        <v>1</v>
      </c>
      <c r="J1073" s="46">
        <v>1740</v>
      </c>
      <c r="K1073" s="50" t="s">
        <v>545</v>
      </c>
      <c r="L1073" s="23">
        <v>1740</v>
      </c>
      <c r="M1073" s="46"/>
    </row>
    <row r="1074" spans="2:15" ht="15" customHeight="1" x14ac:dyDescent="0.25">
      <c r="B1074" s="5">
        <v>44617</v>
      </c>
      <c r="C1074" s="5" t="s">
        <v>177</v>
      </c>
      <c r="D1074" s="35">
        <v>2022</v>
      </c>
      <c r="E1074" t="s">
        <v>417</v>
      </c>
      <c r="F1074" t="s">
        <v>719</v>
      </c>
      <c r="G1074" t="s">
        <v>192</v>
      </c>
      <c r="H1074" s="24" t="s">
        <v>976</v>
      </c>
      <c r="I1074">
        <v>1</v>
      </c>
      <c r="J1074" s="46">
        <v>1395</v>
      </c>
      <c r="K1074" s="50" t="s">
        <v>545</v>
      </c>
      <c r="L1074" s="23">
        <v>1395</v>
      </c>
      <c r="M1074" s="46"/>
    </row>
    <row r="1075" spans="2:15" ht="15" customHeight="1" x14ac:dyDescent="0.25">
      <c r="B1075" s="5">
        <v>44617</v>
      </c>
      <c r="C1075" s="5" t="s">
        <v>177</v>
      </c>
      <c r="D1075" s="35">
        <v>2022</v>
      </c>
      <c r="E1075" t="s">
        <v>417</v>
      </c>
      <c r="F1075" t="s">
        <v>720</v>
      </c>
      <c r="G1075" t="s">
        <v>192</v>
      </c>
      <c r="H1075" s="24" t="s">
        <v>976</v>
      </c>
      <c r="I1075">
        <v>1</v>
      </c>
      <c r="J1075" s="46">
        <v>1395</v>
      </c>
      <c r="K1075" s="50" t="s">
        <v>545</v>
      </c>
      <c r="L1075" s="23">
        <v>1395</v>
      </c>
      <c r="M1075" s="46"/>
    </row>
    <row r="1076" spans="2:15" ht="15" customHeight="1" x14ac:dyDescent="0.25">
      <c r="B1076" s="5">
        <v>44617</v>
      </c>
      <c r="C1076" s="5" t="s">
        <v>177</v>
      </c>
      <c r="D1076" s="35">
        <v>2022</v>
      </c>
      <c r="E1076" t="s">
        <v>417</v>
      </c>
      <c r="F1076" t="s">
        <v>721</v>
      </c>
      <c r="G1076" t="s">
        <v>192</v>
      </c>
      <c r="H1076" s="24" t="s">
        <v>976</v>
      </c>
      <c r="I1076">
        <v>1</v>
      </c>
      <c r="J1076" s="46">
        <v>1395</v>
      </c>
      <c r="K1076" s="50" t="s">
        <v>545</v>
      </c>
      <c r="L1076" s="23">
        <v>1395</v>
      </c>
      <c r="M1076" s="46"/>
    </row>
    <row r="1077" spans="2:15" ht="15" customHeight="1" x14ac:dyDescent="0.25">
      <c r="B1077" s="5">
        <v>44617</v>
      </c>
      <c r="C1077" s="5" t="s">
        <v>177</v>
      </c>
      <c r="D1077" s="35">
        <v>2022</v>
      </c>
      <c r="E1077" t="s">
        <v>417</v>
      </c>
      <c r="F1077" t="s">
        <v>722</v>
      </c>
      <c r="G1077" t="s">
        <v>120</v>
      </c>
      <c r="H1077" s="24" t="s">
        <v>968</v>
      </c>
      <c r="I1077">
        <v>1</v>
      </c>
      <c r="J1077" s="46">
        <v>4480</v>
      </c>
      <c r="K1077" s="50" t="s">
        <v>545</v>
      </c>
      <c r="L1077" s="46"/>
      <c r="M1077" s="103">
        <v>4480</v>
      </c>
      <c r="O1077" t="s">
        <v>625</v>
      </c>
    </row>
    <row r="1078" spans="2:15" ht="15" customHeight="1" x14ac:dyDescent="0.25">
      <c r="B1078" s="5">
        <v>44617</v>
      </c>
      <c r="C1078" s="5" t="s">
        <v>177</v>
      </c>
      <c r="D1078" s="35">
        <v>2022</v>
      </c>
      <c r="E1078" t="s">
        <v>445</v>
      </c>
      <c r="F1078" t="s">
        <v>418</v>
      </c>
      <c r="G1078" t="s">
        <v>485</v>
      </c>
      <c r="H1078" s="92" t="s">
        <v>967</v>
      </c>
      <c r="I1078">
        <v>1</v>
      </c>
      <c r="J1078" s="46">
        <v>2300</v>
      </c>
      <c r="K1078" s="50" t="s">
        <v>545</v>
      </c>
      <c r="L1078" s="23">
        <v>2300</v>
      </c>
      <c r="M1078" s="46"/>
    </row>
    <row r="1079" spans="2:15" ht="15" customHeight="1" x14ac:dyDescent="0.25">
      <c r="B1079" s="5">
        <v>44617</v>
      </c>
      <c r="C1079" s="5" t="s">
        <v>177</v>
      </c>
      <c r="D1079" s="35">
        <v>2022</v>
      </c>
      <c r="E1079" t="s">
        <v>445</v>
      </c>
      <c r="F1079" t="s">
        <v>211</v>
      </c>
      <c r="G1079" t="s">
        <v>120</v>
      </c>
      <c r="H1079" s="24" t="s">
        <v>968</v>
      </c>
      <c r="I1079">
        <v>1</v>
      </c>
      <c r="J1079" s="46">
        <v>4480</v>
      </c>
      <c r="K1079" s="50" t="s">
        <v>545</v>
      </c>
      <c r="L1079" s="46"/>
      <c r="M1079" s="103">
        <v>4480</v>
      </c>
      <c r="O1079" t="s">
        <v>625</v>
      </c>
    </row>
    <row r="1080" spans="2:15" ht="15" customHeight="1" x14ac:dyDescent="0.25">
      <c r="B1080" s="5">
        <v>44617</v>
      </c>
      <c r="C1080" s="5" t="s">
        <v>177</v>
      </c>
      <c r="D1080" s="35">
        <v>2022</v>
      </c>
      <c r="E1080" t="s">
        <v>445</v>
      </c>
      <c r="F1080" t="s">
        <v>212</v>
      </c>
      <c r="G1080" t="s">
        <v>257</v>
      </c>
      <c r="H1080" s="24" t="s">
        <v>976</v>
      </c>
      <c r="I1080">
        <v>1</v>
      </c>
      <c r="J1080" s="46">
        <v>1450</v>
      </c>
      <c r="K1080" s="50" t="s">
        <v>545</v>
      </c>
      <c r="L1080" s="23">
        <v>1450</v>
      </c>
      <c r="M1080" s="46"/>
    </row>
    <row r="1081" spans="2:15" ht="15" customHeight="1" x14ac:dyDescent="0.25">
      <c r="B1081" s="5">
        <v>44617</v>
      </c>
      <c r="C1081" s="5" t="s">
        <v>177</v>
      </c>
      <c r="D1081" s="35">
        <v>2022</v>
      </c>
      <c r="E1081" t="s">
        <v>445</v>
      </c>
      <c r="F1081" t="s">
        <v>723</v>
      </c>
      <c r="G1081" t="s">
        <v>257</v>
      </c>
      <c r="H1081" s="24" t="s">
        <v>976</v>
      </c>
      <c r="I1081">
        <v>1</v>
      </c>
      <c r="J1081" s="46">
        <v>1450</v>
      </c>
      <c r="K1081" s="50" t="s">
        <v>545</v>
      </c>
      <c r="L1081" s="23">
        <v>1450</v>
      </c>
      <c r="M1081" s="46"/>
    </row>
    <row r="1082" spans="2:15" ht="15" customHeight="1" x14ac:dyDescent="0.25">
      <c r="B1082" s="5">
        <v>44617</v>
      </c>
      <c r="C1082" s="5" t="s">
        <v>177</v>
      </c>
      <c r="D1082" s="35">
        <v>2022</v>
      </c>
      <c r="E1082" t="s">
        <v>445</v>
      </c>
      <c r="F1082" t="s">
        <v>724</v>
      </c>
      <c r="G1082" t="s">
        <v>432</v>
      </c>
      <c r="H1082" s="24" t="s">
        <v>976</v>
      </c>
      <c r="I1082">
        <v>1</v>
      </c>
      <c r="J1082" s="46">
        <v>3580</v>
      </c>
      <c r="K1082" s="50" t="s">
        <v>545</v>
      </c>
      <c r="L1082" s="23">
        <v>3580</v>
      </c>
      <c r="M1082" s="46"/>
    </row>
    <row r="1083" spans="2:15" ht="15" customHeight="1" x14ac:dyDescent="0.25">
      <c r="B1083" s="5">
        <v>44617</v>
      </c>
      <c r="C1083" s="5" t="s">
        <v>177</v>
      </c>
      <c r="D1083" s="35">
        <v>2022</v>
      </c>
      <c r="E1083" t="s">
        <v>445</v>
      </c>
      <c r="F1083" t="s">
        <v>555</v>
      </c>
      <c r="G1083" t="s">
        <v>58</v>
      </c>
      <c r="H1083" s="92" t="s">
        <v>969</v>
      </c>
      <c r="I1083">
        <v>1</v>
      </c>
      <c r="J1083" s="46">
        <v>2530</v>
      </c>
      <c r="K1083" s="50" t="s">
        <v>545</v>
      </c>
      <c r="L1083" s="23">
        <v>2530</v>
      </c>
      <c r="M1083" s="46"/>
    </row>
    <row r="1084" spans="2:15" ht="15" customHeight="1" x14ac:dyDescent="0.25">
      <c r="B1084" s="5">
        <v>44617</v>
      </c>
      <c r="C1084" s="5" t="s">
        <v>177</v>
      </c>
      <c r="D1084" s="35">
        <v>2022</v>
      </c>
      <c r="E1084" t="s">
        <v>445</v>
      </c>
      <c r="F1084" t="s">
        <v>467</v>
      </c>
      <c r="G1084" t="s">
        <v>424</v>
      </c>
      <c r="H1084" s="24" t="s">
        <v>968</v>
      </c>
      <c r="I1084">
        <v>1</v>
      </c>
      <c r="J1084" s="46">
        <v>4495</v>
      </c>
      <c r="K1084" s="50" t="s">
        <v>545</v>
      </c>
      <c r="L1084" s="23">
        <v>4495</v>
      </c>
      <c r="M1084" s="46"/>
    </row>
    <row r="1085" spans="2:15" ht="15" customHeight="1" x14ac:dyDescent="0.25">
      <c r="B1085" s="5">
        <v>44617</v>
      </c>
      <c r="C1085" s="5" t="s">
        <v>177</v>
      </c>
      <c r="D1085" s="35">
        <v>2022</v>
      </c>
      <c r="E1085" t="s">
        <v>445</v>
      </c>
      <c r="F1085" t="s">
        <v>216</v>
      </c>
      <c r="G1085" t="s">
        <v>412</v>
      </c>
      <c r="H1085" s="92" t="s">
        <v>977</v>
      </c>
      <c r="I1085">
        <v>1</v>
      </c>
      <c r="J1085" s="46">
        <v>3310</v>
      </c>
      <c r="K1085" s="50" t="s">
        <v>545</v>
      </c>
      <c r="L1085" s="23">
        <v>3310</v>
      </c>
      <c r="M1085" s="46"/>
    </row>
    <row r="1086" spans="2:15" ht="15" customHeight="1" x14ac:dyDescent="0.25">
      <c r="B1086" s="5">
        <v>44617</v>
      </c>
      <c r="C1086" s="5" t="s">
        <v>177</v>
      </c>
      <c r="D1086" s="35">
        <v>2022</v>
      </c>
      <c r="E1086" t="s">
        <v>445</v>
      </c>
      <c r="F1086" t="s">
        <v>725</v>
      </c>
      <c r="G1086" t="s">
        <v>264</v>
      </c>
      <c r="H1086" s="24" t="s">
        <v>976</v>
      </c>
      <c r="I1086">
        <v>1</v>
      </c>
      <c r="J1086" s="46">
        <v>3580</v>
      </c>
      <c r="K1086" s="50" t="s">
        <v>545</v>
      </c>
      <c r="L1086" s="23">
        <v>3580</v>
      </c>
      <c r="M1086" s="46"/>
    </row>
    <row r="1087" spans="2:15" ht="15" customHeight="1" x14ac:dyDescent="0.25">
      <c r="B1087" s="5">
        <v>44617</v>
      </c>
      <c r="C1087" s="5" t="s">
        <v>177</v>
      </c>
      <c r="D1087" s="35">
        <v>2022</v>
      </c>
      <c r="E1087" t="s">
        <v>445</v>
      </c>
      <c r="F1087" t="s">
        <v>516</v>
      </c>
      <c r="G1087" t="s">
        <v>413</v>
      </c>
      <c r="H1087" s="92" t="s">
        <v>977</v>
      </c>
      <c r="I1087">
        <v>1</v>
      </c>
      <c r="J1087" s="46">
        <v>560</v>
      </c>
      <c r="K1087" s="50" t="s">
        <v>545</v>
      </c>
      <c r="L1087" s="23">
        <v>560</v>
      </c>
      <c r="M1087" s="46"/>
    </row>
    <row r="1088" spans="2:15" ht="15" customHeight="1" x14ac:dyDescent="0.25">
      <c r="B1088" s="5">
        <v>44617</v>
      </c>
      <c r="C1088" s="5" t="s">
        <v>177</v>
      </c>
      <c r="D1088" s="35">
        <v>2022</v>
      </c>
      <c r="E1088" t="s">
        <v>445</v>
      </c>
      <c r="F1088" t="s">
        <v>517</v>
      </c>
      <c r="G1088" t="s">
        <v>485</v>
      </c>
      <c r="H1088" s="92" t="s">
        <v>967</v>
      </c>
      <c r="I1088">
        <v>1</v>
      </c>
      <c r="J1088" s="46">
        <v>2300</v>
      </c>
      <c r="K1088" s="50" t="s">
        <v>545</v>
      </c>
      <c r="L1088" s="23">
        <v>2300</v>
      </c>
      <c r="M1088" s="46"/>
    </row>
    <row r="1089" spans="2:15" ht="15" customHeight="1" x14ac:dyDescent="0.25">
      <c r="B1089" s="5">
        <v>44617</v>
      </c>
      <c r="C1089" s="5" t="s">
        <v>177</v>
      </c>
      <c r="D1089" s="35">
        <v>2022</v>
      </c>
      <c r="E1089" t="s">
        <v>445</v>
      </c>
      <c r="F1089" t="s">
        <v>444</v>
      </c>
      <c r="G1089" t="s">
        <v>45</v>
      </c>
      <c r="H1089" s="92" t="s">
        <v>965</v>
      </c>
      <c r="I1089">
        <v>1</v>
      </c>
      <c r="J1089" s="46">
        <v>1390</v>
      </c>
      <c r="K1089" s="50" t="s">
        <v>545</v>
      </c>
      <c r="L1089" s="23">
        <v>1390</v>
      </c>
      <c r="M1089" s="46"/>
    </row>
    <row r="1090" spans="2:15" ht="15" customHeight="1" x14ac:dyDescent="0.25">
      <c r="B1090" s="5">
        <v>44617</v>
      </c>
      <c r="C1090" s="5" t="s">
        <v>177</v>
      </c>
      <c r="D1090" s="35">
        <v>2022</v>
      </c>
      <c r="E1090" t="s">
        <v>458</v>
      </c>
      <c r="F1090" t="s">
        <v>317</v>
      </c>
      <c r="G1090" t="s">
        <v>729</v>
      </c>
      <c r="H1090" s="92" t="s">
        <v>980</v>
      </c>
      <c r="I1090">
        <v>1</v>
      </c>
      <c r="J1090" s="46">
        <v>210</v>
      </c>
      <c r="K1090" s="50" t="s">
        <v>545</v>
      </c>
      <c r="L1090" s="46"/>
      <c r="M1090" s="103">
        <f>I1090*J1090</f>
        <v>210</v>
      </c>
      <c r="O1090" t="s">
        <v>625</v>
      </c>
    </row>
    <row r="1091" spans="2:15" ht="15" customHeight="1" x14ac:dyDescent="0.25">
      <c r="B1091" s="5">
        <v>44617</v>
      </c>
      <c r="C1091" s="5" t="s">
        <v>177</v>
      </c>
      <c r="D1091" s="35">
        <v>2022</v>
      </c>
      <c r="E1091" t="s">
        <v>458</v>
      </c>
      <c r="F1091" t="s">
        <v>317</v>
      </c>
      <c r="G1091" t="s">
        <v>323</v>
      </c>
      <c r="H1091" s="92" t="s">
        <v>981</v>
      </c>
      <c r="I1091">
        <v>2</v>
      </c>
      <c r="J1091" s="46">
        <v>620</v>
      </c>
      <c r="K1091" s="50" t="s">
        <v>545</v>
      </c>
      <c r="L1091" s="23">
        <f t="shared" ref="L1091:L1098" si="1">I1091*J1091</f>
        <v>1240</v>
      </c>
      <c r="M1091" s="46"/>
    </row>
    <row r="1092" spans="2:15" ht="15" customHeight="1" x14ac:dyDescent="0.25">
      <c r="B1092" s="5">
        <v>44617</v>
      </c>
      <c r="C1092" s="5" t="s">
        <v>177</v>
      </c>
      <c r="D1092" s="35">
        <v>2022</v>
      </c>
      <c r="E1092" t="s">
        <v>458</v>
      </c>
      <c r="F1092" t="s">
        <v>272</v>
      </c>
      <c r="G1092" t="s">
        <v>323</v>
      </c>
      <c r="H1092" s="92" t="s">
        <v>981</v>
      </c>
      <c r="I1092">
        <v>2</v>
      </c>
      <c r="J1092" s="46">
        <v>620</v>
      </c>
      <c r="K1092" s="50" t="s">
        <v>545</v>
      </c>
      <c r="L1092" s="23">
        <f t="shared" si="1"/>
        <v>1240</v>
      </c>
      <c r="M1092" s="46"/>
    </row>
    <row r="1093" spans="2:15" ht="15" customHeight="1" x14ac:dyDescent="0.25">
      <c r="B1093" s="5">
        <v>44617</v>
      </c>
      <c r="C1093" s="5" t="s">
        <v>177</v>
      </c>
      <c r="D1093" s="35">
        <v>2022</v>
      </c>
      <c r="E1093" t="s">
        <v>458</v>
      </c>
      <c r="F1093" t="s">
        <v>272</v>
      </c>
      <c r="G1093" t="s">
        <v>128</v>
      </c>
      <c r="H1093" s="92" t="s">
        <v>965</v>
      </c>
      <c r="I1093">
        <v>1</v>
      </c>
      <c r="J1093" s="46">
        <v>1240</v>
      </c>
      <c r="K1093" s="50" t="s">
        <v>545</v>
      </c>
      <c r="L1093" s="23">
        <f t="shared" si="1"/>
        <v>1240</v>
      </c>
      <c r="M1093" s="46"/>
    </row>
    <row r="1094" spans="2:15" ht="15" customHeight="1" x14ac:dyDescent="0.25">
      <c r="B1094" s="5">
        <v>44617</v>
      </c>
      <c r="C1094" s="5" t="s">
        <v>177</v>
      </c>
      <c r="D1094" s="35">
        <v>2022</v>
      </c>
      <c r="E1094" t="s">
        <v>458</v>
      </c>
      <c r="F1094" t="s">
        <v>143</v>
      </c>
      <c r="G1094" t="s">
        <v>424</v>
      </c>
      <c r="H1094" s="92" t="s">
        <v>968</v>
      </c>
      <c r="I1094">
        <v>1</v>
      </c>
      <c r="J1094" s="46">
        <v>4495</v>
      </c>
      <c r="K1094" s="50" t="s">
        <v>545</v>
      </c>
      <c r="L1094" s="23">
        <f t="shared" si="1"/>
        <v>4495</v>
      </c>
      <c r="M1094" s="46"/>
    </row>
    <row r="1095" spans="2:15" ht="15" customHeight="1" x14ac:dyDescent="0.25">
      <c r="B1095" s="5">
        <v>44617</v>
      </c>
      <c r="C1095" s="5" t="s">
        <v>177</v>
      </c>
      <c r="D1095" s="35">
        <v>2022</v>
      </c>
      <c r="E1095" t="s">
        <v>458</v>
      </c>
      <c r="F1095" t="s">
        <v>726</v>
      </c>
      <c r="G1095" t="s">
        <v>634</v>
      </c>
      <c r="H1095" s="92" t="s">
        <v>977</v>
      </c>
      <c r="I1095">
        <v>1</v>
      </c>
      <c r="J1095" s="46">
        <v>560</v>
      </c>
      <c r="K1095" s="50" t="s">
        <v>545</v>
      </c>
      <c r="L1095" s="23">
        <f t="shared" si="1"/>
        <v>560</v>
      </c>
      <c r="M1095" s="46"/>
    </row>
    <row r="1096" spans="2:15" ht="15" customHeight="1" x14ac:dyDescent="0.25">
      <c r="B1096" s="5">
        <v>44617</v>
      </c>
      <c r="C1096" s="5" t="s">
        <v>177</v>
      </c>
      <c r="D1096" s="35">
        <v>2022</v>
      </c>
      <c r="E1096" t="s">
        <v>458</v>
      </c>
      <c r="F1096" t="s">
        <v>726</v>
      </c>
      <c r="G1096" t="s">
        <v>730</v>
      </c>
      <c r="H1096" s="92" t="s">
        <v>977</v>
      </c>
      <c r="I1096">
        <v>1</v>
      </c>
      <c r="J1096" s="46">
        <v>560</v>
      </c>
      <c r="K1096" s="50" t="s">
        <v>545</v>
      </c>
      <c r="L1096" s="46"/>
      <c r="M1096" s="103">
        <f>I1096*J1096</f>
        <v>560</v>
      </c>
      <c r="O1096" t="s">
        <v>625</v>
      </c>
    </row>
    <row r="1097" spans="2:15" ht="15" customHeight="1" x14ac:dyDescent="0.25">
      <c r="B1097" s="5">
        <v>44617</v>
      </c>
      <c r="C1097" s="5" t="s">
        <v>177</v>
      </c>
      <c r="D1097" s="35">
        <v>2022</v>
      </c>
      <c r="E1097" t="s">
        <v>458</v>
      </c>
      <c r="F1097" t="s">
        <v>727</v>
      </c>
      <c r="G1097" t="s">
        <v>364</v>
      </c>
      <c r="H1097" s="92" t="s">
        <v>972</v>
      </c>
      <c r="I1097">
        <v>2</v>
      </c>
      <c r="J1097" s="46">
        <v>1200</v>
      </c>
      <c r="K1097" s="50" t="s">
        <v>545</v>
      </c>
      <c r="L1097" s="46"/>
      <c r="M1097" s="103">
        <f>I1097*J1097</f>
        <v>2400</v>
      </c>
      <c r="O1097" t="s">
        <v>625</v>
      </c>
    </row>
    <row r="1098" spans="2:15" ht="15" customHeight="1" x14ac:dyDescent="0.25">
      <c r="B1098" s="5">
        <v>44617</v>
      </c>
      <c r="C1098" s="5" t="s">
        <v>177</v>
      </c>
      <c r="D1098" s="35">
        <v>2022</v>
      </c>
      <c r="E1098" t="s">
        <v>458</v>
      </c>
      <c r="F1098" t="s">
        <v>728</v>
      </c>
      <c r="G1098" t="s">
        <v>192</v>
      </c>
      <c r="H1098" s="24" t="s">
        <v>976</v>
      </c>
      <c r="I1098">
        <v>1</v>
      </c>
      <c r="J1098" s="46">
        <v>1395</v>
      </c>
      <c r="K1098" s="50" t="s">
        <v>545</v>
      </c>
      <c r="L1098" s="23">
        <f t="shared" si="1"/>
        <v>1395</v>
      </c>
      <c r="M1098" s="46"/>
    </row>
    <row r="1099" spans="2:15" ht="15" customHeight="1" x14ac:dyDescent="0.25">
      <c r="B1099" s="5">
        <v>44618</v>
      </c>
      <c r="C1099" s="5" t="s">
        <v>177</v>
      </c>
      <c r="D1099" s="35">
        <v>2022</v>
      </c>
      <c r="E1099" t="s">
        <v>22</v>
      </c>
      <c r="F1099" t="s">
        <v>260</v>
      </c>
      <c r="G1099" t="s">
        <v>127</v>
      </c>
      <c r="H1099" s="92" t="s">
        <v>973</v>
      </c>
      <c r="I1099">
        <v>1</v>
      </c>
      <c r="J1099" s="46">
        <v>260</v>
      </c>
      <c r="K1099" s="50" t="s">
        <v>545</v>
      </c>
      <c r="L1099" s="23">
        <v>260</v>
      </c>
      <c r="M1099" s="46"/>
    </row>
    <row r="1100" spans="2:15" ht="15" customHeight="1" x14ac:dyDescent="0.25">
      <c r="B1100" s="5">
        <v>44618</v>
      </c>
      <c r="C1100" s="5" t="s">
        <v>177</v>
      </c>
      <c r="D1100" s="35">
        <v>2022</v>
      </c>
      <c r="E1100" t="s">
        <v>22</v>
      </c>
      <c r="F1100" t="s">
        <v>260</v>
      </c>
      <c r="G1100" t="s">
        <v>380</v>
      </c>
      <c r="H1100" s="92" t="s">
        <v>972</v>
      </c>
      <c r="I1100">
        <v>1</v>
      </c>
      <c r="J1100" s="46">
        <v>600</v>
      </c>
      <c r="K1100" s="50" t="s">
        <v>545</v>
      </c>
      <c r="L1100" s="23">
        <v>600</v>
      </c>
      <c r="M1100" s="46"/>
    </row>
    <row r="1101" spans="2:15" ht="15" customHeight="1" x14ac:dyDescent="0.25">
      <c r="B1101" s="5">
        <v>44618</v>
      </c>
      <c r="C1101" s="5" t="s">
        <v>177</v>
      </c>
      <c r="D1101" s="35">
        <v>2022</v>
      </c>
      <c r="E1101" t="s">
        <v>22</v>
      </c>
      <c r="F1101" t="s">
        <v>260</v>
      </c>
      <c r="G1101" t="s">
        <v>413</v>
      </c>
      <c r="H1101" s="92" t="s">
        <v>977</v>
      </c>
      <c r="I1101">
        <v>1</v>
      </c>
      <c r="J1101" s="46">
        <v>560</v>
      </c>
      <c r="K1101" s="50" t="s">
        <v>545</v>
      </c>
      <c r="L1101" s="23">
        <v>560</v>
      </c>
      <c r="M1101" s="46"/>
    </row>
    <row r="1102" spans="2:15" ht="15" customHeight="1" x14ac:dyDescent="0.25">
      <c r="B1102" s="5">
        <v>44618</v>
      </c>
      <c r="C1102" s="5" t="s">
        <v>177</v>
      </c>
      <c r="D1102" s="35">
        <v>2022</v>
      </c>
      <c r="E1102" t="s">
        <v>22</v>
      </c>
      <c r="F1102" t="s">
        <v>473</v>
      </c>
      <c r="G1102" t="s">
        <v>128</v>
      </c>
      <c r="H1102" s="92" t="s">
        <v>965</v>
      </c>
      <c r="I1102">
        <v>1</v>
      </c>
      <c r="J1102" s="46">
        <v>1240</v>
      </c>
      <c r="K1102" s="50" t="s">
        <v>545</v>
      </c>
      <c r="L1102" s="23">
        <v>1240</v>
      </c>
      <c r="M1102" s="46"/>
    </row>
    <row r="1103" spans="2:15" ht="15" customHeight="1" x14ac:dyDescent="0.25">
      <c r="B1103" s="5">
        <v>44618</v>
      </c>
      <c r="C1103" s="5" t="s">
        <v>177</v>
      </c>
      <c r="D1103" s="35">
        <v>2022</v>
      </c>
      <c r="E1103" t="s">
        <v>22</v>
      </c>
      <c r="F1103" t="s">
        <v>236</v>
      </c>
      <c r="G1103" t="s">
        <v>412</v>
      </c>
      <c r="H1103" s="92" t="s">
        <v>977</v>
      </c>
      <c r="I1103">
        <v>1</v>
      </c>
      <c r="J1103" s="46">
        <v>3310</v>
      </c>
      <c r="K1103" s="50" t="s">
        <v>545</v>
      </c>
      <c r="L1103" s="23">
        <v>3310</v>
      </c>
      <c r="M1103" s="46"/>
    </row>
    <row r="1104" spans="2:15" ht="15" customHeight="1" x14ac:dyDescent="0.25">
      <c r="B1104" s="5">
        <v>44618</v>
      </c>
      <c r="C1104" s="5" t="s">
        <v>177</v>
      </c>
      <c r="D1104" s="35">
        <v>2022</v>
      </c>
      <c r="E1104" t="s">
        <v>22</v>
      </c>
      <c r="F1104" t="s">
        <v>236</v>
      </c>
      <c r="G1104" t="s">
        <v>424</v>
      </c>
      <c r="H1104" s="24" t="s">
        <v>968</v>
      </c>
      <c r="I1104">
        <v>10</v>
      </c>
      <c r="J1104" s="46">
        <v>45500</v>
      </c>
      <c r="K1104" s="50" t="s">
        <v>545</v>
      </c>
      <c r="L1104" s="152">
        <v>45500</v>
      </c>
      <c r="M1104" s="46"/>
    </row>
    <row r="1105" spans="2:15" ht="15" customHeight="1" x14ac:dyDescent="0.25">
      <c r="B1105" s="5">
        <v>44618</v>
      </c>
      <c r="C1105" s="5" t="s">
        <v>177</v>
      </c>
      <c r="D1105" s="35">
        <v>2022</v>
      </c>
      <c r="E1105" t="s">
        <v>22</v>
      </c>
      <c r="F1105" t="s">
        <v>181</v>
      </c>
      <c r="G1105" t="s">
        <v>49</v>
      </c>
      <c r="H1105" s="92" t="s">
        <v>966</v>
      </c>
      <c r="I1105">
        <v>1</v>
      </c>
      <c r="J1105" s="46">
        <v>1740</v>
      </c>
      <c r="K1105" s="50" t="s">
        <v>545</v>
      </c>
      <c r="L1105" s="23">
        <v>1740</v>
      </c>
      <c r="M1105" s="46"/>
    </row>
    <row r="1106" spans="2:15" ht="15" customHeight="1" x14ac:dyDescent="0.25">
      <c r="B1106" s="5">
        <v>44618</v>
      </c>
      <c r="C1106" s="5" t="s">
        <v>177</v>
      </c>
      <c r="D1106" s="35">
        <v>2022</v>
      </c>
      <c r="E1106" t="s">
        <v>22</v>
      </c>
      <c r="F1106" t="s">
        <v>475</v>
      </c>
      <c r="G1106" t="s">
        <v>412</v>
      </c>
      <c r="H1106" s="92" t="s">
        <v>977</v>
      </c>
      <c r="I1106">
        <v>1</v>
      </c>
      <c r="J1106" s="46">
        <v>3310</v>
      </c>
      <c r="K1106" s="50" t="s">
        <v>545</v>
      </c>
      <c r="L1106" s="23">
        <v>3310</v>
      </c>
      <c r="M1106" s="46"/>
    </row>
    <row r="1107" spans="2:15" ht="15" customHeight="1" x14ac:dyDescent="0.25">
      <c r="B1107" s="5">
        <v>44618</v>
      </c>
      <c r="C1107" s="5" t="s">
        <v>177</v>
      </c>
      <c r="D1107" s="35">
        <v>2022</v>
      </c>
      <c r="E1107" t="s">
        <v>22</v>
      </c>
      <c r="F1107" t="s">
        <v>131</v>
      </c>
      <c r="G1107" t="s">
        <v>424</v>
      </c>
      <c r="H1107" s="24" t="s">
        <v>968</v>
      </c>
      <c r="I1107">
        <v>1</v>
      </c>
      <c r="J1107" s="46">
        <v>4550</v>
      </c>
      <c r="K1107" s="50" t="s">
        <v>545</v>
      </c>
      <c r="L1107" s="23">
        <v>4550</v>
      </c>
      <c r="M1107" s="46"/>
    </row>
    <row r="1108" spans="2:15" ht="15" customHeight="1" x14ac:dyDescent="0.25">
      <c r="B1108" s="5">
        <v>44618</v>
      </c>
      <c r="C1108" s="5" t="s">
        <v>177</v>
      </c>
      <c r="D1108" s="35">
        <v>2022</v>
      </c>
      <c r="E1108" t="s">
        <v>22</v>
      </c>
      <c r="F1108" t="s">
        <v>131</v>
      </c>
      <c r="G1108" t="s">
        <v>55</v>
      </c>
      <c r="H1108" s="92" t="s">
        <v>965</v>
      </c>
      <c r="I1108">
        <v>1</v>
      </c>
      <c r="J1108" s="46">
        <v>1390</v>
      </c>
      <c r="K1108" s="50" t="s">
        <v>545</v>
      </c>
      <c r="L1108" s="23">
        <v>1390</v>
      </c>
      <c r="M1108" s="46"/>
    </row>
    <row r="1109" spans="2:15" ht="15" customHeight="1" x14ac:dyDescent="0.25">
      <c r="B1109" s="5">
        <v>44618</v>
      </c>
      <c r="C1109" s="5" t="s">
        <v>177</v>
      </c>
      <c r="D1109" s="35">
        <v>2022</v>
      </c>
      <c r="E1109" t="s">
        <v>22</v>
      </c>
      <c r="F1109" t="s">
        <v>309</v>
      </c>
      <c r="G1109" t="s">
        <v>424</v>
      </c>
      <c r="H1109" s="24" t="s">
        <v>968</v>
      </c>
      <c r="I1109">
        <v>8</v>
      </c>
      <c r="J1109" s="46">
        <v>36400</v>
      </c>
      <c r="K1109" s="50" t="s">
        <v>545</v>
      </c>
      <c r="L1109" s="46"/>
      <c r="M1109" s="103">
        <v>36400</v>
      </c>
      <c r="O1109" t="s">
        <v>625</v>
      </c>
    </row>
    <row r="1110" spans="2:15" ht="15" customHeight="1" x14ac:dyDescent="0.25">
      <c r="B1110" s="5">
        <v>44618</v>
      </c>
      <c r="C1110" s="5" t="s">
        <v>177</v>
      </c>
      <c r="D1110" s="35">
        <v>2022</v>
      </c>
      <c r="E1110" t="s">
        <v>22</v>
      </c>
      <c r="F1110" t="s">
        <v>132</v>
      </c>
      <c r="G1110" t="s">
        <v>424</v>
      </c>
      <c r="H1110" s="24" t="s">
        <v>968</v>
      </c>
      <c r="I1110">
        <v>1</v>
      </c>
      <c r="J1110" s="46">
        <v>4550</v>
      </c>
      <c r="K1110" s="50" t="s">
        <v>545</v>
      </c>
      <c r="L1110" s="46"/>
      <c r="M1110" s="103">
        <v>4550</v>
      </c>
      <c r="O1110" t="s">
        <v>625</v>
      </c>
    </row>
    <row r="1111" spans="2:15" ht="15" customHeight="1" x14ac:dyDescent="0.25">
      <c r="B1111" s="5">
        <v>44618</v>
      </c>
      <c r="C1111" s="5" t="s">
        <v>177</v>
      </c>
      <c r="D1111" s="35">
        <v>2022</v>
      </c>
      <c r="E1111" t="s">
        <v>356</v>
      </c>
      <c r="F1111" t="s">
        <v>310</v>
      </c>
      <c r="G1111" t="s">
        <v>424</v>
      </c>
      <c r="H1111" s="24" t="s">
        <v>968</v>
      </c>
      <c r="I1111">
        <v>5</v>
      </c>
      <c r="J1111" s="46">
        <v>22750</v>
      </c>
      <c r="K1111" s="50" t="s">
        <v>545</v>
      </c>
      <c r="L1111" s="46"/>
      <c r="M1111" s="103">
        <v>22750</v>
      </c>
      <c r="O1111" t="s">
        <v>625</v>
      </c>
    </row>
    <row r="1112" spans="2:15" ht="15" customHeight="1" x14ac:dyDescent="0.25">
      <c r="B1112" s="5">
        <v>44618</v>
      </c>
      <c r="C1112" s="5" t="s">
        <v>177</v>
      </c>
      <c r="D1112" s="35">
        <v>2022</v>
      </c>
      <c r="E1112" t="s">
        <v>356</v>
      </c>
      <c r="F1112" t="s">
        <v>185</v>
      </c>
      <c r="G1112" t="s">
        <v>192</v>
      </c>
      <c r="H1112" s="24" t="s">
        <v>976</v>
      </c>
      <c r="I1112">
        <v>1</v>
      </c>
      <c r="J1112" s="46">
        <v>1395</v>
      </c>
      <c r="K1112" s="50" t="s">
        <v>545</v>
      </c>
      <c r="L1112" s="23">
        <v>1395</v>
      </c>
      <c r="M1112" s="46"/>
    </row>
    <row r="1113" spans="2:15" ht="15" customHeight="1" x14ac:dyDescent="0.25">
      <c r="B1113" s="5">
        <v>44618</v>
      </c>
      <c r="C1113" s="5" t="s">
        <v>177</v>
      </c>
      <c r="D1113" s="35">
        <v>2022</v>
      </c>
      <c r="E1113" t="s">
        <v>356</v>
      </c>
      <c r="F1113" t="s">
        <v>313</v>
      </c>
      <c r="G1113" t="s">
        <v>424</v>
      </c>
      <c r="H1113" s="24" t="s">
        <v>968</v>
      </c>
      <c r="I1113">
        <v>1</v>
      </c>
      <c r="J1113" s="46">
        <v>4550</v>
      </c>
      <c r="K1113" s="50" t="s">
        <v>545</v>
      </c>
      <c r="L1113" s="46"/>
      <c r="M1113" s="103">
        <v>4550</v>
      </c>
      <c r="O1113" t="s">
        <v>625</v>
      </c>
    </row>
    <row r="1114" spans="2:15" ht="15" customHeight="1" x14ac:dyDescent="0.25">
      <c r="B1114" s="5">
        <v>44618</v>
      </c>
      <c r="C1114" s="5" t="s">
        <v>177</v>
      </c>
      <c r="D1114" s="35">
        <v>2022</v>
      </c>
      <c r="E1114" t="s">
        <v>356</v>
      </c>
      <c r="F1114" t="s">
        <v>455</v>
      </c>
      <c r="G1114" t="s">
        <v>485</v>
      </c>
      <c r="H1114" s="92" t="s">
        <v>967</v>
      </c>
      <c r="I1114">
        <v>1</v>
      </c>
      <c r="J1114" s="46">
        <v>2300</v>
      </c>
      <c r="K1114" s="50" t="s">
        <v>545</v>
      </c>
      <c r="L1114" s="23">
        <v>2300</v>
      </c>
      <c r="M1114" s="46"/>
    </row>
    <row r="1115" spans="2:15" ht="15" customHeight="1" x14ac:dyDescent="0.25">
      <c r="B1115" s="5">
        <v>44618</v>
      </c>
      <c r="C1115" s="5" t="s">
        <v>177</v>
      </c>
      <c r="D1115" s="35">
        <v>2022</v>
      </c>
      <c r="E1115" t="s">
        <v>599</v>
      </c>
      <c r="F1115" t="s">
        <v>697</v>
      </c>
      <c r="G1115" t="s">
        <v>412</v>
      </c>
      <c r="H1115" s="92" t="s">
        <v>977</v>
      </c>
      <c r="I1115">
        <v>1</v>
      </c>
      <c r="J1115" s="46">
        <v>3310</v>
      </c>
      <c r="K1115" s="50" t="s">
        <v>545</v>
      </c>
      <c r="L1115" s="23">
        <v>3310</v>
      </c>
      <c r="M1115" s="46"/>
    </row>
    <row r="1116" spans="2:15" ht="15" customHeight="1" x14ac:dyDescent="0.25">
      <c r="B1116" s="5">
        <v>44618</v>
      </c>
      <c r="C1116" s="5" t="s">
        <v>177</v>
      </c>
      <c r="D1116" s="35">
        <v>2022</v>
      </c>
      <c r="E1116" t="s">
        <v>599</v>
      </c>
      <c r="F1116" t="s">
        <v>239</v>
      </c>
      <c r="G1116" t="s">
        <v>413</v>
      </c>
      <c r="H1116" s="92" t="s">
        <v>977</v>
      </c>
      <c r="I1116">
        <v>1</v>
      </c>
      <c r="J1116" s="46">
        <v>560</v>
      </c>
      <c r="K1116" s="50" t="s">
        <v>545</v>
      </c>
      <c r="L1116" s="23">
        <v>560</v>
      </c>
      <c r="M1116" s="46"/>
    </row>
    <row r="1117" spans="2:15" ht="15" customHeight="1" x14ac:dyDescent="0.25">
      <c r="B1117" s="5">
        <v>44618</v>
      </c>
      <c r="C1117" s="5" t="s">
        <v>177</v>
      </c>
      <c r="D1117" s="35">
        <v>2022</v>
      </c>
      <c r="E1117" t="s">
        <v>599</v>
      </c>
      <c r="F1117" t="s">
        <v>239</v>
      </c>
      <c r="G1117" t="s">
        <v>440</v>
      </c>
      <c r="H1117" s="92" t="s">
        <v>978</v>
      </c>
      <c r="I1117">
        <v>1</v>
      </c>
      <c r="J1117" s="46">
        <v>750</v>
      </c>
      <c r="K1117" s="50" t="s">
        <v>545</v>
      </c>
      <c r="L1117" s="23">
        <v>750</v>
      </c>
      <c r="M1117" s="46"/>
    </row>
    <row r="1118" spans="2:15" ht="15" customHeight="1" x14ac:dyDescent="0.25">
      <c r="B1118" s="5">
        <v>44618</v>
      </c>
      <c r="C1118" s="5" t="s">
        <v>177</v>
      </c>
      <c r="D1118" s="35">
        <v>2022</v>
      </c>
      <c r="E1118" t="s">
        <v>599</v>
      </c>
      <c r="F1118" t="s">
        <v>239</v>
      </c>
      <c r="G1118" t="s">
        <v>767</v>
      </c>
      <c r="H1118" s="24" t="s">
        <v>968</v>
      </c>
      <c r="I1118">
        <v>1</v>
      </c>
      <c r="J1118" s="46">
        <v>1920</v>
      </c>
      <c r="K1118" s="50" t="s">
        <v>545</v>
      </c>
      <c r="L1118" s="46"/>
      <c r="M1118" s="103">
        <v>1920</v>
      </c>
      <c r="O1118" t="s">
        <v>625</v>
      </c>
    </row>
    <row r="1119" spans="2:15" ht="15" customHeight="1" x14ac:dyDescent="0.25">
      <c r="B1119" s="5">
        <v>44618</v>
      </c>
      <c r="C1119" s="5" t="s">
        <v>177</v>
      </c>
      <c r="D1119" s="35">
        <v>2022</v>
      </c>
      <c r="E1119" t="s">
        <v>599</v>
      </c>
      <c r="F1119" t="s">
        <v>760</v>
      </c>
      <c r="G1119" t="s">
        <v>49</v>
      </c>
      <c r="H1119" s="92" t="s">
        <v>966</v>
      </c>
      <c r="I1119">
        <v>1</v>
      </c>
      <c r="J1119" s="46">
        <v>1740</v>
      </c>
      <c r="K1119" s="50" t="s">
        <v>545</v>
      </c>
      <c r="L1119" s="23">
        <v>1740</v>
      </c>
      <c r="M1119" s="46"/>
    </row>
    <row r="1120" spans="2:15" ht="15" customHeight="1" x14ac:dyDescent="0.25">
      <c r="B1120" s="5">
        <v>44618</v>
      </c>
      <c r="C1120" s="5" t="s">
        <v>177</v>
      </c>
      <c r="D1120" s="35">
        <v>2022</v>
      </c>
      <c r="E1120" t="s">
        <v>599</v>
      </c>
      <c r="F1120" t="s">
        <v>761</v>
      </c>
      <c r="G1120" t="s">
        <v>49</v>
      </c>
      <c r="H1120" s="92" t="s">
        <v>966</v>
      </c>
      <c r="I1120">
        <v>1</v>
      </c>
      <c r="J1120" s="46">
        <v>1740</v>
      </c>
      <c r="K1120" s="50" t="s">
        <v>545</v>
      </c>
      <c r="L1120" s="23">
        <v>1740</v>
      </c>
      <c r="M1120" s="46"/>
    </row>
    <row r="1121" spans="2:15" ht="15" customHeight="1" x14ac:dyDescent="0.25">
      <c r="B1121" s="5">
        <v>44618</v>
      </c>
      <c r="C1121" s="5" t="s">
        <v>177</v>
      </c>
      <c r="D1121" s="35">
        <v>2022</v>
      </c>
      <c r="E1121" t="s">
        <v>599</v>
      </c>
      <c r="F1121" t="s">
        <v>761</v>
      </c>
      <c r="G1121" t="s">
        <v>424</v>
      </c>
      <c r="H1121" s="24" t="s">
        <v>968</v>
      </c>
      <c r="I1121">
        <v>1</v>
      </c>
      <c r="J1121" s="46">
        <v>4550</v>
      </c>
      <c r="K1121" s="50" t="s">
        <v>545</v>
      </c>
      <c r="L1121" s="46"/>
      <c r="M1121" s="103">
        <v>4550</v>
      </c>
      <c r="O1121" t="s">
        <v>625</v>
      </c>
    </row>
    <row r="1122" spans="2:15" ht="15" customHeight="1" x14ac:dyDescent="0.25">
      <c r="B1122" s="5">
        <v>44618</v>
      </c>
      <c r="C1122" s="5" t="s">
        <v>177</v>
      </c>
      <c r="D1122" s="35">
        <v>2022</v>
      </c>
      <c r="E1122" t="s">
        <v>599</v>
      </c>
      <c r="F1122" t="s">
        <v>762</v>
      </c>
      <c r="G1122" t="s">
        <v>412</v>
      </c>
      <c r="H1122" s="92" t="s">
        <v>977</v>
      </c>
      <c r="I1122">
        <v>1</v>
      </c>
      <c r="J1122" s="46">
        <v>3310</v>
      </c>
      <c r="K1122" s="50" t="s">
        <v>545</v>
      </c>
      <c r="L1122" s="23">
        <v>3310</v>
      </c>
      <c r="M1122" s="46"/>
    </row>
    <row r="1123" spans="2:15" ht="15" customHeight="1" x14ac:dyDescent="0.25">
      <c r="B1123" s="5">
        <v>44618</v>
      </c>
      <c r="C1123" s="5" t="s">
        <v>177</v>
      </c>
      <c r="D1123" s="35">
        <v>2022</v>
      </c>
      <c r="E1123" t="s">
        <v>599</v>
      </c>
      <c r="F1123" t="s">
        <v>763</v>
      </c>
      <c r="G1123" t="s">
        <v>413</v>
      </c>
      <c r="H1123" s="92" t="s">
        <v>977</v>
      </c>
      <c r="I1123">
        <v>1</v>
      </c>
      <c r="J1123" s="46">
        <v>560</v>
      </c>
      <c r="K1123" s="50" t="s">
        <v>545</v>
      </c>
      <c r="L1123" s="23">
        <v>560</v>
      </c>
      <c r="M1123" s="46"/>
    </row>
    <row r="1124" spans="2:15" ht="15" customHeight="1" x14ac:dyDescent="0.25">
      <c r="B1124" s="5">
        <v>44618</v>
      </c>
      <c r="C1124" s="5" t="s">
        <v>177</v>
      </c>
      <c r="D1124" s="35">
        <v>2022</v>
      </c>
      <c r="E1124" t="s">
        <v>599</v>
      </c>
      <c r="F1124" t="s">
        <v>713</v>
      </c>
      <c r="G1124" t="s">
        <v>440</v>
      </c>
      <c r="H1124" s="92" t="s">
        <v>978</v>
      </c>
      <c r="I1124">
        <v>1</v>
      </c>
      <c r="J1124" s="46">
        <v>750</v>
      </c>
      <c r="K1124" s="50" t="s">
        <v>545</v>
      </c>
      <c r="L1124" s="23">
        <v>750</v>
      </c>
      <c r="M1124" s="46"/>
    </row>
    <row r="1125" spans="2:15" ht="15" customHeight="1" x14ac:dyDescent="0.25">
      <c r="B1125" s="5">
        <v>44618</v>
      </c>
      <c r="C1125" s="5" t="s">
        <v>177</v>
      </c>
      <c r="D1125" s="35">
        <v>2022</v>
      </c>
      <c r="E1125" t="s">
        <v>599</v>
      </c>
      <c r="F1125" t="s">
        <v>713</v>
      </c>
      <c r="G1125" t="s">
        <v>323</v>
      </c>
      <c r="H1125" s="92" t="s">
        <v>981</v>
      </c>
      <c r="I1125">
        <v>1</v>
      </c>
      <c r="J1125" s="46">
        <v>310</v>
      </c>
      <c r="K1125" s="50" t="s">
        <v>545</v>
      </c>
      <c r="L1125" s="23">
        <v>310</v>
      </c>
      <c r="M1125" s="46"/>
    </row>
    <row r="1126" spans="2:15" ht="15" customHeight="1" x14ac:dyDescent="0.25">
      <c r="B1126" s="5">
        <v>44618</v>
      </c>
      <c r="C1126" s="5" t="s">
        <v>177</v>
      </c>
      <c r="D1126" s="35">
        <v>2022</v>
      </c>
      <c r="E1126" t="s">
        <v>599</v>
      </c>
      <c r="F1126" t="s">
        <v>713</v>
      </c>
      <c r="G1126" t="s">
        <v>413</v>
      </c>
      <c r="H1126" s="92" t="s">
        <v>977</v>
      </c>
      <c r="I1126">
        <v>1</v>
      </c>
      <c r="J1126" s="46">
        <v>560</v>
      </c>
      <c r="K1126" s="50" t="s">
        <v>545</v>
      </c>
      <c r="L1126" s="23">
        <v>560</v>
      </c>
      <c r="M1126" s="46"/>
    </row>
    <row r="1127" spans="2:15" ht="15" customHeight="1" x14ac:dyDescent="0.25">
      <c r="B1127" s="5">
        <v>44618</v>
      </c>
      <c r="C1127" s="5" t="s">
        <v>177</v>
      </c>
      <c r="D1127" s="35">
        <v>2022</v>
      </c>
      <c r="E1127" t="s">
        <v>599</v>
      </c>
      <c r="F1127" t="s">
        <v>764</v>
      </c>
      <c r="G1127" t="s">
        <v>192</v>
      </c>
      <c r="H1127" s="24" t="s">
        <v>976</v>
      </c>
      <c r="I1127">
        <v>1</v>
      </c>
      <c r="J1127" s="46">
        <v>1395</v>
      </c>
      <c r="K1127" s="50" t="s">
        <v>545</v>
      </c>
      <c r="L1127" s="23">
        <v>1395</v>
      </c>
      <c r="M1127" s="46"/>
    </row>
    <row r="1128" spans="2:15" ht="15" customHeight="1" x14ac:dyDescent="0.25">
      <c r="B1128" s="5">
        <v>44618</v>
      </c>
      <c r="C1128" s="5" t="s">
        <v>177</v>
      </c>
      <c r="D1128" s="35">
        <v>2022</v>
      </c>
      <c r="E1128" t="s">
        <v>599</v>
      </c>
      <c r="F1128" t="s">
        <v>699</v>
      </c>
      <c r="G1128" t="s">
        <v>768</v>
      </c>
      <c r="H1128" s="92" t="s">
        <v>985</v>
      </c>
      <c r="I1128">
        <v>3</v>
      </c>
      <c r="J1128" s="46">
        <v>285</v>
      </c>
      <c r="K1128" s="50" t="s">
        <v>545</v>
      </c>
      <c r="L1128" s="46"/>
      <c r="M1128" s="103">
        <v>285</v>
      </c>
      <c r="O1128" t="s">
        <v>625</v>
      </c>
    </row>
    <row r="1129" spans="2:15" ht="15" customHeight="1" x14ac:dyDescent="0.25">
      <c r="B1129" s="5">
        <v>44618</v>
      </c>
      <c r="C1129" s="5" t="s">
        <v>177</v>
      </c>
      <c r="D1129" s="35">
        <v>2022</v>
      </c>
      <c r="E1129" t="s">
        <v>599</v>
      </c>
      <c r="F1129" t="s">
        <v>699</v>
      </c>
      <c r="G1129" t="s">
        <v>485</v>
      </c>
      <c r="H1129" s="92" t="s">
        <v>967</v>
      </c>
      <c r="I1129">
        <v>1</v>
      </c>
      <c r="J1129" s="46">
        <v>2300</v>
      </c>
      <c r="K1129" s="50" t="s">
        <v>545</v>
      </c>
      <c r="L1129" s="23">
        <v>2300</v>
      </c>
      <c r="M1129" s="46"/>
    </row>
    <row r="1130" spans="2:15" ht="15" customHeight="1" x14ac:dyDescent="0.25">
      <c r="B1130" s="5">
        <v>44618</v>
      </c>
      <c r="C1130" s="5" t="s">
        <v>177</v>
      </c>
      <c r="D1130" s="35">
        <v>2022</v>
      </c>
      <c r="E1130" t="s">
        <v>599</v>
      </c>
      <c r="F1130" t="s">
        <v>765</v>
      </c>
      <c r="G1130" t="s">
        <v>440</v>
      </c>
      <c r="H1130" s="92" t="s">
        <v>978</v>
      </c>
      <c r="I1130">
        <v>1</v>
      </c>
      <c r="J1130" s="46">
        <v>750</v>
      </c>
      <c r="K1130" s="50" t="s">
        <v>545</v>
      </c>
      <c r="L1130" s="23">
        <v>750</v>
      </c>
      <c r="M1130" s="46"/>
    </row>
    <row r="1131" spans="2:15" ht="15" customHeight="1" x14ac:dyDescent="0.25">
      <c r="B1131" s="5">
        <v>44618</v>
      </c>
      <c r="C1131" s="5" t="s">
        <v>177</v>
      </c>
      <c r="D1131" s="35">
        <v>2022</v>
      </c>
      <c r="E1131" t="s">
        <v>599</v>
      </c>
      <c r="F1131" t="s">
        <v>765</v>
      </c>
      <c r="G1131" t="s">
        <v>192</v>
      </c>
      <c r="H1131" s="24" t="s">
        <v>976</v>
      </c>
      <c r="I1131">
        <v>1</v>
      </c>
      <c r="J1131" s="46">
        <v>1395</v>
      </c>
      <c r="K1131" s="50" t="s">
        <v>545</v>
      </c>
      <c r="L1131" s="23">
        <v>1395</v>
      </c>
      <c r="M1131" s="46"/>
    </row>
    <row r="1132" spans="2:15" ht="15" customHeight="1" x14ac:dyDescent="0.25">
      <c r="B1132" s="5">
        <v>44618</v>
      </c>
      <c r="C1132" s="5" t="s">
        <v>177</v>
      </c>
      <c r="D1132" s="35">
        <v>2022</v>
      </c>
      <c r="E1132" t="s">
        <v>599</v>
      </c>
      <c r="F1132" t="s">
        <v>717</v>
      </c>
      <c r="G1132" t="s">
        <v>485</v>
      </c>
      <c r="H1132" s="92" t="s">
        <v>967</v>
      </c>
      <c r="I1132">
        <v>2</v>
      </c>
      <c r="J1132" s="46">
        <v>4600</v>
      </c>
      <c r="K1132" s="50" t="s">
        <v>545</v>
      </c>
      <c r="L1132" s="23">
        <v>4600</v>
      </c>
      <c r="M1132" s="46"/>
    </row>
    <row r="1133" spans="2:15" ht="15" customHeight="1" x14ac:dyDescent="0.25">
      <c r="B1133" s="5">
        <v>44618</v>
      </c>
      <c r="C1133" s="5" t="s">
        <v>177</v>
      </c>
      <c r="D1133" s="35">
        <v>2022</v>
      </c>
      <c r="E1133" t="s">
        <v>599</v>
      </c>
      <c r="F1133" t="s">
        <v>701</v>
      </c>
      <c r="G1133" t="s">
        <v>412</v>
      </c>
      <c r="H1133" s="92" t="s">
        <v>977</v>
      </c>
      <c r="I1133">
        <v>1</v>
      </c>
      <c r="J1133" s="46">
        <v>3310</v>
      </c>
      <c r="K1133" s="50" t="s">
        <v>545</v>
      </c>
      <c r="L1133" s="23">
        <v>3310</v>
      </c>
      <c r="M1133" s="46"/>
    </row>
    <row r="1134" spans="2:15" ht="15" customHeight="1" x14ac:dyDescent="0.25">
      <c r="B1134" s="5">
        <v>44618</v>
      </c>
      <c r="C1134" s="5" t="s">
        <v>177</v>
      </c>
      <c r="D1134" s="35">
        <v>2022</v>
      </c>
      <c r="E1134" t="s">
        <v>599</v>
      </c>
      <c r="F1134" t="s">
        <v>766</v>
      </c>
      <c r="G1134" t="s">
        <v>413</v>
      </c>
      <c r="H1134" s="92" t="s">
        <v>977</v>
      </c>
      <c r="I1134">
        <v>2</v>
      </c>
      <c r="J1134" s="46">
        <v>1120</v>
      </c>
      <c r="K1134" s="50" t="s">
        <v>545</v>
      </c>
      <c r="L1134" s="23">
        <v>1120</v>
      </c>
      <c r="M1134" s="46"/>
    </row>
    <row r="1135" spans="2:15" ht="15" customHeight="1" x14ac:dyDescent="0.25">
      <c r="B1135" s="5">
        <v>44618</v>
      </c>
      <c r="C1135" s="5" t="s">
        <v>177</v>
      </c>
      <c r="D1135" s="35">
        <v>2022</v>
      </c>
      <c r="E1135" t="s">
        <v>599</v>
      </c>
      <c r="F1135" t="s">
        <v>703</v>
      </c>
      <c r="G1135" t="s">
        <v>121</v>
      </c>
      <c r="H1135" s="92" t="s">
        <v>982</v>
      </c>
      <c r="I1135">
        <v>2</v>
      </c>
      <c r="J1135" s="46">
        <v>460</v>
      </c>
      <c r="K1135" s="50" t="s">
        <v>545</v>
      </c>
      <c r="L1135" s="23">
        <v>460</v>
      </c>
      <c r="M1135" s="46"/>
    </row>
    <row r="1136" spans="2:15" ht="15" customHeight="1" x14ac:dyDescent="0.25">
      <c r="B1136" s="5">
        <v>44618</v>
      </c>
      <c r="C1136" s="5" t="s">
        <v>177</v>
      </c>
      <c r="D1136" s="35">
        <v>2022</v>
      </c>
      <c r="E1136" t="s">
        <v>445</v>
      </c>
      <c r="F1136" t="s">
        <v>322</v>
      </c>
      <c r="G1136" t="s">
        <v>50</v>
      </c>
      <c r="H1136" s="92" t="s">
        <v>969</v>
      </c>
      <c r="I1136">
        <v>1</v>
      </c>
      <c r="J1136" s="46">
        <v>2530</v>
      </c>
      <c r="K1136" s="50" t="s">
        <v>545</v>
      </c>
      <c r="L1136" s="46"/>
      <c r="M1136" s="103">
        <v>2530</v>
      </c>
      <c r="O1136" t="s">
        <v>625</v>
      </c>
    </row>
    <row r="1137" spans="2:15" ht="15" customHeight="1" x14ac:dyDescent="0.25">
      <c r="B1137" s="5">
        <v>44618</v>
      </c>
      <c r="C1137" s="5" t="s">
        <v>177</v>
      </c>
      <c r="D1137" s="35">
        <v>2022</v>
      </c>
      <c r="E1137" t="s">
        <v>445</v>
      </c>
      <c r="F1137" t="s">
        <v>212</v>
      </c>
      <c r="G1137" t="s">
        <v>128</v>
      </c>
      <c r="H1137" s="92" t="s">
        <v>965</v>
      </c>
      <c r="I1137">
        <v>1</v>
      </c>
      <c r="J1137" s="46">
        <v>1240</v>
      </c>
      <c r="K1137" s="50" t="s">
        <v>545</v>
      </c>
      <c r="L1137" s="23">
        <v>1240</v>
      </c>
      <c r="M1137" s="46"/>
    </row>
    <row r="1138" spans="2:15" ht="15" customHeight="1" x14ac:dyDescent="0.25">
      <c r="B1138" s="5">
        <v>44618</v>
      </c>
      <c r="C1138" s="5" t="s">
        <v>177</v>
      </c>
      <c r="D1138" s="35">
        <v>2022</v>
      </c>
      <c r="E1138" t="s">
        <v>445</v>
      </c>
      <c r="F1138" t="s">
        <v>487</v>
      </c>
      <c r="G1138" t="s">
        <v>323</v>
      </c>
      <c r="H1138" s="92" t="s">
        <v>981</v>
      </c>
      <c r="I1138">
        <v>1</v>
      </c>
      <c r="J1138" s="46">
        <v>310</v>
      </c>
      <c r="K1138" s="50" t="s">
        <v>545</v>
      </c>
      <c r="L1138" s="23">
        <v>310</v>
      </c>
      <c r="M1138" s="46"/>
    </row>
    <row r="1139" spans="2:15" ht="15" customHeight="1" x14ac:dyDescent="0.25">
      <c r="B1139" s="5">
        <v>44618</v>
      </c>
      <c r="C1139" s="5" t="s">
        <v>177</v>
      </c>
      <c r="D1139" s="35">
        <v>2022</v>
      </c>
      <c r="E1139" t="s">
        <v>445</v>
      </c>
      <c r="F1139" t="s">
        <v>565</v>
      </c>
      <c r="G1139" t="s">
        <v>45</v>
      </c>
      <c r="H1139" s="92" t="s">
        <v>965</v>
      </c>
      <c r="I1139">
        <v>1</v>
      </c>
      <c r="J1139" s="46">
        <v>1390</v>
      </c>
      <c r="K1139" s="50" t="s">
        <v>545</v>
      </c>
      <c r="L1139" s="23">
        <v>1390</v>
      </c>
      <c r="M1139" s="46"/>
    </row>
    <row r="1140" spans="2:15" ht="15" customHeight="1" x14ac:dyDescent="0.25">
      <c r="B1140" s="5">
        <v>44618</v>
      </c>
      <c r="C1140" s="5" t="s">
        <v>177</v>
      </c>
      <c r="D1140" s="35">
        <v>2022</v>
      </c>
      <c r="E1140" t="s">
        <v>445</v>
      </c>
      <c r="F1140" t="s">
        <v>565</v>
      </c>
      <c r="G1140" t="s">
        <v>126</v>
      </c>
      <c r="H1140" s="92" t="s">
        <v>965</v>
      </c>
      <c r="I1140">
        <v>1</v>
      </c>
      <c r="J1140" s="46">
        <v>1410</v>
      </c>
      <c r="K1140" s="50" t="s">
        <v>545</v>
      </c>
      <c r="L1140" s="23">
        <v>1410</v>
      </c>
      <c r="M1140" s="46"/>
    </row>
    <row r="1141" spans="2:15" ht="15" customHeight="1" x14ac:dyDescent="0.25">
      <c r="B1141" s="5">
        <v>44618</v>
      </c>
      <c r="C1141" s="5" t="s">
        <v>177</v>
      </c>
      <c r="D1141" s="35">
        <v>2022</v>
      </c>
      <c r="E1141" t="s">
        <v>445</v>
      </c>
      <c r="F1141" t="s">
        <v>517</v>
      </c>
      <c r="G1141" t="s">
        <v>416</v>
      </c>
      <c r="H1141" s="24" t="s">
        <v>968</v>
      </c>
      <c r="I1141">
        <v>1</v>
      </c>
      <c r="J1141" s="46">
        <v>4455</v>
      </c>
      <c r="K1141" s="50" t="s">
        <v>545</v>
      </c>
      <c r="L1141" s="46"/>
      <c r="M1141" s="103">
        <v>4455</v>
      </c>
      <c r="O1141" t="s">
        <v>625</v>
      </c>
    </row>
    <row r="1142" spans="2:15" ht="15" customHeight="1" x14ac:dyDescent="0.25">
      <c r="B1142" s="5">
        <v>44618</v>
      </c>
      <c r="C1142" s="5" t="s">
        <v>177</v>
      </c>
      <c r="D1142" s="35">
        <v>2022</v>
      </c>
      <c r="E1142" t="s">
        <v>445</v>
      </c>
      <c r="F1142" t="s">
        <v>517</v>
      </c>
      <c r="G1142" t="s">
        <v>45</v>
      </c>
      <c r="H1142" s="92" t="s">
        <v>965</v>
      </c>
      <c r="I1142">
        <v>1</v>
      </c>
      <c r="J1142" s="46">
        <v>1390</v>
      </c>
      <c r="K1142" s="50" t="s">
        <v>545</v>
      </c>
      <c r="L1142" s="23">
        <v>1390</v>
      </c>
      <c r="M1142" s="46"/>
    </row>
    <row r="1143" spans="2:15" ht="15" customHeight="1" x14ac:dyDescent="0.25">
      <c r="B1143" s="5">
        <v>44618</v>
      </c>
      <c r="C1143" s="5" t="s">
        <v>177</v>
      </c>
      <c r="D1143" s="35">
        <v>2022</v>
      </c>
      <c r="E1143" t="s">
        <v>458</v>
      </c>
      <c r="F1143" t="s">
        <v>769</v>
      </c>
      <c r="G1143" t="s">
        <v>364</v>
      </c>
      <c r="H1143" s="92" t="s">
        <v>972</v>
      </c>
      <c r="I1143">
        <v>1</v>
      </c>
      <c r="J1143" s="46">
        <v>600</v>
      </c>
      <c r="K1143" s="50" t="s">
        <v>545</v>
      </c>
      <c r="L1143" s="46"/>
      <c r="M1143" s="103">
        <f>I1143*J1143</f>
        <v>600</v>
      </c>
      <c r="O1143" t="s">
        <v>625</v>
      </c>
    </row>
    <row r="1144" spans="2:15" ht="15" customHeight="1" x14ac:dyDescent="0.25">
      <c r="B1144" s="5">
        <v>44618</v>
      </c>
      <c r="C1144" s="5" t="s">
        <v>177</v>
      </c>
      <c r="D1144" s="35">
        <v>2022</v>
      </c>
      <c r="E1144" t="s">
        <v>458</v>
      </c>
      <c r="F1144" t="s">
        <v>146</v>
      </c>
      <c r="G1144" t="s">
        <v>770</v>
      </c>
      <c r="H1144" s="92" t="s">
        <v>977</v>
      </c>
      <c r="I1144">
        <v>1</v>
      </c>
      <c r="J1144" s="46">
        <v>560</v>
      </c>
      <c r="K1144" s="50" t="s">
        <v>545</v>
      </c>
      <c r="L1144" s="46"/>
      <c r="M1144" s="103">
        <f>I1144*J1144</f>
        <v>560</v>
      </c>
      <c r="O1144" t="s">
        <v>625</v>
      </c>
    </row>
    <row r="1145" spans="2:15" ht="15" customHeight="1" x14ac:dyDescent="0.25">
      <c r="B1145" s="5">
        <v>44618</v>
      </c>
      <c r="C1145" s="5" t="s">
        <v>177</v>
      </c>
      <c r="D1145" s="35">
        <v>2022</v>
      </c>
      <c r="E1145" t="s">
        <v>458</v>
      </c>
      <c r="F1145" t="s">
        <v>728</v>
      </c>
      <c r="G1145" t="s">
        <v>192</v>
      </c>
      <c r="H1145" s="92" t="s">
        <v>976</v>
      </c>
      <c r="I1145">
        <v>1</v>
      </c>
      <c r="J1145" s="46">
        <v>1395</v>
      </c>
      <c r="K1145" s="50" t="s">
        <v>545</v>
      </c>
      <c r="L1145" s="23">
        <f t="shared" ref="L1145:L1148" si="2">I1145*J1145</f>
        <v>1395</v>
      </c>
      <c r="M1145" s="46"/>
    </row>
    <row r="1146" spans="2:15" ht="15" customHeight="1" x14ac:dyDescent="0.25">
      <c r="B1146" s="5">
        <v>44618</v>
      </c>
      <c r="C1146" s="5" t="s">
        <v>177</v>
      </c>
      <c r="D1146" s="35">
        <v>2022</v>
      </c>
      <c r="E1146" t="s">
        <v>458</v>
      </c>
      <c r="F1146" t="s">
        <v>726</v>
      </c>
      <c r="G1146" t="s">
        <v>730</v>
      </c>
      <c r="H1146" s="92" t="s">
        <v>977</v>
      </c>
      <c r="I1146">
        <v>1</v>
      </c>
      <c r="J1146" s="46">
        <v>560</v>
      </c>
      <c r="K1146" s="50" t="s">
        <v>545</v>
      </c>
      <c r="L1146" s="46"/>
      <c r="M1146" s="103">
        <f>I1146*J1146</f>
        <v>560</v>
      </c>
      <c r="O1146" t="s">
        <v>625</v>
      </c>
    </row>
    <row r="1147" spans="2:15" ht="15" customHeight="1" x14ac:dyDescent="0.25">
      <c r="B1147" s="5">
        <v>44618</v>
      </c>
      <c r="C1147" s="5" t="s">
        <v>177</v>
      </c>
      <c r="D1147" s="35">
        <v>2022</v>
      </c>
      <c r="E1147" t="s">
        <v>458</v>
      </c>
      <c r="F1147" t="s">
        <v>726</v>
      </c>
      <c r="G1147" t="s">
        <v>634</v>
      </c>
      <c r="H1147" s="92" t="s">
        <v>977</v>
      </c>
      <c r="I1147">
        <v>1</v>
      </c>
      <c r="J1147" s="46">
        <v>560</v>
      </c>
      <c r="K1147" s="50" t="s">
        <v>545</v>
      </c>
      <c r="L1147" s="23">
        <f t="shared" si="2"/>
        <v>560</v>
      </c>
      <c r="M1147" s="46"/>
    </row>
    <row r="1148" spans="2:15" ht="15" customHeight="1" x14ac:dyDescent="0.25">
      <c r="B1148" s="5">
        <v>44618</v>
      </c>
      <c r="C1148" s="5" t="s">
        <v>177</v>
      </c>
      <c r="D1148" s="35">
        <v>2022</v>
      </c>
      <c r="E1148" t="s">
        <v>458</v>
      </c>
      <c r="F1148" t="s">
        <v>208</v>
      </c>
      <c r="G1148" t="s">
        <v>192</v>
      </c>
      <c r="H1148" s="92" t="s">
        <v>976</v>
      </c>
      <c r="I1148">
        <v>1</v>
      </c>
      <c r="J1148" s="46">
        <v>1395</v>
      </c>
      <c r="K1148" s="50" t="s">
        <v>545</v>
      </c>
      <c r="L1148" s="23">
        <f t="shared" si="2"/>
        <v>1395</v>
      </c>
      <c r="M1148" s="46"/>
    </row>
    <row r="1149" spans="2:15" ht="15" customHeight="1" x14ac:dyDescent="0.25">
      <c r="B1149" s="5">
        <v>44618</v>
      </c>
      <c r="C1149" s="5" t="s">
        <v>177</v>
      </c>
      <c r="D1149" s="35">
        <v>2022</v>
      </c>
      <c r="E1149" t="s">
        <v>458</v>
      </c>
      <c r="F1149" t="s">
        <v>315</v>
      </c>
      <c r="G1149" t="s">
        <v>424</v>
      </c>
      <c r="H1149" s="24" t="s">
        <v>968</v>
      </c>
      <c r="I1149">
        <v>1</v>
      </c>
      <c r="J1149" s="46">
        <v>4495</v>
      </c>
      <c r="K1149" s="50" t="s">
        <v>545</v>
      </c>
      <c r="L1149" s="46"/>
      <c r="M1149" s="103">
        <f>I1149*J1149</f>
        <v>4495</v>
      </c>
      <c r="O1149" t="s">
        <v>625</v>
      </c>
    </row>
    <row r="1150" spans="2:15" x14ac:dyDescent="0.25">
      <c r="B1150" s="5">
        <v>44619</v>
      </c>
      <c r="C1150" s="5" t="s">
        <v>177</v>
      </c>
      <c r="D1150" s="35">
        <v>2022</v>
      </c>
      <c r="E1150" t="s">
        <v>22</v>
      </c>
      <c r="F1150" t="s">
        <v>234</v>
      </c>
      <c r="G1150" t="s">
        <v>424</v>
      </c>
      <c r="H1150" s="24" t="s">
        <v>968</v>
      </c>
      <c r="I1150">
        <v>1</v>
      </c>
      <c r="J1150" s="46">
        <v>4550</v>
      </c>
      <c r="K1150" s="50" t="s">
        <v>545</v>
      </c>
      <c r="L1150" s="46"/>
      <c r="M1150" s="103">
        <v>4550</v>
      </c>
      <c r="O1150" t="s">
        <v>625</v>
      </c>
    </row>
    <row r="1151" spans="2:15" x14ac:dyDescent="0.25">
      <c r="B1151" s="5">
        <v>44619</v>
      </c>
      <c r="C1151" s="5" t="s">
        <v>177</v>
      </c>
      <c r="D1151" s="35">
        <v>2022</v>
      </c>
      <c r="E1151" t="s">
        <v>417</v>
      </c>
      <c r="F1151" t="s">
        <v>25</v>
      </c>
      <c r="G1151" t="s">
        <v>49</v>
      </c>
      <c r="H1151" s="92" t="s">
        <v>966</v>
      </c>
      <c r="I1151">
        <v>1</v>
      </c>
      <c r="J1151" s="46">
        <v>1740</v>
      </c>
      <c r="K1151" s="50" t="s">
        <v>545</v>
      </c>
      <c r="L1151" s="46"/>
      <c r="M1151" s="103">
        <v>1740</v>
      </c>
      <c r="O1151" t="s">
        <v>625</v>
      </c>
    </row>
    <row r="1152" spans="2:15" x14ac:dyDescent="0.25">
      <c r="B1152" s="5">
        <v>44619</v>
      </c>
      <c r="C1152" s="5" t="s">
        <v>177</v>
      </c>
      <c r="D1152" s="35">
        <v>2022</v>
      </c>
      <c r="E1152" t="s">
        <v>417</v>
      </c>
      <c r="F1152" t="s">
        <v>25</v>
      </c>
      <c r="G1152" t="s">
        <v>45</v>
      </c>
      <c r="H1152" s="92" t="s">
        <v>965</v>
      </c>
      <c r="I1152">
        <v>1</v>
      </c>
      <c r="J1152" s="46">
        <v>1390</v>
      </c>
      <c r="K1152" s="50" t="s">
        <v>545</v>
      </c>
      <c r="L1152" s="23">
        <v>1390</v>
      </c>
      <c r="M1152" s="46"/>
    </row>
    <row r="1153" spans="2:15" x14ac:dyDescent="0.25">
      <c r="B1153" s="5">
        <v>44619</v>
      </c>
      <c r="C1153" s="5" t="s">
        <v>177</v>
      </c>
      <c r="D1153" s="35">
        <v>2022</v>
      </c>
      <c r="E1153" t="s">
        <v>417</v>
      </c>
      <c r="F1153" t="s">
        <v>13</v>
      </c>
      <c r="G1153" t="s">
        <v>416</v>
      </c>
      <c r="H1153" s="24" t="s">
        <v>968</v>
      </c>
      <c r="I1153">
        <v>1</v>
      </c>
      <c r="J1153" s="46">
        <v>4455</v>
      </c>
      <c r="K1153" s="50" t="s">
        <v>545</v>
      </c>
      <c r="L1153" s="46"/>
      <c r="M1153" s="103">
        <v>4455</v>
      </c>
      <c r="O1153" t="s">
        <v>625</v>
      </c>
    </row>
    <row r="1154" spans="2:15" x14ac:dyDescent="0.25">
      <c r="B1154" s="5">
        <v>44619</v>
      </c>
      <c r="C1154" s="5" t="s">
        <v>177</v>
      </c>
      <c r="D1154" s="35">
        <v>2022</v>
      </c>
      <c r="E1154" t="s">
        <v>417</v>
      </c>
      <c r="F1154" t="s">
        <v>13</v>
      </c>
      <c r="G1154" t="s">
        <v>274</v>
      </c>
      <c r="H1154" s="92" t="s">
        <v>966</v>
      </c>
      <c r="I1154">
        <v>1</v>
      </c>
      <c r="J1154" s="46">
        <v>1760</v>
      </c>
      <c r="K1154" s="50" t="s">
        <v>545</v>
      </c>
      <c r="L1154" s="46"/>
      <c r="M1154" s="103">
        <v>1760</v>
      </c>
      <c r="O1154" t="s">
        <v>625</v>
      </c>
    </row>
    <row r="1155" spans="2:15" x14ac:dyDescent="0.25">
      <c r="B1155" s="5">
        <v>44619</v>
      </c>
      <c r="C1155" s="5" t="s">
        <v>177</v>
      </c>
      <c r="D1155" s="35">
        <v>2022</v>
      </c>
      <c r="E1155" t="s">
        <v>417</v>
      </c>
      <c r="F1155" t="s">
        <v>13</v>
      </c>
      <c r="G1155" t="s">
        <v>783</v>
      </c>
      <c r="H1155" s="24" t="s">
        <v>968</v>
      </c>
      <c r="I1155">
        <v>1</v>
      </c>
      <c r="J1155" s="46">
        <v>2330</v>
      </c>
      <c r="K1155" s="50" t="s">
        <v>545</v>
      </c>
      <c r="L1155" s="31">
        <v>2330</v>
      </c>
      <c r="M1155" s="46"/>
    </row>
    <row r="1156" spans="2:15" x14ac:dyDescent="0.25">
      <c r="B1156" s="5">
        <v>44619</v>
      </c>
      <c r="C1156" s="5" t="s">
        <v>177</v>
      </c>
      <c r="D1156" s="35">
        <v>2022</v>
      </c>
      <c r="E1156" t="s">
        <v>417</v>
      </c>
      <c r="F1156" t="s">
        <v>719</v>
      </c>
      <c r="G1156" t="s">
        <v>192</v>
      </c>
      <c r="H1156" s="24" t="s">
        <v>976</v>
      </c>
      <c r="I1156">
        <v>1</v>
      </c>
      <c r="J1156" s="46">
        <v>1395</v>
      </c>
      <c r="K1156" s="50" t="s">
        <v>545</v>
      </c>
      <c r="L1156" s="23">
        <v>1395</v>
      </c>
      <c r="M1156" s="46"/>
    </row>
    <row r="1157" spans="2:15" x14ac:dyDescent="0.25">
      <c r="B1157" s="5">
        <v>44619</v>
      </c>
      <c r="C1157" s="5" t="s">
        <v>177</v>
      </c>
      <c r="D1157" s="35">
        <v>2022</v>
      </c>
      <c r="E1157" t="s">
        <v>417</v>
      </c>
      <c r="F1157" t="s">
        <v>702</v>
      </c>
      <c r="G1157" t="s">
        <v>247</v>
      </c>
      <c r="H1157" s="92" t="s">
        <v>966</v>
      </c>
      <c r="I1157">
        <v>2</v>
      </c>
      <c r="J1157" s="46">
        <v>3540</v>
      </c>
      <c r="K1157" s="50" t="s">
        <v>545</v>
      </c>
      <c r="L1157" s="23">
        <v>3540</v>
      </c>
      <c r="M1157" s="46"/>
    </row>
    <row r="1158" spans="2:15" x14ac:dyDescent="0.25">
      <c r="B1158" s="5">
        <v>44619</v>
      </c>
      <c r="C1158" s="5" t="s">
        <v>177</v>
      </c>
      <c r="D1158" s="35">
        <v>2022</v>
      </c>
      <c r="E1158" t="s">
        <v>445</v>
      </c>
      <c r="F1158" t="s">
        <v>467</v>
      </c>
      <c r="G1158" t="s">
        <v>440</v>
      </c>
      <c r="H1158" s="92" t="s">
        <v>978</v>
      </c>
      <c r="I1158">
        <v>1</v>
      </c>
      <c r="J1158" s="46">
        <v>750</v>
      </c>
      <c r="K1158" s="50" t="s">
        <v>545</v>
      </c>
      <c r="L1158" s="23">
        <v>750</v>
      </c>
      <c r="M1158" s="46"/>
    </row>
    <row r="1159" spans="2:15" x14ac:dyDescent="0.25">
      <c r="B1159" s="5">
        <v>44619</v>
      </c>
      <c r="C1159" s="5" t="s">
        <v>177</v>
      </c>
      <c r="D1159" s="35">
        <v>2022</v>
      </c>
      <c r="E1159" t="s">
        <v>445</v>
      </c>
      <c r="F1159" t="s">
        <v>467</v>
      </c>
      <c r="G1159" t="s">
        <v>121</v>
      </c>
      <c r="H1159" s="92" t="s">
        <v>982</v>
      </c>
      <c r="I1159">
        <v>1</v>
      </c>
      <c r="J1159" s="46">
        <v>230</v>
      </c>
      <c r="K1159" s="50" t="s">
        <v>545</v>
      </c>
      <c r="L1159" s="23">
        <v>230</v>
      </c>
      <c r="M1159" s="46"/>
    </row>
    <row r="1160" spans="2:15" x14ac:dyDescent="0.25">
      <c r="B1160" s="5">
        <v>44619</v>
      </c>
      <c r="C1160" s="5" t="s">
        <v>177</v>
      </c>
      <c r="D1160" s="35">
        <v>2022</v>
      </c>
      <c r="E1160" t="s">
        <v>445</v>
      </c>
      <c r="F1160" t="s">
        <v>467</v>
      </c>
      <c r="G1160" t="s">
        <v>124</v>
      </c>
      <c r="H1160" s="92" t="s">
        <v>982</v>
      </c>
      <c r="I1160">
        <v>1</v>
      </c>
      <c r="J1160" s="46">
        <v>625</v>
      </c>
      <c r="K1160" s="50" t="s">
        <v>545</v>
      </c>
      <c r="L1160" s="23">
        <v>625</v>
      </c>
      <c r="M1160" s="46"/>
    </row>
    <row r="1161" spans="2:15" x14ac:dyDescent="0.25">
      <c r="B1161" s="5">
        <v>44620</v>
      </c>
      <c r="C1161" s="5" t="s">
        <v>177</v>
      </c>
      <c r="D1161" s="35">
        <v>2022</v>
      </c>
      <c r="E1161" t="s">
        <v>22</v>
      </c>
      <c r="F1161" t="s">
        <v>236</v>
      </c>
      <c r="G1161" t="s">
        <v>194</v>
      </c>
      <c r="H1161" s="24" t="s">
        <v>968</v>
      </c>
      <c r="I1161">
        <v>7</v>
      </c>
      <c r="J1161" s="46">
        <v>16310</v>
      </c>
      <c r="K1161" s="50" t="s">
        <v>771</v>
      </c>
      <c r="L1161" s="46">
        <v>16310</v>
      </c>
      <c r="M1161" s="46"/>
    </row>
    <row r="1162" spans="2:15" x14ac:dyDescent="0.25">
      <c r="B1162" s="5">
        <v>44620</v>
      </c>
      <c r="C1162" s="5" t="s">
        <v>177</v>
      </c>
      <c r="D1162" s="35">
        <v>2022</v>
      </c>
      <c r="E1162" t="s">
        <v>22</v>
      </c>
      <c r="F1162" t="s">
        <v>236</v>
      </c>
      <c r="G1162" t="s">
        <v>128</v>
      </c>
      <c r="H1162" s="92" t="s">
        <v>965</v>
      </c>
      <c r="I1162">
        <v>2</v>
      </c>
      <c r="J1162" s="46">
        <v>2480</v>
      </c>
      <c r="K1162" s="50" t="s">
        <v>771</v>
      </c>
      <c r="L1162" s="46">
        <v>2480</v>
      </c>
      <c r="M1162" s="46"/>
    </row>
    <row r="1163" spans="2:15" x14ac:dyDescent="0.25">
      <c r="B1163" s="5">
        <v>44620</v>
      </c>
      <c r="C1163" s="5" t="s">
        <v>177</v>
      </c>
      <c r="D1163" s="35">
        <v>2022</v>
      </c>
      <c r="E1163" t="s">
        <v>22</v>
      </c>
      <c r="F1163" t="s">
        <v>411</v>
      </c>
      <c r="G1163" t="s">
        <v>412</v>
      </c>
      <c r="H1163" s="92" t="s">
        <v>977</v>
      </c>
      <c r="I1163">
        <v>3</v>
      </c>
      <c r="J1163" s="46">
        <v>9930</v>
      </c>
      <c r="K1163" s="50" t="s">
        <v>771</v>
      </c>
      <c r="L1163" s="46">
        <v>9930</v>
      </c>
      <c r="M1163" s="46"/>
    </row>
    <row r="1164" spans="2:15" x14ac:dyDescent="0.25">
      <c r="B1164" s="5">
        <v>44620</v>
      </c>
      <c r="C1164" s="5" t="s">
        <v>177</v>
      </c>
      <c r="D1164" s="35">
        <v>2022</v>
      </c>
      <c r="E1164" t="s">
        <v>22</v>
      </c>
      <c r="F1164" t="s">
        <v>51</v>
      </c>
      <c r="G1164" t="s">
        <v>485</v>
      </c>
      <c r="H1164" s="92" t="s">
        <v>967</v>
      </c>
      <c r="I1164">
        <v>1</v>
      </c>
      <c r="J1164" s="46">
        <v>2300</v>
      </c>
      <c r="K1164" s="50" t="s">
        <v>771</v>
      </c>
      <c r="L1164" s="46">
        <v>2300</v>
      </c>
      <c r="M1164" s="46"/>
    </row>
    <row r="1165" spans="2:15" x14ac:dyDescent="0.25">
      <c r="B1165" s="5">
        <v>44620</v>
      </c>
      <c r="C1165" s="5" t="s">
        <v>177</v>
      </c>
      <c r="D1165" s="35">
        <v>2022</v>
      </c>
      <c r="E1165" t="s">
        <v>22</v>
      </c>
      <c r="F1165" t="s">
        <v>785</v>
      </c>
      <c r="G1165" t="s">
        <v>194</v>
      </c>
      <c r="H1165" s="24" t="s">
        <v>968</v>
      </c>
      <c r="I1165">
        <v>2</v>
      </c>
      <c r="J1165" s="46">
        <v>4660</v>
      </c>
      <c r="K1165" s="50" t="s">
        <v>771</v>
      </c>
      <c r="L1165" s="46"/>
      <c r="M1165" s="46">
        <v>4660</v>
      </c>
      <c r="O1165" t="s">
        <v>625</v>
      </c>
    </row>
    <row r="1166" spans="2:15" x14ac:dyDescent="0.25">
      <c r="B1166" s="5">
        <v>44620</v>
      </c>
      <c r="C1166" s="5" t="s">
        <v>177</v>
      </c>
      <c r="D1166" s="35">
        <v>2022</v>
      </c>
      <c r="E1166" t="s">
        <v>356</v>
      </c>
      <c r="F1166" t="s">
        <v>786</v>
      </c>
      <c r="G1166" t="s">
        <v>476</v>
      </c>
      <c r="H1166" s="92" t="s">
        <v>969</v>
      </c>
      <c r="I1166">
        <v>1</v>
      </c>
      <c r="J1166" s="46">
        <v>6000</v>
      </c>
      <c r="K1166" s="50" t="s">
        <v>771</v>
      </c>
      <c r="L1166" s="23">
        <v>6000</v>
      </c>
      <c r="M1166" s="46"/>
    </row>
    <row r="1167" spans="2:15" x14ac:dyDescent="0.25">
      <c r="B1167" s="5">
        <v>44620</v>
      </c>
      <c r="C1167" s="5" t="s">
        <v>177</v>
      </c>
      <c r="D1167" s="35">
        <v>2022</v>
      </c>
      <c r="E1167" t="s">
        <v>356</v>
      </c>
      <c r="F1167" t="s">
        <v>137</v>
      </c>
      <c r="G1167" t="s">
        <v>194</v>
      </c>
      <c r="H1167" s="24" t="s">
        <v>968</v>
      </c>
      <c r="I1167">
        <v>5</v>
      </c>
      <c r="J1167" s="46">
        <v>11650</v>
      </c>
      <c r="K1167" s="50" t="s">
        <v>771</v>
      </c>
      <c r="L1167" s="46"/>
      <c r="M1167" s="103">
        <v>11650</v>
      </c>
      <c r="O1167" t="s">
        <v>625</v>
      </c>
    </row>
    <row r="1168" spans="2:15" x14ac:dyDescent="0.25">
      <c r="B1168" s="5">
        <v>44620</v>
      </c>
      <c r="C1168" s="5" t="s">
        <v>177</v>
      </c>
      <c r="D1168" s="35">
        <v>2022</v>
      </c>
      <c r="E1168" t="s">
        <v>356</v>
      </c>
      <c r="F1168" t="s">
        <v>191</v>
      </c>
      <c r="G1168" t="s">
        <v>49</v>
      </c>
      <c r="H1168" s="92" t="s">
        <v>966</v>
      </c>
      <c r="I1168">
        <v>1</v>
      </c>
      <c r="J1168" s="46">
        <v>1740</v>
      </c>
      <c r="K1168" s="50" t="s">
        <v>771</v>
      </c>
      <c r="L1168" s="46"/>
      <c r="M1168" s="103">
        <v>1740</v>
      </c>
      <c r="O1168" t="s">
        <v>625</v>
      </c>
    </row>
    <row r="1169" spans="2:19" x14ac:dyDescent="0.25">
      <c r="B1169" s="5">
        <v>44620</v>
      </c>
      <c r="C1169" s="5" t="s">
        <v>177</v>
      </c>
      <c r="D1169" s="35">
        <v>2022</v>
      </c>
      <c r="E1169" t="s">
        <v>356</v>
      </c>
      <c r="F1169" t="s">
        <v>787</v>
      </c>
      <c r="G1169" t="s">
        <v>257</v>
      </c>
      <c r="H1169" s="24" t="s">
        <v>976</v>
      </c>
      <c r="I1169">
        <v>1</v>
      </c>
      <c r="J1169" s="46">
        <v>1450</v>
      </c>
      <c r="K1169" s="50" t="s">
        <v>771</v>
      </c>
      <c r="L1169" s="46"/>
      <c r="M1169" s="103">
        <v>1450</v>
      </c>
      <c r="O1169" t="s">
        <v>625</v>
      </c>
    </row>
    <row r="1170" spans="2:19" x14ac:dyDescent="0.25">
      <c r="B1170" s="5">
        <v>44620</v>
      </c>
      <c r="C1170" s="5" t="s">
        <v>177</v>
      </c>
      <c r="D1170" s="35">
        <v>2022</v>
      </c>
      <c r="E1170" t="s">
        <v>356</v>
      </c>
      <c r="F1170" t="s">
        <v>787</v>
      </c>
      <c r="G1170" t="s">
        <v>121</v>
      </c>
      <c r="H1170" s="92" t="s">
        <v>982</v>
      </c>
      <c r="I1170">
        <v>1</v>
      </c>
      <c r="J1170" s="46">
        <v>230</v>
      </c>
      <c r="K1170" s="50" t="s">
        <v>771</v>
      </c>
      <c r="L1170" s="23">
        <v>230</v>
      </c>
      <c r="M1170" s="46"/>
    </row>
    <row r="1171" spans="2:19" x14ac:dyDescent="0.25">
      <c r="B1171" s="5">
        <v>44620</v>
      </c>
      <c r="C1171" s="5" t="s">
        <v>177</v>
      </c>
      <c r="D1171" s="35">
        <v>2022</v>
      </c>
      <c r="E1171" t="s">
        <v>356</v>
      </c>
      <c r="F1171" t="s">
        <v>787</v>
      </c>
      <c r="G1171" t="s">
        <v>485</v>
      </c>
      <c r="H1171" s="92" t="s">
        <v>967</v>
      </c>
      <c r="I1171">
        <v>2</v>
      </c>
      <c r="J1171" s="46">
        <v>4600</v>
      </c>
      <c r="K1171" s="50" t="s">
        <v>771</v>
      </c>
      <c r="L1171" s="46"/>
      <c r="M1171" s="103">
        <v>4600</v>
      </c>
      <c r="O1171" t="s">
        <v>625</v>
      </c>
      <c r="S1171" s="46">
        <f>478288+74250</f>
        <v>552538</v>
      </c>
    </row>
    <row r="1172" spans="2:19" x14ac:dyDescent="0.25">
      <c r="B1172" s="5">
        <v>44620</v>
      </c>
      <c r="C1172" s="5" t="s">
        <v>177</v>
      </c>
      <c r="D1172" s="35">
        <v>2022</v>
      </c>
      <c r="E1172" t="s">
        <v>356</v>
      </c>
      <c r="F1172" t="s">
        <v>788</v>
      </c>
      <c r="G1172" t="s">
        <v>257</v>
      </c>
      <c r="H1172" s="24" t="s">
        <v>976</v>
      </c>
      <c r="I1172">
        <v>1</v>
      </c>
      <c r="J1172" s="46">
        <v>1450</v>
      </c>
      <c r="K1172" s="50" t="s">
        <v>771</v>
      </c>
      <c r="L1172" s="46"/>
      <c r="M1172" s="103">
        <v>1450</v>
      </c>
      <c r="O1172" t="s">
        <v>625</v>
      </c>
    </row>
    <row r="1173" spans="2:19" x14ac:dyDescent="0.25">
      <c r="B1173" s="5">
        <v>44620</v>
      </c>
      <c r="C1173" s="5" t="s">
        <v>177</v>
      </c>
      <c r="D1173" s="35">
        <v>2022</v>
      </c>
      <c r="E1173" t="s">
        <v>356</v>
      </c>
      <c r="F1173" t="s">
        <v>788</v>
      </c>
      <c r="G1173" t="s">
        <v>124</v>
      </c>
      <c r="H1173" s="92" t="s">
        <v>982</v>
      </c>
      <c r="I1173">
        <v>1</v>
      </c>
      <c r="J1173" s="46">
        <v>625</v>
      </c>
      <c r="K1173" s="50" t="s">
        <v>771</v>
      </c>
      <c r="L1173" s="23">
        <v>625</v>
      </c>
      <c r="M1173" s="46"/>
    </row>
    <row r="1174" spans="2:19" x14ac:dyDescent="0.25">
      <c r="B1174" s="5">
        <v>44620</v>
      </c>
      <c r="C1174" s="5" t="s">
        <v>177</v>
      </c>
      <c r="D1174" s="35">
        <v>2022</v>
      </c>
      <c r="E1174" t="s">
        <v>356</v>
      </c>
      <c r="F1174" t="s">
        <v>788</v>
      </c>
      <c r="G1174" t="s">
        <v>121</v>
      </c>
      <c r="H1174" s="92" t="s">
        <v>982</v>
      </c>
      <c r="I1174">
        <v>1</v>
      </c>
      <c r="J1174" s="46">
        <v>230</v>
      </c>
      <c r="K1174" s="50" t="s">
        <v>771</v>
      </c>
      <c r="L1174" s="23">
        <v>230</v>
      </c>
      <c r="M1174" s="46"/>
    </row>
    <row r="1175" spans="2:19" x14ac:dyDescent="0.25">
      <c r="B1175" s="5">
        <v>44620</v>
      </c>
      <c r="C1175" s="5" t="s">
        <v>177</v>
      </c>
      <c r="D1175" s="35">
        <v>2022</v>
      </c>
      <c r="E1175" t="s">
        <v>356</v>
      </c>
      <c r="F1175" t="s">
        <v>788</v>
      </c>
      <c r="G1175" t="s">
        <v>485</v>
      </c>
      <c r="H1175" s="92" t="s">
        <v>967</v>
      </c>
      <c r="I1175">
        <v>1</v>
      </c>
      <c r="J1175" s="46">
        <v>2300</v>
      </c>
      <c r="K1175" s="50" t="s">
        <v>771</v>
      </c>
      <c r="L1175" s="46"/>
      <c r="M1175" s="103">
        <v>2300</v>
      </c>
      <c r="O1175" t="s">
        <v>625</v>
      </c>
    </row>
    <row r="1176" spans="2:19" x14ac:dyDescent="0.25">
      <c r="B1176" s="5">
        <v>44620</v>
      </c>
      <c r="C1176" s="5" t="s">
        <v>177</v>
      </c>
      <c r="D1176" s="35">
        <v>2022</v>
      </c>
      <c r="E1176" t="s">
        <v>599</v>
      </c>
      <c r="F1176" t="s">
        <v>789</v>
      </c>
      <c r="G1176" t="s">
        <v>58</v>
      </c>
      <c r="H1176" s="92" t="s">
        <v>969</v>
      </c>
      <c r="I1176">
        <v>1</v>
      </c>
      <c r="J1176" s="46">
        <v>2530</v>
      </c>
      <c r="K1176" s="50" t="s">
        <v>771</v>
      </c>
      <c r="L1176" s="23">
        <v>2530</v>
      </c>
      <c r="M1176" s="46"/>
    </row>
    <row r="1177" spans="2:19" x14ac:dyDescent="0.25">
      <c r="B1177" s="5">
        <v>44620</v>
      </c>
      <c r="C1177" s="5" t="s">
        <v>177</v>
      </c>
      <c r="D1177" s="35">
        <v>2022</v>
      </c>
      <c r="E1177" t="s">
        <v>599</v>
      </c>
      <c r="F1177" t="s">
        <v>790</v>
      </c>
      <c r="G1177" t="s">
        <v>192</v>
      </c>
      <c r="H1177" s="24" t="s">
        <v>976</v>
      </c>
      <c r="I1177">
        <v>1</v>
      </c>
      <c r="J1177" s="46">
        <v>1395</v>
      </c>
      <c r="K1177" s="50" t="s">
        <v>771</v>
      </c>
      <c r="L1177" s="23">
        <v>1395</v>
      </c>
      <c r="M1177" s="46"/>
    </row>
    <row r="1178" spans="2:19" x14ac:dyDescent="0.25">
      <c r="B1178" s="5">
        <v>44620</v>
      </c>
      <c r="C1178" s="5" t="s">
        <v>177</v>
      </c>
      <c r="D1178" s="35">
        <v>2022</v>
      </c>
      <c r="E1178" t="s">
        <v>599</v>
      </c>
      <c r="F1178" t="s">
        <v>791</v>
      </c>
      <c r="G1178" t="s">
        <v>440</v>
      </c>
      <c r="H1178" s="92" t="s">
        <v>978</v>
      </c>
      <c r="I1178">
        <v>1</v>
      </c>
      <c r="J1178" s="46">
        <v>750</v>
      </c>
      <c r="K1178" s="50" t="s">
        <v>771</v>
      </c>
      <c r="L1178" s="23">
        <v>750</v>
      </c>
      <c r="M1178" s="46"/>
    </row>
    <row r="1179" spans="2:19" x14ac:dyDescent="0.25">
      <c r="B1179" s="5">
        <v>44620</v>
      </c>
      <c r="C1179" s="5" t="s">
        <v>177</v>
      </c>
      <c r="D1179" s="35">
        <v>2022</v>
      </c>
      <c r="E1179" t="s">
        <v>599</v>
      </c>
      <c r="F1179" t="s">
        <v>791</v>
      </c>
      <c r="G1179" t="s">
        <v>413</v>
      </c>
      <c r="H1179" s="92" t="s">
        <v>977</v>
      </c>
      <c r="I1179">
        <v>3</v>
      </c>
      <c r="J1179" s="46">
        <v>1680</v>
      </c>
      <c r="K1179" s="50" t="s">
        <v>771</v>
      </c>
      <c r="L1179" s="23">
        <v>1680</v>
      </c>
      <c r="M1179" s="46"/>
    </row>
    <row r="1180" spans="2:19" x14ac:dyDescent="0.25">
      <c r="B1180" s="5">
        <v>44620</v>
      </c>
      <c r="C1180" s="5" t="s">
        <v>177</v>
      </c>
      <c r="D1180" s="35">
        <v>2022</v>
      </c>
      <c r="E1180" t="s">
        <v>599</v>
      </c>
      <c r="F1180" t="s">
        <v>792</v>
      </c>
      <c r="G1180" t="s">
        <v>413</v>
      </c>
      <c r="H1180" s="92" t="s">
        <v>977</v>
      </c>
      <c r="I1180">
        <v>1</v>
      </c>
      <c r="J1180" s="46">
        <v>560</v>
      </c>
      <c r="K1180" s="50" t="s">
        <v>771</v>
      </c>
      <c r="L1180" s="23">
        <v>560</v>
      </c>
      <c r="M1180" s="46"/>
    </row>
    <row r="1181" spans="2:19" x14ac:dyDescent="0.25">
      <c r="B1181" s="5">
        <v>44620</v>
      </c>
      <c r="C1181" s="5" t="s">
        <v>177</v>
      </c>
      <c r="D1181" s="35">
        <v>2022</v>
      </c>
      <c r="E1181" t="s">
        <v>599</v>
      </c>
      <c r="F1181" t="s">
        <v>792</v>
      </c>
      <c r="G1181" t="s">
        <v>192</v>
      </c>
      <c r="H1181" s="24" t="s">
        <v>976</v>
      </c>
      <c r="I1181">
        <v>1</v>
      </c>
      <c r="J1181" s="46">
        <v>1395</v>
      </c>
      <c r="K1181" s="50" t="s">
        <v>771</v>
      </c>
      <c r="L1181" s="23">
        <v>1395</v>
      </c>
      <c r="M1181" s="46"/>
    </row>
    <row r="1182" spans="2:19" x14ac:dyDescent="0.25">
      <c r="B1182" s="5">
        <v>44620</v>
      </c>
      <c r="C1182" s="5" t="s">
        <v>177</v>
      </c>
      <c r="D1182" s="35">
        <v>2022</v>
      </c>
      <c r="E1182" t="s">
        <v>599</v>
      </c>
      <c r="F1182" t="s">
        <v>793</v>
      </c>
      <c r="G1182" t="s">
        <v>425</v>
      </c>
      <c r="H1182" s="92" t="s">
        <v>980</v>
      </c>
      <c r="I1182">
        <v>2</v>
      </c>
      <c r="J1182" s="46">
        <v>420</v>
      </c>
      <c r="K1182" s="50" t="s">
        <v>771</v>
      </c>
      <c r="L1182" s="46"/>
      <c r="M1182" s="103">
        <v>420</v>
      </c>
      <c r="O1182" t="s">
        <v>625</v>
      </c>
    </row>
    <row r="1183" spans="2:19" x14ac:dyDescent="0.25">
      <c r="B1183" s="5">
        <v>44620</v>
      </c>
      <c r="C1183" s="5" t="s">
        <v>177</v>
      </c>
      <c r="D1183" s="35">
        <v>2022</v>
      </c>
      <c r="E1183" t="s">
        <v>599</v>
      </c>
      <c r="F1183" t="s">
        <v>794</v>
      </c>
      <c r="G1183" t="s">
        <v>58</v>
      </c>
      <c r="H1183" s="92" t="s">
        <v>969</v>
      </c>
      <c r="I1183">
        <v>2</v>
      </c>
      <c r="J1183" s="46">
        <v>5060</v>
      </c>
      <c r="K1183" s="50" t="s">
        <v>771</v>
      </c>
      <c r="L1183" s="23">
        <v>5060</v>
      </c>
      <c r="M1183" s="46"/>
    </row>
    <row r="1184" spans="2:19" x14ac:dyDescent="0.25">
      <c r="B1184" s="5">
        <v>44620</v>
      </c>
      <c r="C1184" s="5" t="s">
        <v>177</v>
      </c>
      <c r="D1184" s="35">
        <v>2022</v>
      </c>
      <c r="E1184" t="s">
        <v>599</v>
      </c>
      <c r="F1184" t="s">
        <v>714</v>
      </c>
      <c r="G1184" t="s">
        <v>194</v>
      </c>
      <c r="H1184" s="24" t="s">
        <v>968</v>
      </c>
      <c r="I1184">
        <v>2</v>
      </c>
      <c r="J1184" s="46">
        <v>4660</v>
      </c>
      <c r="K1184" s="50" t="s">
        <v>771</v>
      </c>
      <c r="L1184" s="46"/>
      <c r="M1184" s="103">
        <v>4660</v>
      </c>
      <c r="O1184" t="s">
        <v>625</v>
      </c>
    </row>
    <row r="1185" spans="2:15" x14ac:dyDescent="0.25">
      <c r="B1185" s="5">
        <v>44620</v>
      </c>
      <c r="C1185" s="5" t="s">
        <v>177</v>
      </c>
      <c r="D1185" s="35">
        <v>2022</v>
      </c>
      <c r="E1185" t="s">
        <v>599</v>
      </c>
      <c r="F1185" t="s">
        <v>795</v>
      </c>
      <c r="G1185" t="s">
        <v>192</v>
      </c>
      <c r="H1185" s="24" t="s">
        <v>976</v>
      </c>
      <c r="I1185">
        <v>1</v>
      </c>
      <c r="J1185" s="46">
        <v>1395</v>
      </c>
      <c r="K1185" s="50" t="s">
        <v>771</v>
      </c>
      <c r="L1185" s="23">
        <v>1395</v>
      </c>
      <c r="M1185" s="46"/>
    </row>
    <row r="1186" spans="2:15" x14ac:dyDescent="0.25">
      <c r="B1186" s="5">
        <v>44620</v>
      </c>
      <c r="C1186" s="5" t="s">
        <v>177</v>
      </c>
      <c r="D1186" s="35">
        <v>2022</v>
      </c>
      <c r="E1186" t="s">
        <v>599</v>
      </c>
      <c r="F1186" t="s">
        <v>795</v>
      </c>
      <c r="G1186" t="s">
        <v>380</v>
      </c>
      <c r="H1186" s="92" t="s">
        <v>972</v>
      </c>
      <c r="I1186">
        <v>1</v>
      </c>
      <c r="J1186" s="46">
        <v>600</v>
      </c>
      <c r="K1186" s="50" t="s">
        <v>771</v>
      </c>
      <c r="L1186" s="23">
        <v>600</v>
      </c>
      <c r="M1186" s="46"/>
    </row>
    <row r="1187" spans="2:15" x14ac:dyDescent="0.25">
      <c r="B1187" s="5">
        <v>44620</v>
      </c>
      <c r="C1187" s="5" t="s">
        <v>177</v>
      </c>
      <c r="D1187" s="35">
        <v>2022</v>
      </c>
      <c r="E1187" t="s">
        <v>599</v>
      </c>
      <c r="F1187" t="s">
        <v>796</v>
      </c>
      <c r="G1187" t="s">
        <v>485</v>
      </c>
      <c r="H1187" s="92" t="s">
        <v>967</v>
      </c>
      <c r="I1187">
        <v>2</v>
      </c>
      <c r="J1187" s="46">
        <v>4600</v>
      </c>
      <c r="K1187" s="50" t="s">
        <v>771</v>
      </c>
      <c r="L1187" s="46"/>
      <c r="M1187" s="103">
        <v>4600</v>
      </c>
      <c r="O1187" t="s">
        <v>625</v>
      </c>
    </row>
    <row r="1188" spans="2:15" x14ac:dyDescent="0.25">
      <c r="B1188" s="5">
        <v>44620</v>
      </c>
      <c r="C1188" s="5" t="s">
        <v>177</v>
      </c>
      <c r="D1188" s="35">
        <v>2022</v>
      </c>
      <c r="E1188" t="s">
        <v>599</v>
      </c>
      <c r="F1188" t="s">
        <v>764</v>
      </c>
      <c r="G1188" t="s">
        <v>287</v>
      </c>
      <c r="H1188" s="92" t="s">
        <v>969</v>
      </c>
      <c r="I1188">
        <v>1</v>
      </c>
      <c r="J1188" s="46">
        <v>2450</v>
      </c>
      <c r="K1188" s="50" t="s">
        <v>771</v>
      </c>
      <c r="L1188" s="23">
        <v>2450</v>
      </c>
      <c r="M1188" s="46"/>
    </row>
    <row r="1189" spans="2:15" x14ac:dyDescent="0.25">
      <c r="B1189" s="5">
        <v>44620</v>
      </c>
      <c r="C1189" s="5" t="s">
        <v>177</v>
      </c>
      <c r="D1189" s="35">
        <v>2022</v>
      </c>
      <c r="E1189" t="s">
        <v>599</v>
      </c>
      <c r="F1189" t="s">
        <v>700</v>
      </c>
      <c r="G1189" t="s">
        <v>485</v>
      </c>
      <c r="H1189" s="92" t="s">
        <v>967</v>
      </c>
      <c r="I1189">
        <v>1</v>
      </c>
      <c r="J1189" s="46">
        <v>2300</v>
      </c>
      <c r="K1189" s="50" t="s">
        <v>771</v>
      </c>
      <c r="L1189" s="46"/>
      <c r="M1189" s="103">
        <v>2300</v>
      </c>
      <c r="O1189" t="s">
        <v>625</v>
      </c>
    </row>
    <row r="1190" spans="2:15" x14ac:dyDescent="0.25">
      <c r="B1190" s="5">
        <v>44620</v>
      </c>
      <c r="C1190" s="5" t="s">
        <v>177</v>
      </c>
      <c r="D1190" s="35">
        <v>2022</v>
      </c>
      <c r="E1190" t="s">
        <v>599</v>
      </c>
      <c r="F1190" t="s">
        <v>797</v>
      </c>
      <c r="G1190" t="s">
        <v>49</v>
      </c>
      <c r="H1190" s="92" t="s">
        <v>966</v>
      </c>
      <c r="I1190">
        <v>1</v>
      </c>
      <c r="J1190" s="46">
        <v>1740</v>
      </c>
      <c r="K1190" s="50" t="s">
        <v>771</v>
      </c>
      <c r="L1190" s="46"/>
      <c r="M1190" s="103">
        <v>1740</v>
      </c>
      <c r="O1190" t="s">
        <v>625</v>
      </c>
    </row>
    <row r="1191" spans="2:15" x14ac:dyDescent="0.25">
      <c r="B1191" s="5">
        <v>44620</v>
      </c>
      <c r="C1191" s="5" t="s">
        <v>177</v>
      </c>
      <c r="D1191" s="35">
        <v>2022</v>
      </c>
      <c r="E1191" t="s">
        <v>599</v>
      </c>
      <c r="F1191" t="s">
        <v>702</v>
      </c>
      <c r="G1191" t="s">
        <v>194</v>
      </c>
      <c r="H1191" s="24" t="s">
        <v>968</v>
      </c>
      <c r="I1191">
        <v>1</v>
      </c>
      <c r="J1191" s="46">
        <v>2330</v>
      </c>
      <c r="K1191" s="50" t="s">
        <v>771</v>
      </c>
      <c r="L1191" s="46"/>
      <c r="M1191" s="103">
        <v>2330</v>
      </c>
      <c r="O1191" t="s">
        <v>625</v>
      </c>
    </row>
    <row r="1192" spans="2:15" x14ac:dyDescent="0.25">
      <c r="B1192" s="5">
        <v>44620</v>
      </c>
      <c r="C1192" s="5" t="s">
        <v>177</v>
      </c>
      <c r="D1192" s="35">
        <v>2022</v>
      </c>
      <c r="E1192" t="s">
        <v>417</v>
      </c>
      <c r="F1192" t="s">
        <v>436</v>
      </c>
      <c r="G1192" t="s">
        <v>432</v>
      </c>
      <c r="H1192" s="24" t="s">
        <v>976</v>
      </c>
      <c r="I1192">
        <v>1</v>
      </c>
      <c r="J1192" s="46">
        <v>3580</v>
      </c>
      <c r="K1192" s="50" t="s">
        <v>771</v>
      </c>
      <c r="L1192" s="23">
        <v>3580</v>
      </c>
      <c r="M1192" s="46"/>
    </row>
    <row r="1193" spans="2:15" x14ac:dyDescent="0.25">
      <c r="B1193" s="5">
        <v>44620</v>
      </c>
      <c r="C1193" s="5" t="s">
        <v>177</v>
      </c>
      <c r="D1193" s="35">
        <v>2022</v>
      </c>
      <c r="E1193" t="s">
        <v>417</v>
      </c>
      <c r="F1193" t="s">
        <v>692</v>
      </c>
      <c r="G1193" t="s">
        <v>192</v>
      </c>
      <c r="H1193" s="24" t="s">
        <v>976</v>
      </c>
      <c r="I1193">
        <v>1</v>
      </c>
      <c r="J1193" s="46">
        <v>1395</v>
      </c>
      <c r="K1193" s="50" t="s">
        <v>771</v>
      </c>
      <c r="L1193" s="23">
        <v>1395</v>
      </c>
      <c r="M1193" s="46"/>
    </row>
    <row r="1194" spans="2:15" x14ac:dyDescent="0.25">
      <c r="B1194" s="5">
        <v>44620</v>
      </c>
      <c r="C1194" s="5" t="s">
        <v>177</v>
      </c>
      <c r="D1194" s="35">
        <v>2022</v>
      </c>
      <c r="E1194" t="s">
        <v>417</v>
      </c>
      <c r="F1194" t="s">
        <v>151</v>
      </c>
      <c r="G1194" t="s">
        <v>247</v>
      </c>
      <c r="H1194" s="92" t="s">
        <v>966</v>
      </c>
      <c r="I1194">
        <v>1</v>
      </c>
      <c r="J1194" s="46">
        <v>1770</v>
      </c>
      <c r="K1194" s="50" t="s">
        <v>771</v>
      </c>
      <c r="L1194" s="23">
        <v>1770</v>
      </c>
      <c r="M1194" s="46"/>
    </row>
    <row r="1195" spans="2:15" x14ac:dyDescent="0.25">
      <c r="B1195" s="5">
        <v>44620</v>
      </c>
      <c r="C1195" s="5" t="s">
        <v>177</v>
      </c>
      <c r="D1195" s="35">
        <v>2022</v>
      </c>
      <c r="E1195" t="s">
        <v>417</v>
      </c>
      <c r="F1195" t="s">
        <v>798</v>
      </c>
      <c r="G1195" t="s">
        <v>413</v>
      </c>
      <c r="H1195" s="92" t="s">
        <v>977</v>
      </c>
      <c r="I1195">
        <v>1</v>
      </c>
      <c r="J1195" s="46">
        <v>560</v>
      </c>
      <c r="K1195" s="50" t="s">
        <v>771</v>
      </c>
      <c r="L1195" s="23">
        <v>560</v>
      </c>
      <c r="M1195" s="46"/>
    </row>
    <row r="1196" spans="2:15" x14ac:dyDescent="0.25">
      <c r="B1196" s="5">
        <v>44620</v>
      </c>
      <c r="C1196" s="5" t="s">
        <v>177</v>
      </c>
      <c r="D1196" s="35">
        <v>2022</v>
      </c>
      <c r="E1196" t="s">
        <v>417</v>
      </c>
      <c r="F1196" t="s">
        <v>720</v>
      </c>
      <c r="G1196" t="s">
        <v>192</v>
      </c>
      <c r="H1196" s="24" t="s">
        <v>976</v>
      </c>
      <c r="I1196">
        <v>1</v>
      </c>
      <c r="J1196" s="46">
        <v>1395</v>
      </c>
      <c r="K1196" s="50" t="s">
        <v>771</v>
      </c>
      <c r="L1196" s="23">
        <v>1395</v>
      </c>
      <c r="M1196" s="46"/>
    </row>
    <row r="1197" spans="2:15" x14ac:dyDescent="0.25">
      <c r="B1197" s="5">
        <v>44620</v>
      </c>
      <c r="C1197" s="5" t="s">
        <v>177</v>
      </c>
      <c r="D1197" s="35">
        <v>2022</v>
      </c>
      <c r="E1197" t="s">
        <v>417</v>
      </c>
      <c r="F1197" t="s">
        <v>721</v>
      </c>
      <c r="G1197" t="s">
        <v>49</v>
      </c>
      <c r="H1197" s="92" t="s">
        <v>966</v>
      </c>
      <c r="I1197">
        <v>2</v>
      </c>
      <c r="J1197" s="46">
        <v>3480</v>
      </c>
      <c r="K1197" s="50" t="s">
        <v>771</v>
      </c>
      <c r="L1197" s="46"/>
      <c r="M1197" s="103">
        <v>3480</v>
      </c>
      <c r="O1197" t="s">
        <v>625</v>
      </c>
    </row>
    <row r="1198" spans="2:15" x14ac:dyDescent="0.25">
      <c r="B1198" s="5">
        <v>44620</v>
      </c>
      <c r="C1198" s="5" t="s">
        <v>177</v>
      </c>
      <c r="D1198" s="35">
        <v>2022</v>
      </c>
      <c r="E1198" t="s">
        <v>445</v>
      </c>
      <c r="F1198" t="s">
        <v>285</v>
      </c>
      <c r="G1198" t="s">
        <v>126</v>
      </c>
      <c r="H1198" s="92" t="s">
        <v>965</v>
      </c>
      <c r="I1198">
        <v>1</v>
      </c>
      <c r="J1198" s="46">
        <v>1410</v>
      </c>
      <c r="K1198" s="50" t="s">
        <v>771</v>
      </c>
      <c r="L1198" s="23">
        <v>1410</v>
      </c>
      <c r="M1198" s="46"/>
    </row>
    <row r="1199" spans="2:15" x14ac:dyDescent="0.25">
      <c r="B1199" s="5">
        <v>44620</v>
      </c>
      <c r="C1199" s="5" t="s">
        <v>177</v>
      </c>
      <c r="D1199" s="35">
        <v>2022</v>
      </c>
      <c r="E1199" t="s">
        <v>445</v>
      </c>
      <c r="F1199" t="s">
        <v>211</v>
      </c>
      <c r="G1199" t="s">
        <v>55</v>
      </c>
      <c r="H1199" s="92" t="s">
        <v>965</v>
      </c>
      <c r="I1199">
        <v>1</v>
      </c>
      <c r="J1199" s="46">
        <v>1390</v>
      </c>
      <c r="K1199" s="50" t="s">
        <v>771</v>
      </c>
      <c r="L1199" s="23">
        <v>1390</v>
      </c>
      <c r="M1199" s="46"/>
    </row>
    <row r="1200" spans="2:15" x14ac:dyDescent="0.25">
      <c r="B1200" s="5">
        <v>44620</v>
      </c>
      <c r="C1200" s="5" t="s">
        <v>177</v>
      </c>
      <c r="D1200" s="35">
        <v>2022</v>
      </c>
      <c r="E1200" t="s">
        <v>445</v>
      </c>
      <c r="F1200" t="s">
        <v>211</v>
      </c>
      <c r="G1200" t="s">
        <v>49</v>
      </c>
      <c r="H1200" s="92" t="s">
        <v>966</v>
      </c>
      <c r="I1200">
        <v>1</v>
      </c>
      <c r="J1200" s="46">
        <v>1740</v>
      </c>
      <c r="K1200" s="50" t="s">
        <v>771</v>
      </c>
      <c r="L1200" s="46"/>
      <c r="M1200" s="103">
        <v>1740</v>
      </c>
      <c r="O1200" t="s">
        <v>625</v>
      </c>
    </row>
    <row r="1201" spans="2:15" x14ac:dyDescent="0.25">
      <c r="B1201" s="5">
        <v>44620</v>
      </c>
      <c r="C1201" s="5" t="s">
        <v>177</v>
      </c>
      <c r="D1201" s="35">
        <v>2022</v>
      </c>
      <c r="E1201" t="s">
        <v>445</v>
      </c>
      <c r="F1201" t="s">
        <v>487</v>
      </c>
      <c r="G1201" t="s">
        <v>127</v>
      </c>
      <c r="H1201" s="92" t="s">
        <v>973</v>
      </c>
      <c r="I1201">
        <v>1</v>
      </c>
      <c r="J1201" s="46">
        <v>260</v>
      </c>
      <c r="K1201" s="50" t="s">
        <v>771</v>
      </c>
      <c r="L1201" s="23">
        <v>260</v>
      </c>
      <c r="M1201" s="46"/>
    </row>
    <row r="1202" spans="2:15" x14ac:dyDescent="0.25">
      <c r="B1202" s="5">
        <v>44620</v>
      </c>
      <c r="C1202" s="5" t="s">
        <v>177</v>
      </c>
      <c r="D1202" s="35">
        <v>2022</v>
      </c>
      <c r="E1202" t="s">
        <v>445</v>
      </c>
      <c r="F1202" t="s">
        <v>487</v>
      </c>
      <c r="G1202" t="s">
        <v>122</v>
      </c>
      <c r="H1202" s="92" t="s">
        <v>973</v>
      </c>
      <c r="I1202">
        <v>1</v>
      </c>
      <c r="J1202" s="46">
        <v>260</v>
      </c>
      <c r="K1202" s="50" t="s">
        <v>771</v>
      </c>
      <c r="L1202" s="23">
        <v>260</v>
      </c>
      <c r="M1202" s="46"/>
    </row>
    <row r="1203" spans="2:15" x14ac:dyDescent="0.25">
      <c r="B1203" s="5">
        <v>44620</v>
      </c>
      <c r="C1203" s="5" t="s">
        <v>177</v>
      </c>
      <c r="D1203" s="35">
        <v>2022</v>
      </c>
      <c r="E1203" t="s">
        <v>445</v>
      </c>
      <c r="F1203" t="s">
        <v>218</v>
      </c>
      <c r="G1203" t="s">
        <v>49</v>
      </c>
      <c r="H1203" s="92" t="s">
        <v>966</v>
      </c>
      <c r="I1203">
        <v>2</v>
      </c>
      <c r="J1203" s="46">
        <v>3480</v>
      </c>
      <c r="K1203" s="50" t="s">
        <v>771</v>
      </c>
      <c r="L1203" s="46"/>
      <c r="M1203" s="103">
        <v>3480</v>
      </c>
      <c r="O1203" t="s">
        <v>625</v>
      </c>
    </row>
    <row r="1204" spans="2:15" x14ac:dyDescent="0.25">
      <c r="B1204" s="5">
        <v>44620</v>
      </c>
      <c r="C1204" s="5" t="s">
        <v>177</v>
      </c>
      <c r="D1204" s="35">
        <v>2022</v>
      </c>
      <c r="E1204" t="s">
        <v>445</v>
      </c>
      <c r="F1204" t="s">
        <v>517</v>
      </c>
      <c r="G1204" t="s">
        <v>413</v>
      </c>
      <c r="H1204" s="92" t="s">
        <v>977</v>
      </c>
      <c r="I1204">
        <v>1</v>
      </c>
      <c r="J1204" s="46">
        <v>560</v>
      </c>
      <c r="K1204" s="50" t="s">
        <v>771</v>
      </c>
      <c r="L1204" s="23">
        <v>560</v>
      </c>
      <c r="M1204" s="46"/>
    </row>
    <row r="1205" spans="2:15" x14ac:dyDescent="0.25">
      <c r="B1205" s="5">
        <v>44620</v>
      </c>
      <c r="C1205" s="5" t="s">
        <v>177</v>
      </c>
      <c r="D1205" s="35">
        <v>2022</v>
      </c>
      <c r="E1205" t="s">
        <v>445</v>
      </c>
      <c r="F1205" t="s">
        <v>558</v>
      </c>
      <c r="G1205" t="s">
        <v>192</v>
      </c>
      <c r="H1205" s="24" t="s">
        <v>976</v>
      </c>
      <c r="I1205">
        <v>1</v>
      </c>
      <c r="J1205" s="46">
        <v>1395</v>
      </c>
      <c r="K1205" s="50" t="s">
        <v>771</v>
      </c>
      <c r="L1205" s="23">
        <v>1395</v>
      </c>
      <c r="M1205" s="46"/>
    </row>
    <row r="1206" spans="2:15" x14ac:dyDescent="0.25">
      <c r="B1206" s="5">
        <v>44620</v>
      </c>
      <c r="C1206" s="5" t="s">
        <v>177</v>
      </c>
      <c r="D1206" s="35">
        <v>2022</v>
      </c>
      <c r="E1206" t="s">
        <v>445</v>
      </c>
      <c r="F1206" t="s">
        <v>444</v>
      </c>
      <c r="G1206" t="s">
        <v>192</v>
      </c>
      <c r="H1206" s="24" t="s">
        <v>976</v>
      </c>
      <c r="I1206">
        <v>1</v>
      </c>
      <c r="J1206" s="46">
        <v>1395</v>
      </c>
      <c r="K1206" s="50" t="s">
        <v>771</v>
      </c>
      <c r="L1206" s="23">
        <v>1395</v>
      </c>
      <c r="M1206" s="46"/>
    </row>
    <row r="1207" spans="2:15" x14ac:dyDescent="0.25">
      <c r="B1207" s="5">
        <v>44620</v>
      </c>
      <c r="C1207" s="5" t="s">
        <v>177</v>
      </c>
      <c r="D1207" s="35">
        <v>2022</v>
      </c>
      <c r="E1207" t="s">
        <v>458</v>
      </c>
      <c r="F1207" t="s">
        <v>799</v>
      </c>
      <c r="G1207" t="s">
        <v>425</v>
      </c>
      <c r="H1207" s="92" t="s">
        <v>980</v>
      </c>
      <c r="I1207">
        <v>1</v>
      </c>
      <c r="J1207" s="46">
        <v>210</v>
      </c>
      <c r="K1207" s="50" t="s">
        <v>771</v>
      </c>
      <c r="L1207" s="46"/>
      <c r="M1207" s="103">
        <v>210</v>
      </c>
      <c r="O1207" t="s">
        <v>625</v>
      </c>
    </row>
    <row r="1208" spans="2:15" x14ac:dyDescent="0.25">
      <c r="B1208" s="5">
        <v>44620</v>
      </c>
      <c r="C1208" s="5" t="s">
        <v>177</v>
      </c>
      <c r="D1208" s="35">
        <v>2022</v>
      </c>
      <c r="E1208" t="s">
        <v>458</v>
      </c>
      <c r="F1208" t="s">
        <v>799</v>
      </c>
      <c r="G1208" t="s">
        <v>323</v>
      </c>
      <c r="H1208" s="92" t="s">
        <v>981</v>
      </c>
      <c r="I1208">
        <v>1</v>
      </c>
      <c r="J1208" s="46">
        <v>310</v>
      </c>
      <c r="K1208" s="50" t="s">
        <v>771</v>
      </c>
      <c r="L1208" s="23">
        <v>310</v>
      </c>
      <c r="M1208" s="46"/>
    </row>
    <row r="1209" spans="2:15" x14ac:dyDescent="0.25">
      <c r="B1209" s="5">
        <v>44620</v>
      </c>
      <c r="C1209" s="5" t="s">
        <v>177</v>
      </c>
      <c r="D1209" s="35">
        <v>2022</v>
      </c>
      <c r="E1209" t="s">
        <v>458</v>
      </c>
      <c r="F1209" t="s">
        <v>320</v>
      </c>
      <c r="G1209" t="s">
        <v>747</v>
      </c>
      <c r="H1209" s="92" t="s">
        <v>977</v>
      </c>
      <c r="I1209">
        <v>1</v>
      </c>
      <c r="J1209" s="46">
        <v>560</v>
      </c>
      <c r="K1209" s="50" t="s">
        <v>771</v>
      </c>
      <c r="L1209" s="46"/>
      <c r="M1209" s="103">
        <v>560</v>
      </c>
      <c r="O1209" t="s">
        <v>625</v>
      </c>
    </row>
    <row r="1210" spans="2:15" x14ac:dyDescent="0.25">
      <c r="B1210" s="5">
        <v>44620</v>
      </c>
      <c r="C1210" s="5" t="s">
        <v>177</v>
      </c>
      <c r="D1210" s="35">
        <v>2022</v>
      </c>
      <c r="E1210" t="s">
        <v>458</v>
      </c>
      <c r="F1210" t="s">
        <v>320</v>
      </c>
      <c r="G1210" t="s">
        <v>58</v>
      </c>
      <c r="H1210" s="92" t="s">
        <v>969</v>
      </c>
      <c r="I1210">
        <v>1</v>
      </c>
      <c r="J1210" s="46">
        <v>2530</v>
      </c>
      <c r="K1210" s="50" t="s">
        <v>771</v>
      </c>
      <c r="L1210" s="23">
        <v>2530</v>
      </c>
      <c r="M1210" s="46"/>
    </row>
    <row r="1211" spans="2:15" x14ac:dyDescent="0.25">
      <c r="B1211" s="5">
        <v>44620</v>
      </c>
      <c r="C1211" s="5" t="s">
        <v>177</v>
      </c>
      <c r="D1211" s="35">
        <v>2022</v>
      </c>
      <c r="E1211" t="s">
        <v>458</v>
      </c>
      <c r="F1211" t="s">
        <v>800</v>
      </c>
      <c r="G1211" t="s">
        <v>45</v>
      </c>
      <c r="H1211" s="92" t="s">
        <v>965</v>
      </c>
      <c r="I1211">
        <v>1</v>
      </c>
      <c r="J1211" s="46">
        <v>1390</v>
      </c>
      <c r="K1211" s="50" t="s">
        <v>771</v>
      </c>
      <c r="L1211" s="23">
        <v>1390</v>
      </c>
      <c r="M1211" s="46"/>
    </row>
    <row r="1212" spans="2:15" x14ac:dyDescent="0.25">
      <c r="B1212" s="5">
        <v>44620</v>
      </c>
      <c r="C1212" s="5" t="s">
        <v>177</v>
      </c>
      <c r="D1212" s="35">
        <v>2022</v>
      </c>
      <c r="E1212" t="s">
        <v>458</v>
      </c>
      <c r="F1212" t="s">
        <v>800</v>
      </c>
      <c r="G1212" t="s">
        <v>126</v>
      </c>
      <c r="H1212" s="92" t="s">
        <v>965</v>
      </c>
      <c r="I1212">
        <v>1</v>
      </c>
      <c r="J1212" s="46">
        <v>1410</v>
      </c>
      <c r="K1212" s="50" t="s">
        <v>771</v>
      </c>
      <c r="L1212" s="23">
        <v>1410</v>
      </c>
      <c r="M1212" s="46"/>
    </row>
    <row r="1213" spans="2:15" x14ac:dyDescent="0.25">
      <c r="B1213" s="5">
        <v>44620</v>
      </c>
      <c r="C1213" s="5" t="s">
        <v>177</v>
      </c>
      <c r="D1213" s="35">
        <v>2022</v>
      </c>
      <c r="E1213" t="s">
        <v>458</v>
      </c>
      <c r="F1213" t="s">
        <v>744</v>
      </c>
      <c r="G1213" t="s">
        <v>803</v>
      </c>
      <c r="I1213">
        <v>1</v>
      </c>
      <c r="J1213" s="46">
        <v>260</v>
      </c>
      <c r="K1213" s="50" t="s">
        <v>771</v>
      </c>
      <c r="L1213" s="46"/>
      <c r="M1213" s="103">
        <v>260</v>
      </c>
      <c r="O1213" t="s">
        <v>625</v>
      </c>
    </row>
    <row r="1214" spans="2:15" x14ac:dyDescent="0.25">
      <c r="B1214" s="5">
        <v>44620</v>
      </c>
      <c r="C1214" s="5" t="s">
        <v>177</v>
      </c>
      <c r="D1214" s="35">
        <v>2022</v>
      </c>
      <c r="E1214" t="s">
        <v>458</v>
      </c>
      <c r="F1214" t="s">
        <v>744</v>
      </c>
      <c r="G1214" t="s">
        <v>122</v>
      </c>
      <c r="H1214" s="92" t="s">
        <v>973</v>
      </c>
      <c r="I1214">
        <v>3</v>
      </c>
      <c r="J1214" s="46">
        <v>780</v>
      </c>
      <c r="K1214" s="50" t="s">
        <v>771</v>
      </c>
      <c r="L1214" s="23">
        <f>I1214*J1214</f>
        <v>2340</v>
      </c>
      <c r="M1214" s="46"/>
    </row>
    <row r="1215" spans="2:15" x14ac:dyDescent="0.25">
      <c r="B1215" s="5">
        <v>44620</v>
      </c>
      <c r="C1215" s="5" t="s">
        <v>177</v>
      </c>
      <c r="D1215" s="35">
        <v>2022</v>
      </c>
      <c r="E1215" t="s">
        <v>458</v>
      </c>
      <c r="F1215" t="s">
        <v>801</v>
      </c>
      <c r="G1215" t="s">
        <v>804</v>
      </c>
      <c r="H1215" s="24" t="s">
        <v>968</v>
      </c>
      <c r="I1215">
        <v>1</v>
      </c>
      <c r="J1215" s="46">
        <v>2330</v>
      </c>
      <c r="K1215" s="50" t="s">
        <v>771</v>
      </c>
      <c r="L1215" s="46"/>
      <c r="M1215" s="103">
        <v>2330</v>
      </c>
      <c r="O1215" t="s">
        <v>625</v>
      </c>
    </row>
    <row r="1216" spans="2:15" x14ac:dyDescent="0.25">
      <c r="B1216" s="5">
        <v>44620</v>
      </c>
      <c r="C1216" s="5" t="s">
        <v>177</v>
      </c>
      <c r="D1216" s="35">
        <v>2022</v>
      </c>
      <c r="E1216" t="s">
        <v>458</v>
      </c>
      <c r="F1216" t="s">
        <v>802</v>
      </c>
      <c r="G1216" t="s">
        <v>192</v>
      </c>
      <c r="H1216" s="24" t="s">
        <v>976</v>
      </c>
      <c r="I1216">
        <v>1</v>
      </c>
      <c r="J1216" s="46">
        <v>1395</v>
      </c>
      <c r="K1216" s="50" t="s">
        <v>771</v>
      </c>
      <c r="L1216" s="23">
        <v>1395</v>
      </c>
      <c r="M1216" s="46"/>
    </row>
    <row r="1217" spans="2:15" x14ac:dyDescent="0.25">
      <c r="B1217" s="5">
        <v>44621</v>
      </c>
      <c r="C1217" s="5" t="s">
        <v>784</v>
      </c>
      <c r="D1217" s="35">
        <v>2022</v>
      </c>
      <c r="E1217" t="s">
        <v>22</v>
      </c>
      <c r="F1217" t="s">
        <v>135</v>
      </c>
      <c r="G1217" t="s">
        <v>412</v>
      </c>
      <c r="H1217" s="92" t="s">
        <v>977</v>
      </c>
      <c r="I1217">
        <v>1</v>
      </c>
      <c r="J1217" s="46">
        <v>3310</v>
      </c>
      <c r="K1217" s="50" t="s">
        <v>771</v>
      </c>
      <c r="L1217" s="23">
        <v>3310</v>
      </c>
      <c r="M1217" s="46"/>
      <c r="O1217" s="106"/>
    </row>
    <row r="1218" spans="2:15" x14ac:dyDescent="0.25">
      <c r="B1218" s="5">
        <v>44621</v>
      </c>
      <c r="C1218" s="5" t="s">
        <v>784</v>
      </c>
      <c r="D1218" s="35">
        <v>2022</v>
      </c>
      <c r="E1218" t="s">
        <v>22</v>
      </c>
      <c r="F1218" t="s">
        <v>307</v>
      </c>
      <c r="G1218" t="s">
        <v>123</v>
      </c>
      <c r="H1218" s="92" t="s">
        <v>966</v>
      </c>
      <c r="I1218">
        <v>1</v>
      </c>
      <c r="J1218" s="46">
        <v>1750</v>
      </c>
      <c r="K1218" s="50" t="s">
        <v>771</v>
      </c>
      <c r="L1218" s="23">
        <v>1750</v>
      </c>
      <c r="M1218" s="46"/>
      <c r="O1218" s="106"/>
    </row>
    <row r="1219" spans="2:15" x14ac:dyDescent="0.25">
      <c r="B1219" s="5">
        <v>44621</v>
      </c>
      <c r="C1219" s="5" t="s">
        <v>784</v>
      </c>
      <c r="D1219" s="35">
        <v>2022</v>
      </c>
      <c r="E1219" t="s">
        <v>22</v>
      </c>
      <c r="F1219" t="s">
        <v>307</v>
      </c>
      <c r="G1219" t="s">
        <v>264</v>
      </c>
      <c r="H1219" s="24" t="s">
        <v>976</v>
      </c>
      <c r="I1219">
        <v>1</v>
      </c>
      <c r="J1219" s="46">
        <v>3580</v>
      </c>
      <c r="K1219" s="50" t="s">
        <v>771</v>
      </c>
      <c r="L1219" s="23">
        <v>3580</v>
      </c>
      <c r="M1219" s="46"/>
      <c r="O1219" s="106"/>
    </row>
    <row r="1220" spans="2:15" x14ac:dyDescent="0.25">
      <c r="B1220" s="5">
        <v>44621</v>
      </c>
      <c r="C1220" s="5" t="s">
        <v>784</v>
      </c>
      <c r="D1220" s="35">
        <v>2022</v>
      </c>
      <c r="E1220" t="s">
        <v>22</v>
      </c>
      <c r="F1220" t="s">
        <v>346</v>
      </c>
      <c r="G1220" t="s">
        <v>413</v>
      </c>
      <c r="H1220" s="92" t="s">
        <v>977</v>
      </c>
      <c r="I1220">
        <v>2</v>
      </c>
      <c r="J1220" s="46">
        <v>1120</v>
      </c>
      <c r="K1220" s="50" t="s">
        <v>771</v>
      </c>
      <c r="L1220" s="23">
        <v>1120</v>
      </c>
      <c r="M1220" s="46"/>
      <c r="O1220" s="106"/>
    </row>
    <row r="1221" spans="2:15" x14ac:dyDescent="0.25">
      <c r="B1221" s="5">
        <v>44621</v>
      </c>
      <c r="C1221" s="5" t="s">
        <v>784</v>
      </c>
      <c r="D1221" s="35">
        <v>2022</v>
      </c>
      <c r="E1221" t="s">
        <v>22</v>
      </c>
      <c r="F1221" t="s">
        <v>346</v>
      </c>
      <c r="G1221" t="s">
        <v>192</v>
      </c>
      <c r="H1221" s="24" t="s">
        <v>976</v>
      </c>
      <c r="I1221">
        <v>1</v>
      </c>
      <c r="J1221" s="46">
        <v>1395</v>
      </c>
      <c r="K1221" s="50" t="s">
        <v>771</v>
      </c>
      <c r="L1221" s="23">
        <v>1395</v>
      </c>
      <c r="M1221" s="46"/>
      <c r="O1221" s="106"/>
    </row>
    <row r="1222" spans="2:15" x14ac:dyDescent="0.25">
      <c r="B1222" s="5">
        <v>44621</v>
      </c>
      <c r="C1222" s="5" t="s">
        <v>784</v>
      </c>
      <c r="D1222" s="35">
        <v>2022</v>
      </c>
      <c r="E1222" t="s">
        <v>22</v>
      </c>
      <c r="F1222" t="s">
        <v>237</v>
      </c>
      <c r="G1222" t="s">
        <v>432</v>
      </c>
      <c r="H1222" s="24" t="s">
        <v>976</v>
      </c>
      <c r="I1222">
        <v>1</v>
      </c>
      <c r="J1222" s="46">
        <v>3580</v>
      </c>
      <c r="K1222" s="50" t="s">
        <v>771</v>
      </c>
      <c r="L1222" s="23">
        <v>3580</v>
      </c>
      <c r="M1222" s="46"/>
      <c r="O1222" s="106"/>
    </row>
    <row r="1223" spans="2:15" x14ac:dyDescent="0.25">
      <c r="B1223" s="5">
        <v>44621</v>
      </c>
      <c r="C1223" s="5" t="s">
        <v>784</v>
      </c>
      <c r="D1223" s="35">
        <v>2022</v>
      </c>
      <c r="E1223" t="s">
        <v>356</v>
      </c>
      <c r="F1223" t="s">
        <v>786</v>
      </c>
      <c r="G1223" t="s">
        <v>45</v>
      </c>
      <c r="H1223" s="92" t="s">
        <v>965</v>
      </c>
      <c r="I1223">
        <v>1</v>
      </c>
      <c r="J1223" s="46">
        <v>1390</v>
      </c>
      <c r="K1223" s="50" t="s">
        <v>771</v>
      </c>
      <c r="L1223" s="23">
        <v>1390</v>
      </c>
      <c r="M1223" s="46"/>
      <c r="O1223" s="106"/>
    </row>
    <row r="1224" spans="2:15" x14ac:dyDescent="0.25">
      <c r="B1224" s="5">
        <v>44621</v>
      </c>
      <c r="C1224" s="5" t="s">
        <v>784</v>
      </c>
      <c r="D1224" s="35">
        <v>2022</v>
      </c>
      <c r="E1224" t="s">
        <v>356</v>
      </c>
      <c r="F1224" t="s">
        <v>786</v>
      </c>
      <c r="G1224" t="s">
        <v>55</v>
      </c>
      <c r="H1224" s="92" t="s">
        <v>965</v>
      </c>
      <c r="I1224">
        <v>1</v>
      </c>
      <c r="J1224" s="46">
        <v>1390</v>
      </c>
      <c r="K1224" s="50" t="s">
        <v>771</v>
      </c>
      <c r="L1224" s="23">
        <v>1390</v>
      </c>
      <c r="M1224" s="46"/>
      <c r="O1224" s="106"/>
    </row>
    <row r="1225" spans="2:15" x14ac:dyDescent="0.25">
      <c r="B1225" s="5">
        <v>44621</v>
      </c>
      <c r="C1225" s="5" t="s">
        <v>784</v>
      </c>
      <c r="D1225" s="35">
        <v>2022</v>
      </c>
      <c r="E1225" t="s">
        <v>356</v>
      </c>
      <c r="F1225" t="s">
        <v>137</v>
      </c>
      <c r="G1225" t="s">
        <v>128</v>
      </c>
      <c r="H1225" s="92" t="s">
        <v>965</v>
      </c>
      <c r="I1225">
        <v>3</v>
      </c>
      <c r="J1225" s="46">
        <v>3720</v>
      </c>
      <c r="K1225" s="50" t="s">
        <v>771</v>
      </c>
      <c r="L1225" s="23">
        <v>3720</v>
      </c>
      <c r="M1225" s="46"/>
      <c r="O1225" s="106"/>
    </row>
    <row r="1226" spans="2:15" x14ac:dyDescent="0.25">
      <c r="B1226" s="5">
        <v>44621</v>
      </c>
      <c r="C1226" s="5" t="s">
        <v>784</v>
      </c>
      <c r="D1226" s="35">
        <v>2022</v>
      </c>
      <c r="E1226" t="s">
        <v>356</v>
      </c>
      <c r="F1226" t="s">
        <v>455</v>
      </c>
      <c r="G1226" t="s">
        <v>192</v>
      </c>
      <c r="H1226" s="24" t="s">
        <v>976</v>
      </c>
      <c r="I1226">
        <v>5</v>
      </c>
      <c r="J1226" s="46">
        <v>6975</v>
      </c>
      <c r="K1226" s="50" t="s">
        <v>771</v>
      </c>
      <c r="L1226" s="23">
        <v>6975</v>
      </c>
      <c r="M1226" s="46"/>
      <c r="O1226" s="106"/>
    </row>
    <row r="1227" spans="2:15" x14ac:dyDescent="0.25">
      <c r="B1227" s="5">
        <v>44621</v>
      </c>
      <c r="C1227" s="5" t="s">
        <v>784</v>
      </c>
      <c r="D1227" s="35">
        <v>2022</v>
      </c>
      <c r="E1227" t="s">
        <v>599</v>
      </c>
      <c r="F1227" t="s">
        <v>487</v>
      </c>
      <c r="G1227" t="s">
        <v>247</v>
      </c>
      <c r="H1227" s="92" t="s">
        <v>966</v>
      </c>
      <c r="I1227">
        <v>1</v>
      </c>
      <c r="J1227" s="46">
        <v>1770</v>
      </c>
      <c r="K1227" s="50" t="s">
        <v>771</v>
      </c>
      <c r="L1227" s="23">
        <v>1770</v>
      </c>
      <c r="M1227" s="46"/>
      <c r="O1227" s="106"/>
    </row>
    <row r="1228" spans="2:15" x14ac:dyDescent="0.25">
      <c r="B1228" s="5">
        <v>44621</v>
      </c>
      <c r="C1228" s="5" t="s">
        <v>784</v>
      </c>
      <c r="D1228" s="35">
        <v>2022</v>
      </c>
      <c r="E1228" t="s">
        <v>599</v>
      </c>
      <c r="F1228" t="s">
        <v>487</v>
      </c>
      <c r="G1228" t="s">
        <v>192</v>
      </c>
      <c r="H1228" s="24" t="s">
        <v>976</v>
      </c>
      <c r="I1228">
        <v>1</v>
      </c>
      <c r="J1228" s="46">
        <v>1395</v>
      </c>
      <c r="K1228" s="50" t="s">
        <v>771</v>
      </c>
      <c r="L1228" s="23">
        <v>1395</v>
      </c>
      <c r="M1228" s="46"/>
      <c r="O1228" s="106"/>
    </row>
    <row r="1229" spans="2:15" x14ac:dyDescent="0.25">
      <c r="B1229" s="5">
        <v>44621</v>
      </c>
      <c r="C1229" s="5" t="s">
        <v>784</v>
      </c>
      <c r="D1229" s="35">
        <v>2022</v>
      </c>
      <c r="E1229" t="s">
        <v>599</v>
      </c>
      <c r="F1229" t="s">
        <v>805</v>
      </c>
      <c r="G1229" t="s">
        <v>380</v>
      </c>
      <c r="H1229" s="92" t="s">
        <v>972</v>
      </c>
      <c r="I1229">
        <v>1</v>
      </c>
      <c r="J1229" s="46">
        <v>600</v>
      </c>
      <c r="K1229" s="50" t="s">
        <v>771</v>
      </c>
      <c r="L1229" s="23">
        <v>600</v>
      </c>
      <c r="M1229" s="46"/>
      <c r="O1229" s="106"/>
    </row>
    <row r="1230" spans="2:15" x14ac:dyDescent="0.25">
      <c r="B1230" s="5">
        <v>44621</v>
      </c>
      <c r="C1230" s="5" t="s">
        <v>784</v>
      </c>
      <c r="D1230" s="35">
        <v>2022</v>
      </c>
      <c r="E1230" t="s">
        <v>599</v>
      </c>
      <c r="F1230" t="s">
        <v>805</v>
      </c>
      <c r="G1230" t="s">
        <v>269</v>
      </c>
      <c r="H1230" s="92" t="s">
        <v>983</v>
      </c>
      <c r="I1230">
        <v>2</v>
      </c>
      <c r="J1230" s="46">
        <v>580</v>
      </c>
      <c r="K1230" s="50" t="s">
        <v>771</v>
      </c>
      <c r="L1230" s="23">
        <v>580</v>
      </c>
      <c r="M1230" s="46"/>
      <c r="O1230" s="106"/>
    </row>
    <row r="1231" spans="2:15" x14ac:dyDescent="0.25">
      <c r="B1231" s="5">
        <v>44621</v>
      </c>
      <c r="C1231" s="5" t="s">
        <v>784</v>
      </c>
      <c r="D1231" s="35">
        <v>2022</v>
      </c>
      <c r="E1231" t="s">
        <v>599</v>
      </c>
      <c r="F1231" t="s">
        <v>806</v>
      </c>
      <c r="G1231" t="s">
        <v>192</v>
      </c>
      <c r="H1231" s="24" t="s">
        <v>976</v>
      </c>
      <c r="I1231">
        <v>1</v>
      </c>
      <c r="J1231" s="46">
        <v>1395</v>
      </c>
      <c r="K1231" s="50" t="s">
        <v>771</v>
      </c>
      <c r="L1231" s="23">
        <v>1395</v>
      </c>
      <c r="M1231" s="46"/>
      <c r="O1231" s="106"/>
    </row>
    <row r="1232" spans="2:15" x14ac:dyDescent="0.25">
      <c r="B1232" s="5">
        <v>44621</v>
      </c>
      <c r="C1232" s="5" t="s">
        <v>784</v>
      </c>
      <c r="D1232" s="35">
        <v>2022</v>
      </c>
      <c r="E1232" t="s">
        <v>599</v>
      </c>
      <c r="F1232" t="s">
        <v>239</v>
      </c>
      <c r="G1232" t="s">
        <v>432</v>
      </c>
      <c r="H1232" s="24" t="s">
        <v>976</v>
      </c>
      <c r="I1232">
        <v>1</v>
      </c>
      <c r="J1232" s="46">
        <v>3580</v>
      </c>
      <c r="K1232" s="50" t="s">
        <v>771</v>
      </c>
      <c r="L1232" s="23">
        <v>3580</v>
      </c>
      <c r="M1232" s="46"/>
      <c r="O1232" s="106"/>
    </row>
    <row r="1233" spans="2:15" x14ac:dyDescent="0.25">
      <c r="B1233" s="5">
        <v>44621</v>
      </c>
      <c r="C1233" s="5" t="s">
        <v>784</v>
      </c>
      <c r="D1233" s="35">
        <v>2022</v>
      </c>
      <c r="E1233" t="s">
        <v>599</v>
      </c>
      <c r="F1233" t="s">
        <v>794</v>
      </c>
      <c r="G1233" t="s">
        <v>121</v>
      </c>
      <c r="H1233" s="92" t="s">
        <v>982</v>
      </c>
      <c r="I1233">
        <v>2</v>
      </c>
      <c r="J1233" s="46">
        <v>460</v>
      </c>
      <c r="K1233" s="50" t="s">
        <v>771</v>
      </c>
      <c r="L1233" s="46"/>
      <c r="M1233" s="154">
        <v>460</v>
      </c>
      <c r="O1233" t="s">
        <v>625</v>
      </c>
    </row>
    <row r="1234" spans="2:15" x14ac:dyDescent="0.25">
      <c r="B1234" s="5">
        <v>44621</v>
      </c>
      <c r="C1234" s="5" t="s">
        <v>784</v>
      </c>
      <c r="D1234" s="35">
        <v>2022</v>
      </c>
      <c r="E1234" t="s">
        <v>599</v>
      </c>
      <c r="F1234" t="s">
        <v>698</v>
      </c>
      <c r="G1234" t="s">
        <v>128</v>
      </c>
      <c r="H1234" s="92" t="s">
        <v>965</v>
      </c>
      <c r="I1234">
        <v>1</v>
      </c>
      <c r="J1234" s="46">
        <v>1240</v>
      </c>
      <c r="K1234" s="50" t="s">
        <v>771</v>
      </c>
      <c r="L1234" s="23">
        <v>1240</v>
      </c>
      <c r="M1234" s="46"/>
      <c r="O1234" s="106"/>
    </row>
    <row r="1235" spans="2:15" x14ac:dyDescent="0.25">
      <c r="B1235" s="5">
        <v>44621</v>
      </c>
      <c r="C1235" s="5" t="s">
        <v>784</v>
      </c>
      <c r="D1235" s="35">
        <v>2022</v>
      </c>
      <c r="E1235" t="s">
        <v>599</v>
      </c>
      <c r="F1235" t="s">
        <v>807</v>
      </c>
      <c r="G1235" t="s">
        <v>128</v>
      </c>
      <c r="H1235" s="92" t="s">
        <v>965</v>
      </c>
      <c r="I1235">
        <v>1</v>
      </c>
      <c r="J1235" s="46">
        <v>1240</v>
      </c>
      <c r="K1235" s="50" t="s">
        <v>771</v>
      </c>
      <c r="L1235" s="23">
        <v>1240</v>
      </c>
      <c r="M1235" s="46"/>
      <c r="O1235" s="106"/>
    </row>
    <row r="1236" spans="2:15" x14ac:dyDescent="0.25">
      <c r="B1236" s="5">
        <v>44621</v>
      </c>
      <c r="C1236" s="5" t="s">
        <v>784</v>
      </c>
      <c r="D1236" s="35">
        <v>2022</v>
      </c>
      <c r="E1236" t="s">
        <v>599</v>
      </c>
      <c r="F1236" t="s">
        <v>807</v>
      </c>
      <c r="G1236" t="s">
        <v>121</v>
      </c>
      <c r="H1236" s="92" t="s">
        <v>982</v>
      </c>
      <c r="I1236">
        <v>1</v>
      </c>
      <c r="J1236" s="46">
        <v>230</v>
      </c>
      <c r="K1236" s="50" t="s">
        <v>771</v>
      </c>
      <c r="L1236" s="46"/>
      <c r="M1236" s="103">
        <v>230</v>
      </c>
      <c r="O1236" t="s">
        <v>625</v>
      </c>
    </row>
    <row r="1237" spans="2:15" x14ac:dyDescent="0.25">
      <c r="B1237" s="5">
        <v>44621</v>
      </c>
      <c r="C1237" s="5" t="s">
        <v>784</v>
      </c>
      <c r="D1237" s="35">
        <v>2022</v>
      </c>
      <c r="E1237" t="s">
        <v>599</v>
      </c>
      <c r="F1237" t="s">
        <v>808</v>
      </c>
      <c r="G1237" t="s">
        <v>811</v>
      </c>
      <c r="H1237" s="92" t="s">
        <v>974</v>
      </c>
      <c r="I1237">
        <v>1</v>
      </c>
      <c r="J1237" s="46">
        <v>1650</v>
      </c>
      <c r="K1237" s="50" t="s">
        <v>771</v>
      </c>
      <c r="L1237" s="23">
        <v>1650</v>
      </c>
      <c r="M1237" s="46"/>
      <c r="O1237" s="106"/>
    </row>
    <row r="1238" spans="2:15" x14ac:dyDescent="0.25">
      <c r="B1238" s="5">
        <v>44621</v>
      </c>
      <c r="C1238" s="5" t="s">
        <v>784</v>
      </c>
      <c r="D1238" s="35">
        <v>2022</v>
      </c>
      <c r="E1238" t="s">
        <v>599</v>
      </c>
      <c r="F1238" t="s">
        <v>808</v>
      </c>
      <c r="G1238" t="s">
        <v>812</v>
      </c>
      <c r="H1238" s="92" t="s">
        <v>974</v>
      </c>
      <c r="I1238">
        <v>1</v>
      </c>
      <c r="J1238" s="46">
        <v>720</v>
      </c>
      <c r="K1238" s="50" t="s">
        <v>771</v>
      </c>
      <c r="L1238" s="46"/>
      <c r="M1238" s="154">
        <v>720</v>
      </c>
      <c r="O1238" t="s">
        <v>625</v>
      </c>
    </row>
    <row r="1239" spans="2:15" x14ac:dyDescent="0.25">
      <c r="B1239" s="5">
        <v>44621</v>
      </c>
      <c r="C1239" s="5" t="s">
        <v>784</v>
      </c>
      <c r="D1239" s="35">
        <v>2022</v>
      </c>
      <c r="E1239" t="s">
        <v>599</v>
      </c>
      <c r="F1239" t="s">
        <v>809</v>
      </c>
      <c r="G1239" t="s">
        <v>396</v>
      </c>
      <c r="H1239" s="92" t="s">
        <v>977</v>
      </c>
      <c r="I1239">
        <v>1</v>
      </c>
      <c r="J1239" s="46">
        <v>560</v>
      </c>
      <c r="K1239" s="50" t="s">
        <v>771</v>
      </c>
      <c r="L1239" s="46"/>
      <c r="M1239" s="103">
        <v>560</v>
      </c>
      <c r="O1239" t="s">
        <v>625</v>
      </c>
    </row>
    <row r="1240" spans="2:15" x14ac:dyDescent="0.25">
      <c r="B1240" s="5">
        <v>44621</v>
      </c>
      <c r="C1240" s="5" t="s">
        <v>784</v>
      </c>
      <c r="D1240" s="35">
        <v>2022</v>
      </c>
      <c r="E1240" t="s">
        <v>599</v>
      </c>
      <c r="F1240" t="s">
        <v>810</v>
      </c>
      <c r="G1240" t="s">
        <v>413</v>
      </c>
      <c r="H1240" s="92" t="s">
        <v>977</v>
      </c>
      <c r="I1240">
        <v>1</v>
      </c>
      <c r="J1240" s="46">
        <v>560</v>
      </c>
      <c r="K1240" s="50" t="s">
        <v>771</v>
      </c>
      <c r="L1240" s="23">
        <v>560</v>
      </c>
      <c r="M1240" s="46"/>
      <c r="O1240" s="106"/>
    </row>
    <row r="1241" spans="2:15" x14ac:dyDescent="0.25">
      <c r="B1241" s="5">
        <v>44621</v>
      </c>
      <c r="C1241" s="5" t="s">
        <v>784</v>
      </c>
      <c r="D1241" s="35">
        <v>2022</v>
      </c>
      <c r="E1241" t="s">
        <v>417</v>
      </c>
      <c r="F1241" t="s">
        <v>813</v>
      </c>
      <c r="G1241" t="s">
        <v>432</v>
      </c>
      <c r="H1241" s="24" t="s">
        <v>976</v>
      </c>
      <c r="I1241">
        <v>1</v>
      </c>
      <c r="J1241" s="46">
        <v>3580</v>
      </c>
      <c r="K1241" s="50" t="s">
        <v>771</v>
      </c>
      <c r="L1241" s="23">
        <v>3580</v>
      </c>
      <c r="M1241" s="46"/>
    </row>
    <row r="1242" spans="2:15" x14ac:dyDescent="0.25">
      <c r="B1242" s="5">
        <v>44621</v>
      </c>
      <c r="C1242" s="5" t="s">
        <v>784</v>
      </c>
      <c r="D1242" s="35">
        <v>2022</v>
      </c>
      <c r="E1242" t="s">
        <v>417</v>
      </c>
      <c r="F1242" t="s">
        <v>814</v>
      </c>
      <c r="G1242" t="s">
        <v>380</v>
      </c>
      <c r="H1242" s="92" t="s">
        <v>972</v>
      </c>
      <c r="I1242">
        <v>1</v>
      </c>
      <c r="J1242" s="46">
        <v>600</v>
      </c>
      <c r="K1242" s="50" t="s">
        <v>771</v>
      </c>
      <c r="L1242" s="23">
        <v>600</v>
      </c>
      <c r="M1242" s="46"/>
    </row>
    <row r="1243" spans="2:15" x14ac:dyDescent="0.25">
      <c r="B1243" s="5">
        <v>44621</v>
      </c>
      <c r="C1243" s="5" t="s">
        <v>784</v>
      </c>
      <c r="D1243" s="35">
        <v>2022</v>
      </c>
      <c r="E1243" t="s">
        <v>417</v>
      </c>
      <c r="F1243" t="s">
        <v>815</v>
      </c>
      <c r="G1243" t="s">
        <v>192</v>
      </c>
      <c r="H1243" s="24" t="s">
        <v>976</v>
      </c>
      <c r="I1243">
        <v>1</v>
      </c>
      <c r="J1243" s="46">
        <v>1395</v>
      </c>
      <c r="K1243" s="50" t="s">
        <v>771</v>
      </c>
      <c r="L1243" s="23">
        <v>1395</v>
      </c>
      <c r="M1243" s="46"/>
    </row>
    <row r="1244" spans="2:15" x14ac:dyDescent="0.25">
      <c r="B1244" s="5">
        <v>44621</v>
      </c>
      <c r="C1244" s="5" t="s">
        <v>784</v>
      </c>
      <c r="D1244" s="35">
        <v>2022</v>
      </c>
      <c r="E1244" t="s">
        <v>417</v>
      </c>
      <c r="F1244" t="s">
        <v>816</v>
      </c>
      <c r="G1244" t="s">
        <v>55</v>
      </c>
      <c r="H1244" s="92" t="s">
        <v>965</v>
      </c>
      <c r="I1244">
        <v>1</v>
      </c>
      <c r="J1244" s="46">
        <v>1390</v>
      </c>
      <c r="K1244" s="50" t="s">
        <v>771</v>
      </c>
      <c r="L1244" s="23">
        <v>1390</v>
      </c>
      <c r="M1244" s="46"/>
    </row>
    <row r="1245" spans="2:15" x14ac:dyDescent="0.25">
      <c r="B1245" s="5">
        <v>44621</v>
      </c>
      <c r="C1245" s="5" t="s">
        <v>784</v>
      </c>
      <c r="D1245" s="35">
        <v>2022</v>
      </c>
      <c r="E1245" t="s">
        <v>417</v>
      </c>
      <c r="F1245" t="s">
        <v>702</v>
      </c>
      <c r="G1245" t="s">
        <v>380</v>
      </c>
      <c r="H1245" s="92" t="s">
        <v>972</v>
      </c>
      <c r="I1245">
        <v>1</v>
      </c>
      <c r="J1245" s="46">
        <v>600</v>
      </c>
      <c r="K1245" s="50" t="s">
        <v>771</v>
      </c>
      <c r="L1245" s="23">
        <v>600</v>
      </c>
      <c r="M1245" s="46"/>
    </row>
    <row r="1246" spans="2:15" x14ac:dyDescent="0.25">
      <c r="B1246" s="5">
        <v>44621</v>
      </c>
      <c r="C1246" s="5" t="s">
        <v>784</v>
      </c>
      <c r="D1246" s="35">
        <v>2022</v>
      </c>
      <c r="E1246" t="s">
        <v>417</v>
      </c>
      <c r="F1246" t="s">
        <v>702</v>
      </c>
      <c r="G1246" t="s">
        <v>124</v>
      </c>
      <c r="H1246" s="92" t="s">
        <v>982</v>
      </c>
      <c r="I1246">
        <v>1</v>
      </c>
      <c r="J1246" s="46">
        <v>625</v>
      </c>
      <c r="K1246" s="50" t="s">
        <v>771</v>
      </c>
      <c r="L1246" s="23">
        <v>625</v>
      </c>
      <c r="M1246" s="46"/>
    </row>
    <row r="1247" spans="2:15" x14ac:dyDescent="0.25">
      <c r="B1247" s="5">
        <v>44621</v>
      </c>
      <c r="C1247" s="5" t="s">
        <v>784</v>
      </c>
      <c r="D1247" s="35">
        <v>2022</v>
      </c>
      <c r="E1247" t="s">
        <v>417</v>
      </c>
      <c r="F1247" t="s">
        <v>817</v>
      </c>
      <c r="G1247" t="s">
        <v>413</v>
      </c>
      <c r="H1247" s="92" t="s">
        <v>977</v>
      </c>
      <c r="I1247">
        <v>1</v>
      </c>
      <c r="J1247" s="46">
        <v>560</v>
      </c>
      <c r="K1247" s="50" t="s">
        <v>771</v>
      </c>
      <c r="L1247" s="23">
        <v>560</v>
      </c>
      <c r="M1247" s="46"/>
    </row>
    <row r="1248" spans="2:15" x14ac:dyDescent="0.25">
      <c r="B1248" s="5">
        <v>44621</v>
      </c>
      <c r="C1248" s="5" t="s">
        <v>784</v>
      </c>
      <c r="D1248" s="35">
        <v>2022</v>
      </c>
      <c r="E1248" t="s">
        <v>445</v>
      </c>
      <c r="F1248" t="s">
        <v>487</v>
      </c>
      <c r="G1248" t="s">
        <v>413</v>
      </c>
      <c r="H1248" s="92" t="s">
        <v>977</v>
      </c>
      <c r="I1248">
        <v>2</v>
      </c>
      <c r="J1248" s="46">
        <v>1120</v>
      </c>
      <c r="K1248" s="50" t="s">
        <v>771</v>
      </c>
      <c r="L1248" s="23">
        <v>1120</v>
      </c>
      <c r="M1248" s="46"/>
    </row>
    <row r="1249" spans="2:13" x14ac:dyDescent="0.25">
      <c r="B1249" s="5">
        <v>44621</v>
      </c>
      <c r="C1249" s="5" t="s">
        <v>784</v>
      </c>
      <c r="D1249" s="35">
        <v>2022</v>
      </c>
      <c r="E1249" t="s">
        <v>445</v>
      </c>
      <c r="F1249" t="s">
        <v>818</v>
      </c>
      <c r="G1249" t="s">
        <v>413</v>
      </c>
      <c r="H1249" s="92" t="s">
        <v>977</v>
      </c>
      <c r="I1249">
        <v>1</v>
      </c>
      <c r="J1249" s="46">
        <v>560</v>
      </c>
      <c r="K1249" s="50" t="s">
        <v>771</v>
      </c>
      <c r="L1249" s="23">
        <v>560</v>
      </c>
      <c r="M1249" s="46"/>
    </row>
    <row r="1250" spans="2:13" x14ac:dyDescent="0.25">
      <c r="B1250" s="5">
        <v>44621</v>
      </c>
      <c r="C1250" s="5" t="s">
        <v>784</v>
      </c>
      <c r="D1250" s="35">
        <v>2022</v>
      </c>
      <c r="E1250" t="s">
        <v>445</v>
      </c>
      <c r="F1250" t="s">
        <v>819</v>
      </c>
      <c r="G1250" t="s">
        <v>413</v>
      </c>
      <c r="H1250" s="92" t="s">
        <v>977</v>
      </c>
      <c r="I1250">
        <v>1</v>
      </c>
      <c r="J1250" s="46">
        <v>560</v>
      </c>
      <c r="K1250" s="50" t="s">
        <v>771</v>
      </c>
      <c r="L1250" s="23">
        <v>560</v>
      </c>
      <c r="M1250" s="46"/>
    </row>
    <row r="1251" spans="2:13" x14ac:dyDescent="0.25">
      <c r="B1251" s="5">
        <v>44621</v>
      </c>
      <c r="C1251" s="5" t="s">
        <v>784</v>
      </c>
      <c r="D1251" s="35">
        <v>2022</v>
      </c>
      <c r="E1251" t="s">
        <v>458</v>
      </c>
      <c r="F1251" t="s">
        <v>820</v>
      </c>
      <c r="G1251" t="s">
        <v>269</v>
      </c>
      <c r="H1251" s="92" t="s">
        <v>983</v>
      </c>
      <c r="I1251">
        <v>1</v>
      </c>
      <c r="J1251" s="46">
        <v>290</v>
      </c>
      <c r="K1251" s="50" t="s">
        <v>771</v>
      </c>
      <c r="L1251" s="23">
        <v>290</v>
      </c>
      <c r="M1251" s="46"/>
    </row>
    <row r="1252" spans="2:13" x14ac:dyDescent="0.25">
      <c r="B1252" s="5">
        <v>44621</v>
      </c>
      <c r="C1252" s="5" t="s">
        <v>784</v>
      </c>
      <c r="D1252" s="35">
        <v>2022</v>
      </c>
      <c r="E1252" t="s">
        <v>458</v>
      </c>
      <c r="F1252" t="s">
        <v>820</v>
      </c>
      <c r="G1252" t="s">
        <v>122</v>
      </c>
      <c r="H1252" s="92" t="s">
        <v>973</v>
      </c>
      <c r="I1252">
        <v>1</v>
      </c>
      <c r="J1252" s="46">
        <v>260</v>
      </c>
      <c r="K1252" s="50" t="s">
        <v>771</v>
      </c>
      <c r="L1252" s="23">
        <v>260</v>
      </c>
      <c r="M1252" s="46"/>
    </row>
    <row r="1253" spans="2:13" x14ac:dyDescent="0.25">
      <c r="B1253" s="5">
        <v>44621</v>
      </c>
      <c r="C1253" s="5" t="s">
        <v>784</v>
      </c>
      <c r="D1253" s="35">
        <v>2022</v>
      </c>
      <c r="E1253" t="s">
        <v>458</v>
      </c>
      <c r="F1253" t="s">
        <v>821</v>
      </c>
      <c r="G1253" t="s">
        <v>192</v>
      </c>
      <c r="H1253" s="24" t="s">
        <v>976</v>
      </c>
      <c r="I1253">
        <v>1</v>
      </c>
      <c r="J1253" s="46">
        <v>1395</v>
      </c>
      <c r="K1253" s="50" t="s">
        <v>771</v>
      </c>
      <c r="L1253" s="23">
        <v>1395</v>
      </c>
      <c r="M1253" s="46"/>
    </row>
    <row r="1254" spans="2:13" x14ac:dyDescent="0.25">
      <c r="B1254" s="5">
        <v>44621</v>
      </c>
      <c r="C1254" s="5" t="s">
        <v>784</v>
      </c>
      <c r="D1254" s="35">
        <v>2022</v>
      </c>
      <c r="E1254" t="s">
        <v>458</v>
      </c>
      <c r="F1254" t="s">
        <v>822</v>
      </c>
      <c r="G1254" t="s">
        <v>192</v>
      </c>
      <c r="H1254" s="24" t="s">
        <v>976</v>
      </c>
      <c r="I1254">
        <v>1</v>
      </c>
      <c r="J1254" s="46">
        <v>1395</v>
      </c>
      <c r="K1254" s="50" t="s">
        <v>771</v>
      </c>
      <c r="L1254" s="23">
        <v>1395</v>
      </c>
      <c r="M1254" s="46"/>
    </row>
    <row r="1255" spans="2:13" x14ac:dyDescent="0.25">
      <c r="B1255" s="5">
        <v>44621</v>
      </c>
      <c r="C1255" s="5" t="s">
        <v>784</v>
      </c>
      <c r="D1255" s="35">
        <v>2022</v>
      </c>
      <c r="E1255" t="s">
        <v>458</v>
      </c>
      <c r="F1255" t="s">
        <v>744</v>
      </c>
      <c r="G1255" t="s">
        <v>192</v>
      </c>
      <c r="H1255" s="24" t="s">
        <v>976</v>
      </c>
      <c r="I1255">
        <v>1</v>
      </c>
      <c r="J1255" s="46">
        <v>1395</v>
      </c>
      <c r="K1255" s="50" t="s">
        <v>771</v>
      </c>
      <c r="L1255" s="23">
        <v>1395</v>
      </c>
      <c r="M1255" s="46"/>
    </row>
    <row r="1256" spans="2:13" x14ac:dyDescent="0.25">
      <c r="B1256" s="5">
        <v>44621</v>
      </c>
      <c r="C1256" s="5" t="s">
        <v>784</v>
      </c>
      <c r="D1256" s="35">
        <v>2022</v>
      </c>
      <c r="E1256" t="s">
        <v>458</v>
      </c>
      <c r="F1256" t="s">
        <v>142</v>
      </c>
      <c r="G1256" t="s">
        <v>55</v>
      </c>
      <c r="H1256" s="92" t="s">
        <v>965</v>
      </c>
      <c r="I1256">
        <v>1</v>
      </c>
      <c r="J1256" s="46">
        <v>1390</v>
      </c>
      <c r="K1256" s="50" t="s">
        <v>771</v>
      </c>
      <c r="L1256" s="23">
        <v>1390</v>
      </c>
      <c r="M1256" s="46"/>
    </row>
    <row r="1257" spans="2:13" x14ac:dyDescent="0.25">
      <c r="B1257" s="5">
        <v>44621</v>
      </c>
      <c r="C1257" s="5" t="s">
        <v>784</v>
      </c>
      <c r="D1257" s="35">
        <v>2022</v>
      </c>
      <c r="E1257" t="s">
        <v>458</v>
      </c>
      <c r="F1257" t="s">
        <v>823</v>
      </c>
      <c r="G1257" t="s">
        <v>55</v>
      </c>
      <c r="H1257" s="92" t="s">
        <v>965</v>
      </c>
      <c r="I1257">
        <v>1</v>
      </c>
      <c r="J1257" s="46">
        <v>1390</v>
      </c>
      <c r="K1257" s="50" t="s">
        <v>771</v>
      </c>
      <c r="L1257" s="23">
        <v>1390</v>
      </c>
      <c r="M1257" s="46"/>
    </row>
    <row r="1258" spans="2:13" x14ac:dyDescent="0.25">
      <c r="B1258" s="5">
        <v>44621</v>
      </c>
      <c r="C1258" s="5" t="s">
        <v>784</v>
      </c>
      <c r="D1258" s="35">
        <v>2022</v>
      </c>
      <c r="E1258" t="s">
        <v>458</v>
      </c>
      <c r="F1258" t="s">
        <v>824</v>
      </c>
      <c r="G1258" t="s">
        <v>413</v>
      </c>
      <c r="H1258" s="92" t="s">
        <v>977</v>
      </c>
      <c r="I1258">
        <v>1</v>
      </c>
      <c r="J1258" s="46">
        <v>560</v>
      </c>
      <c r="K1258" s="50" t="s">
        <v>771</v>
      </c>
      <c r="L1258" s="23">
        <v>560</v>
      </c>
      <c r="M1258" s="46"/>
    </row>
    <row r="1259" spans="2:13" x14ac:dyDescent="0.25">
      <c r="B1259" s="5">
        <v>44621</v>
      </c>
      <c r="C1259" s="5" t="s">
        <v>784</v>
      </c>
      <c r="D1259" s="35">
        <v>2022</v>
      </c>
      <c r="E1259" t="s">
        <v>458</v>
      </c>
      <c r="F1259" t="s">
        <v>602</v>
      </c>
      <c r="G1259" t="s">
        <v>55</v>
      </c>
      <c r="H1259" s="92" t="s">
        <v>965</v>
      </c>
      <c r="I1259">
        <v>1</v>
      </c>
      <c r="J1259" s="46">
        <v>1390</v>
      </c>
      <c r="K1259" s="50" t="s">
        <v>771</v>
      </c>
      <c r="L1259" s="23">
        <v>1390</v>
      </c>
      <c r="M1259" s="46"/>
    </row>
    <row r="1260" spans="2:13" x14ac:dyDescent="0.25">
      <c r="B1260" s="5">
        <v>44621</v>
      </c>
      <c r="C1260" s="5" t="s">
        <v>784</v>
      </c>
      <c r="D1260" s="35">
        <v>2022</v>
      </c>
      <c r="E1260" t="s">
        <v>458</v>
      </c>
      <c r="F1260" t="s">
        <v>602</v>
      </c>
      <c r="G1260" t="s">
        <v>413</v>
      </c>
      <c r="H1260" s="92" t="s">
        <v>977</v>
      </c>
      <c r="I1260">
        <v>1</v>
      </c>
      <c r="J1260" s="46">
        <v>560</v>
      </c>
      <c r="K1260" s="50" t="s">
        <v>771</v>
      </c>
      <c r="L1260" s="23">
        <v>560</v>
      </c>
      <c r="M1260" s="46"/>
    </row>
    <row r="1261" spans="2:13" x14ac:dyDescent="0.25">
      <c r="B1261" s="5">
        <v>44621</v>
      </c>
      <c r="C1261" s="5" t="s">
        <v>784</v>
      </c>
      <c r="D1261" s="35">
        <v>2022</v>
      </c>
      <c r="E1261" t="s">
        <v>458</v>
      </c>
      <c r="F1261" t="s">
        <v>602</v>
      </c>
      <c r="G1261" t="s">
        <v>269</v>
      </c>
      <c r="H1261" s="92" t="s">
        <v>983</v>
      </c>
      <c r="I1261">
        <v>2</v>
      </c>
      <c r="J1261" s="46">
        <v>580</v>
      </c>
      <c r="K1261" s="50" t="s">
        <v>771</v>
      </c>
      <c r="L1261" s="23">
        <v>580</v>
      </c>
      <c r="M1261" s="46"/>
    </row>
    <row r="1262" spans="2:13" x14ac:dyDescent="0.25">
      <c r="B1262" s="5">
        <v>44621</v>
      </c>
      <c r="C1262" s="5" t="s">
        <v>784</v>
      </c>
      <c r="D1262" s="35">
        <v>2022</v>
      </c>
      <c r="E1262" t="s">
        <v>458</v>
      </c>
      <c r="F1262" t="s">
        <v>825</v>
      </c>
      <c r="G1262" t="s">
        <v>380</v>
      </c>
      <c r="H1262" s="92" t="s">
        <v>972</v>
      </c>
      <c r="I1262">
        <v>1</v>
      </c>
      <c r="J1262" s="46">
        <v>600</v>
      </c>
      <c r="K1262" s="50" t="s">
        <v>771</v>
      </c>
      <c r="L1262" s="23">
        <v>600</v>
      </c>
      <c r="M1262" s="46"/>
    </row>
    <row r="1263" spans="2:13" x14ac:dyDescent="0.25">
      <c r="B1263" s="5">
        <v>44621</v>
      </c>
      <c r="C1263" s="5" t="s">
        <v>784</v>
      </c>
      <c r="D1263" s="35">
        <v>2022</v>
      </c>
      <c r="E1263" t="s">
        <v>458</v>
      </c>
      <c r="F1263" t="s">
        <v>825</v>
      </c>
      <c r="G1263" t="s">
        <v>122</v>
      </c>
      <c r="H1263" s="92" t="s">
        <v>973</v>
      </c>
      <c r="I1263">
        <v>1</v>
      </c>
      <c r="J1263" s="46">
        <v>260</v>
      </c>
      <c r="K1263" s="50" t="s">
        <v>771</v>
      </c>
      <c r="L1263" s="23">
        <v>260</v>
      </c>
      <c r="M1263" s="46"/>
    </row>
    <row r="1264" spans="2:13" x14ac:dyDescent="0.25">
      <c r="B1264" s="5">
        <v>44621</v>
      </c>
      <c r="C1264" s="5" t="s">
        <v>784</v>
      </c>
      <c r="D1264" s="35">
        <v>2022</v>
      </c>
      <c r="E1264" t="s">
        <v>458</v>
      </c>
      <c r="F1264" t="s">
        <v>826</v>
      </c>
      <c r="G1264" t="s">
        <v>192</v>
      </c>
      <c r="H1264" s="24" t="s">
        <v>976</v>
      </c>
      <c r="I1264">
        <v>1</v>
      </c>
      <c r="J1264" s="46">
        <v>1395</v>
      </c>
      <c r="K1264" s="50" t="s">
        <v>771</v>
      </c>
      <c r="L1264" s="23">
        <v>1395</v>
      </c>
      <c r="M1264" s="46"/>
    </row>
    <row r="1265" spans="2:13" x14ac:dyDescent="0.25">
      <c r="B1265" s="5">
        <v>44621</v>
      </c>
      <c r="C1265" s="5" t="s">
        <v>784</v>
      </c>
      <c r="D1265" s="35">
        <v>2022</v>
      </c>
      <c r="E1265" t="s">
        <v>458</v>
      </c>
      <c r="F1265" t="s">
        <v>826</v>
      </c>
      <c r="G1265" t="s">
        <v>55</v>
      </c>
      <c r="H1265" s="92" t="s">
        <v>965</v>
      </c>
      <c r="I1265">
        <v>1</v>
      </c>
      <c r="J1265" s="46">
        <v>1390</v>
      </c>
      <c r="K1265" s="50" t="s">
        <v>771</v>
      </c>
      <c r="L1265" s="23">
        <v>1390</v>
      </c>
      <c r="M1265" s="46"/>
    </row>
    <row r="1266" spans="2:13" x14ac:dyDescent="0.25">
      <c r="B1266" s="5">
        <v>44622</v>
      </c>
      <c r="C1266" s="5" t="s">
        <v>784</v>
      </c>
      <c r="D1266" s="35">
        <v>2022</v>
      </c>
      <c r="E1266" t="s">
        <v>22</v>
      </c>
      <c r="F1266" t="s">
        <v>260</v>
      </c>
      <c r="G1266" t="s">
        <v>124</v>
      </c>
      <c r="H1266" s="92" t="s">
        <v>982</v>
      </c>
      <c r="I1266">
        <v>1</v>
      </c>
      <c r="J1266" s="46">
        <v>625</v>
      </c>
      <c r="K1266" s="50" t="s">
        <v>771</v>
      </c>
      <c r="L1266" s="23">
        <v>625</v>
      </c>
      <c r="M1266" s="46"/>
    </row>
    <row r="1267" spans="2:13" x14ac:dyDescent="0.25">
      <c r="B1267" s="5">
        <v>44622</v>
      </c>
      <c r="C1267" s="5" t="s">
        <v>784</v>
      </c>
      <c r="D1267" s="35">
        <v>2022</v>
      </c>
      <c r="E1267" t="s">
        <v>22</v>
      </c>
      <c r="F1267" t="s">
        <v>473</v>
      </c>
      <c r="G1267" t="s">
        <v>128</v>
      </c>
      <c r="H1267" s="92" t="s">
        <v>965</v>
      </c>
      <c r="I1267">
        <v>1</v>
      </c>
      <c r="J1267" s="46">
        <v>1240</v>
      </c>
      <c r="K1267" s="50" t="s">
        <v>771</v>
      </c>
      <c r="L1267" s="23">
        <v>1240</v>
      </c>
      <c r="M1267" s="46"/>
    </row>
    <row r="1268" spans="2:13" x14ac:dyDescent="0.25">
      <c r="B1268" s="5">
        <v>44622</v>
      </c>
      <c r="C1268" s="5" t="s">
        <v>784</v>
      </c>
      <c r="D1268" s="35">
        <v>2022</v>
      </c>
      <c r="E1268" t="s">
        <v>22</v>
      </c>
      <c r="F1268" t="s">
        <v>234</v>
      </c>
      <c r="G1268" t="s">
        <v>58</v>
      </c>
      <c r="H1268" s="92" t="s">
        <v>969</v>
      </c>
      <c r="I1268">
        <v>1</v>
      </c>
      <c r="J1268" s="46">
        <v>2530</v>
      </c>
      <c r="K1268" s="50" t="s">
        <v>771</v>
      </c>
      <c r="L1268" s="23">
        <v>2530</v>
      </c>
      <c r="M1268" s="46"/>
    </row>
    <row r="1269" spans="2:13" x14ac:dyDescent="0.25">
      <c r="B1269" s="5">
        <v>44622</v>
      </c>
      <c r="C1269" s="5" t="s">
        <v>784</v>
      </c>
      <c r="D1269" s="35">
        <v>2022</v>
      </c>
      <c r="E1269" t="s">
        <v>22</v>
      </c>
      <c r="F1269" t="s">
        <v>346</v>
      </c>
      <c r="G1269" t="s">
        <v>126</v>
      </c>
      <c r="H1269" s="92" t="s">
        <v>965</v>
      </c>
      <c r="I1269">
        <v>1</v>
      </c>
      <c r="J1269" s="46">
        <v>1410</v>
      </c>
      <c r="K1269" s="50" t="s">
        <v>771</v>
      </c>
      <c r="L1269" s="23">
        <v>1410</v>
      </c>
      <c r="M1269" s="46"/>
    </row>
    <row r="1270" spans="2:13" x14ac:dyDescent="0.25">
      <c r="B1270" s="5">
        <v>44622</v>
      </c>
      <c r="C1270" s="5" t="s">
        <v>784</v>
      </c>
      <c r="D1270" s="35">
        <v>2022</v>
      </c>
      <c r="E1270" t="s">
        <v>22</v>
      </c>
      <c r="F1270" t="s">
        <v>346</v>
      </c>
      <c r="G1270" t="s">
        <v>283</v>
      </c>
      <c r="H1270" s="92" t="s">
        <v>983</v>
      </c>
      <c r="I1270">
        <v>1</v>
      </c>
      <c r="J1270" s="46">
        <v>505</v>
      </c>
      <c r="K1270" s="50" t="s">
        <v>771</v>
      </c>
      <c r="L1270" s="23">
        <v>505</v>
      </c>
      <c r="M1270" s="46"/>
    </row>
    <row r="1271" spans="2:13" x14ac:dyDescent="0.25">
      <c r="B1271" s="5">
        <v>44622</v>
      </c>
      <c r="C1271" s="5" t="s">
        <v>784</v>
      </c>
      <c r="D1271" s="35">
        <v>2022</v>
      </c>
      <c r="E1271" t="s">
        <v>22</v>
      </c>
      <c r="F1271" t="s">
        <v>346</v>
      </c>
      <c r="G1271" t="s">
        <v>269</v>
      </c>
      <c r="H1271" s="92" t="s">
        <v>983</v>
      </c>
      <c r="I1271">
        <v>1</v>
      </c>
      <c r="J1271" s="46">
        <v>290</v>
      </c>
      <c r="K1271" s="50" t="s">
        <v>771</v>
      </c>
      <c r="L1271" s="23">
        <v>290</v>
      </c>
      <c r="M1271" s="46"/>
    </row>
    <row r="1272" spans="2:13" x14ac:dyDescent="0.25">
      <c r="B1272" s="5">
        <v>44622</v>
      </c>
      <c r="C1272" s="5" t="s">
        <v>784</v>
      </c>
      <c r="D1272" s="35">
        <v>2022</v>
      </c>
      <c r="E1272" t="s">
        <v>22</v>
      </c>
      <c r="F1272" t="s">
        <v>261</v>
      </c>
      <c r="G1272" t="s">
        <v>45</v>
      </c>
      <c r="H1272" s="92" t="s">
        <v>965</v>
      </c>
      <c r="I1272">
        <v>1</v>
      </c>
      <c r="J1272" s="46">
        <v>1390</v>
      </c>
      <c r="K1272" s="50" t="s">
        <v>771</v>
      </c>
      <c r="L1272" s="23">
        <v>1390</v>
      </c>
      <c r="M1272" s="46"/>
    </row>
    <row r="1273" spans="2:13" x14ac:dyDescent="0.25">
      <c r="B1273" s="5">
        <v>44622</v>
      </c>
      <c r="C1273" s="5" t="s">
        <v>784</v>
      </c>
      <c r="D1273" s="35">
        <v>2022</v>
      </c>
      <c r="E1273" t="s">
        <v>22</v>
      </c>
      <c r="F1273" t="s">
        <v>378</v>
      </c>
      <c r="G1273" t="s">
        <v>323</v>
      </c>
      <c r="H1273" s="92" t="s">
        <v>981</v>
      </c>
      <c r="I1273">
        <v>1</v>
      </c>
      <c r="J1273" s="46">
        <v>310</v>
      </c>
      <c r="K1273" s="50" t="s">
        <v>771</v>
      </c>
      <c r="L1273" s="23">
        <v>310</v>
      </c>
      <c r="M1273" s="46"/>
    </row>
    <row r="1274" spans="2:13" x14ac:dyDescent="0.25">
      <c r="B1274" s="5">
        <v>44622</v>
      </c>
      <c r="C1274" s="5" t="s">
        <v>784</v>
      </c>
      <c r="D1274" s="35">
        <v>2022</v>
      </c>
      <c r="E1274" t="s">
        <v>22</v>
      </c>
      <c r="F1274" t="s">
        <v>131</v>
      </c>
      <c r="G1274" t="s">
        <v>55</v>
      </c>
      <c r="H1274" s="92" t="s">
        <v>965</v>
      </c>
      <c r="I1274">
        <v>3</v>
      </c>
      <c r="J1274" s="46">
        <v>4170</v>
      </c>
      <c r="K1274" s="50" t="s">
        <v>771</v>
      </c>
      <c r="L1274" s="23">
        <v>4170</v>
      </c>
      <c r="M1274" s="46"/>
    </row>
    <row r="1275" spans="2:13" x14ac:dyDescent="0.25">
      <c r="B1275" s="5">
        <v>44622</v>
      </c>
      <c r="C1275" s="5" t="s">
        <v>784</v>
      </c>
      <c r="D1275" s="35">
        <v>2022</v>
      </c>
      <c r="E1275" t="s">
        <v>22</v>
      </c>
      <c r="F1275" t="s">
        <v>131</v>
      </c>
      <c r="G1275" t="s">
        <v>128</v>
      </c>
      <c r="H1275" s="92" t="s">
        <v>965</v>
      </c>
      <c r="I1275">
        <v>2</v>
      </c>
      <c r="J1275" s="46">
        <v>2480</v>
      </c>
      <c r="K1275" s="50" t="s">
        <v>771</v>
      </c>
      <c r="L1275" s="23">
        <v>2480</v>
      </c>
      <c r="M1275" s="46"/>
    </row>
    <row r="1276" spans="2:13" x14ac:dyDescent="0.25">
      <c r="B1276" s="5">
        <v>44622</v>
      </c>
      <c r="C1276" s="5" t="s">
        <v>784</v>
      </c>
      <c r="D1276" s="35">
        <v>2022</v>
      </c>
      <c r="E1276" t="s">
        <v>22</v>
      </c>
      <c r="F1276" t="s">
        <v>132</v>
      </c>
      <c r="G1276" t="s">
        <v>380</v>
      </c>
      <c r="H1276" s="92" t="s">
        <v>972</v>
      </c>
      <c r="I1276">
        <v>2</v>
      </c>
      <c r="J1276" s="46">
        <v>1200</v>
      </c>
      <c r="K1276" s="50" t="s">
        <v>771</v>
      </c>
      <c r="L1276" s="23">
        <v>1200</v>
      </c>
      <c r="M1276" s="46"/>
    </row>
    <row r="1277" spans="2:13" x14ac:dyDescent="0.25">
      <c r="B1277" s="5">
        <v>44622</v>
      </c>
      <c r="C1277" s="5" t="s">
        <v>784</v>
      </c>
      <c r="D1277" s="35">
        <v>2022</v>
      </c>
      <c r="E1277" t="s">
        <v>22</v>
      </c>
      <c r="F1277" t="s">
        <v>132</v>
      </c>
      <c r="G1277" t="s">
        <v>128</v>
      </c>
      <c r="H1277" s="92" t="s">
        <v>965</v>
      </c>
      <c r="I1277">
        <v>1</v>
      </c>
      <c r="J1277" s="46">
        <v>1240</v>
      </c>
      <c r="K1277" s="50" t="s">
        <v>771</v>
      </c>
      <c r="L1277" s="23">
        <v>1240</v>
      </c>
      <c r="M1277" s="46"/>
    </row>
    <row r="1278" spans="2:13" x14ac:dyDescent="0.25">
      <c r="B1278" s="5">
        <v>44622</v>
      </c>
      <c r="C1278" s="5" t="s">
        <v>784</v>
      </c>
      <c r="D1278" s="35">
        <v>2022</v>
      </c>
      <c r="E1278" t="s">
        <v>356</v>
      </c>
      <c r="F1278" t="s">
        <v>503</v>
      </c>
      <c r="G1278" t="s">
        <v>123</v>
      </c>
      <c r="H1278" s="92" t="s">
        <v>966</v>
      </c>
      <c r="I1278">
        <v>8</v>
      </c>
      <c r="J1278" s="46">
        <v>14000</v>
      </c>
      <c r="K1278" s="50" t="s">
        <v>771</v>
      </c>
      <c r="L1278" s="23">
        <v>14000</v>
      </c>
      <c r="M1278" s="46"/>
    </row>
    <row r="1279" spans="2:13" x14ac:dyDescent="0.25">
      <c r="B1279" s="5">
        <v>44622</v>
      </c>
      <c r="C1279" s="5" t="s">
        <v>784</v>
      </c>
      <c r="D1279" s="35">
        <v>2022</v>
      </c>
      <c r="E1279" t="s">
        <v>356</v>
      </c>
      <c r="F1279" t="s">
        <v>240</v>
      </c>
      <c r="G1279" t="s">
        <v>192</v>
      </c>
      <c r="H1279" s="24" t="s">
        <v>976</v>
      </c>
      <c r="I1279">
        <v>1</v>
      </c>
      <c r="J1279" s="46">
        <v>1395</v>
      </c>
      <c r="K1279" s="50" t="s">
        <v>771</v>
      </c>
      <c r="L1279" s="23">
        <v>1395</v>
      </c>
      <c r="M1279" s="46"/>
    </row>
    <row r="1280" spans="2:13" x14ac:dyDescent="0.25">
      <c r="B1280" s="5">
        <v>44622</v>
      </c>
      <c r="C1280" s="5" t="s">
        <v>784</v>
      </c>
      <c r="D1280" s="35">
        <v>2022</v>
      </c>
      <c r="E1280" t="s">
        <v>356</v>
      </c>
      <c r="F1280" t="s">
        <v>138</v>
      </c>
      <c r="G1280" t="s">
        <v>192</v>
      </c>
      <c r="H1280" s="24" t="s">
        <v>976</v>
      </c>
      <c r="I1280">
        <v>1</v>
      </c>
      <c r="J1280" s="46">
        <v>1395</v>
      </c>
      <c r="K1280" s="50" t="s">
        <v>771</v>
      </c>
      <c r="L1280" s="23">
        <v>1395</v>
      </c>
      <c r="M1280" s="46"/>
    </row>
    <row r="1281" spans="2:15" x14ac:dyDescent="0.25">
      <c r="B1281" s="5">
        <v>44622</v>
      </c>
      <c r="C1281" s="5" t="s">
        <v>784</v>
      </c>
      <c r="D1281" s="35">
        <v>2022</v>
      </c>
      <c r="E1281" t="s">
        <v>356</v>
      </c>
      <c r="F1281" t="s">
        <v>138</v>
      </c>
      <c r="G1281" t="s">
        <v>269</v>
      </c>
      <c r="H1281" s="92" t="s">
        <v>983</v>
      </c>
      <c r="I1281">
        <v>1</v>
      </c>
      <c r="J1281" s="46">
        <v>290</v>
      </c>
      <c r="K1281" s="50" t="s">
        <v>771</v>
      </c>
      <c r="L1281" s="23">
        <v>290</v>
      </c>
      <c r="M1281" s="46"/>
    </row>
    <row r="1282" spans="2:15" x14ac:dyDescent="0.25">
      <c r="B1282" s="5">
        <v>44622</v>
      </c>
      <c r="C1282" s="5" t="s">
        <v>784</v>
      </c>
      <c r="D1282" s="35">
        <v>2022</v>
      </c>
      <c r="E1282" t="s">
        <v>356</v>
      </c>
      <c r="F1282" t="s">
        <v>138</v>
      </c>
      <c r="G1282" t="s">
        <v>128</v>
      </c>
      <c r="H1282" s="92" t="s">
        <v>965</v>
      </c>
      <c r="I1282">
        <v>1</v>
      </c>
      <c r="J1282" s="46">
        <v>1240</v>
      </c>
      <c r="K1282" s="50" t="s">
        <v>771</v>
      </c>
      <c r="L1282" s="23">
        <v>1240</v>
      </c>
      <c r="M1282" s="46"/>
    </row>
    <row r="1283" spans="2:15" x14ac:dyDescent="0.25">
      <c r="B1283" s="5">
        <v>44622</v>
      </c>
      <c r="C1283" s="5" t="s">
        <v>784</v>
      </c>
      <c r="D1283" s="35">
        <v>2022</v>
      </c>
      <c r="E1283" t="s">
        <v>356</v>
      </c>
      <c r="F1283" t="s">
        <v>267</v>
      </c>
      <c r="G1283" t="s">
        <v>125</v>
      </c>
      <c r="H1283" s="92" t="s">
        <v>971</v>
      </c>
      <c r="I1283">
        <v>1</v>
      </c>
      <c r="J1283" s="46">
        <v>510</v>
      </c>
      <c r="K1283" s="50" t="s">
        <v>771</v>
      </c>
      <c r="L1283" s="23">
        <v>510</v>
      </c>
      <c r="M1283" s="46"/>
    </row>
    <row r="1284" spans="2:15" x14ac:dyDescent="0.25">
      <c r="B1284" s="5">
        <v>44622</v>
      </c>
      <c r="C1284" s="5" t="s">
        <v>784</v>
      </c>
      <c r="D1284" s="35">
        <v>2022</v>
      </c>
      <c r="E1284" t="s">
        <v>356</v>
      </c>
      <c r="F1284" t="s">
        <v>267</v>
      </c>
      <c r="G1284" t="s">
        <v>323</v>
      </c>
      <c r="H1284" s="92" t="s">
        <v>981</v>
      </c>
      <c r="I1284">
        <v>1</v>
      </c>
      <c r="J1284" s="46">
        <v>310</v>
      </c>
      <c r="K1284" s="50" t="s">
        <v>771</v>
      </c>
      <c r="L1284" s="23">
        <v>310</v>
      </c>
      <c r="M1284" s="46"/>
    </row>
    <row r="1285" spans="2:15" x14ac:dyDescent="0.25">
      <c r="B1285" s="5">
        <v>44622</v>
      </c>
      <c r="C1285" s="5" t="s">
        <v>784</v>
      </c>
      <c r="D1285" s="35">
        <v>2022</v>
      </c>
      <c r="E1285" t="s">
        <v>356</v>
      </c>
      <c r="F1285" t="s">
        <v>354</v>
      </c>
      <c r="G1285" t="s">
        <v>412</v>
      </c>
      <c r="H1285" s="92" t="s">
        <v>977</v>
      </c>
      <c r="I1285">
        <v>1</v>
      </c>
      <c r="J1285" s="46">
        <v>3310</v>
      </c>
      <c r="K1285" s="50" t="s">
        <v>771</v>
      </c>
      <c r="L1285" s="23">
        <v>3310</v>
      </c>
      <c r="M1285" s="46"/>
    </row>
    <row r="1286" spans="2:15" x14ac:dyDescent="0.25">
      <c r="B1286" s="5">
        <v>44622</v>
      </c>
      <c r="C1286" s="5" t="s">
        <v>784</v>
      </c>
      <c r="D1286" s="35">
        <v>2022</v>
      </c>
      <c r="E1286" t="s">
        <v>599</v>
      </c>
      <c r="F1286" t="s">
        <v>831</v>
      </c>
      <c r="G1286" t="s">
        <v>413</v>
      </c>
      <c r="H1286" s="92" t="s">
        <v>977</v>
      </c>
      <c r="I1286">
        <v>1</v>
      </c>
      <c r="J1286" s="46">
        <v>560</v>
      </c>
      <c r="K1286" s="50" t="s">
        <v>771</v>
      </c>
      <c r="L1286" s="23">
        <v>560</v>
      </c>
      <c r="M1286" s="46"/>
    </row>
    <row r="1287" spans="2:15" x14ac:dyDescent="0.25">
      <c r="B1287" s="5">
        <v>44622</v>
      </c>
      <c r="C1287" s="5" t="s">
        <v>784</v>
      </c>
      <c r="D1287" s="35">
        <v>2022</v>
      </c>
      <c r="E1287" t="s">
        <v>599</v>
      </c>
      <c r="F1287" t="s">
        <v>831</v>
      </c>
      <c r="G1287" t="s">
        <v>192</v>
      </c>
      <c r="H1287" s="24" t="s">
        <v>976</v>
      </c>
      <c r="I1287">
        <v>1</v>
      </c>
      <c r="J1287" s="46">
        <v>1395</v>
      </c>
      <c r="K1287" s="50" t="s">
        <v>771</v>
      </c>
      <c r="L1287" s="23">
        <v>1395</v>
      </c>
      <c r="M1287" s="46"/>
    </row>
    <row r="1288" spans="2:15" x14ac:dyDescent="0.25">
      <c r="B1288" s="5">
        <v>44622</v>
      </c>
      <c r="C1288" s="5" t="s">
        <v>784</v>
      </c>
      <c r="D1288" s="35">
        <v>2022</v>
      </c>
      <c r="E1288" t="s">
        <v>599</v>
      </c>
      <c r="F1288" t="s">
        <v>791</v>
      </c>
      <c r="G1288" t="s">
        <v>192</v>
      </c>
      <c r="H1288" s="24" t="s">
        <v>976</v>
      </c>
      <c r="I1288">
        <v>1</v>
      </c>
      <c r="J1288" s="46">
        <v>1395</v>
      </c>
      <c r="K1288" s="50" t="s">
        <v>771</v>
      </c>
      <c r="L1288" s="23">
        <v>1395</v>
      </c>
      <c r="M1288" s="46"/>
    </row>
    <row r="1289" spans="2:15" x14ac:dyDescent="0.25">
      <c r="B1289" s="5">
        <v>44622</v>
      </c>
      <c r="C1289" s="5" t="s">
        <v>784</v>
      </c>
      <c r="D1289" s="35">
        <v>2022</v>
      </c>
      <c r="E1289" t="s">
        <v>599</v>
      </c>
      <c r="F1289" t="s">
        <v>832</v>
      </c>
      <c r="G1289" t="s">
        <v>413</v>
      </c>
      <c r="H1289" s="92" t="s">
        <v>977</v>
      </c>
      <c r="I1289">
        <v>1</v>
      </c>
      <c r="J1289" s="46">
        <v>560</v>
      </c>
      <c r="K1289" s="50" t="s">
        <v>771</v>
      </c>
      <c r="L1289" s="23">
        <v>560</v>
      </c>
      <c r="M1289" s="46"/>
    </row>
    <row r="1290" spans="2:15" x14ac:dyDescent="0.25">
      <c r="B1290" s="5">
        <v>44622</v>
      </c>
      <c r="C1290" s="5" t="s">
        <v>784</v>
      </c>
      <c r="D1290" s="35">
        <v>2022</v>
      </c>
      <c r="E1290" t="s">
        <v>599</v>
      </c>
      <c r="F1290" t="s">
        <v>833</v>
      </c>
      <c r="G1290" t="s">
        <v>413</v>
      </c>
      <c r="H1290" s="92" t="s">
        <v>977</v>
      </c>
      <c r="I1290">
        <v>1</v>
      </c>
      <c r="J1290" s="46">
        <v>560</v>
      </c>
      <c r="K1290" s="50" t="s">
        <v>771</v>
      </c>
      <c r="L1290" s="23">
        <v>560</v>
      </c>
      <c r="M1290" s="46"/>
    </row>
    <row r="1291" spans="2:15" x14ac:dyDescent="0.25">
      <c r="B1291" s="5">
        <v>44622</v>
      </c>
      <c r="C1291" s="5" t="s">
        <v>784</v>
      </c>
      <c r="D1291" s="35">
        <v>2022</v>
      </c>
      <c r="E1291" t="s">
        <v>599</v>
      </c>
      <c r="F1291" t="s">
        <v>834</v>
      </c>
      <c r="G1291" t="s">
        <v>838</v>
      </c>
      <c r="H1291" s="92" t="s">
        <v>967</v>
      </c>
      <c r="I1291">
        <v>1</v>
      </c>
      <c r="J1291" s="46">
        <v>2400</v>
      </c>
      <c r="K1291" s="50" t="s">
        <v>771</v>
      </c>
      <c r="L1291" s="23">
        <v>2400</v>
      </c>
      <c r="M1291" s="46"/>
    </row>
    <row r="1292" spans="2:15" x14ac:dyDescent="0.25">
      <c r="B1292" s="5">
        <v>44622</v>
      </c>
      <c r="C1292" s="5" t="s">
        <v>784</v>
      </c>
      <c r="D1292" s="35">
        <v>2022</v>
      </c>
      <c r="E1292" t="s">
        <v>599</v>
      </c>
      <c r="F1292" t="s">
        <v>835</v>
      </c>
      <c r="G1292" t="s">
        <v>192</v>
      </c>
      <c r="H1292" s="24" t="s">
        <v>976</v>
      </c>
      <c r="I1292">
        <v>1</v>
      </c>
      <c r="J1292" s="46">
        <v>1395</v>
      </c>
      <c r="K1292" s="50" t="s">
        <v>771</v>
      </c>
      <c r="L1292" s="23">
        <v>1395</v>
      </c>
      <c r="M1292" s="46"/>
    </row>
    <row r="1293" spans="2:15" x14ac:dyDescent="0.25">
      <c r="B1293" s="5">
        <v>44622</v>
      </c>
      <c r="C1293" s="5" t="s">
        <v>784</v>
      </c>
      <c r="D1293" s="35">
        <v>2022</v>
      </c>
      <c r="E1293" t="s">
        <v>599</v>
      </c>
      <c r="F1293" t="s">
        <v>763</v>
      </c>
      <c r="G1293" t="s">
        <v>839</v>
      </c>
      <c r="H1293" s="92" t="s">
        <v>974</v>
      </c>
      <c r="I1293">
        <v>1</v>
      </c>
      <c r="J1293" s="46">
        <v>420</v>
      </c>
      <c r="K1293" s="50" t="s">
        <v>771</v>
      </c>
      <c r="L1293" s="46"/>
      <c r="M1293" s="103">
        <v>420</v>
      </c>
      <c r="O1293" t="s">
        <v>625</v>
      </c>
    </row>
    <row r="1294" spans="2:15" x14ac:dyDescent="0.25">
      <c r="B1294" s="5">
        <v>44622</v>
      </c>
      <c r="C1294" s="5" t="s">
        <v>784</v>
      </c>
      <c r="D1294" s="35">
        <v>2022</v>
      </c>
      <c r="E1294" t="s">
        <v>599</v>
      </c>
      <c r="F1294" t="s">
        <v>836</v>
      </c>
      <c r="G1294" t="s">
        <v>413</v>
      </c>
      <c r="H1294" s="92" t="s">
        <v>977</v>
      </c>
      <c r="I1294">
        <v>1</v>
      </c>
      <c r="J1294" s="46">
        <v>560</v>
      </c>
      <c r="K1294" s="50" t="s">
        <v>771</v>
      </c>
      <c r="L1294" s="23">
        <v>560</v>
      </c>
      <c r="M1294" s="46"/>
    </row>
    <row r="1295" spans="2:15" x14ac:dyDescent="0.25">
      <c r="B1295" s="5">
        <v>44622</v>
      </c>
      <c r="C1295" s="5" t="s">
        <v>784</v>
      </c>
      <c r="D1295" s="35">
        <v>2022</v>
      </c>
      <c r="E1295" t="s">
        <v>599</v>
      </c>
      <c r="F1295" t="s">
        <v>836</v>
      </c>
      <c r="G1295" t="s">
        <v>128</v>
      </c>
      <c r="H1295" s="92" t="s">
        <v>965</v>
      </c>
      <c r="I1295">
        <v>1</v>
      </c>
      <c r="J1295" s="46">
        <v>1240</v>
      </c>
      <c r="K1295" s="50" t="s">
        <v>771</v>
      </c>
      <c r="L1295" s="23">
        <v>1240</v>
      </c>
      <c r="M1295" s="46"/>
    </row>
    <row r="1296" spans="2:15" x14ac:dyDescent="0.25">
      <c r="B1296" s="5">
        <v>44622</v>
      </c>
      <c r="C1296" s="5" t="s">
        <v>784</v>
      </c>
      <c r="D1296" s="35">
        <v>2022</v>
      </c>
      <c r="E1296" t="s">
        <v>599</v>
      </c>
      <c r="F1296" t="s">
        <v>700</v>
      </c>
      <c r="G1296" t="s">
        <v>838</v>
      </c>
      <c r="H1296" s="92" t="s">
        <v>967</v>
      </c>
      <c r="I1296">
        <v>1</v>
      </c>
      <c r="J1296" s="46">
        <v>2400</v>
      </c>
      <c r="K1296" s="50" t="s">
        <v>771</v>
      </c>
      <c r="L1296" s="23">
        <v>2400</v>
      </c>
      <c r="M1296" s="46"/>
    </row>
    <row r="1297" spans="2:16" x14ac:dyDescent="0.25">
      <c r="B1297" s="5">
        <v>44622</v>
      </c>
      <c r="C1297" s="5" t="s">
        <v>784</v>
      </c>
      <c r="D1297" s="35">
        <v>2022</v>
      </c>
      <c r="E1297" t="s">
        <v>599</v>
      </c>
      <c r="F1297" t="s">
        <v>837</v>
      </c>
      <c r="G1297" t="s">
        <v>840</v>
      </c>
      <c r="H1297" s="92" t="s">
        <v>977</v>
      </c>
      <c r="I1297">
        <v>5</v>
      </c>
      <c r="J1297" s="46">
        <v>650</v>
      </c>
      <c r="K1297" s="50" t="s">
        <v>771</v>
      </c>
      <c r="L1297" s="23">
        <v>650</v>
      </c>
      <c r="M1297" s="46"/>
    </row>
    <row r="1298" spans="2:16" x14ac:dyDescent="0.25">
      <c r="B1298" s="5">
        <v>44622</v>
      </c>
      <c r="C1298" s="5" t="s">
        <v>784</v>
      </c>
      <c r="D1298" s="35">
        <v>2022</v>
      </c>
      <c r="E1298" t="s">
        <v>417</v>
      </c>
      <c r="F1298" t="s">
        <v>25</v>
      </c>
      <c r="G1298" t="s">
        <v>45</v>
      </c>
      <c r="H1298" s="92" t="s">
        <v>965</v>
      </c>
      <c r="I1298">
        <v>1</v>
      </c>
      <c r="J1298" s="46">
        <v>1390</v>
      </c>
      <c r="K1298" s="50" t="s">
        <v>771</v>
      </c>
      <c r="L1298" s="23">
        <v>1390</v>
      </c>
      <c r="M1298" s="46"/>
    </row>
    <row r="1299" spans="2:16" x14ac:dyDescent="0.25">
      <c r="B1299" s="5">
        <v>44622</v>
      </c>
      <c r="C1299" s="5" t="s">
        <v>784</v>
      </c>
      <c r="D1299" s="35">
        <v>2022</v>
      </c>
      <c r="E1299" t="s">
        <v>417</v>
      </c>
      <c r="F1299" t="s">
        <v>25</v>
      </c>
      <c r="G1299" t="s">
        <v>123</v>
      </c>
      <c r="H1299" s="92" t="s">
        <v>966</v>
      </c>
      <c r="I1299">
        <v>1</v>
      </c>
      <c r="J1299" s="46">
        <v>1750</v>
      </c>
      <c r="K1299" s="50" t="s">
        <v>771</v>
      </c>
      <c r="L1299" s="23">
        <v>1750</v>
      </c>
      <c r="M1299" s="46"/>
    </row>
    <row r="1300" spans="2:16" x14ac:dyDescent="0.25">
      <c r="B1300" s="5">
        <v>44622</v>
      </c>
      <c r="C1300" s="5" t="s">
        <v>784</v>
      </c>
      <c r="D1300" s="35">
        <v>2022</v>
      </c>
      <c r="E1300" t="s">
        <v>417</v>
      </c>
      <c r="F1300" t="s">
        <v>841</v>
      </c>
      <c r="G1300" t="s">
        <v>55</v>
      </c>
      <c r="H1300" s="92" t="s">
        <v>965</v>
      </c>
      <c r="I1300">
        <v>1</v>
      </c>
      <c r="J1300" s="46">
        <v>1390</v>
      </c>
      <c r="K1300" s="50" t="s">
        <v>771</v>
      </c>
      <c r="L1300" s="23">
        <v>1390</v>
      </c>
      <c r="M1300" s="46"/>
      <c r="N1300" s="23">
        <v>1390</v>
      </c>
      <c r="P1300" t="s">
        <v>889</v>
      </c>
    </row>
    <row r="1301" spans="2:16" x14ac:dyDescent="0.25">
      <c r="B1301" s="5">
        <v>44622</v>
      </c>
      <c r="C1301" s="5" t="s">
        <v>784</v>
      </c>
      <c r="D1301" s="35">
        <v>2022</v>
      </c>
      <c r="E1301" t="s">
        <v>417</v>
      </c>
      <c r="F1301" t="s">
        <v>719</v>
      </c>
      <c r="G1301" t="s">
        <v>192</v>
      </c>
      <c r="H1301" s="24" t="s">
        <v>976</v>
      </c>
      <c r="I1301">
        <v>1</v>
      </c>
      <c r="J1301" s="46">
        <v>1395</v>
      </c>
      <c r="K1301" s="50" t="s">
        <v>771</v>
      </c>
      <c r="L1301" s="23">
        <v>1395</v>
      </c>
      <c r="M1301" s="46"/>
      <c r="N1301" s="23"/>
    </row>
    <row r="1302" spans="2:16" x14ac:dyDescent="0.25">
      <c r="B1302" s="5">
        <v>44622</v>
      </c>
      <c r="C1302" s="5" t="s">
        <v>784</v>
      </c>
      <c r="D1302" s="35">
        <v>2022</v>
      </c>
      <c r="E1302" t="s">
        <v>417</v>
      </c>
      <c r="F1302" t="s">
        <v>816</v>
      </c>
      <c r="G1302" t="s">
        <v>123</v>
      </c>
      <c r="H1302" s="92" t="s">
        <v>966</v>
      </c>
      <c r="I1302">
        <v>2</v>
      </c>
      <c r="J1302" s="46">
        <v>3500</v>
      </c>
      <c r="K1302" s="50" t="s">
        <v>771</v>
      </c>
      <c r="L1302" s="23">
        <v>3500</v>
      </c>
      <c r="M1302" s="46"/>
    </row>
    <row r="1303" spans="2:16" x14ac:dyDescent="0.25">
      <c r="B1303" s="5">
        <v>44622</v>
      </c>
      <c r="C1303" s="5" t="s">
        <v>784</v>
      </c>
      <c r="D1303" s="35">
        <v>2022</v>
      </c>
      <c r="E1303" t="s">
        <v>417</v>
      </c>
      <c r="F1303" t="s">
        <v>720</v>
      </c>
      <c r="G1303" t="s">
        <v>192</v>
      </c>
      <c r="H1303" s="24" t="s">
        <v>976</v>
      </c>
      <c r="I1303">
        <v>1</v>
      </c>
      <c r="J1303" s="46">
        <v>1395</v>
      </c>
      <c r="K1303" s="50" t="s">
        <v>771</v>
      </c>
      <c r="L1303" s="23">
        <v>1395</v>
      </c>
      <c r="M1303" s="46"/>
    </row>
    <row r="1304" spans="2:16" x14ac:dyDescent="0.25">
      <c r="B1304" s="5">
        <v>44622</v>
      </c>
      <c r="C1304" s="5" t="s">
        <v>784</v>
      </c>
      <c r="D1304" s="35">
        <v>2022</v>
      </c>
      <c r="E1304" t="s">
        <v>417</v>
      </c>
      <c r="F1304" t="s">
        <v>842</v>
      </c>
      <c r="G1304" t="s">
        <v>123</v>
      </c>
      <c r="H1304" s="92" t="s">
        <v>966</v>
      </c>
      <c r="I1304">
        <v>1</v>
      </c>
      <c r="J1304" s="46">
        <v>1750</v>
      </c>
      <c r="K1304" s="50" t="s">
        <v>771</v>
      </c>
      <c r="L1304" s="23">
        <v>1750</v>
      </c>
      <c r="M1304" s="46"/>
    </row>
    <row r="1305" spans="2:16" x14ac:dyDescent="0.25">
      <c r="B1305" s="5">
        <v>44622</v>
      </c>
      <c r="C1305" s="5" t="s">
        <v>784</v>
      </c>
      <c r="D1305" s="35">
        <v>2022</v>
      </c>
      <c r="E1305" t="s">
        <v>417</v>
      </c>
      <c r="F1305" t="s">
        <v>702</v>
      </c>
      <c r="G1305" t="s">
        <v>123</v>
      </c>
      <c r="H1305" s="92" t="s">
        <v>966</v>
      </c>
      <c r="I1305">
        <v>1</v>
      </c>
      <c r="J1305" s="46">
        <v>1750</v>
      </c>
      <c r="K1305" s="50" t="s">
        <v>771</v>
      </c>
      <c r="L1305" s="23">
        <v>1750</v>
      </c>
      <c r="M1305" s="46"/>
      <c r="N1305" s="23">
        <v>1750</v>
      </c>
      <c r="P1305" t="s">
        <v>295</v>
      </c>
    </row>
    <row r="1306" spans="2:16" x14ac:dyDescent="0.25">
      <c r="B1306" s="5">
        <v>44622</v>
      </c>
      <c r="C1306" s="5" t="s">
        <v>784</v>
      </c>
      <c r="D1306" s="35">
        <v>2022</v>
      </c>
      <c r="E1306" t="s">
        <v>417</v>
      </c>
      <c r="F1306" t="s">
        <v>817</v>
      </c>
      <c r="G1306" t="s">
        <v>45</v>
      </c>
      <c r="H1306" s="92" t="s">
        <v>965</v>
      </c>
      <c r="I1306">
        <v>2</v>
      </c>
      <c r="J1306" s="46">
        <v>2780</v>
      </c>
      <c r="K1306" s="50" t="s">
        <v>771</v>
      </c>
      <c r="L1306" s="23">
        <v>2780</v>
      </c>
      <c r="M1306" s="46"/>
    </row>
    <row r="1307" spans="2:16" x14ac:dyDescent="0.25">
      <c r="B1307" s="5">
        <v>44622</v>
      </c>
      <c r="C1307" s="5" t="s">
        <v>784</v>
      </c>
      <c r="D1307" s="35">
        <v>2022</v>
      </c>
      <c r="E1307" t="s">
        <v>445</v>
      </c>
      <c r="F1307" t="s">
        <v>843</v>
      </c>
      <c r="G1307" t="s">
        <v>413</v>
      </c>
      <c r="H1307" s="92" t="s">
        <v>977</v>
      </c>
      <c r="I1307">
        <v>2</v>
      </c>
      <c r="J1307" s="46">
        <v>1120</v>
      </c>
      <c r="K1307" s="50" t="s">
        <v>771</v>
      </c>
      <c r="L1307" s="23">
        <v>1120</v>
      </c>
      <c r="M1307" s="46"/>
    </row>
    <row r="1308" spans="2:16" x14ac:dyDescent="0.25">
      <c r="B1308" s="5">
        <v>44622</v>
      </c>
      <c r="C1308" s="5" t="s">
        <v>784</v>
      </c>
      <c r="D1308" s="35">
        <v>2022</v>
      </c>
      <c r="E1308" t="s">
        <v>445</v>
      </c>
      <c r="F1308" t="s">
        <v>844</v>
      </c>
      <c r="G1308" t="s">
        <v>55</v>
      </c>
      <c r="H1308" s="92" t="s">
        <v>965</v>
      </c>
      <c r="I1308">
        <v>2</v>
      </c>
      <c r="J1308" s="46">
        <v>2780</v>
      </c>
      <c r="K1308" s="50" t="s">
        <v>771</v>
      </c>
      <c r="L1308" s="23">
        <v>2780</v>
      </c>
      <c r="M1308" s="46"/>
    </row>
    <row r="1309" spans="2:16" x14ac:dyDescent="0.25">
      <c r="B1309" s="5">
        <v>44622</v>
      </c>
      <c r="C1309" s="5" t="s">
        <v>784</v>
      </c>
      <c r="D1309" s="35">
        <v>2022</v>
      </c>
      <c r="E1309" t="s">
        <v>445</v>
      </c>
      <c r="F1309" t="s">
        <v>487</v>
      </c>
      <c r="G1309" t="s">
        <v>283</v>
      </c>
      <c r="H1309" s="92" t="s">
        <v>983</v>
      </c>
      <c r="I1309">
        <v>1</v>
      </c>
      <c r="J1309" s="46">
        <v>505</v>
      </c>
      <c r="K1309" s="50" t="s">
        <v>771</v>
      </c>
      <c r="L1309" s="23">
        <v>505</v>
      </c>
      <c r="M1309" s="46"/>
    </row>
    <row r="1310" spans="2:16" x14ac:dyDescent="0.25">
      <c r="B1310" s="5">
        <v>44622</v>
      </c>
      <c r="C1310" s="5" t="s">
        <v>784</v>
      </c>
      <c r="D1310" s="35">
        <v>2022</v>
      </c>
      <c r="E1310" t="s">
        <v>445</v>
      </c>
      <c r="F1310" t="s">
        <v>845</v>
      </c>
      <c r="G1310" t="s">
        <v>413</v>
      </c>
      <c r="H1310" s="92" t="s">
        <v>977</v>
      </c>
      <c r="I1310">
        <v>1</v>
      </c>
      <c r="J1310" s="46">
        <v>560</v>
      </c>
      <c r="K1310" s="50" t="s">
        <v>771</v>
      </c>
      <c r="L1310" s="23">
        <v>560</v>
      </c>
      <c r="M1310" s="46"/>
    </row>
    <row r="1311" spans="2:16" x14ac:dyDescent="0.25">
      <c r="B1311" s="5">
        <v>44622</v>
      </c>
      <c r="C1311" s="5" t="s">
        <v>784</v>
      </c>
      <c r="D1311" s="35">
        <v>2022</v>
      </c>
      <c r="E1311" t="s">
        <v>445</v>
      </c>
      <c r="F1311" t="s">
        <v>846</v>
      </c>
      <c r="G1311" t="s">
        <v>192</v>
      </c>
      <c r="H1311" s="24" t="s">
        <v>976</v>
      </c>
      <c r="I1311">
        <v>1</v>
      </c>
      <c r="J1311" s="46">
        <v>1395</v>
      </c>
      <c r="K1311" s="50" t="s">
        <v>771</v>
      </c>
      <c r="L1311" s="23">
        <v>1395</v>
      </c>
      <c r="M1311" s="46"/>
    </row>
    <row r="1312" spans="2:16" x14ac:dyDescent="0.25">
      <c r="B1312" s="5">
        <v>44622</v>
      </c>
      <c r="C1312" s="5" t="s">
        <v>784</v>
      </c>
      <c r="D1312" s="35">
        <v>2022</v>
      </c>
      <c r="E1312" t="s">
        <v>445</v>
      </c>
      <c r="F1312" t="s">
        <v>847</v>
      </c>
      <c r="G1312" t="s">
        <v>122</v>
      </c>
      <c r="H1312" s="92" t="s">
        <v>973</v>
      </c>
      <c r="I1312">
        <v>4</v>
      </c>
      <c r="J1312" s="46">
        <v>1040</v>
      </c>
      <c r="K1312" s="50" t="s">
        <v>771</v>
      </c>
      <c r="L1312" s="23">
        <v>1040</v>
      </c>
      <c r="M1312" s="46"/>
    </row>
    <row r="1313" spans="2:16" x14ac:dyDescent="0.25">
      <c r="B1313" s="5">
        <v>44622</v>
      </c>
      <c r="C1313" s="5" t="s">
        <v>784</v>
      </c>
      <c r="D1313" s="35">
        <v>2022</v>
      </c>
      <c r="E1313" t="s">
        <v>445</v>
      </c>
      <c r="F1313" t="s">
        <v>848</v>
      </c>
      <c r="G1313" t="s">
        <v>380</v>
      </c>
      <c r="H1313" s="92" t="s">
        <v>972</v>
      </c>
      <c r="I1313">
        <v>2</v>
      </c>
      <c r="J1313" s="46">
        <v>1200</v>
      </c>
      <c r="K1313" s="50" t="s">
        <v>771</v>
      </c>
      <c r="L1313" s="23">
        <v>1200</v>
      </c>
      <c r="M1313" s="46"/>
      <c r="N1313" s="23">
        <v>1200</v>
      </c>
      <c r="P1313" t="s">
        <v>890</v>
      </c>
    </row>
    <row r="1314" spans="2:16" x14ac:dyDescent="0.25">
      <c r="B1314" s="5">
        <v>44622</v>
      </c>
      <c r="C1314" s="5" t="s">
        <v>784</v>
      </c>
      <c r="D1314" s="35">
        <v>2022</v>
      </c>
      <c r="E1314" t="s">
        <v>458</v>
      </c>
      <c r="F1314" t="s">
        <v>317</v>
      </c>
      <c r="G1314" t="s">
        <v>269</v>
      </c>
      <c r="H1314" s="92" t="s">
        <v>983</v>
      </c>
      <c r="I1314">
        <v>1</v>
      </c>
      <c r="J1314" s="46">
        <v>290</v>
      </c>
      <c r="K1314" s="50" t="s">
        <v>771</v>
      </c>
      <c r="L1314" s="23">
        <v>290</v>
      </c>
      <c r="M1314" s="46"/>
    </row>
    <row r="1315" spans="2:16" x14ac:dyDescent="0.25">
      <c r="B1315" s="5">
        <v>44622</v>
      </c>
      <c r="C1315" s="5" t="s">
        <v>784</v>
      </c>
      <c r="D1315" s="35">
        <v>2022</v>
      </c>
      <c r="E1315" t="s">
        <v>458</v>
      </c>
      <c r="F1315" t="s">
        <v>208</v>
      </c>
      <c r="G1315" t="s">
        <v>287</v>
      </c>
      <c r="H1315" s="92" t="s">
        <v>969</v>
      </c>
      <c r="I1315">
        <v>1</v>
      </c>
      <c r="J1315" s="46">
        <v>2450</v>
      </c>
      <c r="K1315" s="50" t="s">
        <v>771</v>
      </c>
      <c r="L1315" s="23">
        <v>2450</v>
      </c>
      <c r="M1315" s="46"/>
    </row>
    <row r="1316" spans="2:16" x14ac:dyDescent="0.25">
      <c r="B1316" s="5">
        <v>44622</v>
      </c>
      <c r="C1316" s="5" t="s">
        <v>784</v>
      </c>
      <c r="D1316" s="35">
        <v>2022</v>
      </c>
      <c r="E1316" t="s">
        <v>458</v>
      </c>
      <c r="F1316" t="s">
        <v>849</v>
      </c>
      <c r="G1316" t="s">
        <v>128</v>
      </c>
      <c r="H1316" s="92" t="s">
        <v>965</v>
      </c>
      <c r="I1316">
        <v>1</v>
      </c>
      <c r="J1316" s="46">
        <v>1240</v>
      </c>
      <c r="K1316" s="50" t="s">
        <v>771</v>
      </c>
      <c r="L1316" s="23">
        <v>1240</v>
      </c>
      <c r="M1316" s="46"/>
    </row>
    <row r="1317" spans="2:16" x14ac:dyDescent="0.25">
      <c r="B1317" s="5">
        <v>44622</v>
      </c>
      <c r="C1317" s="5" t="s">
        <v>784</v>
      </c>
      <c r="D1317" s="35">
        <v>2022</v>
      </c>
      <c r="E1317" t="s">
        <v>458</v>
      </c>
      <c r="F1317" t="s">
        <v>849</v>
      </c>
      <c r="G1317" t="s">
        <v>45</v>
      </c>
      <c r="H1317" s="92" t="s">
        <v>965</v>
      </c>
      <c r="I1317">
        <v>1</v>
      </c>
      <c r="J1317" s="46">
        <v>1390</v>
      </c>
      <c r="K1317" s="50" t="s">
        <v>771</v>
      </c>
      <c r="L1317" s="23">
        <v>1390</v>
      </c>
      <c r="M1317" s="46"/>
    </row>
    <row r="1318" spans="2:16" x14ac:dyDescent="0.25">
      <c r="B1318" s="5">
        <v>44622</v>
      </c>
      <c r="C1318" s="5" t="s">
        <v>784</v>
      </c>
      <c r="D1318" s="35">
        <v>2022</v>
      </c>
      <c r="E1318" t="s">
        <v>458</v>
      </c>
      <c r="F1318" t="s">
        <v>850</v>
      </c>
      <c r="G1318" t="s">
        <v>128</v>
      </c>
      <c r="H1318" s="92" t="s">
        <v>965</v>
      </c>
      <c r="I1318">
        <v>1</v>
      </c>
      <c r="J1318" s="46">
        <v>1240</v>
      </c>
      <c r="K1318" s="50" t="s">
        <v>771</v>
      </c>
      <c r="L1318" s="23">
        <v>1240</v>
      </c>
      <c r="M1318" s="46"/>
    </row>
    <row r="1319" spans="2:16" x14ac:dyDescent="0.25">
      <c r="B1319" s="5">
        <v>44622</v>
      </c>
      <c r="C1319" s="5" t="s">
        <v>784</v>
      </c>
      <c r="D1319" s="35">
        <v>2022</v>
      </c>
      <c r="E1319" t="s">
        <v>458</v>
      </c>
      <c r="F1319" t="s">
        <v>146</v>
      </c>
      <c r="G1319" t="s">
        <v>128</v>
      </c>
      <c r="H1319" s="92" t="s">
        <v>965</v>
      </c>
      <c r="I1319">
        <v>1</v>
      </c>
      <c r="J1319" s="46">
        <v>1240</v>
      </c>
      <c r="K1319" s="50" t="s">
        <v>771</v>
      </c>
      <c r="L1319" s="23">
        <v>1240</v>
      </c>
      <c r="M1319" s="46"/>
      <c r="N1319" s="23">
        <v>1240</v>
      </c>
      <c r="P1319" t="s">
        <v>891</v>
      </c>
    </row>
    <row r="1320" spans="2:16" x14ac:dyDescent="0.25">
      <c r="B1320" s="5">
        <v>44622</v>
      </c>
      <c r="C1320" s="5" t="s">
        <v>784</v>
      </c>
      <c r="D1320" s="35">
        <v>2022</v>
      </c>
      <c r="E1320" t="s">
        <v>458</v>
      </c>
      <c r="F1320" t="s">
        <v>272</v>
      </c>
      <c r="G1320" t="s">
        <v>128</v>
      </c>
      <c r="H1320" s="92" t="s">
        <v>965</v>
      </c>
      <c r="I1320">
        <v>2</v>
      </c>
      <c r="J1320" s="46">
        <v>2480</v>
      </c>
      <c r="K1320" s="50" t="s">
        <v>771</v>
      </c>
      <c r="L1320" s="23">
        <v>2480</v>
      </c>
      <c r="M1320" s="46"/>
    </row>
    <row r="1321" spans="2:16" x14ac:dyDescent="0.25">
      <c r="B1321" s="5">
        <v>44622</v>
      </c>
      <c r="C1321" s="5" t="s">
        <v>784</v>
      </c>
      <c r="D1321" s="35">
        <v>2022</v>
      </c>
      <c r="E1321" t="s">
        <v>458</v>
      </c>
      <c r="F1321" t="s">
        <v>851</v>
      </c>
      <c r="G1321" t="s">
        <v>128</v>
      </c>
      <c r="H1321" s="92" t="s">
        <v>965</v>
      </c>
      <c r="I1321">
        <v>1</v>
      </c>
      <c r="J1321" s="46">
        <v>1240</v>
      </c>
      <c r="K1321" s="50" t="s">
        <v>771</v>
      </c>
      <c r="L1321" s="23">
        <v>1240</v>
      </c>
      <c r="M1321" s="46"/>
    </row>
    <row r="1322" spans="2:16" x14ac:dyDescent="0.25">
      <c r="B1322" s="5">
        <v>44622</v>
      </c>
      <c r="C1322" s="5" t="s">
        <v>784</v>
      </c>
      <c r="D1322" s="35">
        <v>2022</v>
      </c>
      <c r="E1322" t="s">
        <v>458</v>
      </c>
      <c r="F1322" t="s">
        <v>852</v>
      </c>
      <c r="G1322" t="s">
        <v>269</v>
      </c>
      <c r="H1322" s="92" t="s">
        <v>983</v>
      </c>
      <c r="I1322">
        <v>2</v>
      </c>
      <c r="J1322" s="46">
        <v>580</v>
      </c>
      <c r="K1322" s="50" t="s">
        <v>771</v>
      </c>
      <c r="L1322" s="23">
        <v>580</v>
      </c>
      <c r="M1322" s="46"/>
    </row>
    <row r="1323" spans="2:16" x14ac:dyDescent="0.25">
      <c r="B1323" s="5">
        <v>44622</v>
      </c>
      <c r="C1323" s="5" t="s">
        <v>784</v>
      </c>
      <c r="D1323" s="35">
        <v>2022</v>
      </c>
      <c r="E1323" t="s">
        <v>458</v>
      </c>
      <c r="F1323" t="s">
        <v>852</v>
      </c>
      <c r="G1323" t="s">
        <v>380</v>
      </c>
      <c r="H1323" s="92" t="s">
        <v>972</v>
      </c>
      <c r="I1323">
        <v>1</v>
      </c>
      <c r="J1323" s="46">
        <v>600</v>
      </c>
      <c r="K1323" s="50" t="s">
        <v>771</v>
      </c>
      <c r="L1323" s="23">
        <v>600</v>
      </c>
      <c r="M1323" s="46"/>
    </row>
    <row r="1324" spans="2:16" x14ac:dyDescent="0.25">
      <c r="B1324" s="5">
        <v>44622</v>
      </c>
      <c r="C1324" s="5" t="s">
        <v>784</v>
      </c>
      <c r="D1324" s="35">
        <v>2022</v>
      </c>
      <c r="E1324" t="s">
        <v>458</v>
      </c>
      <c r="F1324" t="s">
        <v>853</v>
      </c>
      <c r="G1324" t="s">
        <v>55</v>
      </c>
      <c r="H1324" s="92" t="s">
        <v>965</v>
      </c>
      <c r="I1324">
        <v>1</v>
      </c>
      <c r="J1324" s="46">
        <v>1390</v>
      </c>
      <c r="K1324" s="50" t="s">
        <v>771</v>
      </c>
      <c r="L1324" s="23">
        <v>1390</v>
      </c>
      <c r="M1324" s="46"/>
      <c r="N1324" s="23">
        <v>1390</v>
      </c>
      <c r="P1324" t="s">
        <v>891</v>
      </c>
    </row>
    <row r="1325" spans="2:16" x14ac:dyDescent="0.25">
      <c r="B1325" s="5">
        <v>44622</v>
      </c>
      <c r="C1325" s="5" t="s">
        <v>784</v>
      </c>
      <c r="D1325" s="35">
        <v>2022</v>
      </c>
      <c r="E1325" t="s">
        <v>458</v>
      </c>
      <c r="F1325" t="s">
        <v>854</v>
      </c>
      <c r="G1325" t="s">
        <v>856</v>
      </c>
      <c r="H1325" s="92" t="s">
        <v>977</v>
      </c>
      <c r="I1325">
        <v>1</v>
      </c>
      <c r="J1325" s="46">
        <v>560</v>
      </c>
      <c r="K1325" s="50" t="s">
        <v>771</v>
      </c>
      <c r="L1325" s="23">
        <v>560</v>
      </c>
      <c r="M1325" s="46"/>
    </row>
    <row r="1326" spans="2:16" x14ac:dyDescent="0.25">
      <c r="B1326" s="5">
        <v>44623</v>
      </c>
      <c r="C1326" s="5" t="s">
        <v>784</v>
      </c>
      <c r="D1326" s="35">
        <v>2022</v>
      </c>
      <c r="E1326" t="s">
        <v>22</v>
      </c>
      <c r="F1326" t="s">
        <v>872</v>
      </c>
      <c r="G1326" t="s">
        <v>123</v>
      </c>
      <c r="H1326" s="92" t="s">
        <v>966</v>
      </c>
      <c r="I1326">
        <v>1</v>
      </c>
      <c r="J1326" s="46">
        <v>1750</v>
      </c>
      <c r="K1326" s="50" t="s">
        <v>771</v>
      </c>
      <c r="L1326" s="46">
        <v>1750</v>
      </c>
      <c r="M1326" s="46"/>
    </row>
    <row r="1327" spans="2:16" x14ac:dyDescent="0.25">
      <c r="B1327" s="5">
        <v>44623</v>
      </c>
      <c r="C1327" s="5" t="s">
        <v>784</v>
      </c>
      <c r="D1327" s="35">
        <v>2022</v>
      </c>
      <c r="E1327" t="s">
        <v>22</v>
      </c>
      <c r="F1327" t="s">
        <v>236</v>
      </c>
      <c r="G1327" t="s">
        <v>123</v>
      </c>
      <c r="H1327" s="92" t="s">
        <v>966</v>
      </c>
      <c r="I1327">
        <v>1</v>
      </c>
      <c r="J1327" s="46">
        <v>1750</v>
      </c>
      <c r="K1327" s="50" t="s">
        <v>771</v>
      </c>
      <c r="L1327" s="46">
        <v>1750</v>
      </c>
      <c r="M1327" s="46"/>
    </row>
    <row r="1328" spans="2:16" x14ac:dyDescent="0.25">
      <c r="B1328" s="5">
        <v>44623</v>
      </c>
      <c r="C1328" s="5" t="s">
        <v>784</v>
      </c>
      <c r="D1328" s="35">
        <v>2022</v>
      </c>
      <c r="E1328" t="s">
        <v>22</v>
      </c>
      <c r="F1328" t="s">
        <v>237</v>
      </c>
      <c r="G1328" t="s">
        <v>125</v>
      </c>
      <c r="H1328" s="92" t="s">
        <v>971</v>
      </c>
      <c r="I1328">
        <v>1</v>
      </c>
      <c r="J1328" s="46">
        <v>510</v>
      </c>
      <c r="K1328" s="50" t="s">
        <v>771</v>
      </c>
      <c r="L1328" s="46">
        <v>510</v>
      </c>
      <c r="M1328" s="46"/>
    </row>
    <row r="1329" spans="2:13" x14ac:dyDescent="0.25">
      <c r="B1329" s="5">
        <v>44623</v>
      </c>
      <c r="C1329" s="5" t="s">
        <v>784</v>
      </c>
      <c r="D1329" s="35">
        <v>2022</v>
      </c>
      <c r="E1329" t="s">
        <v>22</v>
      </c>
      <c r="F1329" t="s">
        <v>237</v>
      </c>
      <c r="G1329" t="s">
        <v>380</v>
      </c>
      <c r="H1329" s="92" t="s">
        <v>972</v>
      </c>
      <c r="I1329">
        <v>1</v>
      </c>
      <c r="J1329" s="46">
        <v>600</v>
      </c>
      <c r="K1329" s="50" t="s">
        <v>771</v>
      </c>
      <c r="L1329" s="46">
        <v>600</v>
      </c>
      <c r="M1329" s="46"/>
    </row>
    <row r="1330" spans="2:13" x14ac:dyDescent="0.25">
      <c r="B1330" s="5">
        <v>44623</v>
      </c>
      <c r="C1330" s="5" t="s">
        <v>784</v>
      </c>
      <c r="D1330" s="35">
        <v>2022</v>
      </c>
      <c r="E1330" t="s">
        <v>22</v>
      </c>
      <c r="F1330" t="s">
        <v>131</v>
      </c>
      <c r="G1330" t="s">
        <v>45</v>
      </c>
      <c r="H1330" s="92" t="s">
        <v>965</v>
      </c>
      <c r="I1330">
        <v>5</v>
      </c>
      <c r="J1330" s="46">
        <v>6950</v>
      </c>
      <c r="K1330" s="50" t="s">
        <v>771</v>
      </c>
      <c r="L1330" s="46">
        <v>6950</v>
      </c>
      <c r="M1330" s="46"/>
    </row>
    <row r="1331" spans="2:13" x14ac:dyDescent="0.25">
      <c r="B1331" s="5">
        <v>44623</v>
      </c>
      <c r="C1331" s="5" t="s">
        <v>784</v>
      </c>
      <c r="D1331" s="35">
        <v>2022</v>
      </c>
      <c r="E1331" t="s">
        <v>22</v>
      </c>
      <c r="F1331" t="s">
        <v>502</v>
      </c>
      <c r="G1331" t="s">
        <v>58</v>
      </c>
      <c r="H1331" s="92" t="s">
        <v>969</v>
      </c>
      <c r="I1331">
        <v>1</v>
      </c>
      <c r="J1331" s="46">
        <v>2530</v>
      </c>
      <c r="K1331" s="50" t="s">
        <v>771</v>
      </c>
      <c r="L1331" s="46">
        <v>2530</v>
      </c>
      <c r="M1331" s="46"/>
    </row>
    <row r="1332" spans="2:13" x14ac:dyDescent="0.25">
      <c r="B1332" s="5">
        <v>44623</v>
      </c>
      <c r="C1332" s="5" t="s">
        <v>784</v>
      </c>
      <c r="D1332" s="35">
        <v>2022</v>
      </c>
      <c r="E1332" t="s">
        <v>356</v>
      </c>
      <c r="F1332" t="s">
        <v>873</v>
      </c>
      <c r="G1332" t="s">
        <v>123</v>
      </c>
      <c r="H1332" s="92" t="s">
        <v>966</v>
      </c>
      <c r="I1332">
        <v>10</v>
      </c>
      <c r="J1332" s="46">
        <v>17500</v>
      </c>
      <c r="K1332" s="50" t="s">
        <v>771</v>
      </c>
      <c r="L1332" s="23">
        <v>17500</v>
      </c>
      <c r="M1332" s="46"/>
    </row>
    <row r="1333" spans="2:13" x14ac:dyDescent="0.25">
      <c r="B1333" s="5">
        <v>44623</v>
      </c>
      <c r="C1333" s="5" t="s">
        <v>784</v>
      </c>
      <c r="D1333" s="35">
        <v>2022</v>
      </c>
      <c r="E1333" t="s">
        <v>356</v>
      </c>
      <c r="F1333" t="s">
        <v>311</v>
      </c>
      <c r="G1333" t="s">
        <v>192</v>
      </c>
      <c r="H1333" s="24" t="s">
        <v>976</v>
      </c>
      <c r="I1333">
        <v>3</v>
      </c>
      <c r="J1333" s="46">
        <v>4185</v>
      </c>
      <c r="K1333" s="50" t="s">
        <v>771</v>
      </c>
      <c r="L1333" s="23">
        <v>4185</v>
      </c>
      <c r="M1333" s="46"/>
    </row>
    <row r="1334" spans="2:13" x14ac:dyDescent="0.25">
      <c r="B1334" s="5">
        <v>44623</v>
      </c>
      <c r="C1334" s="5" t="s">
        <v>784</v>
      </c>
      <c r="D1334" s="35">
        <v>2022</v>
      </c>
      <c r="E1334" t="s">
        <v>356</v>
      </c>
      <c r="F1334" t="s">
        <v>137</v>
      </c>
      <c r="G1334" t="s">
        <v>126</v>
      </c>
      <c r="H1334" s="92" t="s">
        <v>965</v>
      </c>
      <c r="I1334">
        <v>3</v>
      </c>
      <c r="J1334" s="46">
        <v>4230</v>
      </c>
      <c r="K1334" s="50" t="s">
        <v>771</v>
      </c>
      <c r="L1334" s="23">
        <v>4230</v>
      </c>
      <c r="M1334" s="46"/>
    </row>
    <row r="1335" spans="2:13" x14ac:dyDescent="0.25">
      <c r="B1335" s="5">
        <v>44623</v>
      </c>
      <c r="C1335" s="5" t="s">
        <v>784</v>
      </c>
      <c r="D1335" s="35">
        <v>2022</v>
      </c>
      <c r="E1335" t="s">
        <v>356</v>
      </c>
      <c r="F1335" t="s">
        <v>137</v>
      </c>
      <c r="G1335" t="s">
        <v>45</v>
      </c>
      <c r="H1335" s="92" t="s">
        <v>965</v>
      </c>
      <c r="I1335">
        <v>12</v>
      </c>
      <c r="J1335" s="46">
        <v>16680</v>
      </c>
      <c r="K1335" s="50" t="s">
        <v>771</v>
      </c>
      <c r="L1335" s="23">
        <v>16680</v>
      </c>
      <c r="M1335" s="46"/>
    </row>
    <row r="1336" spans="2:13" x14ac:dyDescent="0.25">
      <c r="B1336" s="5">
        <v>44623</v>
      </c>
      <c r="C1336" s="5" t="s">
        <v>784</v>
      </c>
      <c r="D1336" s="35">
        <v>2022</v>
      </c>
      <c r="E1336" t="s">
        <v>356</v>
      </c>
      <c r="F1336" t="s">
        <v>503</v>
      </c>
      <c r="G1336" t="s">
        <v>874</v>
      </c>
      <c r="H1336" s="92" t="s">
        <v>966</v>
      </c>
      <c r="I1336">
        <v>1</v>
      </c>
      <c r="J1336" s="46">
        <v>1770</v>
      </c>
      <c r="K1336" s="50" t="s">
        <v>771</v>
      </c>
      <c r="L1336" s="46">
        <v>1770</v>
      </c>
      <c r="M1336" s="46"/>
    </row>
    <row r="1337" spans="2:13" x14ac:dyDescent="0.25">
      <c r="B1337" s="5">
        <v>44623</v>
      </c>
      <c r="C1337" s="5" t="s">
        <v>784</v>
      </c>
      <c r="D1337" s="35">
        <v>2022</v>
      </c>
      <c r="E1337" t="s">
        <v>599</v>
      </c>
      <c r="F1337" t="s">
        <v>875</v>
      </c>
      <c r="G1337" t="s">
        <v>249</v>
      </c>
      <c r="H1337" s="92" t="s">
        <v>972</v>
      </c>
      <c r="I1337">
        <v>1</v>
      </c>
      <c r="J1337" s="46">
        <v>1080</v>
      </c>
      <c r="K1337" s="50" t="s">
        <v>771</v>
      </c>
      <c r="L1337" s="46">
        <v>1080</v>
      </c>
      <c r="M1337" s="46"/>
    </row>
    <row r="1338" spans="2:13" x14ac:dyDescent="0.25">
      <c r="B1338" s="5">
        <v>44623</v>
      </c>
      <c r="C1338" s="5" t="s">
        <v>784</v>
      </c>
      <c r="D1338" s="35">
        <v>2022</v>
      </c>
      <c r="E1338" t="s">
        <v>599</v>
      </c>
      <c r="F1338" t="s">
        <v>875</v>
      </c>
      <c r="G1338" t="s">
        <v>432</v>
      </c>
      <c r="H1338" s="24" t="s">
        <v>976</v>
      </c>
      <c r="I1338">
        <v>1</v>
      </c>
      <c r="J1338" s="46">
        <v>3580</v>
      </c>
      <c r="K1338" s="50" t="s">
        <v>771</v>
      </c>
      <c r="L1338" s="46">
        <v>3580</v>
      </c>
      <c r="M1338" s="46"/>
    </row>
    <row r="1339" spans="2:13" x14ac:dyDescent="0.25">
      <c r="B1339" s="5">
        <v>44623</v>
      </c>
      <c r="C1339" s="5" t="s">
        <v>784</v>
      </c>
      <c r="D1339" s="35">
        <v>2022</v>
      </c>
      <c r="E1339" t="s">
        <v>599</v>
      </c>
      <c r="F1339" t="s">
        <v>712</v>
      </c>
      <c r="G1339" t="s">
        <v>128</v>
      </c>
      <c r="H1339" s="92" t="s">
        <v>965</v>
      </c>
      <c r="I1339">
        <v>2</v>
      </c>
      <c r="J1339" s="46">
        <v>2480</v>
      </c>
      <c r="K1339" s="50" t="s">
        <v>771</v>
      </c>
      <c r="L1339" s="46">
        <v>2480</v>
      </c>
      <c r="M1339" s="46"/>
    </row>
    <row r="1340" spans="2:13" x14ac:dyDescent="0.25">
      <c r="B1340" s="5">
        <v>44623</v>
      </c>
      <c r="C1340" s="5" t="s">
        <v>784</v>
      </c>
      <c r="D1340" s="35">
        <v>2022</v>
      </c>
      <c r="E1340" t="s">
        <v>599</v>
      </c>
      <c r="F1340" t="s">
        <v>876</v>
      </c>
      <c r="G1340" t="s">
        <v>55</v>
      </c>
      <c r="H1340" s="92" t="s">
        <v>965</v>
      </c>
      <c r="I1340">
        <v>1</v>
      </c>
      <c r="J1340" s="46">
        <v>1390</v>
      </c>
      <c r="K1340" s="50" t="s">
        <v>771</v>
      </c>
      <c r="L1340" s="46">
        <v>1390</v>
      </c>
      <c r="M1340" s="46"/>
    </row>
    <row r="1341" spans="2:13" x14ac:dyDescent="0.25">
      <c r="B1341" s="5">
        <v>44623</v>
      </c>
      <c r="C1341" s="5" t="s">
        <v>784</v>
      </c>
      <c r="D1341" s="35">
        <v>2022</v>
      </c>
      <c r="E1341" t="s">
        <v>599</v>
      </c>
      <c r="F1341" t="s">
        <v>877</v>
      </c>
      <c r="G1341" t="s">
        <v>125</v>
      </c>
      <c r="H1341" s="92" t="s">
        <v>971</v>
      </c>
      <c r="I1341">
        <v>1</v>
      </c>
      <c r="J1341" s="46">
        <v>510</v>
      </c>
      <c r="K1341" s="50" t="s">
        <v>771</v>
      </c>
      <c r="L1341" s="46">
        <v>510</v>
      </c>
      <c r="M1341" s="46"/>
    </row>
    <row r="1342" spans="2:13" x14ac:dyDescent="0.25">
      <c r="B1342" s="5">
        <v>44623</v>
      </c>
      <c r="C1342" s="5" t="s">
        <v>784</v>
      </c>
      <c r="D1342" s="35">
        <v>2022</v>
      </c>
      <c r="E1342" t="s">
        <v>599</v>
      </c>
      <c r="F1342" t="s">
        <v>698</v>
      </c>
      <c r="G1342" t="s">
        <v>380</v>
      </c>
      <c r="H1342" s="92" t="s">
        <v>972</v>
      </c>
      <c r="I1342">
        <v>1</v>
      </c>
      <c r="J1342" s="46">
        <v>600</v>
      </c>
      <c r="K1342" s="50" t="s">
        <v>771</v>
      </c>
      <c r="L1342" s="46">
        <v>600</v>
      </c>
      <c r="M1342" s="46"/>
    </row>
    <row r="1343" spans="2:13" x14ac:dyDescent="0.25">
      <c r="B1343" s="5">
        <v>44623</v>
      </c>
      <c r="C1343" s="5" t="s">
        <v>784</v>
      </c>
      <c r="D1343" s="35">
        <v>2022</v>
      </c>
      <c r="E1343" t="s">
        <v>599</v>
      </c>
      <c r="F1343" t="s">
        <v>698</v>
      </c>
      <c r="G1343" t="s">
        <v>840</v>
      </c>
      <c r="H1343" s="92" t="s">
        <v>977</v>
      </c>
      <c r="I1343">
        <v>2</v>
      </c>
      <c r="J1343" s="46">
        <v>260</v>
      </c>
      <c r="K1343" s="50" t="s">
        <v>771</v>
      </c>
      <c r="L1343" s="46">
        <v>260</v>
      </c>
      <c r="M1343" s="46"/>
    </row>
    <row r="1344" spans="2:13" x14ac:dyDescent="0.25">
      <c r="B1344" s="5">
        <v>44623</v>
      </c>
      <c r="C1344" s="5" t="s">
        <v>784</v>
      </c>
      <c r="D1344" s="35">
        <v>2022</v>
      </c>
      <c r="E1344" t="s">
        <v>599</v>
      </c>
      <c r="F1344" t="s">
        <v>807</v>
      </c>
      <c r="G1344" t="s">
        <v>838</v>
      </c>
      <c r="H1344" s="92" t="s">
        <v>967</v>
      </c>
      <c r="I1344">
        <v>1</v>
      </c>
      <c r="J1344" s="46">
        <v>2550</v>
      </c>
      <c r="K1344" s="50" t="s">
        <v>771</v>
      </c>
      <c r="L1344" s="46">
        <v>2550</v>
      </c>
      <c r="M1344" s="46"/>
    </row>
    <row r="1345" spans="2:13" x14ac:dyDescent="0.25">
      <c r="B1345" s="5">
        <v>44623</v>
      </c>
      <c r="C1345" s="5" t="s">
        <v>784</v>
      </c>
      <c r="D1345" s="35">
        <v>2022</v>
      </c>
      <c r="E1345" t="s">
        <v>599</v>
      </c>
      <c r="F1345" t="s">
        <v>808</v>
      </c>
      <c r="G1345" t="s">
        <v>879</v>
      </c>
      <c r="H1345" s="24" t="s">
        <v>968</v>
      </c>
      <c r="I1345">
        <v>3</v>
      </c>
      <c r="J1345" s="46">
        <v>3600</v>
      </c>
      <c r="K1345" s="50" t="s">
        <v>771</v>
      </c>
      <c r="L1345" s="46">
        <v>3600</v>
      </c>
      <c r="M1345" s="46"/>
    </row>
    <row r="1346" spans="2:13" x14ac:dyDescent="0.25">
      <c r="B1346" s="5">
        <v>44623</v>
      </c>
      <c r="C1346" s="5" t="s">
        <v>784</v>
      </c>
      <c r="D1346" s="35">
        <v>2022</v>
      </c>
      <c r="E1346" t="s">
        <v>599</v>
      </c>
      <c r="F1346" t="s">
        <v>699</v>
      </c>
      <c r="G1346" t="s">
        <v>249</v>
      </c>
      <c r="H1346" s="92" t="s">
        <v>972</v>
      </c>
      <c r="I1346">
        <v>1</v>
      </c>
      <c r="J1346" s="46">
        <v>1080</v>
      </c>
      <c r="K1346" s="50" t="s">
        <v>771</v>
      </c>
      <c r="L1346" s="46">
        <v>1080</v>
      </c>
      <c r="M1346" s="46"/>
    </row>
    <row r="1347" spans="2:13" x14ac:dyDescent="0.25">
      <c r="B1347" s="5">
        <v>44623</v>
      </c>
      <c r="C1347" s="5" t="s">
        <v>784</v>
      </c>
      <c r="D1347" s="35">
        <v>2022</v>
      </c>
      <c r="E1347" t="s">
        <v>599</v>
      </c>
      <c r="F1347" t="s">
        <v>878</v>
      </c>
      <c r="G1347" t="s">
        <v>249</v>
      </c>
      <c r="H1347" s="92" t="s">
        <v>972</v>
      </c>
      <c r="I1347">
        <v>1</v>
      </c>
      <c r="J1347" s="46">
        <v>1080</v>
      </c>
      <c r="K1347" s="50" t="s">
        <v>771</v>
      </c>
      <c r="L1347" s="46">
        <v>1080</v>
      </c>
      <c r="M1347" s="46"/>
    </row>
    <row r="1348" spans="2:13" x14ac:dyDescent="0.25">
      <c r="B1348" s="5">
        <v>44623</v>
      </c>
      <c r="C1348" s="5" t="s">
        <v>784</v>
      </c>
      <c r="D1348" s="35">
        <v>2022</v>
      </c>
      <c r="E1348" t="s">
        <v>599</v>
      </c>
      <c r="F1348" t="s">
        <v>717</v>
      </c>
      <c r="G1348" t="s">
        <v>380</v>
      </c>
      <c r="H1348" s="92" t="s">
        <v>972</v>
      </c>
      <c r="I1348">
        <v>1</v>
      </c>
      <c r="J1348" s="46">
        <v>600</v>
      </c>
      <c r="K1348" s="50" t="s">
        <v>771</v>
      </c>
      <c r="L1348" s="46">
        <v>600</v>
      </c>
      <c r="M1348" s="46"/>
    </row>
    <row r="1349" spans="2:13" x14ac:dyDescent="0.25">
      <c r="B1349" s="5">
        <v>44623</v>
      </c>
      <c r="C1349" s="5" t="s">
        <v>784</v>
      </c>
      <c r="D1349" s="35">
        <v>2022</v>
      </c>
      <c r="E1349" t="s">
        <v>599</v>
      </c>
      <c r="F1349" t="s">
        <v>701</v>
      </c>
      <c r="G1349" t="s">
        <v>451</v>
      </c>
      <c r="H1349" s="92" t="s">
        <v>977</v>
      </c>
      <c r="I1349">
        <v>1</v>
      </c>
      <c r="J1349" s="46">
        <v>1510</v>
      </c>
      <c r="K1349" s="50" t="s">
        <v>771</v>
      </c>
      <c r="L1349" s="46">
        <v>1510</v>
      </c>
      <c r="M1349" s="46"/>
    </row>
    <row r="1350" spans="2:13" x14ac:dyDescent="0.25">
      <c r="B1350" s="5">
        <v>44623</v>
      </c>
      <c r="C1350" s="5" t="s">
        <v>784</v>
      </c>
      <c r="D1350" s="35">
        <v>2022</v>
      </c>
      <c r="E1350" t="s">
        <v>599</v>
      </c>
      <c r="F1350" t="s">
        <v>701</v>
      </c>
      <c r="G1350" t="s">
        <v>880</v>
      </c>
      <c r="H1350" s="92" t="s">
        <v>977</v>
      </c>
      <c r="I1350">
        <v>1</v>
      </c>
      <c r="J1350" s="46">
        <v>1510</v>
      </c>
      <c r="K1350" s="50" t="s">
        <v>771</v>
      </c>
      <c r="L1350" s="46">
        <v>1510</v>
      </c>
      <c r="M1350" s="46"/>
    </row>
    <row r="1351" spans="2:13" x14ac:dyDescent="0.25">
      <c r="B1351" s="5">
        <v>44623</v>
      </c>
      <c r="C1351" s="5" t="s">
        <v>784</v>
      </c>
      <c r="D1351" s="35">
        <v>2022</v>
      </c>
      <c r="E1351" t="s">
        <v>417</v>
      </c>
      <c r="F1351" t="s">
        <v>814</v>
      </c>
      <c r="G1351" t="s">
        <v>380</v>
      </c>
      <c r="H1351" s="92" t="s">
        <v>972</v>
      </c>
      <c r="I1351">
        <v>1</v>
      </c>
      <c r="J1351" s="46">
        <v>600</v>
      </c>
      <c r="K1351" s="50" t="s">
        <v>771</v>
      </c>
      <c r="L1351" s="46">
        <v>600</v>
      </c>
      <c r="M1351" s="46"/>
    </row>
    <row r="1352" spans="2:13" x14ac:dyDescent="0.25">
      <c r="B1352" s="5">
        <v>44623</v>
      </c>
      <c r="C1352" s="5" t="s">
        <v>784</v>
      </c>
      <c r="D1352" s="35">
        <v>2022</v>
      </c>
      <c r="E1352" t="s">
        <v>417</v>
      </c>
      <c r="F1352" t="s">
        <v>815</v>
      </c>
      <c r="G1352" t="s">
        <v>123</v>
      </c>
      <c r="H1352" s="92" t="s">
        <v>966</v>
      </c>
      <c r="I1352">
        <v>2</v>
      </c>
      <c r="J1352" s="46">
        <v>3500</v>
      </c>
      <c r="K1352" s="50" t="s">
        <v>771</v>
      </c>
      <c r="L1352" s="46">
        <v>3500</v>
      </c>
      <c r="M1352" s="46"/>
    </row>
    <row r="1353" spans="2:13" x14ac:dyDescent="0.25">
      <c r="B1353" s="5">
        <v>44623</v>
      </c>
      <c r="C1353" s="5" t="s">
        <v>784</v>
      </c>
      <c r="D1353" s="35">
        <v>2022</v>
      </c>
      <c r="E1353" t="s">
        <v>417</v>
      </c>
      <c r="F1353" t="s">
        <v>816</v>
      </c>
      <c r="G1353" t="s">
        <v>432</v>
      </c>
      <c r="H1353" s="24" t="s">
        <v>976</v>
      </c>
      <c r="I1353">
        <v>2</v>
      </c>
      <c r="J1353" s="46">
        <v>7160</v>
      </c>
      <c r="K1353" s="50" t="s">
        <v>771</v>
      </c>
      <c r="L1353" s="46">
        <v>7160</v>
      </c>
      <c r="M1353" s="46"/>
    </row>
    <row r="1354" spans="2:13" x14ac:dyDescent="0.25">
      <c r="B1354" s="5">
        <v>44623</v>
      </c>
      <c r="C1354" s="5" t="s">
        <v>784</v>
      </c>
      <c r="D1354" s="35">
        <v>2022</v>
      </c>
      <c r="E1354" t="s">
        <v>417</v>
      </c>
      <c r="F1354" t="s">
        <v>881</v>
      </c>
      <c r="G1354" t="s">
        <v>123</v>
      </c>
      <c r="H1354" s="92" t="s">
        <v>966</v>
      </c>
      <c r="I1354">
        <v>1</v>
      </c>
      <c r="J1354" s="46">
        <v>1750</v>
      </c>
      <c r="K1354" s="50" t="s">
        <v>771</v>
      </c>
      <c r="L1354" s="46">
        <v>1750</v>
      </c>
      <c r="M1354" s="46"/>
    </row>
    <row r="1355" spans="2:13" x14ac:dyDescent="0.25">
      <c r="B1355" s="5">
        <v>44623</v>
      </c>
      <c r="C1355" s="5" t="s">
        <v>784</v>
      </c>
      <c r="D1355" s="35">
        <v>2022</v>
      </c>
      <c r="E1355" t="s">
        <v>417</v>
      </c>
      <c r="F1355" t="s">
        <v>882</v>
      </c>
      <c r="G1355" t="s">
        <v>380</v>
      </c>
      <c r="H1355" s="92" t="s">
        <v>972</v>
      </c>
      <c r="I1355">
        <v>2</v>
      </c>
      <c r="J1355" s="46">
        <v>1200</v>
      </c>
      <c r="K1355" s="50" t="s">
        <v>771</v>
      </c>
      <c r="L1355" s="46">
        <v>1200</v>
      </c>
      <c r="M1355" s="46"/>
    </row>
    <row r="1356" spans="2:13" x14ac:dyDescent="0.25">
      <c r="B1356" s="5">
        <v>44623</v>
      </c>
      <c r="C1356" s="5" t="s">
        <v>784</v>
      </c>
      <c r="D1356" s="35">
        <v>2022</v>
      </c>
      <c r="E1356" t="s">
        <v>445</v>
      </c>
      <c r="F1356" t="s">
        <v>883</v>
      </c>
      <c r="G1356" t="s">
        <v>123</v>
      </c>
      <c r="H1356" s="92" t="s">
        <v>966</v>
      </c>
      <c r="I1356">
        <v>5</v>
      </c>
      <c r="J1356" s="46">
        <v>8750</v>
      </c>
      <c r="K1356" s="50" t="s">
        <v>771</v>
      </c>
      <c r="L1356" s="46">
        <v>8750</v>
      </c>
      <c r="M1356" s="46"/>
    </row>
    <row r="1357" spans="2:13" x14ac:dyDescent="0.25">
      <c r="B1357" s="5">
        <v>44623</v>
      </c>
      <c r="C1357" s="5" t="s">
        <v>784</v>
      </c>
      <c r="D1357" s="35">
        <v>2022</v>
      </c>
      <c r="E1357" t="s">
        <v>445</v>
      </c>
      <c r="F1357" t="s">
        <v>884</v>
      </c>
      <c r="G1357" t="s">
        <v>885</v>
      </c>
      <c r="H1357" s="92" t="s">
        <v>967</v>
      </c>
      <c r="I1357">
        <v>2</v>
      </c>
      <c r="J1357" s="46">
        <v>5100</v>
      </c>
      <c r="K1357" s="50" t="s">
        <v>771</v>
      </c>
      <c r="L1357" s="46">
        <v>5100</v>
      </c>
      <c r="M1357" s="46"/>
    </row>
    <row r="1358" spans="2:13" x14ac:dyDescent="0.25">
      <c r="B1358" s="5">
        <v>44623</v>
      </c>
      <c r="C1358" s="5" t="s">
        <v>784</v>
      </c>
      <c r="D1358" s="35">
        <v>2022</v>
      </c>
      <c r="E1358" t="s">
        <v>445</v>
      </c>
      <c r="F1358" t="s">
        <v>884</v>
      </c>
      <c r="G1358" t="s">
        <v>838</v>
      </c>
      <c r="H1358" s="92" t="s">
        <v>967</v>
      </c>
      <c r="I1358">
        <v>3</v>
      </c>
      <c r="J1358" s="46">
        <v>7650</v>
      </c>
      <c r="K1358" s="50" t="s">
        <v>771</v>
      </c>
      <c r="L1358" s="46">
        <v>7650</v>
      </c>
      <c r="M1358" s="46"/>
    </row>
    <row r="1359" spans="2:13" x14ac:dyDescent="0.25">
      <c r="B1359" s="5">
        <v>44623</v>
      </c>
      <c r="C1359" s="5" t="s">
        <v>784</v>
      </c>
      <c r="D1359" s="35">
        <v>2022</v>
      </c>
      <c r="E1359" t="s">
        <v>458</v>
      </c>
      <c r="F1359" t="s">
        <v>383</v>
      </c>
      <c r="G1359" t="s">
        <v>55</v>
      </c>
      <c r="H1359" s="92" t="s">
        <v>965</v>
      </c>
      <c r="I1359">
        <v>1</v>
      </c>
      <c r="J1359" s="46">
        <v>1390</v>
      </c>
      <c r="K1359" s="50" t="s">
        <v>771</v>
      </c>
      <c r="L1359" s="46">
        <v>1390</v>
      </c>
      <c r="M1359" s="46"/>
    </row>
    <row r="1360" spans="2:13" x14ac:dyDescent="0.25">
      <c r="B1360" s="5">
        <v>44623</v>
      </c>
      <c r="C1360" s="5" t="s">
        <v>784</v>
      </c>
      <c r="D1360" s="35">
        <v>2022</v>
      </c>
      <c r="E1360" t="s">
        <v>458</v>
      </c>
      <c r="F1360" t="s">
        <v>271</v>
      </c>
      <c r="G1360" t="s">
        <v>55</v>
      </c>
      <c r="H1360" s="92" t="s">
        <v>965</v>
      </c>
      <c r="I1360">
        <v>1</v>
      </c>
      <c r="J1360" s="46">
        <v>1390</v>
      </c>
      <c r="K1360" s="50" t="s">
        <v>771</v>
      </c>
      <c r="L1360" s="46">
        <v>1390</v>
      </c>
      <c r="M1360" s="46"/>
    </row>
    <row r="1361" spans="2:14" x14ac:dyDescent="0.25">
      <c r="B1361" s="5">
        <v>44623</v>
      </c>
      <c r="C1361" s="5" t="s">
        <v>784</v>
      </c>
      <c r="D1361" s="35">
        <v>2022</v>
      </c>
      <c r="E1361" t="s">
        <v>458</v>
      </c>
      <c r="F1361" t="s">
        <v>743</v>
      </c>
      <c r="G1361" t="s">
        <v>55</v>
      </c>
      <c r="H1361" s="92" t="s">
        <v>965</v>
      </c>
      <c r="I1361">
        <v>1</v>
      </c>
      <c r="J1361" s="46">
        <v>1390</v>
      </c>
      <c r="K1361" s="50" t="s">
        <v>771</v>
      </c>
      <c r="L1361" s="46">
        <v>1390</v>
      </c>
      <c r="M1361" s="46"/>
    </row>
    <row r="1362" spans="2:14" x14ac:dyDescent="0.25">
      <c r="B1362" s="5">
        <v>44623</v>
      </c>
      <c r="C1362" s="5" t="s">
        <v>784</v>
      </c>
      <c r="D1362" s="35">
        <v>2022</v>
      </c>
      <c r="E1362" t="s">
        <v>458</v>
      </c>
      <c r="F1362" t="s">
        <v>385</v>
      </c>
      <c r="G1362" t="s">
        <v>55</v>
      </c>
      <c r="H1362" s="92" t="s">
        <v>965</v>
      </c>
      <c r="I1362">
        <v>1</v>
      </c>
      <c r="J1362" s="46">
        <v>1390</v>
      </c>
      <c r="K1362" s="50" t="s">
        <v>771</v>
      </c>
      <c r="L1362" s="46">
        <v>1390</v>
      </c>
      <c r="M1362" s="46"/>
    </row>
    <row r="1363" spans="2:14" x14ac:dyDescent="0.25">
      <c r="B1363" s="5">
        <v>44623</v>
      </c>
      <c r="C1363" s="5" t="s">
        <v>784</v>
      </c>
      <c r="D1363" s="35">
        <v>2022</v>
      </c>
      <c r="E1363" t="s">
        <v>458</v>
      </c>
      <c r="F1363" t="s">
        <v>21</v>
      </c>
      <c r="G1363" t="s">
        <v>126</v>
      </c>
      <c r="H1363" s="92" t="s">
        <v>965</v>
      </c>
      <c r="I1363">
        <v>1</v>
      </c>
      <c r="J1363" s="46">
        <v>1410</v>
      </c>
      <c r="K1363" s="50" t="s">
        <v>771</v>
      </c>
      <c r="L1363" s="46">
        <v>1410</v>
      </c>
      <c r="M1363" s="46"/>
    </row>
    <row r="1364" spans="2:14" x14ac:dyDescent="0.25">
      <c r="B1364" s="5">
        <v>44623</v>
      </c>
      <c r="C1364" s="5" t="s">
        <v>784</v>
      </c>
      <c r="D1364" s="35">
        <v>2022</v>
      </c>
      <c r="E1364" t="s">
        <v>458</v>
      </c>
      <c r="F1364" t="s">
        <v>21</v>
      </c>
      <c r="G1364" t="s">
        <v>45</v>
      </c>
      <c r="H1364" s="92" t="s">
        <v>965</v>
      </c>
      <c r="I1364">
        <v>1</v>
      </c>
      <c r="J1364" s="46">
        <v>1390</v>
      </c>
      <c r="K1364" s="50" t="s">
        <v>771</v>
      </c>
      <c r="L1364" s="46">
        <v>1390</v>
      </c>
      <c r="M1364" s="46"/>
    </row>
    <row r="1365" spans="2:14" x14ac:dyDescent="0.25">
      <c r="B1365" s="5">
        <v>44623</v>
      </c>
      <c r="C1365" s="5" t="s">
        <v>784</v>
      </c>
      <c r="D1365" s="35">
        <v>2022</v>
      </c>
      <c r="E1365" t="s">
        <v>458</v>
      </c>
      <c r="F1365" t="s">
        <v>744</v>
      </c>
      <c r="G1365" t="s">
        <v>128</v>
      </c>
      <c r="H1365" s="92" t="s">
        <v>965</v>
      </c>
      <c r="I1365">
        <v>1</v>
      </c>
      <c r="J1365" s="46">
        <v>1240</v>
      </c>
      <c r="K1365" s="50" t="s">
        <v>771</v>
      </c>
      <c r="L1365" s="46">
        <v>1240</v>
      </c>
      <c r="M1365" s="46"/>
    </row>
    <row r="1366" spans="2:14" x14ac:dyDescent="0.25">
      <c r="B1366" s="5">
        <v>44623</v>
      </c>
      <c r="C1366" s="5" t="s">
        <v>784</v>
      </c>
      <c r="D1366" s="35">
        <v>2022</v>
      </c>
      <c r="E1366" t="s">
        <v>458</v>
      </c>
      <c r="F1366" t="s">
        <v>886</v>
      </c>
      <c r="G1366" t="s">
        <v>55</v>
      </c>
      <c r="H1366" s="92" t="s">
        <v>965</v>
      </c>
      <c r="I1366">
        <v>1</v>
      </c>
      <c r="J1366" s="46">
        <v>1390</v>
      </c>
      <c r="K1366" s="50" t="s">
        <v>771</v>
      </c>
      <c r="L1366" s="46">
        <v>1390</v>
      </c>
      <c r="M1366" s="46"/>
    </row>
    <row r="1367" spans="2:14" x14ac:dyDescent="0.25">
      <c r="B1367" s="5">
        <v>44623</v>
      </c>
      <c r="C1367" s="5" t="s">
        <v>784</v>
      </c>
      <c r="D1367" s="35">
        <v>2022</v>
      </c>
      <c r="E1367" t="s">
        <v>458</v>
      </c>
      <c r="F1367" t="s">
        <v>30</v>
      </c>
      <c r="G1367" t="s">
        <v>55</v>
      </c>
      <c r="H1367" s="92" t="s">
        <v>965</v>
      </c>
      <c r="I1367">
        <v>1</v>
      </c>
      <c r="J1367" s="46">
        <v>1390</v>
      </c>
      <c r="K1367" s="50" t="s">
        <v>771</v>
      </c>
      <c r="L1367" s="46">
        <v>1390</v>
      </c>
      <c r="M1367" s="46"/>
    </row>
    <row r="1368" spans="2:14" x14ac:dyDescent="0.25">
      <c r="B1368" s="5">
        <v>44623</v>
      </c>
      <c r="C1368" s="5" t="s">
        <v>784</v>
      </c>
      <c r="D1368" s="35">
        <v>2022</v>
      </c>
      <c r="E1368" t="s">
        <v>458</v>
      </c>
      <c r="F1368" t="s">
        <v>887</v>
      </c>
      <c r="G1368" t="s">
        <v>476</v>
      </c>
      <c r="H1368" s="92" t="s">
        <v>969</v>
      </c>
      <c r="I1368">
        <v>1</v>
      </c>
      <c r="J1368" s="46">
        <v>6000</v>
      </c>
      <c r="K1368" s="50" t="s">
        <v>771</v>
      </c>
      <c r="L1368" s="46">
        <v>6000</v>
      </c>
      <c r="M1368" s="46"/>
    </row>
    <row r="1369" spans="2:14" x14ac:dyDescent="0.25">
      <c r="B1369" s="5">
        <v>44624</v>
      </c>
      <c r="C1369" s="5" t="s">
        <v>784</v>
      </c>
      <c r="D1369" s="35">
        <v>2022</v>
      </c>
      <c r="E1369" t="s">
        <v>22</v>
      </c>
      <c r="F1369" t="s">
        <v>307</v>
      </c>
      <c r="G1369" t="s">
        <v>880</v>
      </c>
      <c r="H1369" s="92" t="s">
        <v>977</v>
      </c>
      <c r="I1369">
        <v>2</v>
      </c>
      <c r="J1369" s="46">
        <v>3020</v>
      </c>
      <c r="K1369" s="50" t="s">
        <v>771</v>
      </c>
      <c r="L1369" s="195">
        <v>1510</v>
      </c>
      <c r="M1369" s="195">
        <v>1510</v>
      </c>
    </row>
    <row r="1370" spans="2:14" x14ac:dyDescent="0.25">
      <c r="B1370" s="5">
        <v>44624</v>
      </c>
      <c r="C1370" s="5" t="s">
        <v>784</v>
      </c>
      <c r="D1370" s="35">
        <v>2022</v>
      </c>
      <c r="E1370" t="s">
        <v>22</v>
      </c>
      <c r="F1370" t="s">
        <v>346</v>
      </c>
      <c r="G1370" t="s">
        <v>58</v>
      </c>
      <c r="H1370" s="92" t="s">
        <v>969</v>
      </c>
      <c r="I1370">
        <v>1</v>
      </c>
      <c r="J1370" s="46">
        <v>2530</v>
      </c>
      <c r="K1370" s="50" t="s">
        <v>771</v>
      </c>
      <c r="L1370" s="46">
        <v>2530</v>
      </c>
      <c r="M1370" s="122"/>
      <c r="N1370" s="153"/>
    </row>
    <row r="1371" spans="2:14" x14ac:dyDescent="0.25">
      <c r="B1371" s="5">
        <v>44624</v>
      </c>
      <c r="C1371" s="5" t="s">
        <v>784</v>
      </c>
      <c r="D1371" s="35">
        <v>2022</v>
      </c>
      <c r="E1371" t="s">
        <v>22</v>
      </c>
      <c r="F1371" t="s">
        <v>346</v>
      </c>
      <c r="G1371" t="s">
        <v>321</v>
      </c>
      <c r="H1371" s="92" t="s">
        <v>967</v>
      </c>
      <c r="I1371">
        <v>1</v>
      </c>
      <c r="J1371" s="46">
        <v>2550</v>
      </c>
      <c r="K1371" s="50" t="s">
        <v>771</v>
      </c>
      <c r="L1371" s="46">
        <v>2550</v>
      </c>
      <c r="M1371" s="122"/>
    </row>
    <row r="1372" spans="2:14" x14ac:dyDescent="0.25">
      <c r="B1372" s="5">
        <v>44624</v>
      </c>
      <c r="C1372" s="5" t="s">
        <v>784</v>
      </c>
      <c r="D1372" s="35">
        <v>2022</v>
      </c>
      <c r="E1372" t="s">
        <v>22</v>
      </c>
      <c r="F1372" t="s">
        <v>237</v>
      </c>
      <c r="G1372" t="s">
        <v>269</v>
      </c>
      <c r="H1372" s="92" t="s">
        <v>983</v>
      </c>
      <c r="I1372">
        <v>2</v>
      </c>
      <c r="J1372" s="46">
        <v>580</v>
      </c>
      <c r="K1372" s="50" t="s">
        <v>771</v>
      </c>
      <c r="L1372" s="46">
        <v>580</v>
      </c>
      <c r="M1372" s="122"/>
    </row>
    <row r="1373" spans="2:14" x14ac:dyDescent="0.25">
      <c r="B1373" s="5">
        <v>44624</v>
      </c>
      <c r="C1373" s="5" t="s">
        <v>784</v>
      </c>
      <c r="D1373" s="35">
        <v>2022</v>
      </c>
      <c r="E1373" t="s">
        <v>22</v>
      </c>
      <c r="F1373" t="s">
        <v>131</v>
      </c>
      <c r="G1373" t="s">
        <v>45</v>
      </c>
      <c r="H1373" s="92" t="s">
        <v>965</v>
      </c>
      <c r="I1373">
        <v>10</v>
      </c>
      <c r="J1373" s="46">
        <v>13900</v>
      </c>
      <c r="K1373" s="50" t="s">
        <v>771</v>
      </c>
      <c r="L1373" s="46">
        <v>13900</v>
      </c>
      <c r="M1373" s="122"/>
    </row>
    <row r="1374" spans="2:14" x14ac:dyDescent="0.25">
      <c r="B1374" s="5">
        <v>44624</v>
      </c>
      <c r="C1374" s="5" t="s">
        <v>784</v>
      </c>
      <c r="D1374" s="35">
        <v>2022</v>
      </c>
      <c r="E1374" t="s">
        <v>22</v>
      </c>
      <c r="F1374" t="s">
        <v>500</v>
      </c>
      <c r="G1374" t="s">
        <v>128</v>
      </c>
      <c r="H1374" s="92" t="s">
        <v>965</v>
      </c>
      <c r="I1374">
        <v>1</v>
      </c>
      <c r="J1374" s="46">
        <v>1240</v>
      </c>
      <c r="K1374" s="50" t="s">
        <v>771</v>
      </c>
      <c r="L1374" s="46">
        <v>1240</v>
      </c>
      <c r="M1374" s="122"/>
    </row>
    <row r="1375" spans="2:14" x14ac:dyDescent="0.25">
      <c r="B1375" s="5">
        <v>44624</v>
      </c>
      <c r="C1375" s="5" t="s">
        <v>784</v>
      </c>
      <c r="D1375" s="35">
        <v>2022</v>
      </c>
      <c r="E1375" t="s">
        <v>22</v>
      </c>
      <c r="F1375" t="s">
        <v>500</v>
      </c>
      <c r="G1375" t="s">
        <v>323</v>
      </c>
      <c r="H1375" s="92" t="s">
        <v>981</v>
      </c>
      <c r="I1375">
        <v>1</v>
      </c>
      <c r="J1375" s="46">
        <v>310</v>
      </c>
      <c r="K1375" s="50" t="s">
        <v>771</v>
      </c>
      <c r="L1375" s="46">
        <v>310</v>
      </c>
      <c r="M1375" s="122"/>
    </row>
    <row r="1376" spans="2:14" x14ac:dyDescent="0.25">
      <c r="B1376" s="5">
        <v>44624</v>
      </c>
      <c r="C1376" s="5" t="s">
        <v>784</v>
      </c>
      <c r="D1376" s="35">
        <v>2022</v>
      </c>
      <c r="E1376" t="s">
        <v>22</v>
      </c>
      <c r="F1376" t="s">
        <v>574</v>
      </c>
      <c r="G1376" t="s">
        <v>125</v>
      </c>
      <c r="H1376" s="92" t="s">
        <v>971</v>
      </c>
      <c r="I1376">
        <v>2</v>
      </c>
      <c r="J1376" s="46">
        <v>1020</v>
      </c>
      <c r="K1376" s="50" t="s">
        <v>771</v>
      </c>
      <c r="L1376" s="46">
        <v>1020</v>
      </c>
      <c r="M1376" s="122"/>
    </row>
    <row r="1377" spans="2:13" x14ac:dyDescent="0.25">
      <c r="B1377" s="5">
        <v>44624</v>
      </c>
      <c r="C1377" s="5" t="s">
        <v>784</v>
      </c>
      <c r="D1377" s="35">
        <v>2022</v>
      </c>
      <c r="E1377" t="s">
        <v>22</v>
      </c>
      <c r="F1377" t="s">
        <v>893</v>
      </c>
      <c r="G1377" t="s">
        <v>894</v>
      </c>
      <c r="H1377" s="92" t="s">
        <v>979</v>
      </c>
      <c r="I1377">
        <v>1</v>
      </c>
      <c r="J1377" s="46">
        <v>320</v>
      </c>
      <c r="K1377" s="50" t="s">
        <v>771</v>
      </c>
      <c r="L1377" s="46">
        <v>320</v>
      </c>
      <c r="M1377" s="122"/>
    </row>
    <row r="1378" spans="2:13" x14ac:dyDescent="0.25">
      <c r="B1378" s="5">
        <v>44624</v>
      </c>
      <c r="C1378" s="5" t="s">
        <v>784</v>
      </c>
      <c r="D1378" s="35">
        <v>2022</v>
      </c>
      <c r="E1378" t="s">
        <v>22</v>
      </c>
      <c r="F1378" t="s">
        <v>502</v>
      </c>
      <c r="G1378" t="s">
        <v>128</v>
      </c>
      <c r="H1378" s="92" t="s">
        <v>965</v>
      </c>
      <c r="I1378">
        <v>1</v>
      </c>
      <c r="J1378" s="46">
        <v>1240</v>
      </c>
      <c r="K1378" s="50" t="s">
        <v>771</v>
      </c>
      <c r="L1378" s="46">
        <v>1240</v>
      </c>
      <c r="M1378" s="122"/>
    </row>
    <row r="1379" spans="2:13" x14ac:dyDescent="0.25">
      <c r="B1379" s="5">
        <v>44624</v>
      </c>
      <c r="C1379" s="5" t="s">
        <v>784</v>
      </c>
      <c r="D1379" s="35">
        <v>2022</v>
      </c>
      <c r="E1379" t="s">
        <v>356</v>
      </c>
      <c r="F1379" t="s">
        <v>504</v>
      </c>
      <c r="G1379" t="s">
        <v>126</v>
      </c>
      <c r="H1379" s="92" t="s">
        <v>965</v>
      </c>
      <c r="I1379">
        <v>1</v>
      </c>
      <c r="J1379" s="46">
        <v>1410</v>
      </c>
      <c r="K1379" s="50" t="s">
        <v>771</v>
      </c>
      <c r="L1379" s="46">
        <v>1410</v>
      </c>
      <c r="M1379" s="122"/>
    </row>
    <row r="1380" spans="2:13" x14ac:dyDescent="0.25">
      <c r="B1380" s="5">
        <v>44624</v>
      </c>
      <c r="C1380" s="5" t="s">
        <v>784</v>
      </c>
      <c r="D1380" s="35">
        <v>2022</v>
      </c>
      <c r="E1380" t="s">
        <v>356</v>
      </c>
      <c r="F1380" t="s">
        <v>504</v>
      </c>
      <c r="G1380" t="s">
        <v>45</v>
      </c>
      <c r="H1380" s="92" t="s">
        <v>965</v>
      </c>
      <c r="I1380">
        <v>1</v>
      </c>
      <c r="J1380" s="46">
        <v>1390</v>
      </c>
      <c r="K1380" s="50" t="s">
        <v>771</v>
      </c>
      <c r="L1380" s="46">
        <v>1390</v>
      </c>
      <c r="M1380" s="122"/>
    </row>
    <row r="1381" spans="2:13" x14ac:dyDescent="0.25">
      <c r="B1381" s="5">
        <v>44624</v>
      </c>
      <c r="C1381" s="5" t="s">
        <v>784</v>
      </c>
      <c r="D1381" s="35">
        <v>2022</v>
      </c>
      <c r="E1381" t="s">
        <v>356</v>
      </c>
      <c r="F1381" t="s">
        <v>504</v>
      </c>
      <c r="G1381" t="s">
        <v>123</v>
      </c>
      <c r="H1381" s="92" t="s">
        <v>966</v>
      </c>
      <c r="I1381">
        <v>1</v>
      </c>
      <c r="J1381" s="46">
        <v>1780</v>
      </c>
      <c r="K1381" s="50" t="s">
        <v>771</v>
      </c>
      <c r="L1381" s="46">
        <v>1780</v>
      </c>
      <c r="M1381" s="122"/>
    </row>
    <row r="1382" spans="2:13" x14ac:dyDescent="0.25">
      <c r="B1382" s="5">
        <v>44624</v>
      </c>
      <c r="C1382" s="5" t="s">
        <v>784</v>
      </c>
      <c r="D1382" s="35">
        <v>2022</v>
      </c>
      <c r="E1382" t="s">
        <v>356</v>
      </c>
      <c r="F1382" t="s">
        <v>57</v>
      </c>
      <c r="G1382" t="s">
        <v>45</v>
      </c>
      <c r="H1382" s="92" t="s">
        <v>965</v>
      </c>
      <c r="I1382">
        <v>5</v>
      </c>
      <c r="J1382" s="46">
        <v>6950</v>
      </c>
      <c r="K1382" s="50" t="s">
        <v>771</v>
      </c>
      <c r="L1382" s="46">
        <v>6950</v>
      </c>
      <c r="M1382" s="122"/>
    </row>
    <row r="1383" spans="2:13" x14ac:dyDescent="0.25">
      <c r="B1383" s="5">
        <v>44624</v>
      </c>
      <c r="C1383" s="5" t="s">
        <v>784</v>
      </c>
      <c r="D1383" s="35">
        <v>2022</v>
      </c>
      <c r="E1383" t="s">
        <v>356</v>
      </c>
      <c r="F1383" t="s">
        <v>57</v>
      </c>
      <c r="G1383" t="s">
        <v>123</v>
      </c>
      <c r="H1383" s="92" t="s">
        <v>966</v>
      </c>
      <c r="I1383">
        <v>10</v>
      </c>
      <c r="J1383" s="46">
        <v>17800</v>
      </c>
      <c r="K1383" s="50" t="s">
        <v>771</v>
      </c>
      <c r="L1383" s="46">
        <v>17800</v>
      </c>
      <c r="M1383" s="122"/>
    </row>
    <row r="1384" spans="2:13" x14ac:dyDescent="0.25">
      <c r="B1384" s="5">
        <v>44624</v>
      </c>
      <c r="C1384" s="5" t="s">
        <v>784</v>
      </c>
      <c r="D1384" s="35">
        <v>2022</v>
      </c>
      <c r="E1384" t="s">
        <v>356</v>
      </c>
      <c r="F1384" t="s">
        <v>895</v>
      </c>
      <c r="G1384" t="s">
        <v>123</v>
      </c>
      <c r="H1384" s="92" t="s">
        <v>966</v>
      </c>
      <c r="I1384">
        <v>3</v>
      </c>
      <c r="J1384" s="46">
        <v>4170</v>
      </c>
      <c r="K1384" s="50" t="s">
        <v>771</v>
      </c>
      <c r="L1384" s="195">
        <v>1390</v>
      </c>
      <c r="M1384">
        <v>2780</v>
      </c>
    </row>
    <row r="1385" spans="2:13" x14ac:dyDescent="0.25">
      <c r="B1385" s="5">
        <v>44624</v>
      </c>
      <c r="C1385" s="5" t="s">
        <v>784</v>
      </c>
      <c r="D1385" s="35">
        <v>2022</v>
      </c>
      <c r="E1385" t="s">
        <v>900</v>
      </c>
      <c r="F1385" t="s">
        <v>789</v>
      </c>
      <c r="G1385" t="s">
        <v>125</v>
      </c>
      <c r="H1385" s="92" t="s">
        <v>971</v>
      </c>
      <c r="I1385">
        <v>1</v>
      </c>
      <c r="J1385" s="46">
        <v>510</v>
      </c>
      <c r="K1385" s="50" t="s">
        <v>771</v>
      </c>
      <c r="L1385" s="46">
        <v>510</v>
      </c>
      <c r="M1385" s="122"/>
    </row>
    <row r="1386" spans="2:13" x14ac:dyDescent="0.25">
      <c r="B1386" s="5">
        <v>44624</v>
      </c>
      <c r="C1386" s="5" t="s">
        <v>784</v>
      </c>
      <c r="D1386" s="35">
        <v>2022</v>
      </c>
      <c r="E1386" t="s">
        <v>900</v>
      </c>
      <c r="F1386" t="s">
        <v>790</v>
      </c>
      <c r="G1386" t="s">
        <v>321</v>
      </c>
      <c r="H1386" s="92" t="s">
        <v>967</v>
      </c>
      <c r="I1386">
        <v>1</v>
      </c>
      <c r="J1386" s="46">
        <v>2550</v>
      </c>
      <c r="K1386" s="50" t="s">
        <v>771</v>
      </c>
      <c r="L1386" s="46">
        <v>2550</v>
      </c>
      <c r="M1386" s="122"/>
    </row>
    <row r="1387" spans="2:13" x14ac:dyDescent="0.25">
      <c r="B1387" s="5">
        <v>44624</v>
      </c>
      <c r="C1387" s="5" t="s">
        <v>784</v>
      </c>
      <c r="D1387" s="35">
        <v>2022</v>
      </c>
      <c r="E1387" t="s">
        <v>900</v>
      </c>
      <c r="F1387" t="s">
        <v>896</v>
      </c>
      <c r="G1387" t="s">
        <v>287</v>
      </c>
      <c r="H1387" s="92" t="s">
        <v>969</v>
      </c>
      <c r="I1387">
        <v>1</v>
      </c>
      <c r="J1387" s="46">
        <v>2450</v>
      </c>
      <c r="K1387" s="50" t="s">
        <v>771</v>
      </c>
      <c r="L1387" s="46">
        <v>2450</v>
      </c>
      <c r="M1387" s="122"/>
    </row>
    <row r="1388" spans="2:13" x14ac:dyDescent="0.25">
      <c r="B1388" s="5">
        <v>44624</v>
      </c>
      <c r="C1388" s="5" t="s">
        <v>784</v>
      </c>
      <c r="D1388" s="35">
        <v>2022</v>
      </c>
      <c r="E1388" t="s">
        <v>900</v>
      </c>
      <c r="F1388" t="s">
        <v>715</v>
      </c>
      <c r="G1388" t="s">
        <v>476</v>
      </c>
      <c r="H1388" s="92" t="s">
        <v>969</v>
      </c>
      <c r="I1388">
        <v>1</v>
      </c>
      <c r="J1388" s="46">
        <v>6000</v>
      </c>
      <c r="K1388" s="50" t="s">
        <v>771</v>
      </c>
      <c r="L1388" s="46">
        <v>6000</v>
      </c>
      <c r="M1388" s="122"/>
    </row>
    <row r="1389" spans="2:13" x14ac:dyDescent="0.25">
      <c r="B1389" s="5">
        <v>44624</v>
      </c>
      <c r="C1389" s="5" t="s">
        <v>784</v>
      </c>
      <c r="D1389" s="35">
        <v>2022</v>
      </c>
      <c r="E1389" t="s">
        <v>900</v>
      </c>
      <c r="F1389" t="s">
        <v>763</v>
      </c>
      <c r="G1389" t="s">
        <v>123</v>
      </c>
      <c r="H1389" s="92" t="s">
        <v>966</v>
      </c>
      <c r="I1389">
        <v>2</v>
      </c>
      <c r="J1389" s="46">
        <v>3560</v>
      </c>
      <c r="K1389" s="50" t="s">
        <v>771</v>
      </c>
      <c r="L1389" s="46">
        <v>3560</v>
      </c>
      <c r="M1389" s="122"/>
    </row>
    <row r="1390" spans="2:13" x14ac:dyDescent="0.25">
      <c r="B1390" s="5">
        <v>44624</v>
      </c>
      <c r="C1390" s="5" t="s">
        <v>784</v>
      </c>
      <c r="D1390" s="35">
        <v>2022</v>
      </c>
      <c r="E1390" t="s">
        <v>900</v>
      </c>
      <c r="F1390" t="s">
        <v>897</v>
      </c>
      <c r="G1390" t="s">
        <v>380</v>
      </c>
      <c r="H1390" s="92" t="s">
        <v>972</v>
      </c>
      <c r="I1390">
        <v>1</v>
      </c>
      <c r="J1390" s="46">
        <v>600</v>
      </c>
      <c r="K1390" s="50" t="s">
        <v>771</v>
      </c>
      <c r="L1390" s="46">
        <v>600</v>
      </c>
      <c r="M1390" s="122"/>
    </row>
    <row r="1391" spans="2:13" x14ac:dyDescent="0.25">
      <c r="B1391" s="5">
        <v>44624</v>
      </c>
      <c r="C1391" s="5" t="s">
        <v>784</v>
      </c>
      <c r="D1391" s="35">
        <v>2022</v>
      </c>
      <c r="E1391" t="s">
        <v>900</v>
      </c>
      <c r="F1391" t="s">
        <v>898</v>
      </c>
      <c r="G1391" t="s">
        <v>123</v>
      </c>
      <c r="H1391" s="92" t="s">
        <v>966</v>
      </c>
      <c r="I1391">
        <v>1</v>
      </c>
      <c r="J1391" s="46">
        <v>1780</v>
      </c>
      <c r="K1391" s="50" t="s">
        <v>771</v>
      </c>
      <c r="L1391" s="46">
        <v>1780</v>
      </c>
      <c r="M1391" s="46"/>
    </row>
    <row r="1392" spans="2:13" x14ac:dyDescent="0.25">
      <c r="B1392" s="5">
        <v>44624</v>
      </c>
      <c r="C1392" s="5" t="s">
        <v>784</v>
      </c>
      <c r="D1392" s="35">
        <v>2022</v>
      </c>
      <c r="E1392" t="s">
        <v>900</v>
      </c>
      <c r="F1392" t="s">
        <v>898</v>
      </c>
      <c r="G1392" t="s">
        <v>380</v>
      </c>
      <c r="H1392" s="92" t="s">
        <v>972</v>
      </c>
      <c r="I1392">
        <v>1</v>
      </c>
      <c r="J1392" s="46">
        <v>600</v>
      </c>
      <c r="K1392" s="50" t="s">
        <v>771</v>
      </c>
      <c r="L1392" s="46">
        <v>600</v>
      </c>
      <c r="M1392" s="122"/>
    </row>
    <row r="1393" spans="2:15" x14ac:dyDescent="0.25">
      <c r="B1393" s="5">
        <v>44624</v>
      </c>
      <c r="C1393" s="5" t="s">
        <v>784</v>
      </c>
      <c r="D1393" s="35">
        <v>2022</v>
      </c>
      <c r="E1393" t="s">
        <v>900</v>
      </c>
      <c r="F1393" t="s">
        <v>44</v>
      </c>
      <c r="G1393" t="s">
        <v>128</v>
      </c>
      <c r="H1393" s="92" t="s">
        <v>965</v>
      </c>
      <c r="I1393">
        <v>1</v>
      </c>
      <c r="J1393" s="46">
        <v>1240</v>
      </c>
      <c r="K1393" s="50" t="s">
        <v>771</v>
      </c>
      <c r="L1393" s="46">
        <v>1240</v>
      </c>
      <c r="M1393" s="122"/>
    </row>
    <row r="1394" spans="2:15" x14ac:dyDescent="0.25">
      <c r="B1394" s="5">
        <v>44624</v>
      </c>
      <c r="C1394" s="5" t="s">
        <v>784</v>
      </c>
      <c r="D1394" s="35">
        <v>2022</v>
      </c>
      <c r="E1394" t="s">
        <v>900</v>
      </c>
      <c r="F1394" t="s">
        <v>899</v>
      </c>
      <c r="G1394" t="s">
        <v>123</v>
      </c>
      <c r="H1394" s="92" t="s">
        <v>966</v>
      </c>
      <c r="I1394">
        <v>1</v>
      </c>
      <c r="J1394" s="46">
        <v>1780</v>
      </c>
      <c r="K1394" s="50" t="s">
        <v>771</v>
      </c>
      <c r="L1394" s="46">
        <v>1780</v>
      </c>
      <c r="M1394" s="122"/>
    </row>
    <row r="1395" spans="2:15" x14ac:dyDescent="0.25">
      <c r="B1395" s="5">
        <v>44624</v>
      </c>
      <c r="C1395" s="5" t="s">
        <v>784</v>
      </c>
      <c r="D1395" s="35">
        <v>2022</v>
      </c>
      <c r="E1395" t="s">
        <v>458</v>
      </c>
      <c r="F1395" t="s">
        <v>901</v>
      </c>
      <c r="G1395" t="s">
        <v>128</v>
      </c>
      <c r="H1395" s="92" t="s">
        <v>965</v>
      </c>
      <c r="I1395">
        <v>1</v>
      </c>
      <c r="J1395" s="46">
        <v>1240</v>
      </c>
      <c r="K1395" s="50" t="s">
        <v>771</v>
      </c>
      <c r="L1395" s="46">
        <v>1240</v>
      </c>
      <c r="M1395" s="122"/>
    </row>
    <row r="1396" spans="2:15" x14ac:dyDescent="0.25">
      <c r="B1396" s="5">
        <v>44624</v>
      </c>
      <c r="C1396" s="5" t="s">
        <v>784</v>
      </c>
      <c r="D1396" s="35">
        <v>2022</v>
      </c>
      <c r="E1396" t="s">
        <v>458</v>
      </c>
      <c r="F1396" t="s">
        <v>902</v>
      </c>
      <c r="G1396" t="s">
        <v>128</v>
      </c>
      <c r="H1396" s="92" t="s">
        <v>965</v>
      </c>
      <c r="I1396">
        <v>1</v>
      </c>
      <c r="J1396" s="46">
        <v>1240</v>
      </c>
      <c r="K1396" s="50" t="s">
        <v>771</v>
      </c>
      <c r="L1396" s="46">
        <v>1240</v>
      </c>
      <c r="M1396" s="122"/>
    </row>
    <row r="1397" spans="2:15" x14ac:dyDescent="0.25">
      <c r="B1397" s="5">
        <v>44624</v>
      </c>
      <c r="C1397" s="5" t="s">
        <v>784</v>
      </c>
      <c r="D1397" s="35">
        <v>2022</v>
      </c>
      <c r="E1397" t="s">
        <v>458</v>
      </c>
      <c r="F1397" t="s">
        <v>382</v>
      </c>
      <c r="G1397" t="s">
        <v>128</v>
      </c>
      <c r="H1397" s="92" t="s">
        <v>965</v>
      </c>
      <c r="I1397">
        <v>1</v>
      </c>
      <c r="J1397" s="46">
        <v>1240</v>
      </c>
      <c r="K1397" s="50" t="s">
        <v>771</v>
      </c>
      <c r="L1397" s="46">
        <v>1240</v>
      </c>
      <c r="M1397" s="122"/>
    </row>
    <row r="1398" spans="2:15" x14ac:dyDescent="0.25">
      <c r="B1398" s="5">
        <v>44624</v>
      </c>
      <c r="C1398" s="5" t="s">
        <v>784</v>
      </c>
      <c r="D1398" s="35">
        <v>2022</v>
      </c>
      <c r="E1398" t="s">
        <v>458</v>
      </c>
      <c r="F1398" t="s">
        <v>102</v>
      </c>
      <c r="G1398" t="s">
        <v>476</v>
      </c>
      <c r="H1398" s="92" t="s">
        <v>969</v>
      </c>
      <c r="I1398">
        <v>1</v>
      </c>
      <c r="J1398" s="46">
        <v>6000</v>
      </c>
      <c r="K1398" s="50" t="s">
        <v>771</v>
      </c>
      <c r="L1398" s="46"/>
      <c r="M1398" s="46">
        <v>6000</v>
      </c>
      <c r="O1398" t="s">
        <v>571</v>
      </c>
    </row>
    <row r="1399" spans="2:15" x14ac:dyDescent="0.25">
      <c r="B1399" s="5">
        <v>44624</v>
      </c>
      <c r="C1399" s="5" t="s">
        <v>784</v>
      </c>
      <c r="D1399" s="35">
        <v>2022</v>
      </c>
      <c r="E1399" t="s">
        <v>458</v>
      </c>
      <c r="F1399" t="s">
        <v>1123</v>
      </c>
      <c r="G1399" t="s">
        <v>128</v>
      </c>
      <c r="H1399" s="92" t="s">
        <v>965</v>
      </c>
      <c r="I1399">
        <v>2</v>
      </c>
      <c r="J1399" s="46">
        <v>2480</v>
      </c>
      <c r="K1399" s="50" t="s">
        <v>771</v>
      </c>
      <c r="L1399" s="46">
        <v>2480</v>
      </c>
      <c r="M1399" s="122"/>
    </row>
    <row r="1400" spans="2:15" x14ac:dyDescent="0.25">
      <c r="B1400" s="5">
        <v>44624</v>
      </c>
      <c r="C1400" s="5" t="s">
        <v>784</v>
      </c>
      <c r="D1400" s="35">
        <v>2022</v>
      </c>
      <c r="E1400" t="s">
        <v>458</v>
      </c>
      <c r="F1400" t="s">
        <v>143</v>
      </c>
      <c r="G1400" t="s">
        <v>432</v>
      </c>
      <c r="H1400" s="24" t="s">
        <v>976</v>
      </c>
      <c r="I1400">
        <v>1</v>
      </c>
      <c r="J1400" s="46">
        <v>3580</v>
      </c>
      <c r="K1400" s="50" t="s">
        <v>771</v>
      </c>
      <c r="L1400" s="46">
        <v>3580</v>
      </c>
      <c r="M1400" s="122"/>
    </row>
    <row r="1401" spans="2:15" x14ac:dyDescent="0.25">
      <c r="B1401" s="5">
        <v>44624</v>
      </c>
      <c r="C1401" s="5" t="s">
        <v>784</v>
      </c>
      <c r="D1401" s="35">
        <v>2022</v>
      </c>
      <c r="E1401" t="s">
        <v>458</v>
      </c>
      <c r="F1401" t="s">
        <v>141</v>
      </c>
      <c r="G1401" t="s">
        <v>123</v>
      </c>
      <c r="H1401" s="92" t="s">
        <v>966</v>
      </c>
      <c r="I1401">
        <v>1</v>
      </c>
      <c r="J1401" s="46">
        <v>1780</v>
      </c>
      <c r="K1401" s="50" t="s">
        <v>771</v>
      </c>
      <c r="L1401" s="46">
        <v>1780</v>
      </c>
      <c r="M1401" s="122"/>
    </row>
    <row r="1402" spans="2:15" x14ac:dyDescent="0.25">
      <c r="B1402" s="5">
        <v>44624</v>
      </c>
      <c r="C1402" s="5" t="s">
        <v>784</v>
      </c>
      <c r="D1402" s="35">
        <v>2022</v>
      </c>
      <c r="E1402" t="s">
        <v>458</v>
      </c>
      <c r="F1402" t="s">
        <v>903</v>
      </c>
      <c r="G1402" t="s">
        <v>55</v>
      </c>
      <c r="H1402" s="92" t="s">
        <v>965</v>
      </c>
      <c r="I1402">
        <v>9</v>
      </c>
      <c r="J1402" s="46">
        <v>1043</v>
      </c>
      <c r="K1402" s="50" t="s">
        <v>771</v>
      </c>
      <c r="L1402" s="46">
        <v>1043</v>
      </c>
    </row>
    <row r="1403" spans="2:15" x14ac:dyDescent="0.25">
      <c r="B1403" s="5">
        <v>44624</v>
      </c>
      <c r="C1403" s="5" t="s">
        <v>784</v>
      </c>
      <c r="D1403" s="35">
        <v>2022</v>
      </c>
      <c r="E1403" t="s">
        <v>417</v>
      </c>
      <c r="F1403" t="s">
        <v>146</v>
      </c>
      <c r="G1403" t="s">
        <v>247</v>
      </c>
      <c r="H1403" s="92" t="s">
        <v>966</v>
      </c>
      <c r="I1403">
        <v>1</v>
      </c>
      <c r="J1403" s="46">
        <v>1800</v>
      </c>
      <c r="K1403" s="50" t="s">
        <v>771</v>
      </c>
      <c r="L1403" s="46">
        <v>1800</v>
      </c>
      <c r="M1403" s="122"/>
    </row>
    <row r="1404" spans="2:15" x14ac:dyDescent="0.25">
      <c r="B1404" s="5">
        <v>44624</v>
      </c>
      <c r="C1404" s="5" t="s">
        <v>784</v>
      </c>
      <c r="D1404" s="35">
        <v>2022</v>
      </c>
      <c r="E1404" t="s">
        <v>417</v>
      </c>
      <c r="F1404" t="s">
        <v>904</v>
      </c>
      <c r="G1404" t="s">
        <v>123</v>
      </c>
      <c r="H1404" s="92" t="s">
        <v>966</v>
      </c>
      <c r="I1404">
        <v>1</v>
      </c>
      <c r="J1404" s="46">
        <v>1780</v>
      </c>
      <c r="K1404" s="50" t="s">
        <v>771</v>
      </c>
      <c r="L1404" s="46">
        <v>1780</v>
      </c>
      <c r="M1404" s="122"/>
    </row>
    <row r="1405" spans="2:15" x14ac:dyDescent="0.25">
      <c r="B1405" s="5">
        <v>44624</v>
      </c>
      <c r="C1405" s="5" t="s">
        <v>784</v>
      </c>
      <c r="D1405" s="35">
        <v>2022</v>
      </c>
      <c r="E1405" t="s">
        <v>417</v>
      </c>
      <c r="F1405" t="s">
        <v>815</v>
      </c>
      <c r="G1405" t="s">
        <v>55</v>
      </c>
      <c r="H1405" s="92" t="s">
        <v>965</v>
      </c>
      <c r="I1405">
        <v>2</v>
      </c>
      <c r="J1405" s="46">
        <v>2780</v>
      </c>
      <c r="K1405" s="50" t="s">
        <v>771</v>
      </c>
      <c r="L1405" s="46"/>
      <c r="M1405" s="196">
        <v>2780</v>
      </c>
      <c r="O1405" t="s">
        <v>625</v>
      </c>
    </row>
    <row r="1406" spans="2:15" x14ac:dyDescent="0.25">
      <c r="B1406" s="5">
        <v>44624</v>
      </c>
      <c r="C1406" s="5" t="s">
        <v>784</v>
      </c>
      <c r="D1406" s="35">
        <v>2022</v>
      </c>
      <c r="E1406" t="s">
        <v>417</v>
      </c>
      <c r="F1406" t="s">
        <v>905</v>
      </c>
      <c r="G1406" t="s">
        <v>432</v>
      </c>
      <c r="H1406" s="24" t="s">
        <v>976</v>
      </c>
      <c r="I1406">
        <v>1</v>
      </c>
      <c r="J1406" s="46">
        <v>3580</v>
      </c>
      <c r="K1406" s="50" t="s">
        <v>771</v>
      </c>
      <c r="L1406" s="46">
        <v>3580</v>
      </c>
      <c r="M1406" s="122"/>
    </row>
    <row r="1407" spans="2:15" x14ac:dyDescent="0.25">
      <c r="B1407" s="5">
        <v>44624</v>
      </c>
      <c r="C1407" s="5" t="s">
        <v>784</v>
      </c>
      <c r="D1407" s="35">
        <v>2022</v>
      </c>
      <c r="E1407" t="s">
        <v>445</v>
      </c>
      <c r="F1407" t="s">
        <v>906</v>
      </c>
      <c r="G1407" t="s">
        <v>45</v>
      </c>
      <c r="H1407" s="92" t="s">
        <v>965</v>
      </c>
      <c r="I1407">
        <v>1</v>
      </c>
      <c r="J1407" s="46">
        <v>1390</v>
      </c>
      <c r="K1407" s="50" t="s">
        <v>771</v>
      </c>
      <c r="L1407" s="46">
        <v>1390</v>
      </c>
      <c r="M1407" s="46"/>
    </row>
    <row r="1408" spans="2:15" x14ac:dyDescent="0.25">
      <c r="B1408" s="5">
        <v>44624</v>
      </c>
      <c r="C1408" s="5" t="s">
        <v>784</v>
      </c>
      <c r="D1408" s="35">
        <v>2022</v>
      </c>
      <c r="E1408" t="s">
        <v>445</v>
      </c>
      <c r="F1408" t="s">
        <v>907</v>
      </c>
      <c r="G1408" t="s">
        <v>123</v>
      </c>
      <c r="H1408" s="92" t="s">
        <v>966</v>
      </c>
      <c r="I1408">
        <v>4</v>
      </c>
      <c r="J1408" s="46">
        <v>7120</v>
      </c>
      <c r="K1408" s="50" t="s">
        <v>771</v>
      </c>
      <c r="L1408" s="46"/>
      <c r="M1408" s="46">
        <v>7120</v>
      </c>
      <c r="O1408" t="s">
        <v>625</v>
      </c>
    </row>
    <row r="1409" spans="2:16" x14ac:dyDescent="0.25">
      <c r="B1409" s="5">
        <v>44625</v>
      </c>
      <c r="C1409" s="5" t="s">
        <v>784</v>
      </c>
      <c r="D1409" s="35">
        <v>2022</v>
      </c>
      <c r="E1409" t="s">
        <v>22</v>
      </c>
      <c r="F1409" t="s">
        <v>260</v>
      </c>
      <c r="G1409" t="s">
        <v>380</v>
      </c>
      <c r="H1409" s="92" t="s">
        <v>972</v>
      </c>
      <c r="I1409">
        <v>1</v>
      </c>
      <c r="J1409" s="46">
        <v>600</v>
      </c>
      <c r="K1409" s="50" t="s">
        <v>771</v>
      </c>
      <c r="L1409" s="46">
        <v>600</v>
      </c>
      <c r="M1409" s="46"/>
    </row>
    <row r="1410" spans="2:16" x14ac:dyDescent="0.25">
      <c r="B1410" s="5">
        <v>44625</v>
      </c>
      <c r="C1410" s="5" t="s">
        <v>784</v>
      </c>
      <c r="D1410" s="35">
        <v>2022</v>
      </c>
      <c r="E1410" t="s">
        <v>22</v>
      </c>
      <c r="F1410" t="s">
        <v>260</v>
      </c>
      <c r="G1410" t="s">
        <v>122</v>
      </c>
      <c r="H1410" s="92" t="s">
        <v>973</v>
      </c>
      <c r="I1410">
        <v>1</v>
      </c>
      <c r="J1410" s="46">
        <v>260</v>
      </c>
      <c r="K1410" s="50" t="s">
        <v>771</v>
      </c>
      <c r="L1410" s="46">
        <v>260</v>
      </c>
      <c r="M1410" s="46"/>
    </row>
    <row r="1411" spans="2:16" x14ac:dyDescent="0.25">
      <c r="B1411" s="5">
        <v>44625</v>
      </c>
      <c r="C1411" s="5" t="s">
        <v>784</v>
      </c>
      <c r="D1411" s="35">
        <v>2022</v>
      </c>
      <c r="E1411" t="s">
        <v>22</v>
      </c>
      <c r="F1411" t="s">
        <v>473</v>
      </c>
      <c r="G1411" t="s">
        <v>128</v>
      </c>
      <c r="H1411" s="92" t="s">
        <v>965</v>
      </c>
      <c r="I1411">
        <v>1</v>
      </c>
      <c r="J1411" s="46">
        <v>1240</v>
      </c>
      <c r="K1411" s="50" t="s">
        <v>771</v>
      </c>
      <c r="L1411" s="46">
        <v>1240</v>
      </c>
      <c r="M1411" s="46"/>
    </row>
    <row r="1412" spans="2:16" x14ac:dyDescent="0.25">
      <c r="B1412" s="5">
        <v>44625</v>
      </c>
      <c r="C1412" s="5" t="s">
        <v>784</v>
      </c>
      <c r="D1412" s="35">
        <v>2022</v>
      </c>
      <c r="E1412" t="s">
        <v>22</v>
      </c>
      <c r="F1412" t="s">
        <v>133</v>
      </c>
      <c r="G1412" t="s">
        <v>323</v>
      </c>
      <c r="H1412" s="92" t="s">
        <v>981</v>
      </c>
      <c r="I1412">
        <v>5</v>
      </c>
      <c r="J1412" s="46">
        <v>1550</v>
      </c>
      <c r="K1412" s="50" t="s">
        <v>771</v>
      </c>
      <c r="L1412" s="46">
        <v>1550</v>
      </c>
      <c r="M1412" s="46"/>
    </row>
    <row r="1413" spans="2:16" x14ac:dyDescent="0.25">
      <c r="B1413" s="5">
        <v>44625</v>
      </c>
      <c r="C1413" s="5" t="s">
        <v>784</v>
      </c>
      <c r="D1413" s="35">
        <v>2022</v>
      </c>
      <c r="E1413" t="s">
        <v>22</v>
      </c>
      <c r="F1413" t="s">
        <v>133</v>
      </c>
      <c r="G1413" t="s">
        <v>269</v>
      </c>
      <c r="H1413" s="92" t="s">
        <v>983</v>
      </c>
      <c r="I1413">
        <v>1</v>
      </c>
      <c r="J1413" s="46">
        <v>290</v>
      </c>
      <c r="K1413" s="50" t="s">
        <v>771</v>
      </c>
      <c r="L1413" s="46">
        <v>290</v>
      </c>
      <c r="M1413" s="46"/>
    </row>
    <row r="1414" spans="2:16" x14ac:dyDescent="0.25">
      <c r="B1414" s="5">
        <v>44625</v>
      </c>
      <c r="C1414" s="5" t="s">
        <v>784</v>
      </c>
      <c r="D1414" s="35">
        <v>2022</v>
      </c>
      <c r="E1414" t="s">
        <v>22</v>
      </c>
      <c r="F1414" t="s">
        <v>236</v>
      </c>
      <c r="G1414" t="s">
        <v>128</v>
      </c>
      <c r="H1414" s="92" t="s">
        <v>965</v>
      </c>
      <c r="I1414">
        <v>2</v>
      </c>
      <c r="J1414" s="46">
        <v>2480</v>
      </c>
      <c r="K1414" s="50" t="s">
        <v>771</v>
      </c>
      <c r="L1414" s="46">
        <v>2480</v>
      </c>
      <c r="M1414" s="46"/>
    </row>
    <row r="1415" spans="2:16" x14ac:dyDescent="0.25">
      <c r="B1415" s="5">
        <v>44625</v>
      </c>
      <c r="C1415" s="5" t="s">
        <v>784</v>
      </c>
      <c r="D1415" s="35">
        <v>2022</v>
      </c>
      <c r="E1415" t="s">
        <v>22</v>
      </c>
      <c r="F1415" t="s">
        <v>523</v>
      </c>
      <c r="G1415" t="s">
        <v>323</v>
      </c>
      <c r="H1415" s="92" t="s">
        <v>981</v>
      </c>
      <c r="I1415">
        <v>1</v>
      </c>
      <c r="J1415" s="46">
        <v>310</v>
      </c>
      <c r="K1415" s="50" t="s">
        <v>771</v>
      </c>
      <c r="L1415" s="46">
        <v>310</v>
      </c>
      <c r="M1415" s="46"/>
    </row>
    <row r="1416" spans="2:16" x14ac:dyDescent="0.25">
      <c r="B1416" s="5">
        <v>44625</v>
      </c>
      <c r="C1416" s="5" t="s">
        <v>784</v>
      </c>
      <c r="D1416" s="35">
        <v>2022</v>
      </c>
      <c r="E1416" t="s">
        <v>22</v>
      </c>
      <c r="F1416" t="s">
        <v>523</v>
      </c>
      <c r="G1416" t="s">
        <v>269</v>
      </c>
      <c r="H1416" s="92" t="s">
        <v>983</v>
      </c>
      <c r="I1416">
        <v>2</v>
      </c>
      <c r="J1416" s="46">
        <v>580</v>
      </c>
      <c r="K1416" s="50" t="s">
        <v>771</v>
      </c>
      <c r="L1416" s="46">
        <v>580</v>
      </c>
      <c r="M1416" s="46"/>
    </row>
    <row r="1417" spans="2:16" x14ac:dyDescent="0.25">
      <c r="B1417" s="5">
        <v>44625</v>
      </c>
      <c r="C1417" s="5" t="s">
        <v>784</v>
      </c>
      <c r="D1417" s="35">
        <v>2022</v>
      </c>
      <c r="E1417" t="s">
        <v>22</v>
      </c>
      <c r="F1417" t="s">
        <v>523</v>
      </c>
      <c r="G1417" t="s">
        <v>127</v>
      </c>
      <c r="H1417" s="92" t="s">
        <v>973</v>
      </c>
      <c r="I1417">
        <v>1</v>
      </c>
      <c r="J1417" s="46">
        <v>260</v>
      </c>
      <c r="K1417" s="50" t="s">
        <v>771</v>
      </c>
      <c r="L1417" s="46">
        <v>260</v>
      </c>
      <c r="M1417" s="46"/>
    </row>
    <row r="1418" spans="2:16" x14ac:dyDescent="0.25">
      <c r="B1418" s="5">
        <v>44625</v>
      </c>
      <c r="C1418" s="5" t="s">
        <v>784</v>
      </c>
      <c r="D1418" s="35">
        <v>2022</v>
      </c>
      <c r="E1418" t="s">
        <v>22</v>
      </c>
      <c r="F1418" t="s">
        <v>523</v>
      </c>
      <c r="G1418" t="s">
        <v>425</v>
      </c>
      <c r="H1418" s="92" t="s">
        <v>980</v>
      </c>
      <c r="I1418">
        <v>1</v>
      </c>
      <c r="J1418" s="46">
        <v>210</v>
      </c>
      <c r="K1418" s="50" t="s">
        <v>771</v>
      </c>
      <c r="L1418" s="46">
        <v>210</v>
      </c>
      <c r="M1418" s="46"/>
      <c r="N1418" s="46">
        <v>210</v>
      </c>
      <c r="P1418" t="s">
        <v>997</v>
      </c>
    </row>
    <row r="1419" spans="2:16" x14ac:dyDescent="0.25">
      <c r="B1419" s="5">
        <v>44625</v>
      </c>
      <c r="C1419" s="5" t="s">
        <v>784</v>
      </c>
      <c r="D1419" s="35">
        <v>2022</v>
      </c>
      <c r="E1419" t="s">
        <v>22</v>
      </c>
      <c r="F1419" t="s">
        <v>131</v>
      </c>
      <c r="G1419" t="s">
        <v>432</v>
      </c>
      <c r="H1419" s="24" t="s">
        <v>976</v>
      </c>
      <c r="I1419">
        <v>1</v>
      </c>
      <c r="J1419" s="46">
        <v>3580</v>
      </c>
      <c r="K1419" s="50" t="s">
        <v>771</v>
      </c>
      <c r="L1419" s="46">
        <v>3580</v>
      </c>
      <c r="M1419" s="46"/>
    </row>
    <row r="1420" spans="2:16" x14ac:dyDescent="0.25">
      <c r="B1420" s="5">
        <v>44625</v>
      </c>
      <c r="C1420" s="5" t="s">
        <v>784</v>
      </c>
      <c r="D1420" s="35">
        <v>2022</v>
      </c>
      <c r="E1420" t="s">
        <v>22</v>
      </c>
      <c r="F1420" t="s">
        <v>131</v>
      </c>
      <c r="G1420" t="s">
        <v>249</v>
      </c>
      <c r="H1420" s="92" t="s">
        <v>972</v>
      </c>
      <c r="I1420">
        <v>1</v>
      </c>
      <c r="J1420" s="46">
        <v>1080</v>
      </c>
      <c r="K1420" s="50" t="s">
        <v>771</v>
      </c>
      <c r="L1420" s="46">
        <v>1080</v>
      </c>
      <c r="M1420" s="46"/>
    </row>
    <row r="1421" spans="2:16" x14ac:dyDescent="0.25">
      <c r="B1421" s="5">
        <v>44625</v>
      </c>
      <c r="C1421" s="5" t="s">
        <v>784</v>
      </c>
      <c r="D1421" s="35">
        <v>2022</v>
      </c>
      <c r="E1421" t="s">
        <v>22</v>
      </c>
      <c r="F1421" t="s">
        <v>131</v>
      </c>
      <c r="G1421" t="s">
        <v>269</v>
      </c>
      <c r="H1421" s="92" t="s">
        <v>983</v>
      </c>
      <c r="I1421">
        <v>2</v>
      </c>
      <c r="J1421" s="46">
        <v>580</v>
      </c>
      <c r="K1421" s="50" t="s">
        <v>771</v>
      </c>
      <c r="L1421" s="46">
        <v>580</v>
      </c>
      <c r="M1421" s="46"/>
    </row>
    <row r="1422" spans="2:16" x14ac:dyDescent="0.25">
      <c r="B1422" s="5">
        <v>44625</v>
      </c>
      <c r="C1422" s="5" t="s">
        <v>784</v>
      </c>
      <c r="D1422" s="35">
        <v>2022</v>
      </c>
      <c r="E1422" t="s">
        <v>22</v>
      </c>
      <c r="F1422" t="s">
        <v>574</v>
      </c>
      <c r="G1422" t="s">
        <v>125</v>
      </c>
      <c r="H1422" s="92" t="s">
        <v>971</v>
      </c>
      <c r="I1422">
        <v>2</v>
      </c>
      <c r="J1422" s="46">
        <v>1020</v>
      </c>
      <c r="K1422" s="50" t="s">
        <v>771</v>
      </c>
      <c r="L1422" s="46">
        <v>1020</v>
      </c>
      <c r="M1422" s="46"/>
    </row>
    <row r="1423" spans="2:16" x14ac:dyDescent="0.25">
      <c r="B1423" s="5">
        <v>44625</v>
      </c>
      <c r="C1423" s="5" t="s">
        <v>784</v>
      </c>
      <c r="D1423" s="35">
        <v>2022</v>
      </c>
      <c r="E1423" t="s">
        <v>22</v>
      </c>
      <c r="F1423" t="s">
        <v>923</v>
      </c>
      <c r="G1423" t="s">
        <v>58</v>
      </c>
      <c r="H1423" s="92" t="s">
        <v>969</v>
      </c>
      <c r="I1423">
        <v>1</v>
      </c>
      <c r="J1423" s="46">
        <v>2530</v>
      </c>
      <c r="K1423" s="50" t="s">
        <v>771</v>
      </c>
      <c r="L1423" s="46">
        <v>2530</v>
      </c>
      <c r="M1423" s="46"/>
    </row>
    <row r="1424" spans="2:16" x14ac:dyDescent="0.25">
      <c r="B1424" s="5">
        <v>44625</v>
      </c>
      <c r="C1424" s="5" t="s">
        <v>784</v>
      </c>
      <c r="D1424" s="35">
        <v>2022</v>
      </c>
      <c r="E1424" t="s">
        <v>599</v>
      </c>
      <c r="F1424" t="s">
        <v>924</v>
      </c>
      <c r="G1424" t="s">
        <v>432</v>
      </c>
      <c r="H1424" s="24" t="s">
        <v>976</v>
      </c>
      <c r="I1424">
        <v>1</v>
      </c>
      <c r="J1424" s="46">
        <v>3580</v>
      </c>
      <c r="K1424" s="50" t="s">
        <v>771</v>
      </c>
      <c r="L1424" s="46">
        <v>3580</v>
      </c>
      <c r="M1424" s="46"/>
    </row>
    <row r="1425" spans="2:16" x14ac:dyDescent="0.25">
      <c r="B1425" s="5">
        <v>44625</v>
      </c>
      <c r="C1425" s="5" t="s">
        <v>784</v>
      </c>
      <c r="D1425" s="35">
        <v>2022</v>
      </c>
      <c r="E1425" t="s">
        <v>599</v>
      </c>
      <c r="F1425" t="s">
        <v>925</v>
      </c>
      <c r="G1425" t="s">
        <v>128</v>
      </c>
      <c r="H1425" s="92" t="s">
        <v>965</v>
      </c>
      <c r="I1425">
        <v>1</v>
      </c>
      <c r="J1425" s="46">
        <v>1240</v>
      </c>
      <c r="K1425" s="50" t="s">
        <v>771</v>
      </c>
      <c r="L1425" s="46">
        <v>1240</v>
      </c>
      <c r="M1425" s="46"/>
    </row>
    <row r="1426" spans="2:16" x14ac:dyDescent="0.25">
      <c r="B1426" s="5">
        <v>44625</v>
      </c>
      <c r="C1426" s="5" t="s">
        <v>784</v>
      </c>
      <c r="D1426" s="35">
        <v>2022</v>
      </c>
      <c r="E1426" t="s">
        <v>599</v>
      </c>
      <c r="F1426" t="s">
        <v>926</v>
      </c>
      <c r="G1426" t="s">
        <v>125</v>
      </c>
      <c r="H1426" s="92" t="s">
        <v>971</v>
      </c>
      <c r="I1426">
        <v>1</v>
      </c>
      <c r="J1426" s="46">
        <v>510</v>
      </c>
      <c r="K1426" s="50" t="s">
        <v>771</v>
      </c>
      <c r="L1426" s="46">
        <v>510</v>
      </c>
      <c r="M1426" s="46"/>
    </row>
    <row r="1427" spans="2:16" x14ac:dyDescent="0.25">
      <c r="B1427" s="5">
        <v>44625</v>
      </c>
      <c r="C1427" s="5" t="s">
        <v>784</v>
      </c>
      <c r="D1427" s="35">
        <v>2022</v>
      </c>
      <c r="E1427" t="s">
        <v>599</v>
      </c>
      <c r="F1427" t="s">
        <v>834</v>
      </c>
      <c r="G1427" t="s">
        <v>838</v>
      </c>
      <c r="H1427" s="92" t="s">
        <v>967</v>
      </c>
      <c r="I1427">
        <v>2</v>
      </c>
      <c r="J1427" s="46">
        <v>5100</v>
      </c>
      <c r="K1427" s="50" t="s">
        <v>771</v>
      </c>
      <c r="L1427" s="46">
        <v>5100</v>
      </c>
      <c r="M1427" s="46"/>
    </row>
    <row r="1428" spans="2:16" x14ac:dyDescent="0.25">
      <c r="B1428" s="5">
        <v>44625</v>
      </c>
      <c r="C1428" s="5" t="s">
        <v>784</v>
      </c>
      <c r="D1428" s="35">
        <v>2022</v>
      </c>
      <c r="E1428" t="s">
        <v>599</v>
      </c>
      <c r="F1428" t="s">
        <v>927</v>
      </c>
      <c r="G1428" t="s">
        <v>128</v>
      </c>
      <c r="H1428" s="92" t="s">
        <v>965</v>
      </c>
      <c r="I1428">
        <v>1</v>
      </c>
      <c r="J1428" s="46">
        <v>1240</v>
      </c>
      <c r="K1428" s="50" t="s">
        <v>771</v>
      </c>
      <c r="L1428" s="46">
        <v>1240</v>
      </c>
      <c r="M1428" s="46"/>
    </row>
    <row r="1429" spans="2:16" x14ac:dyDescent="0.25">
      <c r="B1429" s="5">
        <v>44625</v>
      </c>
      <c r="C1429" s="5" t="s">
        <v>784</v>
      </c>
      <c r="D1429" s="35">
        <v>2022</v>
      </c>
      <c r="E1429" t="s">
        <v>599</v>
      </c>
      <c r="F1429" t="s">
        <v>928</v>
      </c>
      <c r="G1429" t="s">
        <v>128</v>
      </c>
      <c r="H1429" s="92" t="s">
        <v>965</v>
      </c>
      <c r="I1429">
        <v>2</v>
      </c>
      <c r="J1429" s="46">
        <v>2480</v>
      </c>
      <c r="K1429" s="50" t="s">
        <v>771</v>
      </c>
      <c r="L1429" s="46">
        <v>2480</v>
      </c>
      <c r="M1429" s="46"/>
    </row>
    <row r="1430" spans="2:16" x14ac:dyDescent="0.25">
      <c r="B1430" s="5">
        <v>44625</v>
      </c>
      <c r="C1430" s="5" t="s">
        <v>784</v>
      </c>
      <c r="D1430" s="35">
        <v>2022</v>
      </c>
      <c r="E1430" t="s">
        <v>599</v>
      </c>
      <c r="F1430" t="s">
        <v>929</v>
      </c>
      <c r="G1430" t="s">
        <v>128</v>
      </c>
      <c r="H1430" s="92" t="s">
        <v>965</v>
      </c>
      <c r="I1430">
        <v>1</v>
      </c>
      <c r="J1430" s="46">
        <v>1240</v>
      </c>
      <c r="K1430" s="50" t="s">
        <v>771</v>
      </c>
      <c r="L1430" s="46">
        <v>1240</v>
      </c>
      <c r="M1430" s="46"/>
    </row>
    <row r="1431" spans="2:16" x14ac:dyDescent="0.25">
      <c r="B1431" s="5">
        <v>44625</v>
      </c>
      <c r="C1431" s="5" t="s">
        <v>784</v>
      </c>
      <c r="D1431" s="35">
        <v>2022</v>
      </c>
      <c r="E1431" t="s">
        <v>599</v>
      </c>
      <c r="F1431" t="s">
        <v>765</v>
      </c>
      <c r="G1431" t="s">
        <v>321</v>
      </c>
      <c r="H1431" s="92" t="s">
        <v>967</v>
      </c>
      <c r="I1431">
        <v>1</v>
      </c>
      <c r="J1431" s="46">
        <v>2550</v>
      </c>
      <c r="K1431" s="50" t="s">
        <v>771</v>
      </c>
      <c r="L1431" s="46">
        <v>2550</v>
      </c>
      <c r="M1431" s="46"/>
    </row>
    <row r="1432" spans="2:16" x14ac:dyDescent="0.25">
      <c r="B1432" s="5">
        <v>44625</v>
      </c>
      <c r="C1432" s="5" t="s">
        <v>784</v>
      </c>
      <c r="D1432" s="35">
        <v>2022</v>
      </c>
      <c r="E1432" t="s">
        <v>599</v>
      </c>
      <c r="F1432" t="s">
        <v>701</v>
      </c>
      <c r="G1432" t="s">
        <v>432</v>
      </c>
      <c r="H1432" s="24" t="s">
        <v>976</v>
      </c>
      <c r="I1432">
        <v>1</v>
      </c>
      <c r="J1432" s="46">
        <v>3580</v>
      </c>
      <c r="K1432" s="50" t="s">
        <v>771</v>
      </c>
      <c r="L1432" s="46">
        <v>3580</v>
      </c>
      <c r="M1432" s="46"/>
    </row>
    <row r="1433" spans="2:16" x14ac:dyDescent="0.25">
      <c r="B1433" s="5">
        <v>44625</v>
      </c>
      <c r="C1433" s="5" t="s">
        <v>784</v>
      </c>
      <c r="D1433" s="35">
        <v>2022</v>
      </c>
      <c r="E1433" t="s">
        <v>356</v>
      </c>
      <c r="F1433" t="s">
        <v>873</v>
      </c>
      <c r="G1433" t="s">
        <v>45</v>
      </c>
      <c r="H1433" s="92" t="s">
        <v>965</v>
      </c>
      <c r="I1433">
        <v>10</v>
      </c>
      <c r="J1433" s="46">
        <v>13900</v>
      </c>
      <c r="K1433" s="50" t="s">
        <v>771</v>
      </c>
      <c r="L1433" s="46"/>
      <c r="M1433" s="46">
        <v>13900</v>
      </c>
      <c r="O1433" t="s">
        <v>998</v>
      </c>
    </row>
    <row r="1434" spans="2:16" x14ac:dyDescent="0.25">
      <c r="B1434" s="5">
        <v>44625</v>
      </c>
      <c r="C1434" s="5" t="s">
        <v>784</v>
      </c>
      <c r="D1434" s="35">
        <v>2022</v>
      </c>
      <c r="E1434" t="s">
        <v>356</v>
      </c>
      <c r="F1434" t="s">
        <v>428</v>
      </c>
      <c r="G1434" t="s">
        <v>321</v>
      </c>
      <c r="H1434" s="92" t="s">
        <v>967</v>
      </c>
      <c r="I1434">
        <v>2</v>
      </c>
      <c r="J1434" s="46">
        <v>5100</v>
      </c>
      <c r="K1434" s="50" t="s">
        <v>771</v>
      </c>
      <c r="L1434" s="46">
        <v>5100</v>
      </c>
      <c r="M1434" s="46"/>
      <c r="N1434" s="46">
        <v>5100</v>
      </c>
      <c r="P1434" t="s">
        <v>999</v>
      </c>
    </row>
    <row r="1435" spans="2:16" x14ac:dyDescent="0.25">
      <c r="B1435" s="5">
        <v>44625</v>
      </c>
      <c r="C1435" s="5" t="s">
        <v>784</v>
      </c>
      <c r="D1435" s="35">
        <v>2022</v>
      </c>
      <c r="E1435" t="s">
        <v>458</v>
      </c>
      <c r="F1435" t="s">
        <v>382</v>
      </c>
      <c r="G1435" t="s">
        <v>128</v>
      </c>
      <c r="H1435" s="92" t="s">
        <v>965</v>
      </c>
      <c r="I1435">
        <v>1</v>
      </c>
      <c r="J1435" s="46">
        <v>1240</v>
      </c>
      <c r="K1435" s="50" t="s">
        <v>771</v>
      </c>
      <c r="L1435" s="46">
        <v>1240</v>
      </c>
      <c r="M1435" s="46"/>
    </row>
    <row r="1436" spans="2:16" x14ac:dyDescent="0.25">
      <c r="B1436" s="5">
        <v>44625</v>
      </c>
      <c r="C1436" s="5" t="s">
        <v>784</v>
      </c>
      <c r="D1436" s="35">
        <v>2022</v>
      </c>
      <c r="E1436" t="s">
        <v>458</v>
      </c>
      <c r="F1436" t="s">
        <v>1123</v>
      </c>
      <c r="G1436" t="s">
        <v>321</v>
      </c>
      <c r="H1436" s="92" t="s">
        <v>967</v>
      </c>
      <c r="I1436">
        <v>1</v>
      </c>
      <c r="J1436" s="46">
        <v>2550</v>
      </c>
      <c r="K1436" s="50" t="s">
        <v>771</v>
      </c>
      <c r="L1436" s="46">
        <v>2550</v>
      </c>
      <c r="M1436" s="46"/>
    </row>
    <row r="1437" spans="2:16" x14ac:dyDescent="0.25">
      <c r="B1437" s="5">
        <v>44625</v>
      </c>
      <c r="C1437" s="5" t="s">
        <v>784</v>
      </c>
      <c r="D1437" s="35">
        <v>2022</v>
      </c>
      <c r="E1437" t="s">
        <v>458</v>
      </c>
      <c r="F1437" t="s">
        <v>930</v>
      </c>
      <c r="G1437" t="s">
        <v>287</v>
      </c>
      <c r="H1437" s="92" t="s">
        <v>969</v>
      </c>
      <c r="I1437">
        <v>1</v>
      </c>
      <c r="J1437" s="46">
        <v>2450</v>
      </c>
      <c r="K1437" s="50" t="s">
        <v>771</v>
      </c>
      <c r="L1437" s="46"/>
      <c r="M1437" s="46">
        <v>2450</v>
      </c>
      <c r="O1437" t="s">
        <v>625</v>
      </c>
    </row>
    <row r="1438" spans="2:16" x14ac:dyDescent="0.25">
      <c r="B1438" s="5">
        <v>44625</v>
      </c>
      <c r="C1438" s="5" t="s">
        <v>784</v>
      </c>
      <c r="D1438" s="35">
        <v>2022</v>
      </c>
      <c r="E1438" t="s">
        <v>458</v>
      </c>
      <c r="F1438" t="s">
        <v>272</v>
      </c>
      <c r="G1438" t="s">
        <v>128</v>
      </c>
      <c r="H1438" s="92" t="s">
        <v>965</v>
      </c>
      <c r="I1438">
        <v>2</v>
      </c>
      <c r="J1438" s="46">
        <v>2480</v>
      </c>
      <c r="K1438" s="50" t="s">
        <v>771</v>
      </c>
      <c r="L1438" s="46">
        <v>2480</v>
      </c>
      <c r="M1438" s="46"/>
      <c r="N1438" s="46">
        <v>2480</v>
      </c>
      <c r="P1438" t="s">
        <v>1000</v>
      </c>
    </row>
    <row r="1439" spans="2:16" x14ac:dyDescent="0.25">
      <c r="B1439" s="5">
        <v>44625</v>
      </c>
      <c r="C1439" s="5" t="s">
        <v>784</v>
      </c>
      <c r="D1439" s="35">
        <v>2022</v>
      </c>
      <c r="E1439" t="s">
        <v>458</v>
      </c>
      <c r="F1439" t="s">
        <v>199</v>
      </c>
      <c r="G1439" t="s">
        <v>432</v>
      </c>
      <c r="H1439" s="24" t="s">
        <v>976</v>
      </c>
      <c r="I1439">
        <v>1</v>
      </c>
      <c r="J1439" s="46">
        <v>3580</v>
      </c>
      <c r="K1439" s="50" t="s">
        <v>771</v>
      </c>
      <c r="L1439" s="46">
        <v>3580</v>
      </c>
      <c r="M1439" s="46"/>
    </row>
    <row r="1440" spans="2:16" x14ac:dyDescent="0.25">
      <c r="B1440" s="5">
        <v>44625</v>
      </c>
      <c r="C1440" s="5" t="s">
        <v>784</v>
      </c>
      <c r="D1440" s="35">
        <v>2022</v>
      </c>
      <c r="E1440" t="s">
        <v>458</v>
      </c>
      <c r="F1440" t="s">
        <v>931</v>
      </c>
      <c r="G1440" t="s">
        <v>122</v>
      </c>
      <c r="H1440" s="92" t="s">
        <v>973</v>
      </c>
      <c r="I1440">
        <v>1</v>
      </c>
      <c r="J1440" s="46">
        <v>260</v>
      </c>
      <c r="K1440" s="50" t="s">
        <v>771</v>
      </c>
      <c r="L1440" s="46">
        <v>260</v>
      </c>
      <c r="M1440" s="46"/>
    </row>
    <row r="1441" spans="2:16" x14ac:dyDescent="0.25">
      <c r="B1441" s="5">
        <v>44625</v>
      </c>
      <c r="C1441" s="5" t="s">
        <v>784</v>
      </c>
      <c r="D1441" s="35">
        <v>2022</v>
      </c>
      <c r="E1441" t="s">
        <v>458</v>
      </c>
      <c r="F1441" t="s">
        <v>931</v>
      </c>
      <c r="G1441" t="s">
        <v>380</v>
      </c>
      <c r="H1441" s="92" t="s">
        <v>972</v>
      </c>
      <c r="I1441">
        <v>1</v>
      </c>
      <c r="J1441" s="46">
        <v>600</v>
      </c>
      <c r="K1441" s="50" t="s">
        <v>771</v>
      </c>
      <c r="L1441" s="46">
        <v>600</v>
      </c>
      <c r="M1441" s="46"/>
    </row>
    <row r="1442" spans="2:16" x14ac:dyDescent="0.25">
      <c r="B1442" s="5">
        <v>44625</v>
      </c>
      <c r="C1442" s="5" t="s">
        <v>784</v>
      </c>
      <c r="D1442" s="35">
        <v>2022</v>
      </c>
      <c r="E1442" t="s">
        <v>445</v>
      </c>
      <c r="F1442" t="s">
        <v>844</v>
      </c>
      <c r="G1442" t="s">
        <v>380</v>
      </c>
      <c r="H1442" s="92" t="s">
        <v>972</v>
      </c>
      <c r="I1442">
        <v>1</v>
      </c>
      <c r="J1442" s="46">
        <v>600</v>
      </c>
      <c r="K1442" s="50" t="s">
        <v>771</v>
      </c>
      <c r="L1442" s="46">
        <v>600</v>
      </c>
      <c r="M1442" s="46"/>
    </row>
    <row r="1443" spans="2:16" x14ac:dyDescent="0.25">
      <c r="B1443" s="5">
        <v>44625</v>
      </c>
      <c r="C1443" s="5" t="s">
        <v>784</v>
      </c>
      <c r="D1443" s="35">
        <v>2022</v>
      </c>
      <c r="E1443" t="s">
        <v>445</v>
      </c>
      <c r="F1443" t="s">
        <v>214</v>
      </c>
      <c r="G1443" t="s">
        <v>249</v>
      </c>
      <c r="H1443" s="92" t="s">
        <v>972</v>
      </c>
      <c r="I1443">
        <v>1</v>
      </c>
      <c r="J1443" s="46">
        <v>1080</v>
      </c>
      <c r="K1443" s="50" t="s">
        <v>771</v>
      </c>
      <c r="L1443" s="46">
        <v>1080</v>
      </c>
      <c r="M1443" s="46"/>
    </row>
    <row r="1444" spans="2:16" x14ac:dyDescent="0.25">
      <c r="B1444" s="5">
        <v>44625</v>
      </c>
      <c r="C1444" s="5" t="s">
        <v>784</v>
      </c>
      <c r="D1444" s="35">
        <v>2022</v>
      </c>
      <c r="E1444" t="s">
        <v>445</v>
      </c>
      <c r="F1444" t="s">
        <v>214</v>
      </c>
      <c r="G1444" t="s">
        <v>432</v>
      </c>
      <c r="H1444" s="24" t="s">
        <v>976</v>
      </c>
      <c r="I1444">
        <v>1</v>
      </c>
      <c r="J1444" s="46">
        <v>3580</v>
      </c>
      <c r="K1444" s="50" t="s">
        <v>771</v>
      </c>
      <c r="L1444" s="46">
        <v>3580</v>
      </c>
      <c r="M1444" s="46"/>
    </row>
    <row r="1445" spans="2:16" x14ac:dyDescent="0.25">
      <c r="B1445" s="5">
        <v>44625</v>
      </c>
      <c r="C1445" s="5" t="s">
        <v>784</v>
      </c>
      <c r="D1445" s="35">
        <v>2022</v>
      </c>
      <c r="E1445" t="s">
        <v>445</v>
      </c>
      <c r="F1445" t="s">
        <v>932</v>
      </c>
      <c r="G1445" t="s">
        <v>45</v>
      </c>
      <c r="H1445" s="92" t="s">
        <v>965</v>
      </c>
      <c r="I1445">
        <v>1</v>
      </c>
      <c r="J1445" s="46">
        <v>1390</v>
      </c>
      <c r="K1445" s="50" t="s">
        <v>771</v>
      </c>
      <c r="L1445" s="46">
        <v>1390</v>
      </c>
      <c r="M1445" s="46"/>
      <c r="N1445" s="46">
        <v>1390</v>
      </c>
      <c r="P1445" t="s">
        <v>1000</v>
      </c>
    </row>
    <row r="1446" spans="2:16" x14ac:dyDescent="0.25">
      <c r="B1446" s="5">
        <v>44626</v>
      </c>
      <c r="C1446" s="5" t="s">
        <v>784</v>
      </c>
      <c r="D1446" s="35">
        <v>2022</v>
      </c>
      <c r="E1446" t="s">
        <v>417</v>
      </c>
      <c r="F1446" t="s">
        <v>941</v>
      </c>
      <c r="G1446" t="s">
        <v>45</v>
      </c>
      <c r="H1446" s="92" t="s">
        <v>965</v>
      </c>
      <c r="I1446">
        <v>2</v>
      </c>
      <c r="J1446" s="46">
        <v>2780</v>
      </c>
      <c r="K1446" s="50" t="s">
        <v>771</v>
      </c>
      <c r="L1446" s="46">
        <v>2780</v>
      </c>
      <c r="M1446" s="46"/>
    </row>
    <row r="1447" spans="2:16" x14ac:dyDescent="0.25">
      <c r="B1447" s="5">
        <v>44626</v>
      </c>
      <c r="C1447" s="5" t="s">
        <v>784</v>
      </c>
      <c r="D1447" s="35">
        <v>2022</v>
      </c>
      <c r="E1447" t="s">
        <v>417</v>
      </c>
      <c r="F1447" t="s">
        <v>25</v>
      </c>
      <c r="G1447" t="s">
        <v>45</v>
      </c>
      <c r="H1447" s="92" t="s">
        <v>965</v>
      </c>
      <c r="I1447">
        <v>1</v>
      </c>
      <c r="J1447" s="46">
        <v>1390</v>
      </c>
      <c r="K1447" s="50" t="s">
        <v>771</v>
      </c>
      <c r="L1447" s="46">
        <v>1390</v>
      </c>
      <c r="M1447" s="46"/>
      <c r="N1447" s="46">
        <v>1390</v>
      </c>
      <c r="P1447" t="s">
        <v>996</v>
      </c>
    </row>
    <row r="1448" spans="2:16" x14ac:dyDescent="0.25">
      <c r="B1448" s="5">
        <v>44626</v>
      </c>
      <c r="C1448" s="5" t="s">
        <v>784</v>
      </c>
      <c r="D1448" s="35">
        <v>2022</v>
      </c>
      <c r="E1448" t="s">
        <v>417</v>
      </c>
      <c r="F1448" t="s">
        <v>815</v>
      </c>
      <c r="G1448" t="s">
        <v>247</v>
      </c>
      <c r="H1448" s="92" t="s">
        <v>966</v>
      </c>
      <c r="I1448">
        <v>1</v>
      </c>
      <c r="J1448" s="46">
        <v>1800</v>
      </c>
      <c r="K1448" s="50" t="s">
        <v>771</v>
      </c>
      <c r="L1448" s="46">
        <v>1800</v>
      </c>
      <c r="M1448" s="46"/>
    </row>
    <row r="1449" spans="2:16" x14ac:dyDescent="0.25">
      <c r="B1449" s="5">
        <v>44626</v>
      </c>
      <c r="C1449" s="5" t="s">
        <v>784</v>
      </c>
      <c r="D1449" s="35">
        <v>2022</v>
      </c>
      <c r="E1449" t="s">
        <v>417</v>
      </c>
      <c r="F1449" t="s">
        <v>942</v>
      </c>
      <c r="G1449" t="s">
        <v>249</v>
      </c>
      <c r="H1449" s="92" t="s">
        <v>972</v>
      </c>
      <c r="I1449">
        <v>1</v>
      </c>
      <c r="J1449" s="46">
        <v>1080</v>
      </c>
      <c r="K1449" s="50" t="s">
        <v>771</v>
      </c>
      <c r="L1449" s="46">
        <v>1080</v>
      </c>
      <c r="M1449" s="46"/>
    </row>
    <row r="1450" spans="2:16" x14ac:dyDescent="0.25">
      <c r="B1450" s="5">
        <v>44626</v>
      </c>
      <c r="C1450" s="5" t="s">
        <v>784</v>
      </c>
      <c r="D1450" s="35">
        <v>2022</v>
      </c>
      <c r="E1450" t="s">
        <v>417</v>
      </c>
      <c r="F1450" t="s">
        <v>692</v>
      </c>
      <c r="G1450" t="s">
        <v>128</v>
      </c>
      <c r="H1450" s="92" t="s">
        <v>965</v>
      </c>
      <c r="I1450">
        <v>1</v>
      </c>
      <c r="J1450" s="46">
        <v>1240</v>
      </c>
      <c r="K1450" s="50" t="s">
        <v>771</v>
      </c>
      <c r="L1450" s="46">
        <v>1240</v>
      </c>
      <c r="M1450" s="46"/>
    </row>
    <row r="1451" spans="2:16" x14ac:dyDescent="0.25">
      <c r="B1451" s="5">
        <v>44626</v>
      </c>
      <c r="C1451" s="5" t="s">
        <v>784</v>
      </c>
      <c r="D1451" s="35">
        <v>2022</v>
      </c>
      <c r="E1451" t="s">
        <v>417</v>
      </c>
      <c r="F1451" t="s">
        <v>943</v>
      </c>
      <c r="G1451" t="s">
        <v>128</v>
      </c>
      <c r="H1451" s="92" t="s">
        <v>965</v>
      </c>
      <c r="I1451">
        <v>1</v>
      </c>
      <c r="J1451" s="46">
        <v>1240</v>
      </c>
      <c r="K1451" s="50" t="s">
        <v>771</v>
      </c>
      <c r="L1451" s="46">
        <v>1240</v>
      </c>
      <c r="M1451" s="46"/>
    </row>
    <row r="1452" spans="2:16" x14ac:dyDescent="0.25">
      <c r="B1452" s="5">
        <v>44627</v>
      </c>
      <c r="C1452" s="5" t="s">
        <v>784</v>
      </c>
      <c r="D1452" s="35">
        <v>2022</v>
      </c>
      <c r="E1452" t="s">
        <v>22</v>
      </c>
      <c r="F1452" t="s">
        <v>872</v>
      </c>
      <c r="G1452" t="s">
        <v>247</v>
      </c>
      <c r="H1452" s="92" t="s">
        <v>966</v>
      </c>
      <c r="I1452">
        <v>1</v>
      </c>
      <c r="J1452" s="46">
        <v>1800</v>
      </c>
      <c r="K1452" s="50" t="s">
        <v>940</v>
      </c>
      <c r="L1452" s="23">
        <v>1800</v>
      </c>
      <c r="M1452" s="46"/>
      <c r="N1452" s="46"/>
    </row>
    <row r="1453" spans="2:16" x14ac:dyDescent="0.25">
      <c r="B1453" s="5">
        <v>44627</v>
      </c>
      <c r="C1453" s="5" t="s">
        <v>784</v>
      </c>
      <c r="D1453" s="35">
        <v>2022</v>
      </c>
      <c r="E1453" t="s">
        <v>22</v>
      </c>
      <c r="F1453" t="s">
        <v>377</v>
      </c>
      <c r="G1453" t="s">
        <v>128</v>
      </c>
      <c r="H1453" s="92" t="s">
        <v>965</v>
      </c>
      <c r="I1453">
        <v>1</v>
      </c>
      <c r="J1453" s="46">
        <v>1240</v>
      </c>
      <c r="K1453" s="50" t="s">
        <v>940</v>
      </c>
      <c r="L1453" s="23">
        <v>1240</v>
      </c>
      <c r="M1453" s="46"/>
      <c r="N1453" s="46"/>
    </row>
    <row r="1454" spans="2:16" x14ac:dyDescent="0.25">
      <c r="B1454" s="5">
        <v>44627</v>
      </c>
      <c r="C1454" s="5" t="s">
        <v>784</v>
      </c>
      <c r="D1454" s="35">
        <v>2022</v>
      </c>
      <c r="E1454" t="s">
        <v>22</v>
      </c>
      <c r="F1454" t="s">
        <v>236</v>
      </c>
      <c r="G1454" t="s">
        <v>432</v>
      </c>
      <c r="H1454" s="24" t="s">
        <v>976</v>
      </c>
      <c r="I1454">
        <v>1</v>
      </c>
      <c r="J1454" s="46">
        <v>3580</v>
      </c>
      <c r="K1454" s="50" t="s">
        <v>940</v>
      </c>
      <c r="L1454" s="23">
        <v>3580</v>
      </c>
      <c r="M1454" s="46"/>
      <c r="N1454" s="46"/>
    </row>
    <row r="1455" spans="2:16" x14ac:dyDescent="0.25">
      <c r="B1455" s="5">
        <v>44627</v>
      </c>
      <c r="C1455" s="5" t="s">
        <v>784</v>
      </c>
      <c r="D1455" s="35">
        <v>2022</v>
      </c>
      <c r="E1455" t="s">
        <v>22</v>
      </c>
      <c r="F1455" t="s">
        <v>236</v>
      </c>
      <c r="G1455" t="s">
        <v>58</v>
      </c>
      <c r="H1455" s="92" t="s">
        <v>969</v>
      </c>
      <c r="I1455">
        <v>1</v>
      </c>
      <c r="J1455" s="46">
        <v>2530</v>
      </c>
      <c r="K1455" s="50" t="s">
        <v>940</v>
      </c>
      <c r="L1455" s="23">
        <v>2530</v>
      </c>
      <c r="M1455" s="46"/>
      <c r="N1455" s="46"/>
    </row>
    <row r="1456" spans="2:16" x14ac:dyDescent="0.25">
      <c r="B1456" s="5">
        <v>44627</v>
      </c>
      <c r="C1456" s="5" t="s">
        <v>784</v>
      </c>
      <c r="D1456" s="35">
        <v>2022</v>
      </c>
      <c r="E1456" t="s">
        <v>22</v>
      </c>
      <c r="F1456" t="s">
        <v>132</v>
      </c>
      <c r="G1456" t="s">
        <v>58</v>
      </c>
      <c r="H1456" s="92" t="s">
        <v>969</v>
      </c>
      <c r="I1456">
        <v>1</v>
      </c>
      <c r="J1456" s="46">
        <v>2530</v>
      </c>
      <c r="K1456" s="50" t="s">
        <v>940</v>
      </c>
      <c r="L1456" s="23">
        <v>2530</v>
      </c>
      <c r="M1456" s="46"/>
      <c r="N1456" s="46"/>
    </row>
    <row r="1457" spans="2:16" x14ac:dyDescent="0.25">
      <c r="B1457" s="5">
        <v>44627</v>
      </c>
      <c r="C1457" s="5" t="s">
        <v>784</v>
      </c>
      <c r="D1457" s="35">
        <v>2022</v>
      </c>
      <c r="E1457" t="s">
        <v>356</v>
      </c>
      <c r="F1457" t="s">
        <v>240</v>
      </c>
      <c r="G1457" t="s">
        <v>247</v>
      </c>
      <c r="H1457" s="92" t="s">
        <v>966</v>
      </c>
      <c r="I1457">
        <v>1</v>
      </c>
      <c r="J1457" s="46">
        <v>1800</v>
      </c>
      <c r="K1457" s="50" t="s">
        <v>940</v>
      </c>
      <c r="L1457" s="23">
        <v>1800</v>
      </c>
      <c r="M1457" s="46"/>
      <c r="N1457" s="46"/>
    </row>
    <row r="1458" spans="2:16" x14ac:dyDescent="0.25">
      <c r="B1458" s="5">
        <v>44627</v>
      </c>
      <c r="C1458" s="5" t="s">
        <v>784</v>
      </c>
      <c r="D1458" s="35">
        <v>2022</v>
      </c>
      <c r="E1458" t="s">
        <v>356</v>
      </c>
      <c r="F1458" t="s">
        <v>477</v>
      </c>
      <c r="G1458" t="s">
        <v>432</v>
      </c>
      <c r="H1458" s="24" t="s">
        <v>976</v>
      </c>
      <c r="I1458">
        <v>1</v>
      </c>
      <c r="J1458" s="46">
        <v>3580</v>
      </c>
      <c r="K1458" s="50" t="s">
        <v>940</v>
      </c>
      <c r="L1458" s="23">
        <v>3580</v>
      </c>
      <c r="M1458" s="46"/>
      <c r="N1458" s="46">
        <v>3580</v>
      </c>
      <c r="P1458" t="s">
        <v>889</v>
      </c>
    </row>
    <row r="1459" spans="2:16" x14ac:dyDescent="0.25">
      <c r="B1459" s="5">
        <v>44627</v>
      </c>
      <c r="C1459" s="5" t="s">
        <v>784</v>
      </c>
      <c r="D1459" s="35">
        <v>2022</v>
      </c>
      <c r="E1459" t="s">
        <v>356</v>
      </c>
      <c r="F1459" t="s">
        <v>454</v>
      </c>
      <c r="G1459" t="s">
        <v>321</v>
      </c>
      <c r="H1459" s="92" t="s">
        <v>967</v>
      </c>
      <c r="I1459">
        <v>1</v>
      </c>
      <c r="J1459" s="46">
        <v>2550</v>
      </c>
      <c r="K1459" s="50" t="s">
        <v>940</v>
      </c>
      <c r="L1459" s="23">
        <v>2550</v>
      </c>
      <c r="M1459" s="46"/>
      <c r="N1459" s="46">
        <v>2550</v>
      </c>
      <c r="P1459" t="s">
        <v>1001</v>
      </c>
    </row>
    <row r="1460" spans="2:16" x14ac:dyDescent="0.25">
      <c r="B1460" s="5">
        <v>44627</v>
      </c>
      <c r="C1460" s="5" t="s">
        <v>784</v>
      </c>
      <c r="D1460" s="35">
        <v>2022</v>
      </c>
      <c r="E1460" t="s">
        <v>356</v>
      </c>
      <c r="F1460" t="s">
        <v>429</v>
      </c>
      <c r="G1460" t="s">
        <v>45</v>
      </c>
      <c r="H1460" s="92" t="s">
        <v>965</v>
      </c>
      <c r="I1460">
        <v>1</v>
      </c>
      <c r="J1460" s="46">
        <v>1390</v>
      </c>
      <c r="K1460" s="50" t="s">
        <v>940</v>
      </c>
      <c r="L1460" s="23">
        <v>1390</v>
      </c>
      <c r="M1460" s="46"/>
      <c r="N1460" s="46"/>
    </row>
    <row r="1461" spans="2:16" x14ac:dyDescent="0.25">
      <c r="B1461" s="5">
        <v>44627</v>
      </c>
      <c r="C1461" s="5" t="s">
        <v>784</v>
      </c>
      <c r="D1461" s="35">
        <v>2022</v>
      </c>
      <c r="E1461" t="s">
        <v>356</v>
      </c>
      <c r="F1461" t="s">
        <v>455</v>
      </c>
      <c r="G1461" t="s">
        <v>45</v>
      </c>
      <c r="H1461" s="92" t="s">
        <v>965</v>
      </c>
      <c r="I1461">
        <v>1</v>
      </c>
      <c r="J1461" s="46">
        <v>1390</v>
      </c>
      <c r="K1461" s="50" t="s">
        <v>940</v>
      </c>
      <c r="L1461" s="23">
        <v>1390</v>
      </c>
      <c r="M1461" s="46"/>
      <c r="N1461" s="46"/>
    </row>
    <row r="1462" spans="2:16" x14ac:dyDescent="0.25">
      <c r="B1462" s="5">
        <v>44627</v>
      </c>
      <c r="C1462" s="5" t="s">
        <v>784</v>
      </c>
      <c r="D1462" s="35">
        <v>2022</v>
      </c>
      <c r="E1462" t="s">
        <v>900</v>
      </c>
      <c r="F1462" t="s">
        <v>989</v>
      </c>
      <c r="G1462" t="s">
        <v>128</v>
      </c>
      <c r="H1462" s="92" t="s">
        <v>965</v>
      </c>
      <c r="I1462">
        <v>1</v>
      </c>
      <c r="J1462" s="46">
        <v>1240</v>
      </c>
      <c r="K1462" s="50" t="s">
        <v>940</v>
      </c>
      <c r="L1462" s="23">
        <v>1240</v>
      </c>
      <c r="M1462" s="46"/>
      <c r="N1462" s="46"/>
    </row>
    <row r="1463" spans="2:16" x14ac:dyDescent="0.25">
      <c r="B1463" s="5">
        <v>44627</v>
      </c>
      <c r="C1463" s="5" t="s">
        <v>784</v>
      </c>
      <c r="D1463" s="35">
        <v>2022</v>
      </c>
      <c r="E1463" t="s">
        <v>900</v>
      </c>
      <c r="F1463" t="s">
        <v>790</v>
      </c>
      <c r="G1463" t="s">
        <v>380</v>
      </c>
      <c r="H1463" s="92" t="s">
        <v>972</v>
      </c>
      <c r="I1463">
        <v>1</v>
      </c>
      <c r="J1463" s="46">
        <v>600</v>
      </c>
      <c r="K1463" s="50" t="s">
        <v>940</v>
      </c>
      <c r="L1463" s="23">
        <v>600</v>
      </c>
      <c r="M1463" s="46"/>
      <c r="N1463" s="46"/>
    </row>
    <row r="1464" spans="2:16" x14ac:dyDescent="0.25">
      <c r="B1464" s="5">
        <v>44627</v>
      </c>
      <c r="C1464" s="5" t="s">
        <v>784</v>
      </c>
      <c r="D1464" s="35">
        <v>2022</v>
      </c>
      <c r="E1464" t="s">
        <v>900</v>
      </c>
      <c r="F1464" t="s">
        <v>806</v>
      </c>
      <c r="G1464" t="s">
        <v>425</v>
      </c>
      <c r="H1464" s="92" t="s">
        <v>980</v>
      </c>
      <c r="I1464">
        <v>2</v>
      </c>
      <c r="J1464" s="46">
        <v>420</v>
      </c>
      <c r="K1464" s="50" t="s">
        <v>940</v>
      </c>
      <c r="L1464" s="23">
        <v>420</v>
      </c>
      <c r="M1464" s="46"/>
      <c r="N1464" s="46"/>
    </row>
    <row r="1465" spans="2:16" x14ac:dyDescent="0.25">
      <c r="B1465" s="5">
        <v>44627</v>
      </c>
      <c r="C1465" s="5" t="s">
        <v>784</v>
      </c>
      <c r="D1465" s="35">
        <v>2022</v>
      </c>
      <c r="E1465" t="s">
        <v>900</v>
      </c>
      <c r="F1465" t="s">
        <v>896</v>
      </c>
      <c r="G1465" t="s">
        <v>58</v>
      </c>
      <c r="H1465" s="92" t="s">
        <v>969</v>
      </c>
      <c r="I1465">
        <v>1</v>
      </c>
      <c r="J1465" s="46">
        <v>2530</v>
      </c>
      <c r="K1465" s="50" t="s">
        <v>940</v>
      </c>
      <c r="L1465" s="23">
        <v>2530</v>
      </c>
      <c r="M1465" s="46"/>
      <c r="N1465" s="46"/>
    </row>
    <row r="1466" spans="2:16" x14ac:dyDescent="0.25">
      <c r="B1466" s="5">
        <v>44627</v>
      </c>
      <c r="C1466" s="5" t="s">
        <v>784</v>
      </c>
      <c r="D1466" s="35">
        <v>2022</v>
      </c>
      <c r="E1466" t="s">
        <v>900</v>
      </c>
      <c r="F1466" t="s">
        <v>698</v>
      </c>
      <c r="G1466" t="s">
        <v>128</v>
      </c>
      <c r="H1466" s="92" t="s">
        <v>965</v>
      </c>
      <c r="I1466">
        <v>1</v>
      </c>
      <c r="J1466" s="46">
        <v>1240</v>
      </c>
      <c r="K1466" s="50" t="s">
        <v>940</v>
      </c>
      <c r="L1466" s="23">
        <v>1240</v>
      </c>
      <c r="M1466" s="46"/>
      <c r="N1466" s="46"/>
    </row>
    <row r="1467" spans="2:16" x14ac:dyDescent="0.25">
      <c r="B1467" s="5">
        <v>44627</v>
      </c>
      <c r="C1467" s="5" t="s">
        <v>784</v>
      </c>
      <c r="D1467" s="35">
        <v>2022</v>
      </c>
      <c r="E1467" t="s">
        <v>458</v>
      </c>
      <c r="F1467" t="s">
        <v>243</v>
      </c>
      <c r="G1467" t="s">
        <v>425</v>
      </c>
      <c r="H1467" s="92" t="s">
        <v>980</v>
      </c>
      <c r="I1467">
        <v>1</v>
      </c>
      <c r="J1467" s="46">
        <v>210</v>
      </c>
      <c r="K1467" s="50" t="s">
        <v>940</v>
      </c>
      <c r="L1467" s="23">
        <v>210</v>
      </c>
      <c r="M1467" s="46"/>
      <c r="N1467" s="46"/>
    </row>
    <row r="1468" spans="2:16" x14ac:dyDescent="0.25">
      <c r="B1468" s="5">
        <v>44627</v>
      </c>
      <c r="C1468" s="5" t="s">
        <v>784</v>
      </c>
      <c r="D1468" s="35">
        <v>2022</v>
      </c>
      <c r="E1468" t="s">
        <v>458</v>
      </c>
      <c r="F1468" t="s">
        <v>243</v>
      </c>
      <c r="G1468" t="s">
        <v>509</v>
      </c>
      <c r="H1468" s="92" t="s">
        <v>977</v>
      </c>
      <c r="I1468">
        <v>3</v>
      </c>
      <c r="J1468" s="46">
        <v>390</v>
      </c>
      <c r="K1468" s="50" t="s">
        <v>940</v>
      </c>
      <c r="L1468" s="23">
        <v>390</v>
      </c>
      <c r="M1468" s="46"/>
      <c r="N1468" s="46"/>
    </row>
    <row r="1469" spans="2:16" x14ac:dyDescent="0.25">
      <c r="B1469" s="5">
        <v>44627</v>
      </c>
      <c r="C1469" s="5" t="s">
        <v>784</v>
      </c>
      <c r="D1469" s="35">
        <v>2022</v>
      </c>
      <c r="E1469" t="s">
        <v>458</v>
      </c>
      <c r="F1469" t="s">
        <v>382</v>
      </c>
      <c r="G1469" t="s">
        <v>425</v>
      </c>
      <c r="H1469" s="92" t="s">
        <v>980</v>
      </c>
      <c r="I1469">
        <v>1</v>
      </c>
      <c r="J1469" s="46">
        <v>210</v>
      </c>
      <c r="K1469" s="50" t="s">
        <v>940</v>
      </c>
      <c r="L1469" s="23">
        <v>210</v>
      </c>
      <c r="M1469" s="46"/>
      <c r="N1469" s="46"/>
    </row>
    <row r="1470" spans="2:16" x14ac:dyDescent="0.25">
      <c r="B1470" s="5">
        <v>44627</v>
      </c>
      <c r="C1470" s="5" t="s">
        <v>784</v>
      </c>
      <c r="D1470" s="35">
        <v>2022</v>
      </c>
      <c r="E1470" t="s">
        <v>458</v>
      </c>
      <c r="F1470" t="s">
        <v>505</v>
      </c>
      <c r="G1470" t="s">
        <v>425</v>
      </c>
      <c r="H1470" s="92" t="s">
        <v>980</v>
      </c>
      <c r="I1470">
        <v>2</v>
      </c>
      <c r="J1470" s="46">
        <v>420</v>
      </c>
      <c r="K1470" s="50" t="s">
        <v>940</v>
      </c>
      <c r="L1470" s="23">
        <v>420</v>
      </c>
      <c r="M1470" s="46"/>
      <c r="N1470" s="46"/>
    </row>
    <row r="1471" spans="2:16" x14ac:dyDescent="0.25">
      <c r="B1471" s="5">
        <v>44627</v>
      </c>
      <c r="C1471" s="5" t="s">
        <v>784</v>
      </c>
      <c r="D1471" s="35">
        <v>2022</v>
      </c>
      <c r="E1471" t="s">
        <v>458</v>
      </c>
      <c r="F1471" t="s">
        <v>990</v>
      </c>
      <c r="G1471" t="s">
        <v>128</v>
      </c>
      <c r="H1471" s="92" t="s">
        <v>965</v>
      </c>
      <c r="I1471">
        <v>1</v>
      </c>
      <c r="J1471" s="46">
        <v>1240</v>
      </c>
      <c r="K1471" s="50" t="s">
        <v>940</v>
      </c>
      <c r="L1471" s="23">
        <v>1240</v>
      </c>
      <c r="M1471" s="46"/>
      <c r="N1471" s="46"/>
    </row>
    <row r="1472" spans="2:16" x14ac:dyDescent="0.25">
      <c r="B1472" s="5">
        <v>44627</v>
      </c>
      <c r="C1472" s="5" t="s">
        <v>784</v>
      </c>
      <c r="D1472" s="35">
        <v>2022</v>
      </c>
      <c r="E1472" t="s">
        <v>458</v>
      </c>
      <c r="F1472" t="s">
        <v>384</v>
      </c>
      <c r="G1472" t="s">
        <v>269</v>
      </c>
      <c r="H1472" s="92" t="s">
        <v>983</v>
      </c>
      <c r="I1472">
        <v>2</v>
      </c>
      <c r="J1472" s="46">
        <v>580</v>
      </c>
      <c r="K1472" s="50" t="s">
        <v>940</v>
      </c>
      <c r="L1472" s="23">
        <v>580</v>
      </c>
      <c r="M1472" s="46"/>
      <c r="N1472" s="46"/>
    </row>
    <row r="1473" spans="2:16" x14ac:dyDescent="0.25">
      <c r="B1473" s="5">
        <v>44627</v>
      </c>
      <c r="C1473" s="5" t="s">
        <v>784</v>
      </c>
      <c r="D1473" s="35">
        <v>2022</v>
      </c>
      <c r="E1473" t="s">
        <v>458</v>
      </c>
      <c r="F1473" t="s">
        <v>930</v>
      </c>
      <c r="G1473" t="s">
        <v>287</v>
      </c>
      <c r="H1473" s="92" t="s">
        <v>969</v>
      </c>
      <c r="I1473">
        <v>1</v>
      </c>
      <c r="J1473" s="46">
        <v>2450</v>
      </c>
      <c r="K1473" s="50" t="s">
        <v>940</v>
      </c>
      <c r="L1473" s="46"/>
      <c r="M1473" s="103">
        <v>2450</v>
      </c>
      <c r="N1473" s="46"/>
      <c r="O1473" t="s">
        <v>625</v>
      </c>
    </row>
    <row r="1474" spans="2:16" x14ac:dyDescent="0.25">
      <c r="B1474" s="5">
        <v>44627</v>
      </c>
      <c r="C1474" s="5" t="s">
        <v>784</v>
      </c>
      <c r="D1474" s="35">
        <v>2022</v>
      </c>
      <c r="E1474" t="s">
        <v>458</v>
      </c>
      <c r="F1474" t="s">
        <v>480</v>
      </c>
      <c r="G1474" t="s">
        <v>323</v>
      </c>
      <c r="H1474" s="92" t="s">
        <v>981</v>
      </c>
      <c r="I1474">
        <v>2</v>
      </c>
      <c r="J1474" s="46">
        <v>620</v>
      </c>
      <c r="K1474" s="50" t="s">
        <v>940</v>
      </c>
      <c r="L1474" s="23">
        <v>620</v>
      </c>
      <c r="M1474" s="46"/>
      <c r="N1474" s="46"/>
    </row>
    <row r="1475" spans="2:16" x14ac:dyDescent="0.25">
      <c r="B1475" s="5">
        <v>44627</v>
      </c>
      <c r="C1475" s="5" t="s">
        <v>784</v>
      </c>
      <c r="D1475" s="35">
        <v>2022</v>
      </c>
      <c r="E1475" t="s">
        <v>458</v>
      </c>
      <c r="F1475" t="s">
        <v>480</v>
      </c>
      <c r="G1475" t="s">
        <v>425</v>
      </c>
      <c r="H1475" s="92" t="s">
        <v>980</v>
      </c>
      <c r="I1475">
        <v>1</v>
      </c>
      <c r="J1475" s="46">
        <v>210</v>
      </c>
      <c r="K1475" s="50" t="s">
        <v>940</v>
      </c>
      <c r="L1475" s="23">
        <v>210</v>
      </c>
      <c r="M1475" s="46"/>
      <c r="N1475" s="46"/>
    </row>
    <row r="1476" spans="2:16" x14ac:dyDescent="0.25">
      <c r="B1476" s="5">
        <v>44627</v>
      </c>
      <c r="C1476" s="5" t="s">
        <v>784</v>
      </c>
      <c r="D1476" s="35">
        <v>2022</v>
      </c>
      <c r="E1476" t="s">
        <v>458</v>
      </c>
      <c r="F1476" t="s">
        <v>142</v>
      </c>
      <c r="G1476" t="s">
        <v>509</v>
      </c>
      <c r="H1476" s="92" t="s">
        <v>977</v>
      </c>
      <c r="I1476">
        <v>5</v>
      </c>
      <c r="J1476" s="46">
        <v>650</v>
      </c>
      <c r="K1476" s="50" t="s">
        <v>940</v>
      </c>
      <c r="L1476" s="23">
        <v>650</v>
      </c>
      <c r="M1476" s="46"/>
      <c r="N1476" s="46"/>
    </row>
    <row r="1477" spans="2:16" x14ac:dyDescent="0.25">
      <c r="B1477" s="5">
        <v>44627</v>
      </c>
      <c r="C1477" s="5" t="s">
        <v>784</v>
      </c>
      <c r="D1477" s="35">
        <v>2022</v>
      </c>
      <c r="E1477" t="s">
        <v>458</v>
      </c>
      <c r="F1477" t="s">
        <v>142</v>
      </c>
      <c r="G1477" t="s">
        <v>840</v>
      </c>
      <c r="H1477" s="92" t="s">
        <v>977</v>
      </c>
      <c r="I1477">
        <v>5</v>
      </c>
      <c r="J1477" s="46">
        <v>650</v>
      </c>
      <c r="K1477" s="50" t="s">
        <v>940</v>
      </c>
      <c r="L1477" s="23">
        <v>650</v>
      </c>
      <c r="M1477" s="46"/>
      <c r="N1477" s="46"/>
    </row>
    <row r="1478" spans="2:16" x14ac:dyDescent="0.25">
      <c r="B1478" s="5">
        <v>44627</v>
      </c>
      <c r="C1478" s="5" t="s">
        <v>784</v>
      </c>
      <c r="D1478" s="35">
        <v>2022</v>
      </c>
      <c r="E1478" t="s">
        <v>458</v>
      </c>
      <c r="F1478" t="s">
        <v>201</v>
      </c>
      <c r="G1478" t="s">
        <v>128</v>
      </c>
      <c r="H1478" s="92" t="s">
        <v>965</v>
      </c>
      <c r="I1478">
        <v>1</v>
      </c>
      <c r="J1478" s="46">
        <v>1240</v>
      </c>
      <c r="K1478" s="50" t="s">
        <v>940</v>
      </c>
      <c r="L1478" s="23">
        <v>1240</v>
      </c>
      <c r="M1478" s="46"/>
      <c r="N1478" s="46"/>
    </row>
    <row r="1479" spans="2:16" x14ac:dyDescent="0.25">
      <c r="B1479" s="5">
        <v>44627</v>
      </c>
      <c r="C1479" s="5" t="s">
        <v>784</v>
      </c>
      <c r="D1479" s="35">
        <v>2022</v>
      </c>
      <c r="E1479" t="s">
        <v>458</v>
      </c>
      <c r="F1479" t="s">
        <v>201</v>
      </c>
      <c r="G1479" t="s">
        <v>247</v>
      </c>
      <c r="H1479" s="92" t="s">
        <v>966</v>
      </c>
      <c r="I1479">
        <v>1</v>
      </c>
      <c r="J1479" s="46">
        <v>1800</v>
      </c>
      <c r="K1479" s="50" t="s">
        <v>940</v>
      </c>
      <c r="L1479" s="23">
        <v>1800</v>
      </c>
      <c r="M1479" s="46"/>
      <c r="N1479" s="46"/>
    </row>
    <row r="1480" spans="2:16" x14ac:dyDescent="0.25">
      <c r="B1480" s="5">
        <v>44627</v>
      </c>
      <c r="C1480" s="5" t="s">
        <v>784</v>
      </c>
      <c r="D1480" s="35">
        <v>2022</v>
      </c>
      <c r="E1480" t="s">
        <v>417</v>
      </c>
      <c r="F1480" t="s">
        <v>692</v>
      </c>
      <c r="G1480" t="s">
        <v>128</v>
      </c>
      <c r="H1480" s="92" t="s">
        <v>965</v>
      </c>
      <c r="I1480">
        <v>2</v>
      </c>
      <c r="J1480" s="46">
        <v>2480</v>
      </c>
      <c r="K1480" s="50" t="s">
        <v>940</v>
      </c>
      <c r="L1480" s="23">
        <v>2480</v>
      </c>
      <c r="M1480" s="46"/>
      <c r="N1480" s="46">
        <v>2480</v>
      </c>
      <c r="P1480" t="s">
        <v>1002</v>
      </c>
    </row>
    <row r="1481" spans="2:16" x14ac:dyDescent="0.25">
      <c r="B1481" s="5">
        <v>44627</v>
      </c>
      <c r="C1481" s="5" t="s">
        <v>784</v>
      </c>
      <c r="D1481" s="35">
        <v>2022</v>
      </c>
      <c r="E1481" t="s">
        <v>417</v>
      </c>
      <c r="F1481" t="s">
        <v>991</v>
      </c>
      <c r="G1481" t="s">
        <v>283</v>
      </c>
      <c r="H1481" s="92" t="s">
        <v>983</v>
      </c>
      <c r="I1481">
        <v>1</v>
      </c>
      <c r="J1481" s="46">
        <v>505</v>
      </c>
      <c r="K1481" s="50" t="s">
        <v>940</v>
      </c>
      <c r="L1481" s="23">
        <v>505</v>
      </c>
      <c r="M1481" s="46"/>
      <c r="N1481" s="46"/>
    </row>
    <row r="1482" spans="2:16" x14ac:dyDescent="0.25">
      <c r="B1482" s="5">
        <v>44627</v>
      </c>
      <c r="C1482" s="5" t="s">
        <v>784</v>
      </c>
      <c r="D1482" s="35">
        <v>2022</v>
      </c>
      <c r="E1482" t="s">
        <v>417</v>
      </c>
      <c r="F1482" t="s">
        <v>992</v>
      </c>
      <c r="G1482" t="s">
        <v>425</v>
      </c>
      <c r="H1482" s="92" t="s">
        <v>980</v>
      </c>
      <c r="I1482">
        <v>2</v>
      </c>
      <c r="J1482" s="46">
        <v>420</v>
      </c>
      <c r="K1482" s="50" t="s">
        <v>940</v>
      </c>
      <c r="L1482" s="23">
        <v>420</v>
      </c>
      <c r="M1482" s="46"/>
      <c r="N1482" s="46"/>
    </row>
    <row r="1483" spans="2:16" x14ac:dyDescent="0.25">
      <c r="B1483" s="5">
        <v>44627</v>
      </c>
      <c r="C1483" s="5" t="s">
        <v>784</v>
      </c>
      <c r="D1483" s="35">
        <v>2022</v>
      </c>
      <c r="E1483" t="s">
        <v>417</v>
      </c>
      <c r="F1483" t="s">
        <v>702</v>
      </c>
      <c r="G1483" t="s">
        <v>128</v>
      </c>
      <c r="H1483" s="92" t="s">
        <v>965</v>
      </c>
      <c r="I1483">
        <v>1</v>
      </c>
      <c r="J1483" s="46">
        <v>1240</v>
      </c>
      <c r="K1483" s="50" t="s">
        <v>940</v>
      </c>
      <c r="L1483" s="23">
        <v>1240</v>
      </c>
      <c r="M1483" s="46"/>
      <c r="N1483" s="46"/>
    </row>
    <row r="1484" spans="2:16" x14ac:dyDescent="0.25">
      <c r="B1484" s="5">
        <v>44627</v>
      </c>
      <c r="C1484" s="5" t="s">
        <v>784</v>
      </c>
      <c r="D1484" s="35">
        <v>2022</v>
      </c>
      <c r="E1484" t="s">
        <v>417</v>
      </c>
      <c r="F1484" t="s">
        <v>558</v>
      </c>
      <c r="G1484" t="s">
        <v>269</v>
      </c>
      <c r="H1484" s="92" t="s">
        <v>983</v>
      </c>
      <c r="I1484">
        <v>1</v>
      </c>
      <c r="J1484" s="46">
        <v>290</v>
      </c>
      <c r="K1484" s="50" t="s">
        <v>940</v>
      </c>
      <c r="L1484" s="23">
        <v>290</v>
      </c>
      <c r="M1484" s="46"/>
      <c r="N1484" s="46"/>
    </row>
    <row r="1485" spans="2:16" x14ac:dyDescent="0.25">
      <c r="B1485" s="5">
        <v>44627</v>
      </c>
      <c r="C1485" s="5" t="s">
        <v>784</v>
      </c>
      <c r="D1485" s="35">
        <v>2022</v>
      </c>
      <c r="E1485" t="s">
        <v>417</v>
      </c>
      <c r="F1485" t="s">
        <v>558</v>
      </c>
      <c r="G1485" t="s">
        <v>283</v>
      </c>
      <c r="H1485" s="92" t="s">
        <v>983</v>
      </c>
      <c r="I1485">
        <v>1</v>
      </c>
      <c r="J1485" s="46">
        <v>505</v>
      </c>
      <c r="K1485" s="50" t="s">
        <v>940</v>
      </c>
      <c r="L1485" s="23">
        <v>505</v>
      </c>
      <c r="M1485" s="46"/>
      <c r="N1485" s="46"/>
    </row>
    <row r="1486" spans="2:16" x14ac:dyDescent="0.25">
      <c r="B1486" s="5">
        <v>44627</v>
      </c>
      <c r="C1486" s="5" t="s">
        <v>784</v>
      </c>
      <c r="D1486" s="35">
        <v>2022</v>
      </c>
      <c r="E1486" t="s">
        <v>417</v>
      </c>
      <c r="F1486" t="s">
        <v>817</v>
      </c>
      <c r="G1486" t="s">
        <v>45</v>
      </c>
      <c r="H1486" s="92" t="s">
        <v>965</v>
      </c>
      <c r="I1486">
        <v>1</v>
      </c>
      <c r="J1486" s="46">
        <v>1390</v>
      </c>
      <c r="K1486" s="50" t="s">
        <v>940</v>
      </c>
      <c r="L1486" s="23">
        <v>1390</v>
      </c>
      <c r="M1486" s="46"/>
      <c r="N1486" s="46"/>
    </row>
    <row r="1487" spans="2:16" x14ac:dyDescent="0.25">
      <c r="B1487" s="5">
        <v>44627</v>
      </c>
      <c r="C1487" s="5" t="s">
        <v>784</v>
      </c>
      <c r="D1487" s="35">
        <v>2022</v>
      </c>
      <c r="E1487" t="s">
        <v>417</v>
      </c>
      <c r="F1487" t="s">
        <v>817</v>
      </c>
      <c r="G1487" t="s">
        <v>126</v>
      </c>
      <c r="H1487" s="92" t="s">
        <v>965</v>
      </c>
      <c r="I1487">
        <v>1</v>
      </c>
      <c r="J1487" s="46">
        <v>1410</v>
      </c>
      <c r="K1487" s="50" t="s">
        <v>940</v>
      </c>
      <c r="L1487" s="23">
        <v>1410</v>
      </c>
      <c r="M1487" s="46"/>
      <c r="N1487" s="46"/>
    </row>
    <row r="1488" spans="2:16" x14ac:dyDescent="0.25">
      <c r="B1488" s="5">
        <v>44627</v>
      </c>
      <c r="C1488" s="5" t="s">
        <v>784</v>
      </c>
      <c r="D1488" s="35">
        <v>2022</v>
      </c>
      <c r="E1488" t="s">
        <v>445</v>
      </c>
      <c r="F1488" t="s">
        <v>993</v>
      </c>
      <c r="G1488" t="s">
        <v>432</v>
      </c>
      <c r="H1488" s="24" t="s">
        <v>976</v>
      </c>
      <c r="I1488">
        <v>2</v>
      </c>
      <c r="J1488" s="46">
        <v>7160</v>
      </c>
      <c r="K1488" s="50" t="s">
        <v>940</v>
      </c>
      <c r="L1488" s="23">
        <v>7160</v>
      </c>
      <c r="M1488" s="46"/>
      <c r="N1488" s="46"/>
    </row>
    <row r="1489" spans="2:16" x14ac:dyDescent="0.25">
      <c r="B1489" s="5">
        <v>44627</v>
      </c>
      <c r="C1489" s="5" t="s">
        <v>784</v>
      </c>
      <c r="D1489" s="35">
        <v>2022</v>
      </c>
      <c r="E1489" t="s">
        <v>445</v>
      </c>
      <c r="F1489" t="s">
        <v>994</v>
      </c>
      <c r="G1489" t="s">
        <v>885</v>
      </c>
      <c r="H1489" s="92" t="s">
        <v>967</v>
      </c>
      <c r="I1489">
        <v>1</v>
      </c>
      <c r="J1489" s="46">
        <v>2550</v>
      </c>
      <c r="K1489" s="50" t="s">
        <v>940</v>
      </c>
      <c r="L1489" s="23">
        <v>2550</v>
      </c>
      <c r="M1489" s="46"/>
      <c r="N1489" s="46"/>
    </row>
    <row r="1490" spans="2:16" x14ac:dyDescent="0.25">
      <c r="B1490" s="5">
        <v>44627</v>
      </c>
      <c r="C1490" s="5" t="s">
        <v>784</v>
      </c>
      <c r="D1490" s="35">
        <v>2022</v>
      </c>
      <c r="E1490" t="s">
        <v>445</v>
      </c>
      <c r="F1490" t="s">
        <v>994</v>
      </c>
      <c r="G1490" t="s">
        <v>287</v>
      </c>
      <c r="H1490" s="92" t="s">
        <v>969</v>
      </c>
      <c r="I1490">
        <v>1</v>
      </c>
      <c r="J1490" s="46">
        <v>2450</v>
      </c>
      <c r="K1490" s="50" t="s">
        <v>940</v>
      </c>
      <c r="L1490" s="46"/>
      <c r="M1490" s="103">
        <v>2450</v>
      </c>
      <c r="N1490" s="46"/>
      <c r="O1490" t="s">
        <v>625</v>
      </c>
    </row>
    <row r="1491" spans="2:16" x14ac:dyDescent="0.25">
      <c r="B1491" s="5">
        <v>44627</v>
      </c>
      <c r="C1491" s="5" t="s">
        <v>784</v>
      </c>
      <c r="D1491" s="35">
        <v>2022</v>
      </c>
      <c r="E1491" t="s">
        <v>445</v>
      </c>
      <c r="F1491" t="s">
        <v>995</v>
      </c>
      <c r="G1491" t="s">
        <v>58</v>
      </c>
      <c r="H1491" s="92" t="s">
        <v>969</v>
      </c>
      <c r="I1491">
        <v>1</v>
      </c>
      <c r="J1491" s="46">
        <v>2530</v>
      </c>
      <c r="K1491" s="50" t="s">
        <v>940</v>
      </c>
      <c r="L1491" s="23">
        <v>2530</v>
      </c>
      <c r="M1491" s="46"/>
      <c r="N1491" s="46"/>
    </row>
    <row r="1492" spans="2:16" x14ac:dyDescent="0.25">
      <c r="B1492" s="5">
        <v>44628</v>
      </c>
      <c r="C1492" s="5" t="s">
        <v>784</v>
      </c>
      <c r="D1492" s="35">
        <v>2022</v>
      </c>
      <c r="E1492" t="s">
        <v>22</v>
      </c>
      <c r="F1492" t="s">
        <v>872</v>
      </c>
      <c r="G1492" t="s">
        <v>323</v>
      </c>
      <c r="H1492" s="92" t="s">
        <v>981</v>
      </c>
      <c r="I1492">
        <v>2</v>
      </c>
      <c r="J1492" s="46">
        <v>620</v>
      </c>
      <c r="K1492" s="50" t="s">
        <v>940</v>
      </c>
      <c r="L1492" s="46">
        <v>620</v>
      </c>
      <c r="M1492" s="46"/>
    </row>
    <row r="1493" spans="2:16" x14ac:dyDescent="0.25">
      <c r="B1493" s="5">
        <v>44628</v>
      </c>
      <c r="C1493" s="5" t="s">
        <v>784</v>
      </c>
      <c r="D1493" s="35">
        <v>2022</v>
      </c>
      <c r="E1493" t="s">
        <v>22</v>
      </c>
      <c r="F1493" t="s">
        <v>473</v>
      </c>
      <c r="G1493" t="s">
        <v>128</v>
      </c>
      <c r="H1493" s="92" t="s">
        <v>965</v>
      </c>
      <c r="I1493">
        <v>1</v>
      </c>
      <c r="J1493" s="46">
        <v>1240</v>
      </c>
      <c r="K1493" s="50" t="s">
        <v>940</v>
      </c>
      <c r="L1493" s="46">
        <v>1240</v>
      </c>
      <c r="M1493" s="46"/>
    </row>
    <row r="1494" spans="2:16" x14ac:dyDescent="0.25">
      <c r="B1494" s="5">
        <v>44628</v>
      </c>
      <c r="C1494" s="5" t="s">
        <v>784</v>
      </c>
      <c r="D1494" s="35">
        <v>2022</v>
      </c>
      <c r="E1494" t="s">
        <v>22</v>
      </c>
      <c r="F1494" t="s">
        <v>237</v>
      </c>
      <c r="G1494" t="s">
        <v>58</v>
      </c>
      <c r="H1494" s="92" t="s">
        <v>969</v>
      </c>
      <c r="I1494">
        <v>1</v>
      </c>
      <c r="J1494" s="46">
        <v>2530</v>
      </c>
      <c r="K1494" s="50" t="s">
        <v>940</v>
      </c>
      <c r="L1494" s="46">
        <v>2530</v>
      </c>
      <c r="M1494" s="46"/>
    </row>
    <row r="1495" spans="2:16" x14ac:dyDescent="0.25">
      <c r="B1495" s="5">
        <v>44628</v>
      </c>
      <c r="C1495" s="5" t="s">
        <v>784</v>
      </c>
      <c r="D1495" s="35">
        <v>2022</v>
      </c>
      <c r="E1495" t="s">
        <v>356</v>
      </c>
      <c r="F1495" t="s">
        <v>312</v>
      </c>
      <c r="G1495" t="s">
        <v>321</v>
      </c>
      <c r="H1495" s="92" t="s">
        <v>967</v>
      </c>
      <c r="I1495">
        <v>2</v>
      </c>
      <c r="J1495" s="46">
        <v>5100</v>
      </c>
      <c r="K1495" s="50" t="s">
        <v>940</v>
      </c>
      <c r="L1495" s="46">
        <v>5100</v>
      </c>
      <c r="M1495" s="46"/>
      <c r="N1495" s="46">
        <v>2550</v>
      </c>
      <c r="P1495" t="s">
        <v>1016</v>
      </c>
    </row>
    <row r="1496" spans="2:16" x14ac:dyDescent="0.25">
      <c r="B1496" s="5">
        <v>44628</v>
      </c>
      <c r="C1496" s="5" t="s">
        <v>784</v>
      </c>
      <c r="D1496" s="35">
        <v>2022</v>
      </c>
      <c r="E1496" t="s">
        <v>356</v>
      </c>
      <c r="F1496" t="s">
        <v>453</v>
      </c>
      <c r="G1496" t="s">
        <v>249</v>
      </c>
      <c r="H1496" s="92" t="s">
        <v>972</v>
      </c>
      <c r="I1496">
        <v>1</v>
      </c>
      <c r="J1496" s="46">
        <v>1080</v>
      </c>
      <c r="K1496" s="50" t="s">
        <v>940</v>
      </c>
      <c r="L1496" s="46">
        <v>1080</v>
      </c>
      <c r="M1496" s="46"/>
      <c r="N1496" s="46">
        <v>1080</v>
      </c>
      <c r="P1496" t="s">
        <v>1012</v>
      </c>
    </row>
    <row r="1497" spans="2:16" x14ac:dyDescent="0.25">
      <c r="B1497" s="5">
        <v>44628</v>
      </c>
      <c r="C1497" s="5" t="s">
        <v>784</v>
      </c>
      <c r="D1497" s="35">
        <v>2022</v>
      </c>
      <c r="E1497" t="s">
        <v>356</v>
      </c>
      <c r="F1497" t="s">
        <v>313</v>
      </c>
      <c r="G1497" t="s">
        <v>247</v>
      </c>
      <c r="H1497" s="92" t="s">
        <v>966</v>
      </c>
      <c r="I1497">
        <v>1</v>
      </c>
      <c r="J1497" s="46">
        <v>1800</v>
      </c>
      <c r="K1497" s="50" t="s">
        <v>940</v>
      </c>
      <c r="L1497" s="46">
        <v>1800</v>
      </c>
      <c r="M1497" s="46"/>
    </row>
    <row r="1498" spans="2:16" x14ac:dyDescent="0.25">
      <c r="B1498" s="5">
        <v>44628</v>
      </c>
      <c r="C1498" s="5" t="s">
        <v>784</v>
      </c>
      <c r="D1498" s="35">
        <v>2022</v>
      </c>
      <c r="E1498" t="s">
        <v>356</v>
      </c>
      <c r="F1498" t="s">
        <v>137</v>
      </c>
      <c r="G1498" t="s">
        <v>323</v>
      </c>
      <c r="H1498" s="92" t="s">
        <v>981</v>
      </c>
      <c r="I1498">
        <v>1</v>
      </c>
      <c r="J1498" s="46">
        <v>310</v>
      </c>
      <c r="K1498" s="50" t="s">
        <v>940</v>
      </c>
      <c r="L1498" s="46">
        <v>310</v>
      </c>
      <c r="M1498" s="46"/>
    </row>
    <row r="1499" spans="2:16" x14ac:dyDescent="0.25">
      <c r="B1499" s="5">
        <v>44628</v>
      </c>
      <c r="C1499" s="5" t="s">
        <v>784</v>
      </c>
      <c r="D1499" s="35">
        <v>2022</v>
      </c>
      <c r="E1499" t="s">
        <v>356</v>
      </c>
      <c r="F1499" t="s">
        <v>137</v>
      </c>
      <c r="G1499" t="s">
        <v>425</v>
      </c>
      <c r="H1499" s="92" t="s">
        <v>980</v>
      </c>
      <c r="I1499">
        <v>1</v>
      </c>
      <c r="J1499" s="46">
        <v>210</v>
      </c>
      <c r="K1499" s="50" t="s">
        <v>940</v>
      </c>
      <c r="L1499" s="46">
        <v>210</v>
      </c>
      <c r="M1499" s="46"/>
    </row>
    <row r="1500" spans="2:16" x14ac:dyDescent="0.25">
      <c r="B1500" s="5">
        <v>44628</v>
      </c>
      <c r="C1500" s="5" t="s">
        <v>784</v>
      </c>
      <c r="D1500" s="35">
        <v>2022</v>
      </c>
      <c r="E1500" t="s">
        <v>356</v>
      </c>
      <c r="F1500" t="s">
        <v>355</v>
      </c>
      <c r="G1500" t="s">
        <v>247</v>
      </c>
      <c r="H1500" s="92" t="s">
        <v>966</v>
      </c>
      <c r="I1500">
        <v>2</v>
      </c>
      <c r="J1500" s="46">
        <v>3600</v>
      </c>
      <c r="K1500" s="50" t="s">
        <v>940</v>
      </c>
      <c r="L1500" s="46">
        <v>3600</v>
      </c>
      <c r="M1500" s="46"/>
      <c r="N1500" s="46">
        <v>1800</v>
      </c>
      <c r="P1500" t="s">
        <v>1013</v>
      </c>
    </row>
    <row r="1501" spans="2:16" x14ac:dyDescent="0.25">
      <c r="B1501" s="5">
        <v>44628</v>
      </c>
      <c r="C1501" s="5" t="s">
        <v>784</v>
      </c>
      <c r="D1501" s="35">
        <v>2022</v>
      </c>
      <c r="E1501" t="s">
        <v>900</v>
      </c>
      <c r="F1501" t="s">
        <v>1003</v>
      </c>
      <c r="G1501" t="s">
        <v>122</v>
      </c>
      <c r="H1501" s="92" t="s">
        <v>973</v>
      </c>
      <c r="I1501">
        <v>1</v>
      </c>
      <c r="J1501" s="46">
        <v>260</v>
      </c>
      <c r="K1501" s="50" t="s">
        <v>940</v>
      </c>
      <c r="L1501" s="46">
        <v>260</v>
      </c>
      <c r="M1501" s="46"/>
    </row>
    <row r="1502" spans="2:16" x14ac:dyDescent="0.25">
      <c r="B1502" s="5">
        <v>44628</v>
      </c>
      <c r="C1502" s="5" t="s">
        <v>784</v>
      </c>
      <c r="D1502" s="35">
        <v>2022</v>
      </c>
      <c r="E1502" t="s">
        <v>900</v>
      </c>
      <c r="F1502" t="s">
        <v>1003</v>
      </c>
      <c r="G1502" t="s">
        <v>413</v>
      </c>
      <c r="H1502" s="92" t="s">
        <v>977</v>
      </c>
      <c r="I1502">
        <v>1</v>
      </c>
      <c r="J1502" s="46">
        <v>560</v>
      </c>
      <c r="K1502" s="50" t="s">
        <v>940</v>
      </c>
      <c r="L1502" s="46">
        <v>560</v>
      </c>
      <c r="M1502" s="46"/>
    </row>
    <row r="1503" spans="2:16" x14ac:dyDescent="0.25">
      <c r="B1503" s="5">
        <v>44628</v>
      </c>
      <c r="C1503" s="5" t="s">
        <v>784</v>
      </c>
      <c r="D1503" s="35">
        <v>2022</v>
      </c>
      <c r="E1503" t="s">
        <v>900</v>
      </c>
      <c r="F1503" t="s">
        <v>791</v>
      </c>
      <c r="G1503" t="s">
        <v>425</v>
      </c>
      <c r="H1503" s="92" t="s">
        <v>980</v>
      </c>
      <c r="I1503">
        <v>2</v>
      </c>
      <c r="J1503" s="46">
        <v>420</v>
      </c>
      <c r="K1503" s="50" t="s">
        <v>940</v>
      </c>
      <c r="L1503" s="46">
        <v>420</v>
      </c>
      <c r="M1503" s="46"/>
    </row>
    <row r="1504" spans="2:16" x14ac:dyDescent="0.25">
      <c r="B1504" s="5">
        <v>44628</v>
      </c>
      <c r="C1504" s="5" t="s">
        <v>784</v>
      </c>
      <c r="D1504" s="35">
        <v>2022</v>
      </c>
      <c r="E1504" t="s">
        <v>900</v>
      </c>
      <c r="F1504" t="s">
        <v>791</v>
      </c>
      <c r="G1504" t="s">
        <v>127</v>
      </c>
      <c r="H1504" s="92" t="s">
        <v>973</v>
      </c>
      <c r="I1504">
        <v>1</v>
      </c>
      <c r="J1504" s="46">
        <v>260</v>
      </c>
      <c r="K1504" s="50" t="s">
        <v>940</v>
      </c>
      <c r="L1504" s="46">
        <v>260</v>
      </c>
      <c r="M1504" s="46"/>
    </row>
    <row r="1505" spans="2:15" x14ac:dyDescent="0.25">
      <c r="B1505" s="5">
        <v>44628</v>
      </c>
      <c r="C1505" s="5" t="s">
        <v>784</v>
      </c>
      <c r="D1505" s="35">
        <v>2022</v>
      </c>
      <c r="E1505" t="s">
        <v>900</v>
      </c>
      <c r="F1505" t="s">
        <v>876</v>
      </c>
      <c r="G1505" t="s">
        <v>425</v>
      </c>
      <c r="H1505" s="92" t="s">
        <v>980</v>
      </c>
      <c r="I1505">
        <v>2</v>
      </c>
      <c r="J1505" s="46">
        <v>420</v>
      </c>
      <c r="K1505" s="50" t="s">
        <v>940</v>
      </c>
      <c r="L1505" s="46">
        <v>420</v>
      </c>
      <c r="M1505" s="46"/>
    </row>
    <row r="1506" spans="2:15" x14ac:dyDescent="0.25">
      <c r="B1506" s="5">
        <v>44628</v>
      </c>
      <c r="C1506" s="5" t="s">
        <v>784</v>
      </c>
      <c r="D1506" s="35">
        <v>2022</v>
      </c>
      <c r="E1506" t="s">
        <v>900</v>
      </c>
      <c r="F1506" t="s">
        <v>793</v>
      </c>
      <c r="G1506" t="s">
        <v>425</v>
      </c>
      <c r="H1506" s="92" t="s">
        <v>980</v>
      </c>
      <c r="I1506">
        <v>2</v>
      </c>
      <c r="J1506" s="46">
        <v>420</v>
      </c>
      <c r="K1506" s="50" t="s">
        <v>940</v>
      </c>
      <c r="L1506" s="46">
        <v>420</v>
      </c>
      <c r="M1506" s="46"/>
    </row>
    <row r="1507" spans="2:15" x14ac:dyDescent="0.25">
      <c r="B1507" s="5">
        <v>44628</v>
      </c>
      <c r="C1507" s="5" t="s">
        <v>784</v>
      </c>
      <c r="D1507" s="35">
        <v>2022</v>
      </c>
      <c r="E1507" t="s">
        <v>900</v>
      </c>
      <c r="F1507" t="s">
        <v>1004</v>
      </c>
      <c r="G1507" t="s">
        <v>128</v>
      </c>
      <c r="H1507" s="92" t="s">
        <v>965</v>
      </c>
      <c r="I1507">
        <v>1</v>
      </c>
      <c r="J1507" s="46">
        <v>1240</v>
      </c>
      <c r="K1507" s="50" t="s">
        <v>940</v>
      </c>
      <c r="L1507" s="46">
        <v>1240</v>
      </c>
      <c r="M1507" s="46"/>
    </row>
    <row r="1508" spans="2:15" x14ac:dyDescent="0.25">
      <c r="B1508" s="5">
        <v>44628</v>
      </c>
      <c r="C1508" s="5" t="s">
        <v>784</v>
      </c>
      <c r="D1508" s="35">
        <v>2022</v>
      </c>
      <c r="E1508" t="s">
        <v>900</v>
      </c>
      <c r="F1508" t="s">
        <v>765</v>
      </c>
      <c r="G1508" t="s">
        <v>58</v>
      </c>
      <c r="H1508" s="92" t="s">
        <v>969</v>
      </c>
      <c r="I1508">
        <v>1</v>
      </c>
      <c r="J1508" s="46">
        <v>2530</v>
      </c>
      <c r="K1508" s="50" t="s">
        <v>940</v>
      </c>
      <c r="L1508" s="46">
        <v>2530</v>
      </c>
      <c r="M1508" s="46"/>
    </row>
    <row r="1509" spans="2:15" x14ac:dyDescent="0.25">
      <c r="B1509" s="5">
        <v>44628</v>
      </c>
      <c r="C1509" s="5" t="s">
        <v>784</v>
      </c>
      <c r="D1509" s="35">
        <v>2022</v>
      </c>
      <c r="E1509" t="s">
        <v>900</v>
      </c>
      <c r="F1509" t="s">
        <v>1005</v>
      </c>
      <c r="G1509" t="s">
        <v>126</v>
      </c>
      <c r="H1509" s="92" t="s">
        <v>965</v>
      </c>
      <c r="I1509">
        <v>1</v>
      </c>
      <c r="J1509" s="46">
        <v>1410</v>
      </c>
      <c r="K1509" s="50" t="s">
        <v>940</v>
      </c>
      <c r="L1509" s="46">
        <v>1410</v>
      </c>
      <c r="M1509" s="46"/>
    </row>
    <row r="1510" spans="2:15" x14ac:dyDescent="0.25">
      <c r="B1510" s="5">
        <v>44628</v>
      </c>
      <c r="C1510" s="5" t="s">
        <v>784</v>
      </c>
      <c r="D1510" s="35">
        <v>2022</v>
      </c>
      <c r="E1510" t="s">
        <v>900</v>
      </c>
      <c r="F1510" t="s">
        <v>1006</v>
      </c>
      <c r="G1510" t="s">
        <v>126</v>
      </c>
      <c r="H1510" s="92" t="s">
        <v>965</v>
      </c>
      <c r="I1510">
        <v>1</v>
      </c>
      <c r="J1510" s="46">
        <v>1410</v>
      </c>
      <c r="K1510" s="50" t="s">
        <v>940</v>
      </c>
      <c r="L1510" s="46">
        <v>1410</v>
      </c>
      <c r="M1510" s="46"/>
    </row>
    <row r="1511" spans="2:15" x14ac:dyDescent="0.25">
      <c r="B1511" s="5">
        <v>44628</v>
      </c>
      <c r="C1511" s="5" t="s">
        <v>784</v>
      </c>
      <c r="D1511" s="35">
        <v>2022</v>
      </c>
      <c r="E1511" t="s">
        <v>458</v>
      </c>
      <c r="F1511" t="s">
        <v>1007</v>
      </c>
      <c r="G1511" t="s">
        <v>840</v>
      </c>
      <c r="H1511" s="92" t="s">
        <v>977</v>
      </c>
      <c r="I1511">
        <v>6</v>
      </c>
      <c r="J1511" s="46">
        <v>780</v>
      </c>
      <c r="K1511" s="50" t="s">
        <v>940</v>
      </c>
      <c r="L1511" s="46">
        <v>260</v>
      </c>
      <c r="M1511" s="46">
        <v>520</v>
      </c>
      <c r="O1511" t="s">
        <v>625</v>
      </c>
    </row>
    <row r="1512" spans="2:15" x14ac:dyDescent="0.25">
      <c r="B1512" s="5">
        <v>44628</v>
      </c>
      <c r="C1512" s="5" t="s">
        <v>784</v>
      </c>
      <c r="D1512" s="35">
        <v>2022</v>
      </c>
      <c r="E1512" t="s">
        <v>458</v>
      </c>
      <c r="F1512" t="s">
        <v>1007</v>
      </c>
      <c r="G1512" t="s">
        <v>509</v>
      </c>
      <c r="H1512" s="92" t="s">
        <v>977</v>
      </c>
      <c r="I1512">
        <v>6</v>
      </c>
      <c r="J1512" s="46">
        <v>780</v>
      </c>
      <c r="K1512" s="50" t="s">
        <v>940</v>
      </c>
      <c r="L1512" s="46">
        <v>780</v>
      </c>
      <c r="M1512" s="46"/>
    </row>
    <row r="1513" spans="2:15" x14ac:dyDescent="0.25">
      <c r="B1513" s="5">
        <v>44628</v>
      </c>
      <c r="C1513" s="5" t="s">
        <v>784</v>
      </c>
      <c r="D1513" s="35">
        <v>2022</v>
      </c>
      <c r="E1513" t="s">
        <v>458</v>
      </c>
      <c r="F1513" t="s">
        <v>1008</v>
      </c>
      <c r="G1513" t="s">
        <v>509</v>
      </c>
      <c r="H1513" s="92" t="s">
        <v>977</v>
      </c>
      <c r="I1513">
        <v>5</v>
      </c>
      <c r="J1513" s="46">
        <v>650</v>
      </c>
      <c r="K1513" s="50" t="s">
        <v>940</v>
      </c>
      <c r="L1513" s="46">
        <v>650</v>
      </c>
      <c r="M1513" s="46"/>
    </row>
    <row r="1514" spans="2:15" x14ac:dyDescent="0.25">
      <c r="B1514" s="5">
        <v>44628</v>
      </c>
      <c r="C1514" s="5" t="s">
        <v>784</v>
      </c>
      <c r="D1514" s="35">
        <v>2022</v>
      </c>
      <c r="E1514" t="s">
        <v>458</v>
      </c>
      <c r="F1514" t="s">
        <v>1008</v>
      </c>
      <c r="G1514" t="s">
        <v>840</v>
      </c>
      <c r="H1514" s="92" t="s">
        <v>977</v>
      </c>
      <c r="I1514">
        <v>5</v>
      </c>
      <c r="J1514" s="46">
        <v>650</v>
      </c>
      <c r="K1514" s="50" t="s">
        <v>940</v>
      </c>
      <c r="L1514" s="46"/>
      <c r="M1514" s="46">
        <v>650</v>
      </c>
      <c r="O1514" t="s">
        <v>625</v>
      </c>
    </row>
    <row r="1515" spans="2:15" x14ac:dyDescent="0.25">
      <c r="B1515" s="5">
        <v>44628</v>
      </c>
      <c r="C1515" s="5" t="s">
        <v>784</v>
      </c>
      <c r="D1515" s="35">
        <v>2022</v>
      </c>
      <c r="E1515" t="s">
        <v>458</v>
      </c>
      <c r="F1515" t="s">
        <v>1123</v>
      </c>
      <c r="G1515" t="s">
        <v>509</v>
      </c>
      <c r="H1515" s="92" t="s">
        <v>977</v>
      </c>
      <c r="I1515">
        <v>5</v>
      </c>
      <c r="J1515" s="46">
        <v>650</v>
      </c>
      <c r="K1515" s="50" t="s">
        <v>940</v>
      </c>
      <c r="L1515" s="46">
        <v>650</v>
      </c>
      <c r="M1515" s="46"/>
    </row>
    <row r="1516" spans="2:15" x14ac:dyDescent="0.25">
      <c r="B1516" s="5">
        <v>44628</v>
      </c>
      <c r="C1516" s="5" t="s">
        <v>784</v>
      </c>
      <c r="D1516" s="35">
        <v>2022</v>
      </c>
      <c r="E1516" t="s">
        <v>458</v>
      </c>
      <c r="F1516" t="s">
        <v>143</v>
      </c>
      <c r="G1516" t="s">
        <v>249</v>
      </c>
      <c r="H1516" s="92" t="s">
        <v>972</v>
      </c>
      <c r="I1516">
        <v>1</v>
      </c>
      <c r="J1516" s="46">
        <v>1080</v>
      </c>
      <c r="K1516" s="50" t="s">
        <v>940</v>
      </c>
      <c r="L1516" s="46">
        <v>1080</v>
      </c>
      <c r="M1516" s="46"/>
    </row>
    <row r="1517" spans="2:15" x14ac:dyDescent="0.25">
      <c r="B1517" s="5">
        <v>44628</v>
      </c>
      <c r="C1517" s="5" t="s">
        <v>784</v>
      </c>
      <c r="D1517" s="35">
        <v>2022</v>
      </c>
      <c r="E1517" t="s">
        <v>458</v>
      </c>
      <c r="F1517" t="s">
        <v>142</v>
      </c>
      <c r="G1517" t="s">
        <v>432</v>
      </c>
      <c r="H1517" s="24" t="s">
        <v>976</v>
      </c>
      <c r="I1517">
        <v>1</v>
      </c>
      <c r="J1517" s="46">
        <v>3580</v>
      </c>
      <c r="K1517" s="50" t="s">
        <v>940</v>
      </c>
      <c r="L1517" s="46">
        <v>3580</v>
      </c>
      <c r="M1517" s="46"/>
    </row>
    <row r="1518" spans="2:15" x14ac:dyDescent="0.25">
      <c r="B1518" s="5">
        <v>44628</v>
      </c>
      <c r="C1518" s="5" t="s">
        <v>784</v>
      </c>
      <c r="D1518" s="35">
        <v>2022</v>
      </c>
      <c r="E1518" t="s">
        <v>458</v>
      </c>
      <c r="F1518" t="s">
        <v>142</v>
      </c>
      <c r="G1518" t="s">
        <v>269</v>
      </c>
      <c r="H1518" s="92" t="s">
        <v>983</v>
      </c>
      <c r="I1518">
        <v>1</v>
      </c>
      <c r="J1518" s="46">
        <v>290</v>
      </c>
      <c r="K1518" s="50" t="s">
        <v>940</v>
      </c>
      <c r="L1518" s="46">
        <v>290</v>
      </c>
      <c r="M1518" s="46"/>
    </row>
    <row r="1519" spans="2:15" x14ac:dyDescent="0.25">
      <c r="B1519" s="5">
        <v>44628</v>
      </c>
      <c r="C1519" s="5" t="s">
        <v>784</v>
      </c>
      <c r="D1519" s="35">
        <v>2022</v>
      </c>
      <c r="E1519" t="s">
        <v>458</v>
      </c>
      <c r="F1519" t="s">
        <v>142</v>
      </c>
      <c r="G1519" t="s">
        <v>283</v>
      </c>
      <c r="H1519" s="92" t="s">
        <v>983</v>
      </c>
      <c r="I1519">
        <v>1</v>
      </c>
      <c r="J1519" s="46">
        <v>505</v>
      </c>
      <c r="K1519" s="50" t="s">
        <v>940</v>
      </c>
      <c r="L1519" s="46">
        <v>505</v>
      </c>
      <c r="M1519" s="46"/>
    </row>
    <row r="1520" spans="2:15" x14ac:dyDescent="0.25">
      <c r="B1520" s="5">
        <v>44628</v>
      </c>
      <c r="C1520" s="5" t="s">
        <v>784</v>
      </c>
      <c r="D1520" s="35">
        <v>2022</v>
      </c>
      <c r="E1520" t="s">
        <v>417</v>
      </c>
      <c r="F1520" t="s">
        <v>25</v>
      </c>
      <c r="G1520" t="s">
        <v>45</v>
      </c>
      <c r="H1520" s="92" t="s">
        <v>965</v>
      </c>
      <c r="I1520">
        <v>1</v>
      </c>
      <c r="J1520" s="46">
        <v>1390</v>
      </c>
      <c r="K1520" s="50" t="s">
        <v>940</v>
      </c>
      <c r="L1520" s="46">
        <v>1390</v>
      </c>
      <c r="M1520" s="46"/>
    </row>
    <row r="1521" spans="2:16" x14ac:dyDescent="0.25">
      <c r="B1521" s="5">
        <v>44628</v>
      </c>
      <c r="C1521" s="5" t="s">
        <v>784</v>
      </c>
      <c r="D1521" s="35">
        <v>2022</v>
      </c>
      <c r="E1521" t="s">
        <v>417</v>
      </c>
      <c r="F1521" t="s">
        <v>1009</v>
      </c>
      <c r="G1521" t="s">
        <v>380</v>
      </c>
      <c r="H1521" s="92" t="s">
        <v>972</v>
      </c>
      <c r="I1521">
        <v>1</v>
      </c>
      <c r="J1521" s="46">
        <v>600</v>
      </c>
      <c r="K1521" s="50" t="s">
        <v>940</v>
      </c>
      <c r="L1521" s="46">
        <v>600</v>
      </c>
      <c r="M1521" s="46"/>
    </row>
    <row r="1522" spans="2:16" x14ac:dyDescent="0.25">
      <c r="B1522" s="5">
        <v>44628</v>
      </c>
      <c r="C1522" s="5" t="s">
        <v>784</v>
      </c>
      <c r="D1522" s="35">
        <v>2022</v>
      </c>
      <c r="E1522" t="s">
        <v>417</v>
      </c>
      <c r="F1522" t="s">
        <v>1009</v>
      </c>
      <c r="G1522" t="s">
        <v>122</v>
      </c>
      <c r="H1522" s="92" t="s">
        <v>973</v>
      </c>
      <c r="I1522">
        <v>1</v>
      </c>
      <c r="J1522" s="46">
        <v>260</v>
      </c>
      <c r="K1522" s="50" t="s">
        <v>940</v>
      </c>
      <c r="L1522" s="46"/>
      <c r="M1522" s="46">
        <v>260</v>
      </c>
      <c r="O1522" t="s">
        <v>625</v>
      </c>
    </row>
    <row r="1523" spans="2:16" x14ac:dyDescent="0.25">
      <c r="B1523" s="5">
        <v>44628</v>
      </c>
      <c r="C1523" s="5" t="s">
        <v>784</v>
      </c>
      <c r="D1523" s="35">
        <v>2022</v>
      </c>
      <c r="E1523" t="s">
        <v>417</v>
      </c>
      <c r="F1523" t="s">
        <v>1010</v>
      </c>
      <c r="G1523" t="s">
        <v>249</v>
      </c>
      <c r="H1523" s="92" t="s">
        <v>972</v>
      </c>
      <c r="I1523">
        <v>1</v>
      </c>
      <c r="J1523" s="46">
        <v>1080</v>
      </c>
      <c r="K1523" s="50" t="s">
        <v>940</v>
      </c>
      <c r="L1523" s="46">
        <v>1080</v>
      </c>
      <c r="M1523" s="46"/>
    </row>
    <row r="1524" spans="2:16" x14ac:dyDescent="0.25">
      <c r="B1524" s="5">
        <v>44628</v>
      </c>
      <c r="C1524" s="5" t="s">
        <v>784</v>
      </c>
      <c r="D1524" s="35">
        <v>2022</v>
      </c>
      <c r="E1524" t="s">
        <v>417</v>
      </c>
      <c r="F1524" t="s">
        <v>1010</v>
      </c>
      <c r="G1524" t="s">
        <v>122</v>
      </c>
      <c r="H1524" s="92" t="s">
        <v>973</v>
      </c>
      <c r="I1524">
        <v>1</v>
      </c>
      <c r="J1524" s="46">
        <v>260</v>
      </c>
      <c r="K1524" s="50" t="s">
        <v>940</v>
      </c>
      <c r="L1524" s="46"/>
      <c r="M1524" s="46">
        <v>260</v>
      </c>
      <c r="O1524" t="s">
        <v>625</v>
      </c>
    </row>
    <row r="1525" spans="2:16" x14ac:dyDescent="0.25">
      <c r="B1525" s="5">
        <v>44628</v>
      </c>
      <c r="C1525" s="5" t="s">
        <v>784</v>
      </c>
      <c r="D1525" s="35">
        <v>2022</v>
      </c>
      <c r="E1525" t="s">
        <v>417</v>
      </c>
      <c r="F1525" t="s">
        <v>815</v>
      </c>
      <c r="G1525" t="s">
        <v>45</v>
      </c>
      <c r="H1525" s="92" t="s">
        <v>965</v>
      </c>
      <c r="I1525">
        <v>2</v>
      </c>
      <c r="J1525" s="46">
        <v>2780</v>
      </c>
      <c r="K1525" s="50" t="s">
        <v>940</v>
      </c>
      <c r="L1525" s="46">
        <v>2780</v>
      </c>
      <c r="M1525" s="46"/>
    </row>
    <row r="1526" spans="2:16" x14ac:dyDescent="0.25">
      <c r="B1526" s="5">
        <v>44628</v>
      </c>
      <c r="C1526" s="5" t="s">
        <v>784</v>
      </c>
      <c r="D1526" s="35">
        <v>2022</v>
      </c>
      <c r="E1526" t="s">
        <v>417</v>
      </c>
      <c r="F1526" t="s">
        <v>1011</v>
      </c>
      <c r="G1526" t="s">
        <v>127</v>
      </c>
      <c r="H1526" s="92" t="s">
        <v>973</v>
      </c>
      <c r="I1526">
        <v>1</v>
      </c>
      <c r="J1526" s="46">
        <v>260</v>
      </c>
      <c r="K1526" s="50" t="s">
        <v>940</v>
      </c>
      <c r="L1526" s="46">
        <v>260</v>
      </c>
      <c r="M1526" s="46"/>
    </row>
    <row r="1527" spans="2:16" x14ac:dyDescent="0.25">
      <c r="B1527" s="5">
        <v>44628</v>
      </c>
      <c r="C1527" s="5" t="s">
        <v>784</v>
      </c>
      <c r="D1527" s="35">
        <v>2022</v>
      </c>
      <c r="E1527" t="s">
        <v>417</v>
      </c>
      <c r="F1527" t="s">
        <v>1011</v>
      </c>
      <c r="G1527" t="s">
        <v>123</v>
      </c>
      <c r="H1527" s="92" t="s">
        <v>966</v>
      </c>
      <c r="I1527">
        <v>1</v>
      </c>
      <c r="J1527" s="46">
        <v>1750</v>
      </c>
      <c r="K1527" s="50" t="s">
        <v>940</v>
      </c>
      <c r="L1527" s="46"/>
      <c r="M1527" s="46">
        <v>1750</v>
      </c>
      <c r="O1527" t="s">
        <v>1014</v>
      </c>
    </row>
    <row r="1528" spans="2:16" x14ac:dyDescent="0.25">
      <c r="B1528" s="5">
        <v>44628</v>
      </c>
      <c r="C1528" s="5" t="s">
        <v>784</v>
      </c>
      <c r="D1528" s="35">
        <v>2022</v>
      </c>
      <c r="E1528" t="s">
        <v>417</v>
      </c>
      <c r="F1528" t="s">
        <v>1011</v>
      </c>
      <c r="G1528" t="s">
        <v>122</v>
      </c>
      <c r="H1528" s="92" t="s">
        <v>973</v>
      </c>
      <c r="I1528">
        <v>1</v>
      </c>
      <c r="J1528" s="46">
        <v>260</v>
      </c>
      <c r="K1528" s="50" t="s">
        <v>940</v>
      </c>
      <c r="L1528" s="46">
        <v>260</v>
      </c>
      <c r="M1528" s="46"/>
    </row>
    <row r="1529" spans="2:16" x14ac:dyDescent="0.25">
      <c r="B1529" s="5">
        <v>44628</v>
      </c>
      <c r="C1529" s="5" t="s">
        <v>784</v>
      </c>
      <c r="D1529" s="35">
        <v>2022</v>
      </c>
      <c r="E1529" t="s">
        <v>417</v>
      </c>
      <c r="F1529" t="s">
        <v>1011</v>
      </c>
      <c r="G1529" t="s">
        <v>323</v>
      </c>
      <c r="H1529" s="92" t="s">
        <v>981</v>
      </c>
      <c r="I1529">
        <v>1</v>
      </c>
      <c r="J1529" s="46">
        <v>310</v>
      </c>
      <c r="K1529" s="50" t="s">
        <v>940</v>
      </c>
      <c r="L1529" s="46">
        <v>310</v>
      </c>
      <c r="M1529" s="46"/>
    </row>
    <row r="1530" spans="2:16" x14ac:dyDescent="0.25">
      <c r="B1530" s="5">
        <v>44628</v>
      </c>
      <c r="C1530" s="5" t="s">
        <v>784</v>
      </c>
      <c r="D1530" s="35">
        <v>2022</v>
      </c>
      <c r="E1530" t="s">
        <v>417</v>
      </c>
      <c r="F1530" t="s">
        <v>817</v>
      </c>
      <c r="G1530" t="s">
        <v>269</v>
      </c>
      <c r="H1530" s="92" t="s">
        <v>983</v>
      </c>
      <c r="I1530">
        <v>1</v>
      </c>
      <c r="J1530" s="46">
        <v>290</v>
      </c>
      <c r="K1530" s="50" t="s">
        <v>940</v>
      </c>
      <c r="L1530" s="46">
        <v>290</v>
      </c>
      <c r="M1530" s="46"/>
    </row>
    <row r="1531" spans="2:16" x14ac:dyDescent="0.25">
      <c r="B1531" s="5">
        <v>44628</v>
      </c>
      <c r="C1531" s="5" t="s">
        <v>784</v>
      </c>
      <c r="D1531" s="35">
        <v>2022</v>
      </c>
      <c r="E1531" t="s">
        <v>417</v>
      </c>
      <c r="F1531" t="s">
        <v>817</v>
      </c>
      <c r="G1531" t="s">
        <v>283</v>
      </c>
      <c r="H1531" s="92" t="s">
        <v>983</v>
      </c>
      <c r="I1531">
        <v>1</v>
      </c>
      <c r="J1531" s="46">
        <v>505</v>
      </c>
      <c r="K1531" s="50" t="s">
        <v>940</v>
      </c>
      <c r="L1531" s="46">
        <v>505</v>
      </c>
      <c r="M1531" s="46"/>
    </row>
    <row r="1532" spans="2:16" x14ac:dyDescent="0.25">
      <c r="B1532" s="5">
        <v>44628</v>
      </c>
      <c r="C1532" s="5" t="s">
        <v>784</v>
      </c>
      <c r="D1532" s="35">
        <v>2022</v>
      </c>
      <c r="E1532" t="s">
        <v>445</v>
      </c>
      <c r="F1532" t="s">
        <v>818</v>
      </c>
      <c r="G1532" t="s">
        <v>125</v>
      </c>
      <c r="H1532" s="92" t="s">
        <v>971</v>
      </c>
      <c r="I1532">
        <v>1</v>
      </c>
      <c r="J1532" s="46">
        <v>510</v>
      </c>
      <c r="K1532" s="50" t="s">
        <v>940</v>
      </c>
      <c r="L1532" s="46">
        <v>510</v>
      </c>
      <c r="M1532" s="46"/>
      <c r="N1532" s="46">
        <v>510</v>
      </c>
      <c r="P1532" t="s">
        <v>999</v>
      </c>
    </row>
    <row r="1533" spans="2:16" x14ac:dyDescent="0.25">
      <c r="B1533" s="5">
        <v>44628</v>
      </c>
      <c r="C1533" s="5" t="s">
        <v>784</v>
      </c>
      <c r="D1533" s="35">
        <v>2022</v>
      </c>
      <c r="E1533" t="s">
        <v>445</v>
      </c>
      <c r="F1533" t="s">
        <v>818</v>
      </c>
      <c r="G1533" t="s">
        <v>122</v>
      </c>
      <c r="H1533" s="92" t="s">
        <v>973</v>
      </c>
      <c r="I1533">
        <v>1</v>
      </c>
      <c r="J1533" s="46">
        <v>260</v>
      </c>
      <c r="K1533" s="50" t="s">
        <v>940</v>
      </c>
      <c r="L1533" s="46"/>
      <c r="M1533" s="46">
        <v>260</v>
      </c>
      <c r="O1533" t="s">
        <v>625</v>
      </c>
    </row>
    <row r="1534" spans="2:16" x14ac:dyDescent="0.25">
      <c r="B1534" s="5">
        <v>44628</v>
      </c>
      <c r="C1534" s="5" t="s">
        <v>784</v>
      </c>
      <c r="D1534" s="35">
        <v>2022</v>
      </c>
      <c r="E1534" t="s">
        <v>445</v>
      </c>
      <c r="F1534" t="s">
        <v>818</v>
      </c>
      <c r="G1534" t="s">
        <v>127</v>
      </c>
      <c r="H1534" s="92" t="s">
        <v>973</v>
      </c>
      <c r="I1534">
        <v>2</v>
      </c>
      <c r="J1534" s="46">
        <v>520</v>
      </c>
      <c r="K1534" s="50" t="s">
        <v>940</v>
      </c>
      <c r="L1534" s="46">
        <v>520</v>
      </c>
      <c r="M1534" s="46"/>
    </row>
    <row r="1535" spans="2:16" x14ac:dyDescent="0.25">
      <c r="B1535" s="5">
        <v>44628</v>
      </c>
      <c r="C1535" s="5" t="s">
        <v>784</v>
      </c>
      <c r="D1535" s="35">
        <v>2022</v>
      </c>
      <c r="E1535" t="s">
        <v>445</v>
      </c>
      <c r="F1535" t="s">
        <v>883</v>
      </c>
      <c r="G1535" t="s">
        <v>127</v>
      </c>
      <c r="H1535" s="92" t="s">
        <v>973</v>
      </c>
      <c r="I1535">
        <v>7</v>
      </c>
      <c r="J1535" s="46">
        <v>1820</v>
      </c>
      <c r="K1535" s="50" t="s">
        <v>940</v>
      </c>
      <c r="L1535" s="46">
        <v>1820</v>
      </c>
      <c r="M1535" s="46"/>
    </row>
    <row r="1536" spans="2:16" x14ac:dyDescent="0.25">
      <c r="B1536" s="5">
        <v>44628</v>
      </c>
      <c r="C1536" s="5" t="s">
        <v>784</v>
      </c>
      <c r="D1536" s="35">
        <v>2022</v>
      </c>
      <c r="E1536" t="s">
        <v>445</v>
      </c>
      <c r="F1536" t="s">
        <v>883</v>
      </c>
      <c r="G1536" t="s">
        <v>122</v>
      </c>
      <c r="H1536" s="92" t="s">
        <v>973</v>
      </c>
      <c r="I1536">
        <v>6</v>
      </c>
      <c r="J1536" s="46">
        <v>1560</v>
      </c>
      <c r="K1536" s="50" t="s">
        <v>940</v>
      </c>
      <c r="L1536" s="46">
        <v>1300</v>
      </c>
      <c r="M1536" s="46">
        <v>260</v>
      </c>
      <c r="O1536" t="s">
        <v>625</v>
      </c>
    </row>
    <row r="1537" spans="2:15" x14ac:dyDescent="0.25">
      <c r="B1537" s="5">
        <v>44628</v>
      </c>
      <c r="C1537" s="5" t="s">
        <v>784</v>
      </c>
      <c r="D1537" s="35">
        <v>2022</v>
      </c>
      <c r="E1537" t="s">
        <v>445</v>
      </c>
      <c r="F1537" t="s">
        <v>883</v>
      </c>
      <c r="G1537" t="s">
        <v>249</v>
      </c>
      <c r="H1537" s="92" t="s">
        <v>972</v>
      </c>
      <c r="I1537">
        <v>5</v>
      </c>
      <c r="J1537" s="46">
        <v>5400</v>
      </c>
      <c r="K1537" s="50" t="s">
        <v>940</v>
      </c>
      <c r="L1537" s="46">
        <v>5400</v>
      </c>
      <c r="M1537" s="46"/>
    </row>
    <row r="1538" spans="2:15" x14ac:dyDescent="0.25">
      <c r="B1538" s="5">
        <v>44628</v>
      </c>
      <c r="C1538" s="5" t="s">
        <v>784</v>
      </c>
      <c r="D1538" s="35">
        <v>2022</v>
      </c>
      <c r="E1538" t="s">
        <v>445</v>
      </c>
      <c r="F1538" t="s">
        <v>845</v>
      </c>
      <c r="G1538" t="s">
        <v>509</v>
      </c>
      <c r="H1538" s="92" t="s">
        <v>977</v>
      </c>
      <c r="I1538">
        <v>3</v>
      </c>
      <c r="J1538" s="46">
        <v>390</v>
      </c>
      <c r="K1538" s="50" t="s">
        <v>940</v>
      </c>
      <c r="L1538" s="46">
        <v>390</v>
      </c>
      <c r="M1538" s="46"/>
    </row>
    <row r="1539" spans="2:15" x14ac:dyDescent="0.25">
      <c r="B1539" s="5">
        <v>44628</v>
      </c>
      <c r="C1539" s="5" t="s">
        <v>784</v>
      </c>
      <c r="D1539" s="35">
        <v>2022</v>
      </c>
      <c r="E1539" t="s">
        <v>445</v>
      </c>
      <c r="F1539" t="s">
        <v>845</v>
      </c>
      <c r="G1539" t="s">
        <v>840</v>
      </c>
      <c r="H1539" s="92" t="s">
        <v>977</v>
      </c>
      <c r="I1539">
        <v>3</v>
      </c>
      <c r="J1539" s="46">
        <v>390</v>
      </c>
      <c r="K1539" s="50" t="s">
        <v>940</v>
      </c>
      <c r="L1539" s="46"/>
      <c r="M1539" s="46">
        <v>390</v>
      </c>
      <c r="O1539" t="s">
        <v>1015</v>
      </c>
    </row>
    <row r="1540" spans="2:15" x14ac:dyDescent="0.25">
      <c r="B1540" s="5">
        <v>44628</v>
      </c>
      <c r="C1540" s="5" t="s">
        <v>784</v>
      </c>
      <c r="D1540" s="35">
        <v>2022</v>
      </c>
      <c r="E1540" t="s">
        <v>445</v>
      </c>
      <c r="F1540" t="s">
        <v>846</v>
      </c>
      <c r="G1540" t="s">
        <v>380</v>
      </c>
      <c r="H1540" s="92" t="s">
        <v>972</v>
      </c>
      <c r="I1540">
        <v>1</v>
      </c>
      <c r="J1540" s="46">
        <v>600</v>
      </c>
      <c r="K1540" s="50" t="s">
        <v>940</v>
      </c>
      <c r="L1540" s="46">
        <v>600</v>
      </c>
      <c r="M1540" s="46"/>
    </row>
    <row r="1541" spans="2:15" x14ac:dyDescent="0.25">
      <c r="B1541" s="5">
        <v>44629</v>
      </c>
      <c r="C1541" s="5" t="s">
        <v>784</v>
      </c>
      <c r="D1541" s="35">
        <v>2022</v>
      </c>
      <c r="E1541" t="s">
        <v>22</v>
      </c>
      <c r="F1541" t="s">
        <v>307</v>
      </c>
      <c r="G1541" t="s">
        <v>58</v>
      </c>
      <c r="H1541" s="92" t="s">
        <v>969</v>
      </c>
      <c r="I1541">
        <v>1</v>
      </c>
      <c r="J1541" s="46">
        <v>2530</v>
      </c>
      <c r="K1541" s="50" t="s">
        <v>940</v>
      </c>
      <c r="L1541" s="23">
        <v>2530</v>
      </c>
      <c r="M1541" s="46"/>
    </row>
    <row r="1542" spans="2:15" x14ac:dyDescent="0.25">
      <c r="B1542" s="5">
        <v>44629</v>
      </c>
      <c r="C1542" s="5" t="s">
        <v>784</v>
      </c>
      <c r="D1542" s="35">
        <v>2022</v>
      </c>
      <c r="E1542" t="s">
        <v>22</v>
      </c>
      <c r="F1542" t="s">
        <v>450</v>
      </c>
      <c r="G1542" t="s">
        <v>323</v>
      </c>
      <c r="H1542" s="92" t="s">
        <v>981</v>
      </c>
      <c r="I1542">
        <v>2</v>
      </c>
      <c r="J1542" s="46">
        <v>620</v>
      </c>
      <c r="K1542" s="50" t="s">
        <v>940</v>
      </c>
      <c r="L1542" s="23">
        <v>620</v>
      </c>
      <c r="M1542" s="46"/>
    </row>
    <row r="1543" spans="2:15" x14ac:dyDescent="0.25">
      <c r="B1543" s="5">
        <v>44629</v>
      </c>
      <c r="C1543" s="5" t="s">
        <v>784</v>
      </c>
      <c r="D1543" s="35">
        <v>2022</v>
      </c>
      <c r="E1543" t="s">
        <v>22</v>
      </c>
      <c r="F1543" t="s">
        <v>133</v>
      </c>
      <c r="G1543" t="s">
        <v>432</v>
      </c>
      <c r="H1543" s="24" t="s">
        <v>976</v>
      </c>
      <c r="I1543">
        <v>1</v>
      </c>
      <c r="J1543" s="46">
        <v>3580</v>
      </c>
      <c r="K1543" s="50" t="s">
        <v>940</v>
      </c>
      <c r="L1543" s="23">
        <v>3580</v>
      </c>
      <c r="M1543" s="46"/>
    </row>
    <row r="1544" spans="2:15" x14ac:dyDescent="0.25">
      <c r="B1544" s="5">
        <v>44629</v>
      </c>
      <c r="C1544" s="5" t="s">
        <v>784</v>
      </c>
      <c r="D1544" s="35">
        <v>2022</v>
      </c>
      <c r="E1544" t="s">
        <v>22</v>
      </c>
      <c r="F1544" t="s">
        <v>309</v>
      </c>
      <c r="G1544" t="s">
        <v>128</v>
      </c>
      <c r="H1544" s="92" t="s">
        <v>965</v>
      </c>
      <c r="I1544">
        <v>1</v>
      </c>
      <c r="J1544" s="46">
        <v>1240</v>
      </c>
      <c r="K1544" s="50" t="s">
        <v>940</v>
      </c>
      <c r="L1544" s="23">
        <v>1240</v>
      </c>
      <c r="M1544" s="46"/>
    </row>
    <row r="1545" spans="2:15" x14ac:dyDescent="0.25">
      <c r="B1545" s="5">
        <v>44629</v>
      </c>
      <c r="C1545" s="5" t="s">
        <v>784</v>
      </c>
      <c r="D1545" s="35">
        <v>2022</v>
      </c>
      <c r="E1545" t="s">
        <v>22</v>
      </c>
      <c r="F1545" t="s">
        <v>239</v>
      </c>
      <c r="G1545" t="s">
        <v>249</v>
      </c>
      <c r="H1545" s="92" t="s">
        <v>972</v>
      </c>
      <c r="I1545">
        <v>1</v>
      </c>
      <c r="J1545" s="46">
        <v>1080</v>
      </c>
      <c r="K1545" s="50" t="s">
        <v>940</v>
      </c>
      <c r="L1545" s="23">
        <v>1080</v>
      </c>
      <c r="M1545" s="46"/>
    </row>
    <row r="1546" spans="2:15" x14ac:dyDescent="0.25">
      <c r="B1546" s="5">
        <v>44629</v>
      </c>
      <c r="C1546" s="5" t="s">
        <v>784</v>
      </c>
      <c r="D1546" s="35">
        <v>2022</v>
      </c>
      <c r="E1546" t="s">
        <v>356</v>
      </c>
      <c r="F1546" t="s">
        <v>56</v>
      </c>
      <c r="G1546" t="s">
        <v>1017</v>
      </c>
      <c r="H1546" s="24" t="s">
        <v>968</v>
      </c>
      <c r="I1546">
        <v>1</v>
      </c>
      <c r="J1546" s="46">
        <v>5250</v>
      </c>
      <c r="K1546" s="50" t="s">
        <v>940</v>
      </c>
      <c r="L1546" s="23">
        <v>5250</v>
      </c>
      <c r="M1546" s="46"/>
    </row>
    <row r="1547" spans="2:15" x14ac:dyDescent="0.25">
      <c r="B1547" s="5">
        <v>44629</v>
      </c>
      <c r="C1547" s="5" t="s">
        <v>784</v>
      </c>
      <c r="D1547" s="35">
        <v>2022</v>
      </c>
      <c r="E1547" t="s">
        <v>356</v>
      </c>
      <c r="F1547" t="s">
        <v>138</v>
      </c>
      <c r="G1547" t="s">
        <v>323</v>
      </c>
      <c r="H1547" s="92" t="s">
        <v>981</v>
      </c>
      <c r="I1547">
        <v>1</v>
      </c>
      <c r="J1547" s="46">
        <v>310</v>
      </c>
      <c r="K1547" s="50" t="s">
        <v>940</v>
      </c>
      <c r="L1547" s="106"/>
      <c r="M1547" s="46">
        <v>310</v>
      </c>
      <c r="O1547" t="s">
        <v>625</v>
      </c>
    </row>
    <row r="1548" spans="2:15" x14ac:dyDescent="0.25">
      <c r="B1548" s="5">
        <v>44629</v>
      </c>
      <c r="C1548" s="5" t="s">
        <v>784</v>
      </c>
      <c r="D1548" s="35">
        <v>2022</v>
      </c>
      <c r="E1548" t="s">
        <v>356</v>
      </c>
      <c r="F1548" t="s">
        <v>190</v>
      </c>
      <c r="G1548" t="s">
        <v>425</v>
      </c>
      <c r="H1548" s="92" t="s">
        <v>980</v>
      </c>
      <c r="I1548">
        <v>1</v>
      </c>
      <c r="J1548" s="46">
        <v>210</v>
      </c>
      <c r="K1548" s="50" t="s">
        <v>940</v>
      </c>
      <c r="L1548" s="23">
        <v>210</v>
      </c>
      <c r="M1548" s="46"/>
    </row>
    <row r="1549" spans="2:15" x14ac:dyDescent="0.25">
      <c r="B1549" s="5">
        <v>44629</v>
      </c>
      <c r="C1549" s="5" t="s">
        <v>784</v>
      </c>
      <c r="D1549" s="35">
        <v>2022</v>
      </c>
      <c r="E1549" t="s">
        <v>356</v>
      </c>
      <c r="F1549" t="s">
        <v>137</v>
      </c>
      <c r="G1549" t="s">
        <v>247</v>
      </c>
      <c r="H1549" s="92" t="s">
        <v>966</v>
      </c>
      <c r="I1549">
        <v>2</v>
      </c>
      <c r="J1549" s="46">
        <v>3600</v>
      </c>
      <c r="K1549" s="50" t="s">
        <v>940</v>
      </c>
      <c r="L1549" s="106"/>
      <c r="M1549" s="46">
        <v>3600</v>
      </c>
      <c r="O1549" t="s">
        <v>1099</v>
      </c>
    </row>
    <row r="1550" spans="2:15" x14ac:dyDescent="0.25">
      <c r="B1550" s="5">
        <v>44629</v>
      </c>
      <c r="C1550" s="5" t="s">
        <v>784</v>
      </c>
      <c r="D1550" s="35">
        <v>2022</v>
      </c>
      <c r="E1550" t="s">
        <v>900</v>
      </c>
      <c r="F1550" t="s">
        <v>281</v>
      </c>
      <c r="G1550" t="s">
        <v>269</v>
      </c>
      <c r="H1550" s="92" t="s">
        <v>983</v>
      </c>
      <c r="I1550">
        <v>1</v>
      </c>
      <c r="J1550" s="46">
        <v>290</v>
      </c>
      <c r="K1550" s="50" t="s">
        <v>940</v>
      </c>
      <c r="L1550" s="23">
        <v>290</v>
      </c>
      <c r="M1550" s="46"/>
    </row>
    <row r="1551" spans="2:15" x14ac:dyDescent="0.25">
      <c r="B1551" s="5">
        <v>44629</v>
      </c>
      <c r="C1551" s="5" t="s">
        <v>784</v>
      </c>
      <c r="D1551" s="35">
        <v>2022</v>
      </c>
      <c r="E1551" t="s">
        <v>900</v>
      </c>
      <c r="F1551" t="s">
        <v>281</v>
      </c>
      <c r="G1551" t="s">
        <v>425</v>
      </c>
      <c r="H1551" s="92" t="s">
        <v>980</v>
      </c>
      <c r="I1551">
        <v>1</v>
      </c>
      <c r="J1551" s="46">
        <v>210</v>
      </c>
      <c r="K1551" s="50" t="s">
        <v>940</v>
      </c>
      <c r="L1551" s="23">
        <v>210</v>
      </c>
      <c r="M1551" s="46"/>
    </row>
    <row r="1552" spans="2:15" x14ac:dyDescent="0.25">
      <c r="B1552" s="5">
        <v>44629</v>
      </c>
      <c r="C1552" s="5" t="s">
        <v>784</v>
      </c>
      <c r="D1552" s="35">
        <v>2022</v>
      </c>
      <c r="E1552" t="s">
        <v>900</v>
      </c>
      <c r="F1552" t="s">
        <v>281</v>
      </c>
      <c r="G1552" t="s">
        <v>283</v>
      </c>
      <c r="H1552" s="92" t="s">
        <v>983</v>
      </c>
      <c r="I1552">
        <v>1</v>
      </c>
      <c r="J1552" s="46">
        <v>505</v>
      </c>
      <c r="K1552" s="50" t="s">
        <v>940</v>
      </c>
      <c r="L1552" s="23">
        <v>505</v>
      </c>
      <c r="M1552" s="46"/>
    </row>
    <row r="1553" spans="2:16" x14ac:dyDescent="0.25">
      <c r="B1553" s="5">
        <v>44629</v>
      </c>
      <c r="C1553" s="5" t="s">
        <v>784</v>
      </c>
      <c r="D1553" s="35">
        <v>2022</v>
      </c>
      <c r="E1553" t="s">
        <v>900</v>
      </c>
      <c r="F1553" t="s">
        <v>924</v>
      </c>
      <c r="G1553" t="s">
        <v>269</v>
      </c>
      <c r="H1553" s="92" t="s">
        <v>983</v>
      </c>
      <c r="I1553">
        <v>1</v>
      </c>
      <c r="J1553" s="46">
        <v>290</v>
      </c>
      <c r="K1553" s="50" t="s">
        <v>940</v>
      </c>
      <c r="L1553" s="23">
        <v>290</v>
      </c>
      <c r="M1553" s="46"/>
    </row>
    <row r="1554" spans="2:16" x14ac:dyDescent="0.25">
      <c r="B1554" s="5">
        <v>44629</v>
      </c>
      <c r="C1554" s="5" t="s">
        <v>784</v>
      </c>
      <c r="D1554" s="35">
        <v>2022</v>
      </c>
      <c r="E1554" t="s">
        <v>900</v>
      </c>
      <c r="F1554" t="s">
        <v>1018</v>
      </c>
      <c r="G1554" t="s">
        <v>427</v>
      </c>
      <c r="H1554" s="24" t="s">
        <v>968</v>
      </c>
      <c r="I1554">
        <v>1</v>
      </c>
      <c r="J1554" s="46">
        <v>3340</v>
      </c>
      <c r="K1554" s="50" t="s">
        <v>940</v>
      </c>
      <c r="L1554" s="21">
        <v>3340</v>
      </c>
      <c r="M1554" s="46"/>
    </row>
    <row r="1555" spans="2:16" x14ac:dyDescent="0.25">
      <c r="B1555" s="5">
        <v>44629</v>
      </c>
      <c r="C1555" s="5" t="s">
        <v>784</v>
      </c>
      <c r="D1555" s="35">
        <v>2022</v>
      </c>
      <c r="E1555" t="s">
        <v>900</v>
      </c>
      <c r="F1555" t="s">
        <v>789</v>
      </c>
      <c r="G1555" t="s">
        <v>58</v>
      </c>
      <c r="H1555" s="92" t="s">
        <v>969</v>
      </c>
      <c r="I1555">
        <v>1</v>
      </c>
      <c r="J1555" s="46">
        <v>2530</v>
      </c>
      <c r="K1555" s="50" t="s">
        <v>940</v>
      </c>
      <c r="L1555" s="23">
        <v>2530</v>
      </c>
      <c r="M1555" s="46"/>
    </row>
    <row r="1556" spans="2:16" x14ac:dyDescent="0.25">
      <c r="B1556" s="5">
        <v>44629</v>
      </c>
      <c r="C1556" s="5" t="s">
        <v>784</v>
      </c>
      <c r="D1556" s="35">
        <v>2022</v>
      </c>
      <c r="E1556" t="s">
        <v>900</v>
      </c>
      <c r="F1556" t="s">
        <v>790</v>
      </c>
      <c r="G1556" t="s">
        <v>269</v>
      </c>
      <c r="H1556" s="92" t="s">
        <v>983</v>
      </c>
      <c r="I1556">
        <v>2</v>
      </c>
      <c r="J1556" s="46">
        <v>580</v>
      </c>
      <c r="K1556" s="50" t="s">
        <v>940</v>
      </c>
      <c r="L1556" s="23">
        <v>580</v>
      </c>
      <c r="M1556" s="46"/>
    </row>
    <row r="1557" spans="2:16" x14ac:dyDescent="0.25">
      <c r="B1557" s="5">
        <v>44629</v>
      </c>
      <c r="C1557" s="5" t="s">
        <v>784</v>
      </c>
      <c r="D1557" s="35">
        <v>2022</v>
      </c>
      <c r="E1557" t="s">
        <v>900</v>
      </c>
      <c r="F1557" t="s">
        <v>794</v>
      </c>
      <c r="G1557" t="s">
        <v>269</v>
      </c>
      <c r="H1557" s="92" t="s">
        <v>983</v>
      </c>
      <c r="I1557">
        <v>3</v>
      </c>
      <c r="J1557" s="46">
        <v>870</v>
      </c>
      <c r="K1557" s="50" t="s">
        <v>940</v>
      </c>
      <c r="L1557" s="23">
        <v>870</v>
      </c>
      <c r="M1557" s="46"/>
    </row>
    <row r="1558" spans="2:16" x14ac:dyDescent="0.25">
      <c r="B1558" s="5">
        <v>44629</v>
      </c>
      <c r="C1558" s="5" t="s">
        <v>784</v>
      </c>
      <c r="D1558" s="35">
        <v>2022</v>
      </c>
      <c r="E1558" t="s">
        <v>900</v>
      </c>
      <c r="F1558" t="s">
        <v>794</v>
      </c>
      <c r="G1558" t="s">
        <v>249</v>
      </c>
      <c r="H1558" s="92" t="s">
        <v>972</v>
      </c>
      <c r="I1558">
        <v>1</v>
      </c>
      <c r="J1558" s="46">
        <v>1080</v>
      </c>
      <c r="K1558" s="50" t="s">
        <v>940</v>
      </c>
      <c r="L1558" s="23">
        <v>1080</v>
      </c>
      <c r="M1558" s="46"/>
    </row>
    <row r="1559" spans="2:16" x14ac:dyDescent="0.25">
      <c r="B1559" s="5">
        <v>44629</v>
      </c>
      <c r="C1559" s="5" t="s">
        <v>784</v>
      </c>
      <c r="D1559" s="35">
        <v>2022</v>
      </c>
      <c r="E1559" t="s">
        <v>900</v>
      </c>
      <c r="F1559" t="s">
        <v>834</v>
      </c>
      <c r="G1559" t="s">
        <v>838</v>
      </c>
      <c r="H1559" s="92" t="s">
        <v>967</v>
      </c>
      <c r="I1559">
        <v>1</v>
      </c>
      <c r="J1559" s="46">
        <v>2550</v>
      </c>
      <c r="K1559" s="50" t="s">
        <v>940</v>
      </c>
      <c r="L1559" s="23">
        <v>2550</v>
      </c>
      <c r="M1559" s="46"/>
    </row>
    <row r="1560" spans="2:16" x14ac:dyDescent="0.25">
      <c r="B1560" s="5">
        <v>44629</v>
      </c>
      <c r="C1560" s="5" t="s">
        <v>784</v>
      </c>
      <c r="D1560" s="35">
        <v>2022</v>
      </c>
      <c r="E1560" t="s">
        <v>900</v>
      </c>
      <c r="F1560" t="s">
        <v>698</v>
      </c>
      <c r="G1560" t="s">
        <v>283</v>
      </c>
      <c r="H1560" s="92" t="s">
        <v>983</v>
      </c>
      <c r="I1560">
        <v>1</v>
      </c>
      <c r="J1560" s="46">
        <v>505</v>
      </c>
      <c r="K1560" s="50" t="s">
        <v>940</v>
      </c>
      <c r="L1560" s="23">
        <v>505</v>
      </c>
      <c r="M1560" s="46"/>
    </row>
    <row r="1561" spans="2:16" x14ac:dyDescent="0.25">
      <c r="B1561" s="5">
        <v>44629</v>
      </c>
      <c r="C1561" s="5" t="s">
        <v>784</v>
      </c>
      <c r="D1561" s="35">
        <v>2022</v>
      </c>
      <c r="E1561" t="s">
        <v>900</v>
      </c>
      <c r="F1561" t="s">
        <v>698</v>
      </c>
      <c r="G1561" t="s">
        <v>269</v>
      </c>
      <c r="H1561" s="92" t="s">
        <v>983</v>
      </c>
      <c r="I1561">
        <v>1</v>
      </c>
      <c r="J1561" s="46">
        <v>290</v>
      </c>
      <c r="K1561" s="50" t="s">
        <v>940</v>
      </c>
      <c r="L1561" s="23">
        <v>290</v>
      </c>
      <c r="M1561" s="46"/>
    </row>
    <row r="1562" spans="2:16" x14ac:dyDescent="0.25">
      <c r="B1562" s="5">
        <v>44629</v>
      </c>
      <c r="C1562" s="5" t="s">
        <v>784</v>
      </c>
      <c r="D1562" s="35">
        <v>2022</v>
      </c>
      <c r="E1562" t="s">
        <v>900</v>
      </c>
      <c r="F1562" t="s">
        <v>715</v>
      </c>
      <c r="G1562" t="s">
        <v>269</v>
      </c>
      <c r="H1562" s="92" t="s">
        <v>983</v>
      </c>
      <c r="I1562">
        <v>2</v>
      </c>
      <c r="J1562" s="46">
        <v>580</v>
      </c>
      <c r="K1562" s="50" t="s">
        <v>940</v>
      </c>
      <c r="L1562" s="23">
        <v>580</v>
      </c>
      <c r="M1562" s="46"/>
    </row>
    <row r="1563" spans="2:16" x14ac:dyDescent="0.25">
      <c r="B1563" s="5">
        <v>44629</v>
      </c>
      <c r="C1563" s="5" t="s">
        <v>784</v>
      </c>
      <c r="D1563" s="35">
        <v>2022</v>
      </c>
      <c r="E1563" t="s">
        <v>900</v>
      </c>
      <c r="F1563" t="s">
        <v>796</v>
      </c>
      <c r="G1563" t="s">
        <v>432</v>
      </c>
      <c r="H1563" s="24" t="s">
        <v>976</v>
      </c>
      <c r="I1563">
        <v>1</v>
      </c>
      <c r="J1563" s="46">
        <v>3580</v>
      </c>
      <c r="K1563" s="50" t="s">
        <v>940</v>
      </c>
      <c r="L1563" s="23">
        <v>3580</v>
      </c>
      <c r="M1563" s="46"/>
    </row>
    <row r="1564" spans="2:16" x14ac:dyDescent="0.25">
      <c r="B1564" s="5">
        <v>44629</v>
      </c>
      <c r="C1564" s="5" t="s">
        <v>784</v>
      </c>
      <c r="D1564" s="35">
        <v>2022</v>
      </c>
      <c r="E1564" t="s">
        <v>900</v>
      </c>
      <c r="F1564" t="s">
        <v>699</v>
      </c>
      <c r="G1564" t="s">
        <v>425</v>
      </c>
      <c r="H1564" s="92" t="s">
        <v>980</v>
      </c>
      <c r="I1564">
        <v>1</v>
      </c>
      <c r="J1564" s="46">
        <v>210</v>
      </c>
      <c r="K1564" s="50" t="s">
        <v>940</v>
      </c>
      <c r="L1564" s="23">
        <v>210</v>
      </c>
      <c r="M1564" s="46"/>
    </row>
    <row r="1565" spans="2:16" x14ac:dyDescent="0.25">
      <c r="B1565" s="5">
        <v>44629</v>
      </c>
      <c r="C1565" s="5" t="s">
        <v>784</v>
      </c>
      <c r="D1565" s="35">
        <v>2022</v>
      </c>
      <c r="E1565" t="s">
        <v>900</v>
      </c>
      <c r="F1565" t="s">
        <v>699</v>
      </c>
      <c r="G1565" t="s">
        <v>269</v>
      </c>
      <c r="H1565" s="92" t="s">
        <v>983</v>
      </c>
      <c r="I1565">
        <v>2</v>
      </c>
      <c r="J1565" s="46">
        <v>580</v>
      </c>
      <c r="K1565" s="50" t="s">
        <v>940</v>
      </c>
      <c r="L1565" s="23">
        <v>580</v>
      </c>
      <c r="M1565" s="46"/>
    </row>
    <row r="1566" spans="2:16" x14ac:dyDescent="0.25">
      <c r="B1566" s="5">
        <v>44629</v>
      </c>
      <c r="C1566" s="5" t="s">
        <v>784</v>
      </c>
      <c r="D1566" s="35">
        <v>2022</v>
      </c>
      <c r="E1566" t="s">
        <v>900</v>
      </c>
      <c r="F1566" t="s">
        <v>878</v>
      </c>
      <c r="G1566" t="s">
        <v>249</v>
      </c>
      <c r="H1566" s="92" t="s">
        <v>972</v>
      </c>
      <c r="I1566">
        <v>1</v>
      </c>
      <c r="J1566" s="46">
        <v>1080</v>
      </c>
      <c r="K1566" s="50" t="s">
        <v>940</v>
      </c>
      <c r="L1566" s="23">
        <v>1080</v>
      </c>
      <c r="M1566" s="46"/>
      <c r="N1566" s="23">
        <v>1080</v>
      </c>
      <c r="P1566" t="s">
        <v>1012</v>
      </c>
    </row>
    <row r="1567" spans="2:16" x14ac:dyDescent="0.25">
      <c r="B1567" s="5">
        <v>44629</v>
      </c>
      <c r="C1567" s="5" t="s">
        <v>784</v>
      </c>
      <c r="D1567" s="35">
        <v>2022</v>
      </c>
      <c r="E1567" t="s">
        <v>900</v>
      </c>
      <c r="F1567" t="s">
        <v>703</v>
      </c>
      <c r="G1567" t="s">
        <v>269</v>
      </c>
      <c r="H1567" s="92" t="s">
        <v>983</v>
      </c>
      <c r="I1567">
        <v>5</v>
      </c>
      <c r="J1567" s="46">
        <v>1450</v>
      </c>
      <c r="K1567" s="50" t="s">
        <v>940</v>
      </c>
      <c r="L1567" s="23">
        <v>1450</v>
      </c>
      <c r="M1567" s="46"/>
      <c r="N1567" s="23">
        <v>1450</v>
      </c>
      <c r="P1567" t="s">
        <v>889</v>
      </c>
    </row>
    <row r="1568" spans="2:16" x14ac:dyDescent="0.25">
      <c r="B1568" s="5">
        <v>44629</v>
      </c>
      <c r="C1568" s="5" t="s">
        <v>784</v>
      </c>
      <c r="D1568" s="35">
        <v>2022</v>
      </c>
      <c r="E1568" t="s">
        <v>900</v>
      </c>
      <c r="F1568" t="s">
        <v>1019</v>
      </c>
      <c r="G1568" t="s">
        <v>125</v>
      </c>
      <c r="H1568" s="92" t="s">
        <v>971</v>
      </c>
      <c r="I1568">
        <v>1</v>
      </c>
      <c r="J1568" s="46">
        <v>510</v>
      </c>
      <c r="K1568" s="50" t="s">
        <v>940</v>
      </c>
      <c r="L1568" s="23">
        <v>510</v>
      </c>
      <c r="M1568" s="46"/>
    </row>
    <row r="1569" spans="2:16" x14ac:dyDescent="0.25">
      <c r="B1569" s="5">
        <v>44629</v>
      </c>
      <c r="C1569" s="5" t="s">
        <v>784</v>
      </c>
      <c r="D1569" s="35">
        <v>2022</v>
      </c>
      <c r="E1569" t="s">
        <v>458</v>
      </c>
      <c r="F1569" t="s">
        <v>315</v>
      </c>
      <c r="G1569" t="s">
        <v>128</v>
      </c>
      <c r="H1569" s="92" t="s">
        <v>965</v>
      </c>
      <c r="I1569">
        <v>1</v>
      </c>
      <c r="J1569" s="46">
        <v>1240</v>
      </c>
      <c r="K1569" s="50" t="s">
        <v>940</v>
      </c>
      <c r="L1569" s="23">
        <v>1240</v>
      </c>
      <c r="M1569" s="46"/>
    </row>
    <row r="1570" spans="2:16" x14ac:dyDescent="0.25">
      <c r="B1570" s="5">
        <v>44629</v>
      </c>
      <c r="C1570" s="5" t="s">
        <v>784</v>
      </c>
      <c r="D1570" s="35">
        <v>2022</v>
      </c>
      <c r="E1570" t="s">
        <v>458</v>
      </c>
      <c r="F1570" t="s">
        <v>315</v>
      </c>
      <c r="G1570" t="s">
        <v>121</v>
      </c>
      <c r="H1570" s="92" t="s">
        <v>982</v>
      </c>
      <c r="I1570">
        <v>1</v>
      </c>
      <c r="J1570" s="46">
        <v>230</v>
      </c>
      <c r="K1570" s="50" t="s">
        <v>940</v>
      </c>
      <c r="L1570" s="106"/>
      <c r="M1570" s="46">
        <v>230</v>
      </c>
      <c r="O1570" t="s">
        <v>625</v>
      </c>
    </row>
    <row r="1571" spans="2:16" x14ac:dyDescent="0.25">
      <c r="B1571" s="5">
        <v>44629</v>
      </c>
      <c r="C1571" s="5" t="s">
        <v>784</v>
      </c>
      <c r="D1571" s="35">
        <v>2022</v>
      </c>
      <c r="E1571" t="s">
        <v>458</v>
      </c>
      <c r="F1571" t="s">
        <v>382</v>
      </c>
      <c r="G1571" t="s">
        <v>269</v>
      </c>
      <c r="H1571" s="92" t="s">
        <v>983</v>
      </c>
      <c r="I1571">
        <v>1</v>
      </c>
      <c r="J1571" s="46">
        <v>290</v>
      </c>
      <c r="K1571" s="50" t="s">
        <v>940</v>
      </c>
      <c r="L1571" s="23">
        <v>290</v>
      </c>
      <c r="M1571" s="46"/>
    </row>
    <row r="1572" spans="2:16" x14ac:dyDescent="0.25">
      <c r="B1572" s="5">
        <v>44629</v>
      </c>
      <c r="C1572" s="5" t="s">
        <v>784</v>
      </c>
      <c r="D1572" s="35">
        <v>2022</v>
      </c>
      <c r="E1572" t="s">
        <v>458</v>
      </c>
      <c r="F1572" t="s">
        <v>1007</v>
      </c>
      <c r="G1572" t="s">
        <v>128</v>
      </c>
      <c r="H1572" s="92" t="s">
        <v>965</v>
      </c>
      <c r="I1572">
        <v>1</v>
      </c>
      <c r="J1572" s="46">
        <v>1240</v>
      </c>
      <c r="K1572" s="50" t="s">
        <v>940</v>
      </c>
      <c r="L1572" s="23">
        <v>1240</v>
      </c>
      <c r="M1572" s="46"/>
    </row>
    <row r="1573" spans="2:16" x14ac:dyDescent="0.25">
      <c r="B1573" s="5">
        <v>44629</v>
      </c>
      <c r="C1573" s="5" t="s">
        <v>784</v>
      </c>
      <c r="D1573" s="35">
        <v>2022</v>
      </c>
      <c r="E1573" t="s">
        <v>458</v>
      </c>
      <c r="F1573" t="s">
        <v>317</v>
      </c>
      <c r="G1573" t="s">
        <v>425</v>
      </c>
      <c r="H1573" s="92" t="s">
        <v>980</v>
      </c>
      <c r="I1573">
        <v>2</v>
      </c>
      <c r="J1573" s="46">
        <v>420</v>
      </c>
      <c r="K1573" s="50" t="s">
        <v>940</v>
      </c>
      <c r="L1573" s="23">
        <v>420</v>
      </c>
      <c r="M1573" s="46"/>
    </row>
    <row r="1574" spans="2:16" x14ac:dyDescent="0.25">
      <c r="B1574" s="5">
        <v>44629</v>
      </c>
      <c r="C1574" s="5" t="s">
        <v>784</v>
      </c>
      <c r="D1574" s="35">
        <v>2022</v>
      </c>
      <c r="E1574" t="s">
        <v>458</v>
      </c>
      <c r="F1574" t="s">
        <v>383</v>
      </c>
      <c r="G1574" t="s">
        <v>247</v>
      </c>
      <c r="H1574" s="92" t="s">
        <v>966</v>
      </c>
      <c r="I1574">
        <v>1</v>
      </c>
      <c r="J1574" s="46">
        <v>1800</v>
      </c>
      <c r="K1574" s="50" t="s">
        <v>940</v>
      </c>
      <c r="L1574" s="23">
        <v>1800</v>
      </c>
      <c r="M1574" s="46"/>
    </row>
    <row r="1575" spans="2:16" x14ac:dyDescent="0.25">
      <c r="B1575" s="5">
        <v>44629</v>
      </c>
      <c r="C1575" s="5" t="s">
        <v>784</v>
      </c>
      <c r="D1575" s="35">
        <v>2022</v>
      </c>
      <c r="E1575" t="s">
        <v>458</v>
      </c>
      <c r="F1575" t="s">
        <v>1123</v>
      </c>
      <c r="G1575" t="s">
        <v>321</v>
      </c>
      <c r="H1575" s="92" t="s">
        <v>967</v>
      </c>
      <c r="I1575">
        <v>1</v>
      </c>
      <c r="J1575" s="46">
        <v>2550</v>
      </c>
      <c r="K1575" s="50" t="s">
        <v>940</v>
      </c>
      <c r="L1575" s="23">
        <v>2550</v>
      </c>
      <c r="M1575" s="46"/>
    </row>
    <row r="1576" spans="2:16" x14ac:dyDescent="0.25">
      <c r="B1576" s="5">
        <v>44629</v>
      </c>
      <c r="C1576" s="5" t="s">
        <v>784</v>
      </c>
      <c r="D1576" s="35">
        <v>2022</v>
      </c>
      <c r="E1576" t="s">
        <v>458</v>
      </c>
      <c r="F1576" t="s">
        <v>433</v>
      </c>
      <c r="G1576" t="s">
        <v>127</v>
      </c>
      <c r="H1576" s="92" t="s">
        <v>973</v>
      </c>
      <c r="I1576">
        <v>1</v>
      </c>
      <c r="J1576" s="46">
        <v>260</v>
      </c>
      <c r="K1576" s="50" t="s">
        <v>940</v>
      </c>
      <c r="L1576" s="23">
        <v>260</v>
      </c>
      <c r="M1576" s="46"/>
      <c r="N1576" s="23">
        <v>260</v>
      </c>
      <c r="P1576" t="s">
        <v>889</v>
      </c>
    </row>
    <row r="1577" spans="2:16" x14ac:dyDescent="0.25">
      <c r="B1577" s="5">
        <v>44629</v>
      </c>
      <c r="C1577" s="5" t="s">
        <v>784</v>
      </c>
      <c r="D1577" s="35">
        <v>2022</v>
      </c>
      <c r="E1577" t="s">
        <v>458</v>
      </c>
      <c r="F1577" t="s">
        <v>272</v>
      </c>
      <c r="G1577" t="s">
        <v>128</v>
      </c>
      <c r="H1577" s="92" t="s">
        <v>965</v>
      </c>
      <c r="I1577">
        <v>1</v>
      </c>
      <c r="J1577" s="46">
        <v>1240</v>
      </c>
      <c r="K1577" s="50" t="s">
        <v>940</v>
      </c>
      <c r="L1577" s="23">
        <v>1240</v>
      </c>
      <c r="M1577" s="46"/>
    </row>
    <row r="1578" spans="2:16" x14ac:dyDescent="0.25">
      <c r="B1578" s="5">
        <v>44629</v>
      </c>
      <c r="C1578" s="5" t="s">
        <v>784</v>
      </c>
      <c r="D1578" s="35">
        <v>2022</v>
      </c>
      <c r="E1578" t="s">
        <v>417</v>
      </c>
      <c r="F1578" t="s">
        <v>25</v>
      </c>
      <c r="G1578" t="s">
        <v>45</v>
      </c>
      <c r="H1578" s="92" t="s">
        <v>965</v>
      </c>
      <c r="I1578">
        <v>1</v>
      </c>
      <c r="J1578" s="46">
        <v>1390</v>
      </c>
      <c r="K1578" s="50" t="s">
        <v>940</v>
      </c>
      <c r="L1578" s="23">
        <v>1390</v>
      </c>
      <c r="M1578" s="46"/>
      <c r="N1578" s="23">
        <v>1390</v>
      </c>
      <c r="P1578" t="s">
        <v>891</v>
      </c>
    </row>
    <row r="1579" spans="2:16" x14ac:dyDescent="0.25">
      <c r="B1579" s="5">
        <v>44629</v>
      </c>
      <c r="C1579" s="5" t="s">
        <v>784</v>
      </c>
      <c r="D1579" s="35">
        <v>2022</v>
      </c>
      <c r="E1579" t="s">
        <v>417</v>
      </c>
      <c r="F1579" t="s">
        <v>1010</v>
      </c>
      <c r="G1579" t="s">
        <v>425</v>
      </c>
      <c r="H1579" s="92" t="s">
        <v>980</v>
      </c>
      <c r="I1579">
        <v>1</v>
      </c>
      <c r="J1579" s="46">
        <v>210</v>
      </c>
      <c r="K1579" s="50" t="s">
        <v>940</v>
      </c>
      <c r="L1579" s="23">
        <v>210</v>
      </c>
      <c r="M1579" s="46"/>
    </row>
    <row r="1580" spans="2:16" x14ac:dyDescent="0.25">
      <c r="B1580" s="5">
        <v>44629</v>
      </c>
      <c r="C1580" s="5" t="s">
        <v>784</v>
      </c>
      <c r="D1580" s="35">
        <v>2022</v>
      </c>
      <c r="E1580" t="s">
        <v>417</v>
      </c>
      <c r="F1580" t="s">
        <v>1020</v>
      </c>
      <c r="G1580" t="s">
        <v>425</v>
      </c>
      <c r="H1580" s="92" t="s">
        <v>980</v>
      </c>
      <c r="I1580">
        <v>1</v>
      </c>
      <c r="J1580" s="46">
        <v>210</v>
      </c>
      <c r="K1580" s="50" t="s">
        <v>940</v>
      </c>
      <c r="L1580" s="23">
        <v>210</v>
      </c>
      <c r="M1580" s="46"/>
    </row>
    <row r="1581" spans="2:16" x14ac:dyDescent="0.25">
      <c r="B1581" s="5">
        <v>44629</v>
      </c>
      <c r="C1581" s="5" t="s">
        <v>784</v>
      </c>
      <c r="D1581" s="35">
        <v>2022</v>
      </c>
      <c r="E1581" t="s">
        <v>417</v>
      </c>
      <c r="F1581" t="s">
        <v>216</v>
      </c>
      <c r="G1581" t="s">
        <v>432</v>
      </c>
      <c r="H1581" s="24" t="s">
        <v>976</v>
      </c>
      <c r="I1581">
        <v>1</v>
      </c>
      <c r="J1581" s="46">
        <v>3580</v>
      </c>
      <c r="K1581" s="50" t="s">
        <v>940</v>
      </c>
      <c r="L1581" s="106"/>
      <c r="M1581" s="46">
        <v>3580</v>
      </c>
      <c r="O1581" t="s">
        <v>625</v>
      </c>
    </row>
    <row r="1582" spans="2:16" x14ac:dyDescent="0.25">
      <c r="B1582" s="5">
        <v>44629</v>
      </c>
      <c r="C1582" s="5" t="s">
        <v>784</v>
      </c>
      <c r="D1582" s="35">
        <v>2022</v>
      </c>
      <c r="E1582" t="s">
        <v>417</v>
      </c>
      <c r="F1582" t="s">
        <v>558</v>
      </c>
      <c r="G1582" t="s">
        <v>269</v>
      </c>
      <c r="H1582" s="92" t="s">
        <v>983</v>
      </c>
      <c r="I1582">
        <v>1</v>
      </c>
      <c r="J1582" s="46">
        <v>290</v>
      </c>
      <c r="K1582" s="50" t="s">
        <v>940</v>
      </c>
      <c r="L1582" s="23">
        <v>290</v>
      </c>
      <c r="M1582" s="46"/>
    </row>
    <row r="1583" spans="2:16" x14ac:dyDescent="0.25">
      <c r="B1583" s="5">
        <v>44629</v>
      </c>
      <c r="C1583" s="5" t="s">
        <v>784</v>
      </c>
      <c r="D1583" s="35">
        <v>2022</v>
      </c>
      <c r="E1583" t="s">
        <v>417</v>
      </c>
      <c r="F1583" t="s">
        <v>817</v>
      </c>
      <c r="G1583" t="s">
        <v>125</v>
      </c>
      <c r="H1583" s="92" t="s">
        <v>971</v>
      </c>
      <c r="I1583">
        <v>1</v>
      </c>
      <c r="J1583" s="46">
        <v>510</v>
      </c>
      <c r="K1583" s="50" t="s">
        <v>940</v>
      </c>
      <c r="L1583" s="23">
        <v>510</v>
      </c>
      <c r="M1583" s="46"/>
    </row>
    <row r="1584" spans="2:16" x14ac:dyDescent="0.25">
      <c r="B1584" s="5">
        <v>44629</v>
      </c>
      <c r="C1584" s="5" t="s">
        <v>784</v>
      </c>
      <c r="D1584" s="35">
        <v>2022</v>
      </c>
      <c r="E1584" t="s">
        <v>445</v>
      </c>
      <c r="F1584" t="s">
        <v>995</v>
      </c>
      <c r="G1584" t="s">
        <v>249</v>
      </c>
      <c r="H1584" s="92" t="s">
        <v>972</v>
      </c>
      <c r="I1584">
        <v>1</v>
      </c>
      <c r="J1584" s="46">
        <v>1080</v>
      </c>
      <c r="K1584" s="50" t="s">
        <v>940</v>
      </c>
      <c r="L1584" s="23">
        <v>1080</v>
      </c>
      <c r="M1584" s="46"/>
    </row>
    <row r="1585" spans="2:16" x14ac:dyDescent="0.25">
      <c r="B1585" s="5">
        <v>44629</v>
      </c>
      <c r="C1585" s="5" t="s">
        <v>784</v>
      </c>
      <c r="D1585" s="35">
        <v>2022</v>
      </c>
      <c r="E1585" t="s">
        <v>445</v>
      </c>
      <c r="F1585" t="s">
        <v>1021</v>
      </c>
      <c r="G1585" t="s">
        <v>124</v>
      </c>
      <c r="H1585" s="92" t="s">
        <v>982</v>
      </c>
      <c r="I1585">
        <v>1</v>
      </c>
      <c r="J1585" s="46">
        <v>625</v>
      </c>
      <c r="K1585" s="50" t="s">
        <v>940</v>
      </c>
      <c r="L1585" s="23">
        <v>625</v>
      </c>
      <c r="M1585" s="46"/>
      <c r="N1585" s="46">
        <v>625</v>
      </c>
      <c r="P1585" t="s">
        <v>1101</v>
      </c>
    </row>
    <row r="1586" spans="2:16" x14ac:dyDescent="0.25">
      <c r="B1586" s="5">
        <v>44629</v>
      </c>
      <c r="C1586" s="5" t="s">
        <v>784</v>
      </c>
      <c r="D1586" s="35">
        <v>2022</v>
      </c>
      <c r="E1586" t="s">
        <v>445</v>
      </c>
      <c r="F1586" t="s">
        <v>847</v>
      </c>
      <c r="G1586" t="s">
        <v>321</v>
      </c>
      <c r="H1586" s="92" t="s">
        <v>967</v>
      </c>
      <c r="I1586">
        <v>1</v>
      </c>
      <c r="J1586" s="46">
        <v>2550</v>
      </c>
      <c r="K1586" s="50" t="s">
        <v>940</v>
      </c>
      <c r="L1586" s="106"/>
      <c r="M1586" s="46">
        <v>2550</v>
      </c>
      <c r="O1586" t="s">
        <v>1100</v>
      </c>
    </row>
    <row r="1587" spans="2:16" x14ac:dyDescent="0.25">
      <c r="B1587" s="5">
        <v>44630</v>
      </c>
      <c r="C1587" s="5" t="s">
        <v>784</v>
      </c>
      <c r="D1587" s="35">
        <v>2022</v>
      </c>
      <c r="E1587" t="s">
        <v>22</v>
      </c>
      <c r="F1587" t="s">
        <v>307</v>
      </c>
      <c r="G1587" t="s">
        <v>269</v>
      </c>
      <c r="H1587" s="92" t="s">
        <v>983</v>
      </c>
      <c r="I1587">
        <v>2</v>
      </c>
      <c r="J1587" s="46">
        <v>580</v>
      </c>
      <c r="K1587" s="50" t="s">
        <v>940</v>
      </c>
      <c r="L1587" s="46">
        <v>580</v>
      </c>
      <c r="M1587" s="46"/>
    </row>
    <row r="1588" spans="2:16" x14ac:dyDescent="0.25">
      <c r="B1588" s="5">
        <v>44630</v>
      </c>
      <c r="C1588" s="5" t="s">
        <v>784</v>
      </c>
      <c r="D1588" s="35">
        <v>2022</v>
      </c>
      <c r="E1588" t="s">
        <v>22</v>
      </c>
      <c r="F1588" t="s">
        <v>307</v>
      </c>
      <c r="G1588" t="s">
        <v>283</v>
      </c>
      <c r="H1588" s="92" t="s">
        <v>983</v>
      </c>
      <c r="I1588">
        <v>2</v>
      </c>
      <c r="J1588" s="46">
        <v>1010</v>
      </c>
      <c r="K1588" s="50" t="s">
        <v>940</v>
      </c>
      <c r="L1588" s="46">
        <v>1010</v>
      </c>
      <c r="M1588" s="46"/>
    </row>
    <row r="1589" spans="2:16" x14ac:dyDescent="0.25">
      <c r="B1589" s="5">
        <v>44630</v>
      </c>
      <c r="C1589" s="5" t="s">
        <v>784</v>
      </c>
      <c r="D1589" s="5"/>
      <c r="E1589" t="s">
        <v>22</v>
      </c>
      <c r="F1589" s="24" t="s">
        <v>1096</v>
      </c>
      <c r="G1589" s="24" t="s">
        <v>58</v>
      </c>
      <c r="H1589" s="92" t="s">
        <v>969</v>
      </c>
      <c r="I1589" s="25">
        <v>1</v>
      </c>
      <c r="J1589" s="23">
        <v>2530</v>
      </c>
      <c r="K1589" s="50" t="s">
        <v>940</v>
      </c>
      <c r="L1589" s="46">
        <v>600</v>
      </c>
      <c r="M1589" s="46"/>
    </row>
    <row r="1590" spans="2:16" x14ac:dyDescent="0.25">
      <c r="B1590" s="5">
        <v>44630</v>
      </c>
      <c r="C1590" s="5" t="s">
        <v>784</v>
      </c>
      <c r="D1590" s="35">
        <v>2022</v>
      </c>
      <c r="E1590" t="s">
        <v>22</v>
      </c>
      <c r="F1590" t="s">
        <v>450</v>
      </c>
      <c r="G1590" t="s">
        <v>380</v>
      </c>
      <c r="H1590" s="92" t="s">
        <v>972</v>
      </c>
      <c r="I1590">
        <v>1</v>
      </c>
      <c r="J1590" s="46">
        <v>600</v>
      </c>
      <c r="K1590" s="50" t="s">
        <v>940</v>
      </c>
      <c r="L1590" s="46">
        <v>2530</v>
      </c>
      <c r="M1590" s="46"/>
    </row>
    <row r="1591" spans="2:16" x14ac:dyDescent="0.25">
      <c r="B1591" s="5">
        <v>44630</v>
      </c>
      <c r="C1591" s="5" t="s">
        <v>784</v>
      </c>
      <c r="D1591" s="35">
        <v>2022</v>
      </c>
      <c r="E1591" t="s">
        <v>22</v>
      </c>
      <c r="F1591" t="s">
        <v>411</v>
      </c>
      <c r="G1591" t="s">
        <v>125</v>
      </c>
      <c r="H1591" s="92" t="s">
        <v>971</v>
      </c>
      <c r="I1591">
        <v>1</v>
      </c>
      <c r="J1591" s="46">
        <v>510</v>
      </c>
      <c r="K1591" s="50" t="s">
        <v>940</v>
      </c>
      <c r="L1591" s="46">
        <v>510</v>
      </c>
      <c r="M1591" s="46"/>
    </row>
    <row r="1592" spans="2:16" x14ac:dyDescent="0.25">
      <c r="B1592" s="5">
        <v>44630</v>
      </c>
      <c r="C1592" s="5" t="s">
        <v>784</v>
      </c>
      <c r="D1592" s="35">
        <v>2022</v>
      </c>
      <c r="E1592" t="s">
        <v>22</v>
      </c>
      <c r="F1592" t="s">
        <v>475</v>
      </c>
      <c r="G1592" t="s">
        <v>269</v>
      </c>
      <c r="H1592" s="92" t="s">
        <v>983</v>
      </c>
      <c r="I1592">
        <v>5</v>
      </c>
      <c r="J1592" s="46">
        <v>1450</v>
      </c>
      <c r="K1592" s="50" t="s">
        <v>940</v>
      </c>
      <c r="L1592" s="46">
        <v>1450</v>
      </c>
      <c r="M1592" s="46"/>
    </row>
    <row r="1593" spans="2:16" x14ac:dyDescent="0.25">
      <c r="B1593" s="5">
        <v>44630</v>
      </c>
      <c r="C1593" s="5" t="s">
        <v>784</v>
      </c>
      <c r="D1593" s="35">
        <v>2022</v>
      </c>
      <c r="E1593" t="s">
        <v>22</v>
      </c>
      <c r="F1593" t="s">
        <v>1022</v>
      </c>
      <c r="G1593" t="s">
        <v>126</v>
      </c>
      <c r="H1593" s="92" t="s">
        <v>965</v>
      </c>
      <c r="I1593">
        <v>1</v>
      </c>
      <c r="J1593" s="46">
        <v>1410</v>
      </c>
      <c r="K1593" s="50" t="s">
        <v>940</v>
      </c>
      <c r="L1593" s="46">
        <v>1410</v>
      </c>
      <c r="M1593" s="46"/>
    </row>
    <row r="1594" spans="2:16" x14ac:dyDescent="0.25">
      <c r="B1594" s="5">
        <v>44630</v>
      </c>
      <c r="C1594" s="5" t="s">
        <v>784</v>
      </c>
      <c r="D1594" s="35">
        <v>2022</v>
      </c>
      <c r="E1594" t="s">
        <v>356</v>
      </c>
      <c r="F1594" t="s">
        <v>137</v>
      </c>
      <c r="G1594" t="s">
        <v>321</v>
      </c>
      <c r="H1594" s="92" t="s">
        <v>967</v>
      </c>
      <c r="I1594">
        <v>1</v>
      </c>
      <c r="J1594" s="46">
        <v>2550</v>
      </c>
      <c r="K1594" s="50" t="s">
        <v>940</v>
      </c>
      <c r="L1594" s="46">
        <v>2550</v>
      </c>
      <c r="M1594" s="46"/>
    </row>
    <row r="1595" spans="2:16" x14ac:dyDescent="0.25">
      <c r="B1595" s="5">
        <v>44630</v>
      </c>
      <c r="C1595" s="5" t="s">
        <v>784</v>
      </c>
      <c r="D1595" s="35">
        <v>2022</v>
      </c>
      <c r="E1595" t="s">
        <v>356</v>
      </c>
      <c r="F1595" t="s">
        <v>57</v>
      </c>
      <c r="G1595" t="s">
        <v>247</v>
      </c>
      <c r="H1595" s="92" t="s">
        <v>966</v>
      </c>
      <c r="I1595">
        <v>2</v>
      </c>
      <c r="J1595" s="46">
        <v>3600</v>
      </c>
      <c r="K1595" s="50" t="s">
        <v>940</v>
      </c>
      <c r="L1595" s="46">
        <v>3600</v>
      </c>
      <c r="M1595" s="46"/>
    </row>
    <row r="1596" spans="2:16" x14ac:dyDescent="0.25">
      <c r="B1596" s="5">
        <v>44630</v>
      </c>
      <c r="C1596" s="5" t="s">
        <v>784</v>
      </c>
      <c r="D1596" s="35">
        <v>2022</v>
      </c>
      <c r="E1596" t="s">
        <v>356</v>
      </c>
      <c r="F1596" t="s">
        <v>455</v>
      </c>
      <c r="G1596" t="s">
        <v>249</v>
      </c>
      <c r="H1596" s="92" t="s">
        <v>972</v>
      </c>
      <c r="I1596">
        <v>1</v>
      </c>
      <c r="J1596" s="46">
        <v>1080</v>
      </c>
      <c r="K1596" s="50" t="s">
        <v>940</v>
      </c>
      <c r="L1596" s="46">
        <v>1080</v>
      </c>
      <c r="M1596" s="46"/>
    </row>
    <row r="1597" spans="2:16" x14ac:dyDescent="0.25">
      <c r="B1597" s="5">
        <v>44630</v>
      </c>
      <c r="C1597" s="5" t="s">
        <v>784</v>
      </c>
      <c r="D1597" s="35">
        <v>2022</v>
      </c>
      <c r="E1597" t="s">
        <v>356</v>
      </c>
      <c r="F1597" t="s">
        <v>191</v>
      </c>
      <c r="G1597" t="s">
        <v>323</v>
      </c>
      <c r="H1597" s="92" t="s">
        <v>981</v>
      </c>
      <c r="I1597">
        <v>1</v>
      </c>
      <c r="J1597" s="46">
        <v>310</v>
      </c>
      <c r="K1597" s="50" t="s">
        <v>940</v>
      </c>
      <c r="L1597" s="46"/>
      <c r="M1597" s="46">
        <v>310</v>
      </c>
      <c r="O1597" t="s">
        <v>1015</v>
      </c>
    </row>
    <row r="1598" spans="2:16" x14ac:dyDescent="0.25">
      <c r="B1598" s="5">
        <v>44630</v>
      </c>
      <c r="C1598" s="5" t="s">
        <v>784</v>
      </c>
      <c r="D1598" s="35">
        <v>2022</v>
      </c>
      <c r="E1598" t="s">
        <v>356</v>
      </c>
      <c r="F1598" t="s">
        <v>191</v>
      </c>
      <c r="G1598" t="s">
        <v>122</v>
      </c>
      <c r="H1598" s="92" t="s">
        <v>973</v>
      </c>
      <c r="I1598">
        <v>1</v>
      </c>
      <c r="J1598" s="46">
        <v>260</v>
      </c>
      <c r="K1598" s="50" t="s">
        <v>940</v>
      </c>
      <c r="L1598" s="46"/>
      <c r="M1598" s="46">
        <v>260</v>
      </c>
      <c r="O1598" t="s">
        <v>1015</v>
      </c>
    </row>
    <row r="1599" spans="2:16" x14ac:dyDescent="0.25">
      <c r="B1599" s="5">
        <v>44630</v>
      </c>
      <c r="C1599" s="5" t="s">
        <v>784</v>
      </c>
      <c r="D1599" s="35">
        <v>2022</v>
      </c>
      <c r="E1599" t="s">
        <v>900</v>
      </c>
      <c r="F1599" t="s">
        <v>1023</v>
      </c>
      <c r="G1599" t="s">
        <v>269</v>
      </c>
      <c r="H1599" s="92" t="s">
        <v>983</v>
      </c>
      <c r="I1599">
        <v>5</v>
      </c>
      <c r="J1599" s="46">
        <v>1450</v>
      </c>
      <c r="K1599" s="50" t="s">
        <v>940</v>
      </c>
      <c r="L1599" s="46">
        <v>1450</v>
      </c>
      <c r="M1599" s="46"/>
    </row>
    <row r="1600" spans="2:16" x14ac:dyDescent="0.25">
      <c r="B1600" s="5">
        <v>44630</v>
      </c>
      <c r="C1600" s="5" t="s">
        <v>784</v>
      </c>
      <c r="D1600" s="35">
        <v>2022</v>
      </c>
      <c r="E1600" t="s">
        <v>900</v>
      </c>
      <c r="F1600" t="s">
        <v>1023</v>
      </c>
      <c r="G1600" t="s">
        <v>283</v>
      </c>
      <c r="H1600" s="92" t="s">
        <v>983</v>
      </c>
      <c r="I1600">
        <v>1</v>
      </c>
      <c r="J1600" s="46">
        <v>505</v>
      </c>
      <c r="K1600" s="50" t="s">
        <v>940</v>
      </c>
      <c r="L1600" s="46">
        <v>505</v>
      </c>
      <c r="M1600" s="46"/>
    </row>
    <row r="1601" spans="2:16" x14ac:dyDescent="0.25">
      <c r="B1601" s="5">
        <v>44630</v>
      </c>
      <c r="C1601" s="5" t="s">
        <v>784</v>
      </c>
      <c r="D1601" s="35">
        <v>2022</v>
      </c>
      <c r="E1601" t="s">
        <v>900</v>
      </c>
      <c r="F1601" t="s">
        <v>1024</v>
      </c>
      <c r="G1601" t="s">
        <v>269</v>
      </c>
      <c r="H1601" s="92" t="s">
        <v>983</v>
      </c>
      <c r="I1601">
        <v>2</v>
      </c>
      <c r="J1601" s="46">
        <v>580</v>
      </c>
      <c r="K1601" s="50" t="s">
        <v>940</v>
      </c>
      <c r="L1601" s="46">
        <v>580</v>
      </c>
      <c r="M1601" s="46"/>
    </row>
    <row r="1602" spans="2:16" x14ac:dyDescent="0.25">
      <c r="B1602" s="5">
        <v>44630</v>
      </c>
      <c r="C1602" s="5" t="s">
        <v>784</v>
      </c>
      <c r="D1602" s="35">
        <v>2022</v>
      </c>
      <c r="E1602" t="s">
        <v>900</v>
      </c>
      <c r="F1602" t="s">
        <v>1024</v>
      </c>
      <c r="G1602" t="s">
        <v>283</v>
      </c>
      <c r="H1602" s="92" t="s">
        <v>983</v>
      </c>
      <c r="I1602">
        <v>1</v>
      </c>
      <c r="J1602" s="46">
        <v>505</v>
      </c>
      <c r="K1602" s="50" t="s">
        <v>940</v>
      </c>
      <c r="L1602" s="46">
        <v>505</v>
      </c>
      <c r="M1602" s="46"/>
    </row>
    <row r="1603" spans="2:16" x14ac:dyDescent="0.25">
      <c r="B1603" s="5">
        <v>44630</v>
      </c>
      <c r="C1603" s="5" t="s">
        <v>784</v>
      </c>
      <c r="D1603" s="35">
        <v>2022</v>
      </c>
      <c r="E1603" t="s">
        <v>900</v>
      </c>
      <c r="F1603" t="s">
        <v>1025</v>
      </c>
      <c r="G1603" t="s">
        <v>125</v>
      </c>
      <c r="H1603" s="92" t="s">
        <v>971</v>
      </c>
      <c r="I1603">
        <v>1</v>
      </c>
      <c r="J1603" s="46">
        <v>510</v>
      </c>
      <c r="K1603" s="50" t="s">
        <v>940</v>
      </c>
      <c r="L1603" s="46">
        <v>510</v>
      </c>
      <c r="M1603" s="46"/>
    </row>
    <row r="1604" spans="2:16" x14ac:dyDescent="0.25">
      <c r="B1604" s="5">
        <v>44630</v>
      </c>
      <c r="C1604" s="5" t="s">
        <v>784</v>
      </c>
      <c r="D1604" s="35">
        <v>2022</v>
      </c>
      <c r="E1604" t="s">
        <v>900</v>
      </c>
      <c r="F1604" t="s">
        <v>792</v>
      </c>
      <c r="G1604" t="s">
        <v>269</v>
      </c>
      <c r="H1604" s="92" t="s">
        <v>983</v>
      </c>
      <c r="I1604">
        <v>1</v>
      </c>
      <c r="J1604" s="46">
        <v>290</v>
      </c>
      <c r="K1604" s="50" t="s">
        <v>940</v>
      </c>
      <c r="L1604" s="46">
        <v>290</v>
      </c>
      <c r="M1604" s="46"/>
    </row>
    <row r="1605" spans="2:16" x14ac:dyDescent="0.25">
      <c r="B1605" s="5">
        <v>44630</v>
      </c>
      <c r="C1605" s="5" t="s">
        <v>784</v>
      </c>
      <c r="D1605" s="35">
        <v>2022</v>
      </c>
      <c r="E1605" t="s">
        <v>900</v>
      </c>
      <c r="F1605" t="s">
        <v>1026</v>
      </c>
      <c r="G1605" t="s">
        <v>269</v>
      </c>
      <c r="H1605" s="92" t="s">
        <v>983</v>
      </c>
      <c r="I1605">
        <v>1</v>
      </c>
      <c r="J1605" s="46">
        <v>290</v>
      </c>
      <c r="K1605" s="50" t="s">
        <v>940</v>
      </c>
      <c r="L1605" s="46">
        <v>290</v>
      </c>
      <c r="M1605" s="46"/>
    </row>
    <row r="1606" spans="2:16" x14ac:dyDescent="0.25">
      <c r="B1606" s="5">
        <v>44630</v>
      </c>
      <c r="C1606" s="5" t="s">
        <v>784</v>
      </c>
      <c r="D1606" s="35">
        <v>2022</v>
      </c>
      <c r="E1606" t="s">
        <v>900</v>
      </c>
      <c r="F1606" t="s">
        <v>763</v>
      </c>
      <c r="G1606" t="s">
        <v>269</v>
      </c>
      <c r="H1606" s="92" t="s">
        <v>983</v>
      </c>
      <c r="I1606">
        <v>2</v>
      </c>
      <c r="J1606" s="46">
        <v>580</v>
      </c>
      <c r="K1606" s="50" t="s">
        <v>940</v>
      </c>
      <c r="L1606" s="46">
        <v>580</v>
      </c>
      <c r="M1606" s="46"/>
    </row>
    <row r="1607" spans="2:16" x14ac:dyDescent="0.25">
      <c r="B1607" s="5">
        <v>44630</v>
      </c>
      <c r="C1607" s="5" t="s">
        <v>784</v>
      </c>
      <c r="D1607" s="35">
        <v>2022</v>
      </c>
      <c r="E1607" t="s">
        <v>900</v>
      </c>
      <c r="F1607" t="s">
        <v>836</v>
      </c>
      <c r="G1607" t="s">
        <v>269</v>
      </c>
      <c r="H1607" s="92" t="s">
        <v>983</v>
      </c>
      <c r="I1607">
        <v>1</v>
      </c>
      <c r="J1607" s="46">
        <v>290</v>
      </c>
      <c r="K1607" s="50" t="s">
        <v>940</v>
      </c>
      <c r="L1607" s="46">
        <v>290</v>
      </c>
      <c r="M1607" s="46"/>
    </row>
    <row r="1608" spans="2:16" x14ac:dyDescent="0.25">
      <c r="B1608" s="5">
        <v>44630</v>
      </c>
      <c r="C1608" s="5" t="s">
        <v>784</v>
      </c>
      <c r="D1608" s="35">
        <v>2022</v>
      </c>
      <c r="E1608" t="s">
        <v>900</v>
      </c>
      <c r="F1608" t="s">
        <v>836</v>
      </c>
      <c r="G1608" t="s">
        <v>249</v>
      </c>
      <c r="H1608" s="92" t="s">
        <v>972</v>
      </c>
      <c r="I1608">
        <v>1</v>
      </c>
      <c r="J1608" s="46">
        <v>1080</v>
      </c>
      <c r="K1608" s="50" t="s">
        <v>940</v>
      </c>
      <c r="L1608" s="46">
        <v>1080</v>
      </c>
      <c r="M1608" s="46"/>
    </row>
    <row r="1609" spans="2:16" x14ac:dyDescent="0.25">
      <c r="B1609" s="5">
        <v>44630</v>
      </c>
      <c r="C1609" s="5" t="s">
        <v>784</v>
      </c>
      <c r="D1609" s="35">
        <v>2022</v>
      </c>
      <c r="E1609" t="s">
        <v>900</v>
      </c>
      <c r="F1609" t="s">
        <v>928</v>
      </c>
      <c r="G1609" t="s">
        <v>427</v>
      </c>
      <c r="H1609" s="24" t="s">
        <v>968</v>
      </c>
      <c r="I1609">
        <v>2</v>
      </c>
      <c r="J1609" s="46">
        <v>6680</v>
      </c>
      <c r="K1609" s="50" t="s">
        <v>940</v>
      </c>
      <c r="L1609" s="46">
        <v>3340</v>
      </c>
      <c r="M1609" s="46">
        <v>3340</v>
      </c>
      <c r="O1609" t="s">
        <v>1015</v>
      </c>
    </row>
    <row r="1610" spans="2:16" x14ac:dyDescent="0.25">
      <c r="B1610" s="5">
        <v>44630</v>
      </c>
      <c r="C1610" s="5" t="s">
        <v>784</v>
      </c>
      <c r="D1610" s="35">
        <v>2022</v>
      </c>
      <c r="E1610" t="s">
        <v>900</v>
      </c>
      <c r="F1610" t="s">
        <v>1027</v>
      </c>
      <c r="G1610" t="s">
        <v>58</v>
      </c>
      <c r="H1610" s="92" t="s">
        <v>969</v>
      </c>
      <c r="I1610">
        <v>1</v>
      </c>
      <c r="J1610" s="46">
        <v>2530</v>
      </c>
      <c r="K1610" s="50" t="s">
        <v>940</v>
      </c>
      <c r="L1610" s="46">
        <v>2530</v>
      </c>
      <c r="M1610" s="46"/>
    </row>
    <row r="1611" spans="2:16" x14ac:dyDescent="0.25">
      <c r="B1611" s="5">
        <v>44630</v>
      </c>
      <c r="C1611" s="5" t="s">
        <v>784</v>
      </c>
      <c r="D1611" s="35">
        <v>2022</v>
      </c>
      <c r="E1611" t="s">
        <v>900</v>
      </c>
      <c r="F1611" t="s">
        <v>1028</v>
      </c>
      <c r="G1611" t="s">
        <v>269</v>
      </c>
      <c r="H1611" s="92" t="s">
        <v>983</v>
      </c>
      <c r="I1611">
        <v>2</v>
      </c>
      <c r="J1611" s="46">
        <v>580</v>
      </c>
      <c r="K1611" s="50" t="s">
        <v>940</v>
      </c>
      <c r="L1611" s="46">
        <v>580</v>
      </c>
      <c r="M1611" s="46"/>
    </row>
    <row r="1612" spans="2:16" x14ac:dyDescent="0.25">
      <c r="B1612" s="5">
        <v>44630</v>
      </c>
      <c r="C1612" s="5" t="s">
        <v>784</v>
      </c>
      <c r="D1612" s="35">
        <v>2022</v>
      </c>
      <c r="E1612" t="s">
        <v>900</v>
      </c>
      <c r="F1612" t="s">
        <v>1029</v>
      </c>
      <c r="G1612" t="s">
        <v>249</v>
      </c>
      <c r="H1612" s="92" t="s">
        <v>972</v>
      </c>
      <c r="I1612">
        <v>1</v>
      </c>
      <c r="J1612" s="46">
        <v>1080</v>
      </c>
      <c r="K1612" s="50" t="s">
        <v>940</v>
      </c>
      <c r="L1612" s="46">
        <v>1080</v>
      </c>
      <c r="M1612" s="46"/>
    </row>
    <row r="1613" spans="2:16" x14ac:dyDescent="0.25">
      <c r="B1613" s="5">
        <v>44630</v>
      </c>
      <c r="C1613" s="5" t="s">
        <v>784</v>
      </c>
      <c r="D1613" s="35">
        <v>2022</v>
      </c>
      <c r="E1613" t="s">
        <v>458</v>
      </c>
      <c r="F1613" t="s">
        <v>208</v>
      </c>
      <c r="G1613" t="s">
        <v>287</v>
      </c>
      <c r="H1613" s="92" t="s">
        <v>969</v>
      </c>
      <c r="I1613">
        <v>1</v>
      </c>
      <c r="J1613" s="46">
        <v>2450</v>
      </c>
      <c r="K1613" s="50" t="s">
        <v>940</v>
      </c>
      <c r="L1613" s="46">
        <v>2450</v>
      </c>
      <c r="M1613" s="46">
        <v>2450</v>
      </c>
      <c r="O1613" t="s">
        <v>1015</v>
      </c>
    </row>
    <row r="1614" spans="2:16" x14ac:dyDescent="0.25">
      <c r="B1614" s="5">
        <v>44630</v>
      </c>
      <c r="C1614" s="5" t="s">
        <v>784</v>
      </c>
      <c r="D1614" s="35">
        <v>2022</v>
      </c>
      <c r="E1614" t="s">
        <v>458</v>
      </c>
      <c r="F1614" t="s">
        <v>244</v>
      </c>
      <c r="G1614" t="s">
        <v>269</v>
      </c>
      <c r="H1614" s="92" t="s">
        <v>983</v>
      </c>
      <c r="I1614">
        <v>1</v>
      </c>
      <c r="J1614" s="46">
        <v>290</v>
      </c>
      <c r="K1614" s="50" t="s">
        <v>940</v>
      </c>
      <c r="L1614" s="46">
        <v>290</v>
      </c>
      <c r="M1614" s="46"/>
    </row>
    <row r="1615" spans="2:16" x14ac:dyDescent="0.25">
      <c r="B1615" s="5">
        <v>44630</v>
      </c>
      <c r="C1615" s="5" t="s">
        <v>784</v>
      </c>
      <c r="D1615" s="35">
        <v>2022</v>
      </c>
      <c r="E1615" t="s">
        <v>458</v>
      </c>
      <c r="F1615" t="s">
        <v>244</v>
      </c>
      <c r="G1615" t="s">
        <v>509</v>
      </c>
      <c r="H1615" s="92" t="s">
        <v>977</v>
      </c>
      <c r="I1615">
        <v>1</v>
      </c>
      <c r="J1615" s="46">
        <v>130</v>
      </c>
      <c r="K1615" s="50" t="s">
        <v>940</v>
      </c>
      <c r="L1615" s="46">
        <v>130</v>
      </c>
      <c r="M1615" s="46"/>
    </row>
    <row r="1616" spans="2:16" x14ac:dyDescent="0.25">
      <c r="B1616" s="5">
        <v>44630</v>
      </c>
      <c r="C1616" s="5" t="s">
        <v>784</v>
      </c>
      <c r="D1616" s="35">
        <v>2022</v>
      </c>
      <c r="E1616" t="s">
        <v>458</v>
      </c>
      <c r="F1616" t="s">
        <v>317</v>
      </c>
      <c r="G1616" t="s">
        <v>128</v>
      </c>
      <c r="H1616" s="92" t="s">
        <v>965</v>
      </c>
      <c r="I1616">
        <v>1</v>
      </c>
      <c r="J1616" s="46">
        <v>1240</v>
      </c>
      <c r="K1616" s="50" t="s">
        <v>940</v>
      </c>
      <c r="L1616" s="46">
        <v>1240</v>
      </c>
      <c r="M1616" s="46"/>
      <c r="N1616" s="46">
        <v>1240</v>
      </c>
      <c r="P1616" t="s">
        <v>889</v>
      </c>
    </row>
    <row r="1617" spans="2:16" x14ac:dyDescent="0.25">
      <c r="B1617" s="5">
        <v>44630</v>
      </c>
      <c r="C1617" s="5" t="s">
        <v>784</v>
      </c>
      <c r="D1617" s="35">
        <v>2022</v>
      </c>
      <c r="E1617" t="s">
        <v>458</v>
      </c>
      <c r="F1617" t="s">
        <v>141</v>
      </c>
      <c r="G1617" t="s">
        <v>509</v>
      </c>
      <c r="H1617" s="92" t="s">
        <v>977</v>
      </c>
      <c r="I1617">
        <v>2</v>
      </c>
      <c r="J1617" s="46">
        <v>260</v>
      </c>
      <c r="K1617" s="50" t="s">
        <v>940</v>
      </c>
      <c r="L1617" s="46">
        <v>260</v>
      </c>
      <c r="M1617" s="46"/>
    </row>
    <row r="1618" spans="2:16" x14ac:dyDescent="0.25">
      <c r="B1618" s="5">
        <v>44630</v>
      </c>
      <c r="C1618" s="5" t="s">
        <v>784</v>
      </c>
      <c r="D1618" s="35">
        <v>2022</v>
      </c>
      <c r="E1618" t="s">
        <v>458</v>
      </c>
      <c r="F1618" t="s">
        <v>524</v>
      </c>
      <c r="G1618" t="s">
        <v>283</v>
      </c>
      <c r="H1618" s="92" t="s">
        <v>983</v>
      </c>
      <c r="I1618">
        <v>1</v>
      </c>
      <c r="J1618" s="46">
        <v>505</v>
      </c>
      <c r="K1618" s="50" t="s">
        <v>940</v>
      </c>
      <c r="L1618" s="46">
        <v>505</v>
      </c>
      <c r="M1618" s="46"/>
    </row>
    <row r="1619" spans="2:16" x14ac:dyDescent="0.25">
      <c r="B1619" s="5">
        <v>44630</v>
      </c>
      <c r="C1619" s="5" t="s">
        <v>784</v>
      </c>
      <c r="D1619" s="35">
        <v>2022</v>
      </c>
      <c r="E1619" t="s">
        <v>417</v>
      </c>
      <c r="F1619" t="s">
        <v>1030</v>
      </c>
      <c r="G1619" t="s">
        <v>249</v>
      </c>
      <c r="H1619" s="92" t="s">
        <v>972</v>
      </c>
      <c r="I1619">
        <v>1</v>
      </c>
      <c r="J1619" s="46">
        <v>1080</v>
      </c>
      <c r="K1619" s="50" t="s">
        <v>940</v>
      </c>
      <c r="L1619" s="46">
        <v>1080</v>
      </c>
      <c r="M1619" s="46"/>
      <c r="N1619" s="46">
        <v>1080</v>
      </c>
      <c r="P1619" t="s">
        <v>1098</v>
      </c>
    </row>
    <row r="1620" spans="2:16" x14ac:dyDescent="0.25">
      <c r="B1620" s="5">
        <v>44630</v>
      </c>
      <c r="C1620" s="5" t="s">
        <v>784</v>
      </c>
      <c r="D1620" s="35">
        <v>2022</v>
      </c>
      <c r="E1620" t="s">
        <v>417</v>
      </c>
      <c r="F1620" t="s">
        <v>1010</v>
      </c>
      <c r="G1620" t="s">
        <v>125</v>
      </c>
      <c r="H1620" s="92" t="s">
        <v>971</v>
      </c>
      <c r="I1620">
        <v>1</v>
      </c>
      <c r="J1620" s="46">
        <v>510</v>
      </c>
      <c r="K1620" s="50" t="s">
        <v>940</v>
      </c>
      <c r="L1620" s="46">
        <v>510</v>
      </c>
      <c r="M1620" s="46"/>
    </row>
    <row r="1621" spans="2:16" x14ac:dyDescent="0.25">
      <c r="B1621" s="5">
        <v>44630</v>
      </c>
      <c r="C1621" s="5" t="s">
        <v>784</v>
      </c>
      <c r="D1621" s="35">
        <v>2022</v>
      </c>
      <c r="E1621" t="s">
        <v>417</v>
      </c>
      <c r="F1621" t="s">
        <v>37</v>
      </c>
      <c r="G1621" t="s">
        <v>45</v>
      </c>
      <c r="H1621" s="92" t="s">
        <v>965</v>
      </c>
      <c r="I1621">
        <v>1</v>
      </c>
      <c r="J1621" s="46">
        <v>1390</v>
      </c>
      <c r="K1621" s="50" t="s">
        <v>940</v>
      </c>
      <c r="L1621" s="46">
        <v>1390</v>
      </c>
      <c r="M1621" s="46"/>
    </row>
    <row r="1622" spans="2:16" x14ac:dyDescent="0.25">
      <c r="B1622" s="5">
        <v>44630</v>
      </c>
      <c r="C1622" s="5" t="s">
        <v>784</v>
      </c>
      <c r="D1622" s="35">
        <v>2022</v>
      </c>
      <c r="E1622" t="s">
        <v>417</v>
      </c>
      <c r="F1622" t="s">
        <v>1031</v>
      </c>
      <c r="G1622" t="s">
        <v>45</v>
      </c>
      <c r="H1622" s="92" t="s">
        <v>965</v>
      </c>
      <c r="I1622">
        <v>1</v>
      </c>
      <c r="J1622" s="46">
        <v>1390</v>
      </c>
      <c r="K1622" s="50" t="s">
        <v>940</v>
      </c>
      <c r="L1622" s="46">
        <v>1390</v>
      </c>
      <c r="M1622" s="46"/>
    </row>
    <row r="1623" spans="2:16" x14ac:dyDescent="0.25">
      <c r="B1623" s="5">
        <v>44630</v>
      </c>
      <c r="C1623" s="5" t="s">
        <v>784</v>
      </c>
      <c r="D1623" s="35">
        <v>2022</v>
      </c>
      <c r="E1623" t="s">
        <v>417</v>
      </c>
      <c r="F1623" t="s">
        <v>1097</v>
      </c>
      <c r="G1623" t="s">
        <v>321</v>
      </c>
      <c r="H1623" s="92" t="s">
        <v>967</v>
      </c>
      <c r="I1623">
        <v>1</v>
      </c>
      <c r="J1623" s="46">
        <v>2550</v>
      </c>
      <c r="K1623" s="50" t="s">
        <v>940</v>
      </c>
      <c r="L1623" s="46">
        <v>2550</v>
      </c>
      <c r="M1623" s="46"/>
    </row>
    <row r="1624" spans="2:16" x14ac:dyDescent="0.25">
      <c r="B1624" s="5">
        <v>44630</v>
      </c>
      <c r="C1624" s="5" t="s">
        <v>784</v>
      </c>
      <c r="D1624" s="35">
        <v>2022</v>
      </c>
      <c r="E1624" t="s">
        <v>445</v>
      </c>
      <c r="F1624" t="s">
        <v>818</v>
      </c>
      <c r="G1624" t="s">
        <v>380</v>
      </c>
      <c r="H1624" s="92" t="s">
        <v>972</v>
      </c>
      <c r="I1624">
        <v>1</v>
      </c>
      <c r="J1624" s="46">
        <v>600</v>
      </c>
      <c r="K1624" s="50" t="s">
        <v>940</v>
      </c>
      <c r="L1624" s="46">
        <v>600</v>
      </c>
      <c r="M1624" s="46"/>
    </row>
    <row r="1625" spans="2:16" x14ac:dyDescent="0.25">
      <c r="B1625" s="5">
        <v>44630</v>
      </c>
      <c r="C1625" s="5" t="s">
        <v>784</v>
      </c>
      <c r="D1625" s="35">
        <v>2022</v>
      </c>
      <c r="E1625" t="s">
        <v>445</v>
      </c>
      <c r="F1625" t="s">
        <v>465</v>
      </c>
      <c r="G1625" t="s">
        <v>45</v>
      </c>
      <c r="H1625" s="92" t="s">
        <v>965</v>
      </c>
      <c r="I1625">
        <v>1</v>
      </c>
      <c r="J1625" s="46">
        <v>1390</v>
      </c>
      <c r="K1625" s="50" t="s">
        <v>940</v>
      </c>
      <c r="L1625" s="46">
        <v>1390</v>
      </c>
      <c r="M1625" s="46"/>
      <c r="N1625" s="46">
        <v>1390</v>
      </c>
      <c r="P1625" t="s">
        <v>889</v>
      </c>
    </row>
    <row r="1626" spans="2:16" x14ac:dyDescent="0.25">
      <c r="B1626" s="5">
        <v>44630</v>
      </c>
      <c r="C1626" s="5" t="s">
        <v>784</v>
      </c>
      <c r="D1626" s="35">
        <v>2022</v>
      </c>
      <c r="E1626" t="s">
        <v>445</v>
      </c>
      <c r="F1626" t="s">
        <v>1032</v>
      </c>
      <c r="G1626" t="s">
        <v>269</v>
      </c>
      <c r="H1626" s="92" t="s">
        <v>983</v>
      </c>
      <c r="I1626">
        <v>1</v>
      </c>
      <c r="J1626" s="46">
        <v>290</v>
      </c>
      <c r="K1626" s="50" t="s">
        <v>940</v>
      </c>
      <c r="L1626" s="46">
        <v>290</v>
      </c>
      <c r="M1626" s="46"/>
    </row>
    <row r="1627" spans="2:16" x14ac:dyDescent="0.25">
      <c r="B1627" s="5">
        <v>44630</v>
      </c>
      <c r="C1627" s="5" t="s">
        <v>784</v>
      </c>
      <c r="D1627" s="35">
        <v>2022</v>
      </c>
      <c r="E1627" t="s">
        <v>445</v>
      </c>
      <c r="F1627" t="s">
        <v>847</v>
      </c>
      <c r="G1627" t="s">
        <v>125</v>
      </c>
      <c r="H1627" s="92" t="s">
        <v>971</v>
      </c>
      <c r="I1627">
        <v>2</v>
      </c>
      <c r="J1627" s="46">
        <v>1020</v>
      </c>
      <c r="K1627" s="50" t="s">
        <v>940</v>
      </c>
      <c r="L1627" s="46">
        <v>1020</v>
      </c>
      <c r="M1627" s="46"/>
      <c r="N1627" s="46">
        <v>1020</v>
      </c>
      <c r="P1627" t="s">
        <v>1012</v>
      </c>
    </row>
    <row r="1628" spans="2:16" x14ac:dyDescent="0.25">
      <c r="B1628" s="5">
        <v>44630</v>
      </c>
      <c r="C1628" s="5" t="s">
        <v>784</v>
      </c>
      <c r="D1628" s="35">
        <v>2022</v>
      </c>
      <c r="E1628" t="s">
        <v>445</v>
      </c>
      <c r="F1628" t="s">
        <v>847</v>
      </c>
      <c r="G1628" t="s">
        <v>380</v>
      </c>
      <c r="H1628" s="92" t="s">
        <v>972</v>
      </c>
      <c r="I1628">
        <v>1</v>
      </c>
      <c r="J1628" s="46">
        <v>600</v>
      </c>
      <c r="K1628" s="50" t="s">
        <v>940</v>
      </c>
      <c r="L1628" s="46"/>
      <c r="M1628" s="46">
        <v>600</v>
      </c>
      <c r="O1628" t="s">
        <v>1015</v>
      </c>
    </row>
    <row r="1629" spans="2:16" x14ac:dyDescent="0.25">
      <c r="B1629" s="5">
        <v>44631</v>
      </c>
      <c r="C1629" s="5" t="s">
        <v>784</v>
      </c>
      <c r="D1629" s="35">
        <v>2022</v>
      </c>
      <c r="E1629" t="s">
        <v>22</v>
      </c>
      <c r="F1629" t="s">
        <v>473</v>
      </c>
      <c r="G1629" t="s">
        <v>128</v>
      </c>
      <c r="H1629" s="92" t="s">
        <v>965</v>
      </c>
      <c r="I1629">
        <v>1</v>
      </c>
      <c r="J1629" s="46">
        <v>1240</v>
      </c>
      <c r="K1629" s="50" t="s">
        <v>940</v>
      </c>
      <c r="L1629" s="46">
        <v>1240</v>
      </c>
      <c r="M1629" s="46"/>
    </row>
    <row r="1630" spans="2:16" x14ac:dyDescent="0.25">
      <c r="B1630" s="5">
        <v>44631</v>
      </c>
      <c r="C1630" s="5" t="s">
        <v>784</v>
      </c>
      <c r="D1630" s="35">
        <v>2022</v>
      </c>
      <c r="E1630" t="s">
        <v>22</v>
      </c>
      <c r="F1630" t="s">
        <v>234</v>
      </c>
      <c r="G1630" t="s">
        <v>45</v>
      </c>
      <c r="H1630" s="92" t="s">
        <v>965</v>
      </c>
      <c r="I1630">
        <v>1</v>
      </c>
      <c r="J1630" s="46">
        <v>1390</v>
      </c>
      <c r="K1630" s="50" t="s">
        <v>940</v>
      </c>
      <c r="L1630" s="46">
        <v>1390</v>
      </c>
      <c r="M1630" s="46"/>
    </row>
    <row r="1631" spans="2:16" x14ac:dyDescent="0.25">
      <c r="B1631" s="5">
        <v>44631</v>
      </c>
      <c r="C1631" s="5" t="s">
        <v>784</v>
      </c>
      <c r="D1631" s="35">
        <v>2022</v>
      </c>
      <c r="E1631" t="s">
        <v>22</v>
      </c>
      <c r="F1631" t="s">
        <v>236</v>
      </c>
      <c r="G1631" t="s">
        <v>269</v>
      </c>
      <c r="H1631" s="92" t="s">
        <v>983</v>
      </c>
      <c r="I1631">
        <v>2</v>
      </c>
      <c r="J1631" s="46">
        <v>580</v>
      </c>
      <c r="K1631" s="50" t="s">
        <v>940</v>
      </c>
      <c r="L1631" s="46">
        <v>580</v>
      </c>
      <c r="M1631" s="46"/>
    </row>
    <row r="1632" spans="2:16" x14ac:dyDescent="0.25">
      <c r="B1632" s="5">
        <v>44631</v>
      </c>
      <c r="C1632" s="5" t="s">
        <v>784</v>
      </c>
      <c r="D1632" s="35">
        <v>2022</v>
      </c>
      <c r="E1632" t="s">
        <v>22</v>
      </c>
      <c r="F1632" t="s">
        <v>346</v>
      </c>
      <c r="G1632" t="s">
        <v>476</v>
      </c>
      <c r="H1632" s="92" t="s">
        <v>969</v>
      </c>
      <c r="I1632">
        <v>1</v>
      </c>
      <c r="J1632" s="46">
        <v>5550</v>
      </c>
      <c r="K1632" s="50" t="s">
        <v>940</v>
      </c>
      <c r="L1632" s="46">
        <v>5550</v>
      </c>
      <c r="M1632" s="46"/>
    </row>
    <row r="1633" spans="2:13" x14ac:dyDescent="0.25">
      <c r="B1633" s="5">
        <v>44631</v>
      </c>
      <c r="C1633" s="5" t="s">
        <v>784</v>
      </c>
      <c r="D1633" s="35">
        <v>2022</v>
      </c>
      <c r="E1633" t="s">
        <v>22</v>
      </c>
      <c r="F1633" t="s">
        <v>237</v>
      </c>
      <c r="G1633" t="s">
        <v>269</v>
      </c>
      <c r="H1633" s="92" t="s">
        <v>983</v>
      </c>
      <c r="I1633">
        <v>2</v>
      </c>
      <c r="J1633" s="46">
        <v>580</v>
      </c>
      <c r="K1633" s="50" t="s">
        <v>940</v>
      </c>
      <c r="L1633" s="46">
        <v>580</v>
      </c>
      <c r="M1633" s="46"/>
    </row>
    <row r="1634" spans="2:13" x14ac:dyDescent="0.25">
      <c r="B1634" s="5">
        <v>44631</v>
      </c>
      <c r="C1634" s="5" t="s">
        <v>784</v>
      </c>
      <c r="D1634" s="35">
        <v>2022</v>
      </c>
      <c r="E1634" t="s">
        <v>22</v>
      </c>
      <c r="F1634" t="s">
        <v>238</v>
      </c>
      <c r="G1634" t="s">
        <v>283</v>
      </c>
      <c r="H1634" s="92" t="s">
        <v>983</v>
      </c>
      <c r="I1634">
        <v>1</v>
      </c>
      <c r="J1634" s="46">
        <v>505</v>
      </c>
      <c r="K1634" s="50" t="s">
        <v>940</v>
      </c>
      <c r="L1634" s="46">
        <v>505</v>
      </c>
      <c r="M1634" s="46"/>
    </row>
    <row r="1635" spans="2:13" x14ac:dyDescent="0.25">
      <c r="B1635" s="5">
        <v>44631</v>
      </c>
      <c r="C1635" s="5" t="s">
        <v>784</v>
      </c>
      <c r="D1635" s="35">
        <v>2022</v>
      </c>
      <c r="E1635" t="s">
        <v>22</v>
      </c>
      <c r="F1635" t="s">
        <v>238</v>
      </c>
      <c r="G1635" t="s">
        <v>269</v>
      </c>
      <c r="H1635" s="92" t="s">
        <v>983</v>
      </c>
      <c r="I1635">
        <v>1</v>
      </c>
      <c r="J1635" s="46">
        <v>290</v>
      </c>
      <c r="K1635" s="50" t="s">
        <v>940</v>
      </c>
      <c r="L1635" s="46">
        <v>290</v>
      </c>
      <c r="M1635" s="46"/>
    </row>
    <row r="1636" spans="2:13" x14ac:dyDescent="0.25">
      <c r="B1636" s="5">
        <v>44631</v>
      </c>
      <c r="C1636" s="5" t="s">
        <v>784</v>
      </c>
      <c r="D1636" s="35">
        <v>2022</v>
      </c>
      <c r="E1636" t="s">
        <v>22</v>
      </c>
      <c r="F1636" t="s">
        <v>238</v>
      </c>
      <c r="G1636" t="s">
        <v>126</v>
      </c>
      <c r="H1636" s="92" t="s">
        <v>965</v>
      </c>
      <c r="I1636">
        <v>1</v>
      </c>
      <c r="J1636" s="46">
        <v>1410</v>
      </c>
      <c r="K1636" s="50" t="s">
        <v>940</v>
      </c>
      <c r="L1636" s="46">
        <v>1410</v>
      </c>
      <c r="M1636" s="46"/>
    </row>
    <row r="1637" spans="2:13" x14ac:dyDescent="0.25">
      <c r="B1637" s="5">
        <v>44631</v>
      </c>
      <c r="C1637" s="5" t="s">
        <v>784</v>
      </c>
      <c r="D1637" s="35">
        <v>2022</v>
      </c>
      <c r="E1637" t="s">
        <v>22</v>
      </c>
      <c r="F1637" t="s">
        <v>500</v>
      </c>
      <c r="G1637" t="s">
        <v>283</v>
      </c>
      <c r="H1637" s="92" t="s">
        <v>983</v>
      </c>
      <c r="I1637">
        <v>1</v>
      </c>
      <c r="J1637" s="46">
        <v>505</v>
      </c>
      <c r="K1637" s="50" t="s">
        <v>940</v>
      </c>
      <c r="L1637" s="46">
        <v>505</v>
      </c>
      <c r="M1637" s="46"/>
    </row>
    <row r="1638" spans="2:13" x14ac:dyDescent="0.25">
      <c r="B1638" s="5">
        <v>44631</v>
      </c>
      <c r="C1638" s="5" t="s">
        <v>784</v>
      </c>
      <c r="D1638" s="35">
        <v>2022</v>
      </c>
      <c r="E1638" t="s">
        <v>22</v>
      </c>
      <c r="F1638" t="s">
        <v>500</v>
      </c>
      <c r="G1638" t="s">
        <v>269</v>
      </c>
      <c r="H1638" s="92" t="s">
        <v>983</v>
      </c>
      <c r="I1638">
        <v>1</v>
      </c>
      <c r="J1638" s="46">
        <v>290</v>
      </c>
      <c r="K1638" s="50" t="s">
        <v>940</v>
      </c>
      <c r="L1638" s="46">
        <v>290</v>
      </c>
      <c r="M1638" s="46"/>
    </row>
    <row r="1639" spans="2:13" x14ac:dyDescent="0.25">
      <c r="B1639" s="5">
        <v>44631</v>
      </c>
      <c r="C1639" s="5" t="s">
        <v>784</v>
      </c>
      <c r="D1639" s="35">
        <v>2022</v>
      </c>
      <c r="E1639" t="s">
        <v>22</v>
      </c>
      <c r="F1639" t="s">
        <v>1022</v>
      </c>
      <c r="G1639" t="s">
        <v>269</v>
      </c>
      <c r="H1639" s="92" t="s">
        <v>983</v>
      </c>
      <c r="I1639">
        <v>2</v>
      </c>
      <c r="J1639" s="46">
        <v>580</v>
      </c>
      <c r="K1639" s="50" t="s">
        <v>940</v>
      </c>
      <c r="L1639" s="46">
        <v>580</v>
      </c>
      <c r="M1639" s="46"/>
    </row>
    <row r="1640" spans="2:13" x14ac:dyDescent="0.25">
      <c r="B1640" s="5">
        <v>44631</v>
      </c>
      <c r="C1640" s="5" t="s">
        <v>784</v>
      </c>
      <c r="D1640" s="35">
        <v>2022</v>
      </c>
      <c r="E1640" t="s">
        <v>356</v>
      </c>
      <c r="F1640" t="s">
        <v>873</v>
      </c>
      <c r="G1640" t="s">
        <v>269</v>
      </c>
      <c r="H1640" s="92" t="s">
        <v>983</v>
      </c>
      <c r="I1640">
        <v>1</v>
      </c>
      <c r="J1640" s="46">
        <v>290</v>
      </c>
      <c r="K1640" s="50" t="s">
        <v>940</v>
      </c>
      <c r="L1640" s="46">
        <v>290</v>
      </c>
      <c r="M1640" s="46"/>
    </row>
    <row r="1641" spans="2:13" x14ac:dyDescent="0.25">
      <c r="B1641" s="5">
        <v>44631</v>
      </c>
      <c r="C1641" s="5" t="s">
        <v>784</v>
      </c>
      <c r="D1641" s="35">
        <v>2022</v>
      </c>
      <c r="E1641" t="s">
        <v>356</v>
      </c>
      <c r="F1641" t="s">
        <v>138</v>
      </c>
      <c r="G1641" t="s">
        <v>269</v>
      </c>
      <c r="H1641" s="92" t="s">
        <v>983</v>
      </c>
      <c r="I1641">
        <v>1</v>
      </c>
      <c r="J1641" s="46">
        <v>290</v>
      </c>
      <c r="K1641" s="50" t="s">
        <v>940</v>
      </c>
      <c r="L1641" s="46">
        <v>290</v>
      </c>
      <c r="M1641" s="46"/>
    </row>
    <row r="1642" spans="2:13" x14ac:dyDescent="0.25">
      <c r="B1642" s="5">
        <v>44631</v>
      </c>
      <c r="C1642" s="5" t="s">
        <v>784</v>
      </c>
      <c r="D1642" s="35">
        <v>2022</v>
      </c>
      <c r="E1642" t="s">
        <v>356</v>
      </c>
      <c r="F1642" t="s">
        <v>138</v>
      </c>
      <c r="G1642" t="s">
        <v>58</v>
      </c>
      <c r="H1642" s="92" t="s">
        <v>969</v>
      </c>
      <c r="I1642">
        <v>1</v>
      </c>
      <c r="J1642" s="46">
        <v>2530</v>
      </c>
      <c r="K1642" s="50" t="s">
        <v>940</v>
      </c>
      <c r="L1642" s="46">
        <v>2530</v>
      </c>
      <c r="M1642" s="46"/>
    </row>
    <row r="1643" spans="2:13" x14ac:dyDescent="0.25">
      <c r="B1643" s="5">
        <v>44631</v>
      </c>
      <c r="C1643" s="5" t="s">
        <v>784</v>
      </c>
      <c r="D1643" s="35">
        <v>2022</v>
      </c>
      <c r="E1643" t="s">
        <v>356</v>
      </c>
      <c r="F1643" t="s">
        <v>138</v>
      </c>
      <c r="G1643" t="s">
        <v>283</v>
      </c>
      <c r="H1643" s="92" t="s">
        <v>983</v>
      </c>
      <c r="I1643">
        <v>2</v>
      </c>
      <c r="J1643" s="46">
        <v>1010</v>
      </c>
      <c r="K1643" s="50" t="s">
        <v>940</v>
      </c>
      <c r="L1643" s="46">
        <v>1010</v>
      </c>
      <c r="M1643" s="46"/>
    </row>
    <row r="1644" spans="2:13" x14ac:dyDescent="0.25">
      <c r="B1644" s="5">
        <v>44631</v>
      </c>
      <c r="C1644" s="5" t="s">
        <v>784</v>
      </c>
      <c r="D1644" s="35">
        <v>2022</v>
      </c>
      <c r="E1644" t="s">
        <v>356</v>
      </c>
      <c r="F1644" t="s">
        <v>138</v>
      </c>
      <c r="G1644" t="s">
        <v>249</v>
      </c>
      <c r="H1644" s="92" t="s">
        <v>972</v>
      </c>
      <c r="I1644">
        <v>2</v>
      </c>
      <c r="J1644" s="46">
        <v>2160</v>
      </c>
      <c r="K1644" s="50" t="s">
        <v>940</v>
      </c>
      <c r="L1644" s="46">
        <v>2160</v>
      </c>
      <c r="M1644" s="46"/>
    </row>
    <row r="1645" spans="2:13" x14ac:dyDescent="0.25">
      <c r="B1645" s="5">
        <v>44631</v>
      </c>
      <c r="C1645" s="5" t="s">
        <v>784</v>
      </c>
      <c r="D1645" s="35">
        <v>2022</v>
      </c>
      <c r="E1645" t="s">
        <v>356</v>
      </c>
      <c r="F1645" t="s">
        <v>312</v>
      </c>
      <c r="G1645" t="s">
        <v>269</v>
      </c>
      <c r="H1645" s="92" t="s">
        <v>983</v>
      </c>
      <c r="I1645">
        <v>2</v>
      </c>
      <c r="J1645" s="46">
        <v>580</v>
      </c>
      <c r="K1645" s="50" t="s">
        <v>940</v>
      </c>
      <c r="L1645" s="46">
        <v>580</v>
      </c>
      <c r="M1645" s="46"/>
    </row>
    <row r="1646" spans="2:13" x14ac:dyDescent="0.25">
      <c r="B1646" s="5">
        <v>44631</v>
      </c>
      <c r="C1646" s="5" t="s">
        <v>784</v>
      </c>
      <c r="D1646" s="35">
        <v>2022</v>
      </c>
      <c r="E1646" t="s">
        <v>356</v>
      </c>
      <c r="F1646" t="s">
        <v>137</v>
      </c>
      <c r="G1646" t="s">
        <v>128</v>
      </c>
      <c r="H1646" s="92" t="s">
        <v>965</v>
      </c>
      <c r="I1646">
        <v>1</v>
      </c>
      <c r="J1646" s="46">
        <v>1240</v>
      </c>
      <c r="K1646" s="50" t="s">
        <v>940</v>
      </c>
      <c r="L1646" s="46">
        <v>1240</v>
      </c>
      <c r="M1646" s="46"/>
    </row>
    <row r="1647" spans="2:13" x14ac:dyDescent="0.25">
      <c r="B1647" s="5">
        <v>44631</v>
      </c>
      <c r="C1647" s="5" t="s">
        <v>784</v>
      </c>
      <c r="D1647" s="35">
        <v>2022</v>
      </c>
      <c r="E1647" t="s">
        <v>356</v>
      </c>
      <c r="F1647" t="s">
        <v>455</v>
      </c>
      <c r="G1647" t="s">
        <v>45</v>
      </c>
      <c r="H1647" s="92" t="s">
        <v>965</v>
      </c>
      <c r="I1647">
        <v>2</v>
      </c>
      <c r="J1647" s="46">
        <v>2780</v>
      </c>
      <c r="K1647" s="50" t="s">
        <v>940</v>
      </c>
      <c r="L1647" s="46">
        <v>2780</v>
      </c>
      <c r="M1647" s="46"/>
    </row>
    <row r="1648" spans="2:13" x14ac:dyDescent="0.25">
      <c r="B1648" s="5">
        <v>44631</v>
      </c>
      <c r="C1648" s="5" t="s">
        <v>784</v>
      </c>
      <c r="D1648" s="35">
        <v>2022</v>
      </c>
      <c r="E1648" t="s">
        <v>900</v>
      </c>
      <c r="F1648" t="s">
        <v>146</v>
      </c>
      <c r="G1648" t="s">
        <v>269</v>
      </c>
      <c r="H1648" s="92" t="s">
        <v>983</v>
      </c>
      <c r="I1648">
        <v>2</v>
      </c>
      <c r="J1648" s="46">
        <v>580</v>
      </c>
      <c r="K1648" s="50" t="s">
        <v>940</v>
      </c>
      <c r="L1648" s="46">
        <v>580</v>
      </c>
      <c r="M1648" s="46"/>
    </row>
    <row r="1649" spans="2:13" x14ac:dyDescent="0.25">
      <c r="B1649" s="5">
        <v>44631</v>
      </c>
      <c r="C1649" s="5" t="s">
        <v>784</v>
      </c>
      <c r="D1649" s="35">
        <v>2022</v>
      </c>
      <c r="E1649" t="s">
        <v>900</v>
      </c>
      <c r="F1649" t="s">
        <v>805</v>
      </c>
      <c r="G1649" t="s">
        <v>125</v>
      </c>
      <c r="H1649" s="92" t="s">
        <v>971</v>
      </c>
      <c r="I1649">
        <v>1</v>
      </c>
      <c r="J1649" s="46">
        <v>510</v>
      </c>
      <c r="K1649" s="50" t="s">
        <v>940</v>
      </c>
      <c r="L1649" s="46">
        <v>510</v>
      </c>
      <c r="M1649" s="46"/>
    </row>
    <row r="1650" spans="2:13" x14ac:dyDescent="0.25">
      <c r="B1650" s="5">
        <v>44631</v>
      </c>
      <c r="C1650" s="5" t="s">
        <v>784</v>
      </c>
      <c r="D1650" s="35">
        <v>2022</v>
      </c>
      <c r="E1650" t="s">
        <v>900</v>
      </c>
      <c r="F1650" t="s">
        <v>805</v>
      </c>
      <c r="G1650" t="s">
        <v>269</v>
      </c>
      <c r="H1650" s="92" t="s">
        <v>983</v>
      </c>
      <c r="I1650">
        <v>1</v>
      </c>
      <c r="J1650" s="46">
        <v>290</v>
      </c>
      <c r="K1650" s="50" t="s">
        <v>940</v>
      </c>
      <c r="L1650" s="46">
        <v>290</v>
      </c>
      <c r="M1650" s="46"/>
    </row>
    <row r="1651" spans="2:13" x14ac:dyDescent="0.25">
      <c r="B1651" s="5">
        <v>44631</v>
      </c>
      <c r="C1651" s="5" t="s">
        <v>784</v>
      </c>
      <c r="D1651" s="35">
        <v>2022</v>
      </c>
      <c r="E1651" t="s">
        <v>900</v>
      </c>
      <c r="F1651" t="s">
        <v>807</v>
      </c>
      <c r="G1651" t="s">
        <v>269</v>
      </c>
      <c r="H1651" s="92" t="s">
        <v>983</v>
      </c>
      <c r="I1651">
        <v>1</v>
      </c>
      <c r="J1651" s="46">
        <v>290</v>
      </c>
      <c r="K1651" s="50" t="s">
        <v>940</v>
      </c>
      <c r="L1651" s="46">
        <v>290</v>
      </c>
      <c r="M1651" s="46"/>
    </row>
    <row r="1652" spans="2:13" x14ac:dyDescent="0.25">
      <c r="B1652" s="5">
        <v>44631</v>
      </c>
      <c r="C1652" s="5" t="s">
        <v>784</v>
      </c>
      <c r="D1652" s="35">
        <v>2022</v>
      </c>
      <c r="E1652" t="s">
        <v>900</v>
      </c>
      <c r="F1652" t="s">
        <v>807</v>
      </c>
      <c r="G1652" t="s">
        <v>283</v>
      </c>
      <c r="H1652" s="92" t="s">
        <v>983</v>
      </c>
      <c r="I1652">
        <v>1</v>
      </c>
      <c r="J1652" s="46">
        <v>505</v>
      </c>
      <c r="K1652" s="50" t="s">
        <v>940</v>
      </c>
      <c r="L1652" s="46">
        <v>505</v>
      </c>
      <c r="M1652" s="46"/>
    </row>
    <row r="1653" spans="2:13" x14ac:dyDescent="0.25">
      <c r="B1653" s="5">
        <v>44631</v>
      </c>
      <c r="C1653" s="5" t="s">
        <v>784</v>
      </c>
      <c r="D1653" s="35">
        <v>2022</v>
      </c>
      <c r="E1653" t="s">
        <v>900</v>
      </c>
      <c r="F1653" t="s">
        <v>807</v>
      </c>
      <c r="G1653" t="s">
        <v>128</v>
      </c>
      <c r="H1653" s="92" t="s">
        <v>965</v>
      </c>
      <c r="I1653">
        <v>1</v>
      </c>
      <c r="J1653" s="46">
        <v>1240</v>
      </c>
      <c r="K1653" s="50" t="s">
        <v>940</v>
      </c>
      <c r="L1653" s="46">
        <v>1240</v>
      </c>
      <c r="M1653" s="46"/>
    </row>
    <row r="1654" spans="2:13" x14ac:dyDescent="0.25">
      <c r="B1654" s="5">
        <v>44631</v>
      </c>
      <c r="C1654" s="5" t="s">
        <v>784</v>
      </c>
      <c r="D1654" s="35">
        <v>2022</v>
      </c>
      <c r="E1654" t="s">
        <v>900</v>
      </c>
      <c r="F1654" t="s">
        <v>713</v>
      </c>
      <c r="G1654" t="s">
        <v>128</v>
      </c>
      <c r="H1654" s="92" t="s">
        <v>965</v>
      </c>
      <c r="I1654">
        <v>1</v>
      </c>
      <c r="J1654" s="46">
        <v>1240</v>
      </c>
      <c r="K1654" s="50" t="s">
        <v>940</v>
      </c>
      <c r="L1654" s="46">
        <v>1240</v>
      </c>
      <c r="M1654" s="46"/>
    </row>
    <row r="1655" spans="2:13" x14ac:dyDescent="0.25">
      <c r="B1655" s="5">
        <v>44631</v>
      </c>
      <c r="C1655" s="5" t="s">
        <v>784</v>
      </c>
      <c r="D1655" s="35">
        <v>2022</v>
      </c>
      <c r="E1655" t="s">
        <v>900</v>
      </c>
      <c r="F1655" t="s">
        <v>713</v>
      </c>
      <c r="G1655" t="s">
        <v>125</v>
      </c>
      <c r="H1655" s="92" t="s">
        <v>971</v>
      </c>
      <c r="I1655">
        <v>1</v>
      </c>
      <c r="J1655" s="46">
        <v>510</v>
      </c>
      <c r="K1655" s="50" t="s">
        <v>940</v>
      </c>
      <c r="L1655" s="46">
        <v>510</v>
      </c>
      <c r="M1655" s="46"/>
    </row>
    <row r="1656" spans="2:13" x14ac:dyDescent="0.25">
      <c r="B1656" s="5">
        <v>44631</v>
      </c>
      <c r="C1656" s="5" t="s">
        <v>784</v>
      </c>
      <c r="D1656" s="35">
        <v>2022</v>
      </c>
      <c r="E1656" t="s">
        <v>900</v>
      </c>
      <c r="F1656" t="s">
        <v>700</v>
      </c>
      <c r="G1656" t="s">
        <v>269</v>
      </c>
      <c r="H1656" s="92" t="s">
        <v>983</v>
      </c>
      <c r="I1656">
        <v>3</v>
      </c>
      <c r="J1656" s="46">
        <v>870</v>
      </c>
      <c r="K1656" s="50" t="s">
        <v>940</v>
      </c>
      <c r="L1656" s="46">
        <v>870</v>
      </c>
      <c r="M1656" s="46"/>
    </row>
    <row r="1657" spans="2:13" x14ac:dyDescent="0.25">
      <c r="B1657" s="5">
        <v>44631</v>
      </c>
      <c r="C1657" s="5" t="s">
        <v>784</v>
      </c>
      <c r="D1657" s="35">
        <v>2022</v>
      </c>
      <c r="E1657" t="s">
        <v>900</v>
      </c>
      <c r="F1657" t="s">
        <v>1033</v>
      </c>
      <c r="G1657" t="s">
        <v>249</v>
      </c>
      <c r="H1657" s="92" t="s">
        <v>972</v>
      </c>
      <c r="I1657">
        <v>1</v>
      </c>
      <c r="J1657" s="46">
        <v>1080</v>
      </c>
      <c r="K1657" s="50" t="s">
        <v>940</v>
      </c>
      <c r="L1657" s="46">
        <v>1080</v>
      </c>
      <c r="M1657" s="46"/>
    </row>
    <row r="1658" spans="2:13" x14ac:dyDescent="0.25">
      <c r="B1658" s="5">
        <v>44631</v>
      </c>
      <c r="C1658" s="5" t="s">
        <v>784</v>
      </c>
      <c r="D1658" s="35">
        <v>2022</v>
      </c>
      <c r="E1658" t="s">
        <v>900</v>
      </c>
      <c r="F1658" t="s">
        <v>1034</v>
      </c>
      <c r="G1658" t="s">
        <v>128</v>
      </c>
      <c r="H1658" s="92" t="s">
        <v>965</v>
      </c>
      <c r="I1658">
        <v>1</v>
      </c>
      <c r="J1658" s="46">
        <v>1240</v>
      </c>
      <c r="K1658" s="50" t="s">
        <v>940</v>
      </c>
      <c r="L1658" s="46">
        <v>1240</v>
      </c>
      <c r="M1658" s="46"/>
    </row>
    <row r="1659" spans="2:13" x14ac:dyDescent="0.25">
      <c r="B1659" s="5">
        <v>44631</v>
      </c>
      <c r="C1659" s="5" t="s">
        <v>784</v>
      </c>
      <c r="D1659" s="35">
        <v>2022</v>
      </c>
      <c r="E1659" t="s">
        <v>900</v>
      </c>
      <c r="F1659" t="s">
        <v>766</v>
      </c>
      <c r="G1659" t="s">
        <v>283</v>
      </c>
      <c r="H1659" s="92" t="s">
        <v>983</v>
      </c>
      <c r="I1659">
        <v>1</v>
      </c>
      <c r="J1659" s="46">
        <v>505</v>
      </c>
      <c r="K1659" s="50" t="s">
        <v>940</v>
      </c>
      <c r="L1659" s="46">
        <v>505</v>
      </c>
      <c r="M1659" s="46"/>
    </row>
    <row r="1660" spans="2:13" x14ac:dyDescent="0.25">
      <c r="B1660" s="5">
        <v>44631</v>
      </c>
      <c r="C1660" s="5" t="s">
        <v>784</v>
      </c>
      <c r="D1660" s="35">
        <v>2022</v>
      </c>
      <c r="E1660" t="s">
        <v>458</v>
      </c>
      <c r="F1660" t="s">
        <v>208</v>
      </c>
      <c r="G1660" t="s">
        <v>414</v>
      </c>
      <c r="H1660" s="92" t="s">
        <v>969</v>
      </c>
      <c r="I1660">
        <v>1</v>
      </c>
      <c r="J1660" s="46">
        <v>2450</v>
      </c>
      <c r="K1660" s="50" t="s">
        <v>940</v>
      </c>
      <c r="L1660" s="46">
        <v>2450</v>
      </c>
      <c r="M1660" s="46"/>
    </row>
    <row r="1661" spans="2:13" x14ac:dyDescent="0.25">
      <c r="B1661" s="5">
        <v>44631</v>
      </c>
      <c r="C1661" s="5" t="s">
        <v>784</v>
      </c>
      <c r="D1661" s="35">
        <v>2022</v>
      </c>
      <c r="E1661" t="s">
        <v>458</v>
      </c>
      <c r="F1661" t="s">
        <v>208</v>
      </c>
      <c r="G1661" t="s">
        <v>58</v>
      </c>
      <c r="H1661" s="92" t="s">
        <v>969</v>
      </c>
      <c r="I1661">
        <v>1</v>
      </c>
      <c r="J1661" s="46">
        <v>2530</v>
      </c>
      <c r="K1661" s="50" t="s">
        <v>940</v>
      </c>
      <c r="L1661" s="46">
        <v>2530</v>
      </c>
      <c r="M1661" s="46"/>
    </row>
    <row r="1662" spans="2:13" x14ac:dyDescent="0.25">
      <c r="B1662" s="5">
        <v>44631</v>
      </c>
      <c r="C1662" s="5" t="s">
        <v>784</v>
      </c>
      <c r="D1662" s="35">
        <v>2022</v>
      </c>
      <c r="E1662" t="s">
        <v>458</v>
      </c>
      <c r="F1662" t="s">
        <v>1035</v>
      </c>
      <c r="G1662" t="s">
        <v>269</v>
      </c>
      <c r="H1662" s="92" t="s">
        <v>983</v>
      </c>
      <c r="I1662">
        <v>1</v>
      </c>
      <c r="J1662" s="46">
        <v>290</v>
      </c>
      <c r="K1662" s="50" t="s">
        <v>940</v>
      </c>
      <c r="L1662" s="46">
        <v>290</v>
      </c>
      <c r="M1662" s="46"/>
    </row>
    <row r="1663" spans="2:13" x14ac:dyDescent="0.25">
      <c r="B1663" s="5">
        <v>44631</v>
      </c>
      <c r="C1663" s="5" t="s">
        <v>784</v>
      </c>
      <c r="D1663" s="35">
        <v>2022</v>
      </c>
      <c r="E1663" t="s">
        <v>458</v>
      </c>
      <c r="F1663" t="s">
        <v>1035</v>
      </c>
      <c r="G1663" t="s">
        <v>283</v>
      </c>
      <c r="H1663" s="92" t="s">
        <v>983</v>
      </c>
      <c r="I1663">
        <v>1</v>
      </c>
      <c r="J1663" s="46">
        <v>505</v>
      </c>
      <c r="K1663" s="50" t="s">
        <v>940</v>
      </c>
      <c r="L1663" s="46">
        <v>505</v>
      </c>
      <c r="M1663" s="46"/>
    </row>
    <row r="1664" spans="2:13" x14ac:dyDescent="0.25">
      <c r="B1664" s="5">
        <v>44631</v>
      </c>
      <c r="C1664" s="5" t="s">
        <v>784</v>
      </c>
      <c r="D1664" s="35">
        <v>2022</v>
      </c>
      <c r="E1664" t="s">
        <v>458</v>
      </c>
      <c r="F1664" t="s">
        <v>198</v>
      </c>
      <c r="G1664" t="s">
        <v>269</v>
      </c>
      <c r="H1664" s="92" t="s">
        <v>983</v>
      </c>
      <c r="I1664">
        <v>2</v>
      </c>
      <c r="J1664" s="46">
        <v>580</v>
      </c>
      <c r="K1664" s="50" t="s">
        <v>940</v>
      </c>
      <c r="L1664" s="46">
        <v>580</v>
      </c>
      <c r="M1664" s="46"/>
    </row>
    <row r="1665" spans="2:13" x14ac:dyDescent="0.25">
      <c r="B1665" s="5">
        <v>44631</v>
      </c>
      <c r="C1665" s="5" t="s">
        <v>784</v>
      </c>
      <c r="D1665" s="35">
        <v>2022</v>
      </c>
      <c r="E1665" t="s">
        <v>458</v>
      </c>
      <c r="F1665" t="s">
        <v>1123</v>
      </c>
      <c r="G1665" t="s">
        <v>425</v>
      </c>
      <c r="H1665" s="92" t="s">
        <v>980</v>
      </c>
      <c r="I1665">
        <v>3</v>
      </c>
      <c r="J1665" s="46">
        <v>630</v>
      </c>
      <c r="K1665" s="50" t="s">
        <v>940</v>
      </c>
      <c r="L1665" s="46">
        <v>630</v>
      </c>
      <c r="M1665" s="46"/>
    </row>
    <row r="1666" spans="2:13" x14ac:dyDescent="0.25">
      <c r="B1666" s="5">
        <v>44631</v>
      </c>
      <c r="C1666" s="5" t="s">
        <v>784</v>
      </c>
      <c r="D1666" s="35">
        <v>2022</v>
      </c>
      <c r="E1666" t="s">
        <v>458</v>
      </c>
      <c r="F1666" t="s">
        <v>272</v>
      </c>
      <c r="G1666" t="s">
        <v>128</v>
      </c>
      <c r="H1666" s="92" t="s">
        <v>965</v>
      </c>
      <c r="I1666">
        <v>1</v>
      </c>
      <c r="J1666" s="46">
        <v>1240</v>
      </c>
      <c r="K1666" s="50" t="s">
        <v>940</v>
      </c>
      <c r="L1666" s="46">
        <v>1240</v>
      </c>
      <c r="M1666" s="46"/>
    </row>
    <row r="1667" spans="2:13" x14ac:dyDescent="0.25">
      <c r="B1667" s="5">
        <v>44631</v>
      </c>
      <c r="C1667" s="5" t="s">
        <v>784</v>
      </c>
      <c r="D1667" s="35">
        <v>2022</v>
      </c>
      <c r="E1667" t="s">
        <v>458</v>
      </c>
      <c r="F1667" t="s">
        <v>320</v>
      </c>
      <c r="G1667" t="s">
        <v>509</v>
      </c>
      <c r="H1667" s="92" t="s">
        <v>977</v>
      </c>
      <c r="I1667">
        <v>6</v>
      </c>
      <c r="J1667" s="46">
        <v>780</v>
      </c>
      <c r="K1667" s="50" t="s">
        <v>940</v>
      </c>
      <c r="L1667" s="46">
        <v>780</v>
      </c>
      <c r="M1667" s="46"/>
    </row>
    <row r="1668" spans="2:13" x14ac:dyDescent="0.25">
      <c r="B1668" s="5">
        <v>44631</v>
      </c>
      <c r="C1668" s="5" t="s">
        <v>784</v>
      </c>
      <c r="D1668" s="35">
        <v>2022</v>
      </c>
      <c r="E1668" t="s">
        <v>458</v>
      </c>
      <c r="F1668" t="s">
        <v>320</v>
      </c>
      <c r="G1668" t="s">
        <v>321</v>
      </c>
      <c r="H1668" s="92" t="s">
        <v>967</v>
      </c>
      <c r="I1668">
        <v>1</v>
      </c>
      <c r="J1668" s="46">
        <v>2550</v>
      </c>
      <c r="K1668" s="50" t="s">
        <v>940</v>
      </c>
      <c r="L1668" s="46">
        <v>2550</v>
      </c>
      <c r="M1668" s="46"/>
    </row>
    <row r="1669" spans="2:13" x14ac:dyDescent="0.25">
      <c r="B1669" s="5">
        <v>44631</v>
      </c>
      <c r="C1669" s="5" t="s">
        <v>784</v>
      </c>
      <c r="D1669" s="35">
        <v>2022</v>
      </c>
      <c r="E1669" t="s">
        <v>417</v>
      </c>
      <c r="F1669" t="s">
        <v>146</v>
      </c>
      <c r="G1669" t="s">
        <v>476</v>
      </c>
      <c r="H1669" s="92" t="s">
        <v>969</v>
      </c>
      <c r="I1669">
        <v>1</v>
      </c>
      <c r="J1669" s="46">
        <v>5550</v>
      </c>
      <c r="K1669" s="50" t="s">
        <v>940</v>
      </c>
      <c r="L1669" s="46">
        <v>5550</v>
      </c>
      <c r="M1669" s="46"/>
    </row>
    <row r="1670" spans="2:13" x14ac:dyDescent="0.25">
      <c r="B1670" s="5">
        <v>44631</v>
      </c>
      <c r="C1670" s="5" t="s">
        <v>784</v>
      </c>
      <c r="D1670" s="35">
        <v>2022</v>
      </c>
      <c r="E1670" t="s">
        <v>417</v>
      </c>
      <c r="F1670" t="s">
        <v>1010</v>
      </c>
      <c r="G1670" t="s">
        <v>45</v>
      </c>
      <c r="H1670" s="92" t="s">
        <v>965</v>
      </c>
      <c r="I1670">
        <v>1</v>
      </c>
      <c r="J1670" s="46">
        <v>1390</v>
      </c>
      <c r="K1670" s="50" t="s">
        <v>940</v>
      </c>
      <c r="L1670" s="46">
        <v>1390</v>
      </c>
      <c r="M1670" s="46"/>
    </row>
    <row r="1671" spans="2:13" x14ac:dyDescent="0.25">
      <c r="B1671" s="5">
        <v>44631</v>
      </c>
      <c r="C1671" s="5" t="s">
        <v>784</v>
      </c>
      <c r="D1671" s="35">
        <v>2022</v>
      </c>
      <c r="E1671" t="s">
        <v>417</v>
      </c>
      <c r="F1671" t="s">
        <v>1020</v>
      </c>
      <c r="G1671" t="s">
        <v>425</v>
      </c>
      <c r="H1671" s="92" t="s">
        <v>980</v>
      </c>
      <c r="I1671">
        <v>1</v>
      </c>
      <c r="J1671" s="46">
        <v>210</v>
      </c>
      <c r="K1671" s="50" t="s">
        <v>940</v>
      </c>
      <c r="L1671" s="46">
        <v>210</v>
      </c>
      <c r="M1671" s="46"/>
    </row>
    <row r="1672" spans="2:13" x14ac:dyDescent="0.25">
      <c r="B1672" s="5">
        <v>44631</v>
      </c>
      <c r="C1672" s="5" t="s">
        <v>784</v>
      </c>
      <c r="D1672" s="35">
        <v>2022</v>
      </c>
      <c r="E1672" t="s">
        <v>417</v>
      </c>
      <c r="F1672" t="s">
        <v>1036</v>
      </c>
      <c r="G1672" t="s">
        <v>128</v>
      </c>
      <c r="H1672" s="92" t="s">
        <v>965</v>
      </c>
      <c r="I1672">
        <v>1</v>
      </c>
      <c r="J1672" s="46">
        <v>1240</v>
      </c>
      <c r="K1672" s="50" t="s">
        <v>940</v>
      </c>
      <c r="L1672" s="46">
        <v>1240</v>
      </c>
      <c r="M1672" s="46"/>
    </row>
    <row r="1673" spans="2:13" x14ac:dyDescent="0.25">
      <c r="B1673" s="5">
        <v>44631</v>
      </c>
      <c r="C1673" s="5" t="s">
        <v>784</v>
      </c>
      <c r="D1673" s="35">
        <v>2022</v>
      </c>
      <c r="E1673" t="s">
        <v>445</v>
      </c>
      <c r="F1673" t="s">
        <v>465</v>
      </c>
      <c r="G1673" t="s">
        <v>45</v>
      </c>
      <c r="H1673" s="92" t="s">
        <v>965</v>
      </c>
      <c r="I1673">
        <v>1</v>
      </c>
      <c r="J1673" s="46">
        <v>1390</v>
      </c>
      <c r="K1673" s="50" t="s">
        <v>940</v>
      </c>
      <c r="L1673" s="46">
        <v>1390</v>
      </c>
      <c r="M1673" s="46"/>
    </row>
    <row r="1674" spans="2:13" x14ac:dyDescent="0.25">
      <c r="B1674" s="5">
        <v>44631</v>
      </c>
      <c r="C1674" s="5" t="s">
        <v>784</v>
      </c>
      <c r="D1674" s="35">
        <v>2022</v>
      </c>
      <c r="E1674" t="s">
        <v>445</v>
      </c>
      <c r="F1674" t="s">
        <v>1037</v>
      </c>
      <c r="G1674" t="s">
        <v>45</v>
      </c>
      <c r="H1674" s="92" t="s">
        <v>965</v>
      </c>
      <c r="I1674">
        <v>1</v>
      </c>
      <c r="J1674" s="46">
        <v>1390</v>
      </c>
      <c r="K1674" s="50" t="s">
        <v>940</v>
      </c>
      <c r="L1674" s="46">
        <v>1390</v>
      </c>
      <c r="M1674" s="46"/>
    </row>
    <row r="1675" spans="2:13" x14ac:dyDescent="0.25">
      <c r="B1675" s="5">
        <v>44631</v>
      </c>
      <c r="C1675" s="5" t="s">
        <v>784</v>
      </c>
      <c r="D1675" s="35">
        <v>2022</v>
      </c>
      <c r="E1675" t="s">
        <v>445</v>
      </c>
      <c r="F1675" t="s">
        <v>1038</v>
      </c>
      <c r="G1675" t="s">
        <v>58</v>
      </c>
      <c r="H1675" s="92" t="s">
        <v>969</v>
      </c>
      <c r="I1675">
        <v>1</v>
      </c>
      <c r="J1675" s="46">
        <v>2530</v>
      </c>
      <c r="K1675" s="50" t="s">
        <v>940</v>
      </c>
      <c r="L1675" s="46">
        <v>2530</v>
      </c>
      <c r="M1675" s="46"/>
    </row>
    <row r="1676" spans="2:13" x14ac:dyDescent="0.25">
      <c r="B1676" s="5">
        <v>44632</v>
      </c>
      <c r="C1676" s="5" t="s">
        <v>784</v>
      </c>
      <c r="D1676" s="35">
        <v>2022</v>
      </c>
      <c r="E1676" t="s">
        <v>22</v>
      </c>
      <c r="F1676" t="s">
        <v>260</v>
      </c>
      <c r="G1676" t="s">
        <v>45</v>
      </c>
      <c r="H1676" s="92" t="s">
        <v>965</v>
      </c>
      <c r="I1676">
        <v>1</v>
      </c>
      <c r="J1676" s="46">
        <v>1390</v>
      </c>
      <c r="K1676" s="50" t="s">
        <v>940</v>
      </c>
      <c r="L1676" s="46"/>
      <c r="M1676" s="46"/>
    </row>
    <row r="1677" spans="2:13" x14ac:dyDescent="0.25">
      <c r="B1677" s="5">
        <v>44632</v>
      </c>
      <c r="C1677" s="5" t="s">
        <v>784</v>
      </c>
      <c r="D1677" s="35">
        <v>2022</v>
      </c>
      <c r="E1677" t="s">
        <v>22</v>
      </c>
      <c r="F1677" t="s">
        <v>307</v>
      </c>
      <c r="G1677" t="s">
        <v>425</v>
      </c>
      <c r="H1677" s="92" t="s">
        <v>980</v>
      </c>
      <c r="I1677">
        <v>2</v>
      </c>
      <c r="J1677" s="46">
        <v>440</v>
      </c>
      <c r="K1677" s="50" t="s">
        <v>940</v>
      </c>
      <c r="L1677" s="46"/>
      <c r="M1677" s="46"/>
    </row>
    <row r="1678" spans="2:13" x14ac:dyDescent="0.25">
      <c r="B1678" s="5">
        <v>44632</v>
      </c>
      <c r="C1678" s="5" t="s">
        <v>784</v>
      </c>
      <c r="D1678" s="35">
        <v>2022</v>
      </c>
      <c r="E1678" t="s">
        <v>22</v>
      </c>
      <c r="F1678" t="s">
        <v>450</v>
      </c>
      <c r="G1678" t="s">
        <v>476</v>
      </c>
      <c r="H1678" s="92" t="s">
        <v>969</v>
      </c>
      <c r="I1678">
        <v>1</v>
      </c>
      <c r="J1678" s="46">
        <v>5550</v>
      </c>
      <c r="K1678" s="50" t="s">
        <v>940</v>
      </c>
      <c r="L1678" s="46"/>
      <c r="M1678" s="46"/>
    </row>
    <row r="1679" spans="2:13" x14ac:dyDescent="0.25">
      <c r="B1679" s="5">
        <v>44632</v>
      </c>
      <c r="C1679" s="5" t="s">
        <v>784</v>
      </c>
      <c r="D1679" s="35">
        <v>2022</v>
      </c>
      <c r="E1679" t="s">
        <v>22</v>
      </c>
      <c r="F1679" t="s">
        <v>421</v>
      </c>
      <c r="G1679" t="s">
        <v>1039</v>
      </c>
      <c r="H1679" s="92" t="s">
        <v>966</v>
      </c>
      <c r="I1679">
        <v>1</v>
      </c>
      <c r="J1679" s="46">
        <v>1990</v>
      </c>
      <c r="K1679" s="50" t="s">
        <v>940</v>
      </c>
      <c r="L1679" s="46"/>
      <c r="M1679" s="46"/>
    </row>
    <row r="1680" spans="2:13" x14ac:dyDescent="0.25">
      <c r="B1680" s="5">
        <v>44632</v>
      </c>
      <c r="C1680" s="5" t="s">
        <v>784</v>
      </c>
      <c r="D1680" s="35">
        <v>2022</v>
      </c>
      <c r="E1680" t="s">
        <v>22</v>
      </c>
      <c r="F1680" t="s">
        <v>523</v>
      </c>
      <c r="G1680" t="s">
        <v>476</v>
      </c>
      <c r="H1680" s="92" t="s">
        <v>969</v>
      </c>
      <c r="I1680">
        <v>1</v>
      </c>
      <c r="J1680" s="46">
        <v>5550</v>
      </c>
      <c r="K1680" s="50" t="s">
        <v>940</v>
      </c>
      <c r="L1680" s="46"/>
      <c r="M1680" s="46"/>
    </row>
    <row r="1681" spans="2:13" x14ac:dyDescent="0.25">
      <c r="B1681" s="5">
        <v>44632</v>
      </c>
      <c r="C1681" s="5" t="s">
        <v>784</v>
      </c>
      <c r="D1681" s="35">
        <v>2022</v>
      </c>
      <c r="E1681" t="s">
        <v>22</v>
      </c>
      <c r="F1681" t="s">
        <v>523</v>
      </c>
      <c r="G1681" t="s">
        <v>128</v>
      </c>
      <c r="H1681" s="92" t="s">
        <v>965</v>
      </c>
      <c r="I1681">
        <v>1</v>
      </c>
      <c r="J1681" s="46">
        <v>1240</v>
      </c>
      <c r="K1681" s="50" t="s">
        <v>940</v>
      </c>
      <c r="L1681" s="46"/>
      <c r="M1681" s="46"/>
    </row>
    <row r="1682" spans="2:13" x14ac:dyDescent="0.25">
      <c r="B1682" s="5">
        <v>44632</v>
      </c>
      <c r="C1682" s="5" t="s">
        <v>784</v>
      </c>
      <c r="D1682" s="35">
        <v>2022</v>
      </c>
      <c r="E1682" t="s">
        <v>22</v>
      </c>
      <c r="F1682" t="s">
        <v>181</v>
      </c>
      <c r="G1682" t="s">
        <v>1039</v>
      </c>
      <c r="H1682" s="92" t="s">
        <v>966</v>
      </c>
      <c r="I1682">
        <v>1</v>
      </c>
      <c r="J1682" s="46">
        <v>1990</v>
      </c>
      <c r="K1682" s="50" t="s">
        <v>940</v>
      </c>
      <c r="L1682" s="46"/>
      <c r="M1682" s="46"/>
    </row>
    <row r="1683" spans="2:13" x14ac:dyDescent="0.25">
      <c r="B1683" s="5">
        <v>44632</v>
      </c>
      <c r="C1683" s="5" t="s">
        <v>784</v>
      </c>
      <c r="D1683" s="35">
        <v>2022</v>
      </c>
      <c r="E1683" t="s">
        <v>356</v>
      </c>
      <c r="F1683" t="s">
        <v>310</v>
      </c>
      <c r="G1683" t="s">
        <v>45</v>
      </c>
      <c r="H1683" s="92" t="s">
        <v>965</v>
      </c>
      <c r="I1683">
        <v>2</v>
      </c>
      <c r="J1683" s="46">
        <v>2780</v>
      </c>
      <c r="K1683" s="50" t="s">
        <v>940</v>
      </c>
      <c r="L1683" s="46"/>
      <c r="M1683" s="46"/>
    </row>
    <row r="1684" spans="2:13" x14ac:dyDescent="0.25">
      <c r="B1684" s="5">
        <v>44632</v>
      </c>
      <c r="C1684" s="5" t="s">
        <v>784</v>
      </c>
      <c r="D1684" s="35">
        <v>2022</v>
      </c>
      <c r="E1684" t="s">
        <v>356</v>
      </c>
      <c r="F1684" t="s">
        <v>136</v>
      </c>
      <c r="G1684" t="s">
        <v>476</v>
      </c>
      <c r="H1684" s="92" t="s">
        <v>969</v>
      </c>
      <c r="I1684">
        <v>1</v>
      </c>
      <c r="J1684" s="46">
        <v>5550</v>
      </c>
      <c r="K1684" s="50" t="s">
        <v>940</v>
      </c>
      <c r="L1684" s="46"/>
      <c r="M1684" s="46"/>
    </row>
    <row r="1685" spans="2:13" x14ac:dyDescent="0.25">
      <c r="B1685" s="5">
        <v>44632</v>
      </c>
      <c r="C1685" s="5" t="s">
        <v>784</v>
      </c>
      <c r="D1685" s="35">
        <v>2022</v>
      </c>
      <c r="E1685" t="s">
        <v>356</v>
      </c>
      <c r="F1685" t="s">
        <v>453</v>
      </c>
      <c r="G1685" t="s">
        <v>249</v>
      </c>
      <c r="H1685" s="92" t="s">
        <v>972</v>
      </c>
      <c r="I1685">
        <v>1</v>
      </c>
      <c r="J1685" s="46">
        <v>1080</v>
      </c>
      <c r="K1685" s="50" t="s">
        <v>940</v>
      </c>
      <c r="L1685" s="46"/>
      <c r="M1685" s="46"/>
    </row>
    <row r="1686" spans="2:13" x14ac:dyDescent="0.25">
      <c r="B1686" s="5">
        <v>44632</v>
      </c>
      <c r="C1686" s="5" t="s">
        <v>784</v>
      </c>
      <c r="D1686" s="35">
        <v>2022</v>
      </c>
      <c r="E1686" t="s">
        <v>356</v>
      </c>
      <c r="F1686" t="s">
        <v>504</v>
      </c>
      <c r="G1686" t="s">
        <v>1040</v>
      </c>
      <c r="H1686" s="92" t="s">
        <v>966</v>
      </c>
      <c r="I1686">
        <v>1</v>
      </c>
      <c r="J1686" s="46">
        <v>2085</v>
      </c>
      <c r="K1686" s="50" t="s">
        <v>940</v>
      </c>
      <c r="L1686" s="46"/>
      <c r="M1686" s="46"/>
    </row>
    <row r="1687" spans="2:13" x14ac:dyDescent="0.25">
      <c r="B1687" s="5">
        <v>44632</v>
      </c>
      <c r="C1687" s="5" t="s">
        <v>784</v>
      </c>
      <c r="D1687" s="35">
        <v>2022</v>
      </c>
      <c r="E1687" t="s">
        <v>356</v>
      </c>
      <c r="F1687" t="s">
        <v>429</v>
      </c>
      <c r="G1687" t="s">
        <v>269</v>
      </c>
      <c r="H1687" s="92" t="s">
        <v>983</v>
      </c>
      <c r="I1687">
        <v>1</v>
      </c>
      <c r="J1687" s="46">
        <v>315</v>
      </c>
      <c r="K1687" s="50" t="s">
        <v>940</v>
      </c>
      <c r="L1687" s="46"/>
      <c r="M1687" s="46"/>
    </row>
    <row r="1688" spans="2:13" x14ac:dyDescent="0.25">
      <c r="B1688" s="5">
        <v>44632</v>
      </c>
      <c r="C1688" s="5" t="s">
        <v>784</v>
      </c>
      <c r="D1688" s="35">
        <v>2022</v>
      </c>
      <c r="E1688" t="s">
        <v>356</v>
      </c>
      <c r="F1688" t="s">
        <v>191</v>
      </c>
      <c r="G1688" t="s">
        <v>45</v>
      </c>
      <c r="H1688" s="92" t="s">
        <v>965</v>
      </c>
      <c r="I1688">
        <v>1</v>
      </c>
      <c r="J1688" s="46">
        <v>1390</v>
      </c>
      <c r="K1688" s="50" t="s">
        <v>940</v>
      </c>
      <c r="L1688" s="46"/>
      <c r="M1688" s="46"/>
    </row>
    <row r="1689" spans="2:13" x14ac:dyDescent="0.25">
      <c r="B1689" s="5">
        <v>44632</v>
      </c>
      <c r="C1689" s="5" t="s">
        <v>784</v>
      </c>
      <c r="D1689" s="35">
        <v>2022</v>
      </c>
      <c r="E1689" t="s">
        <v>900</v>
      </c>
      <c r="F1689" t="s">
        <v>1025</v>
      </c>
      <c r="G1689" t="s">
        <v>247</v>
      </c>
      <c r="H1689" s="92" t="s">
        <v>966</v>
      </c>
      <c r="I1689">
        <v>1</v>
      </c>
      <c r="J1689" s="46">
        <v>1820</v>
      </c>
      <c r="K1689" s="50" t="s">
        <v>940</v>
      </c>
      <c r="L1689" s="46"/>
      <c r="M1689" s="46"/>
    </row>
    <row r="1690" spans="2:13" x14ac:dyDescent="0.25">
      <c r="B1690" s="5">
        <v>44632</v>
      </c>
      <c r="C1690" s="5" t="s">
        <v>784</v>
      </c>
      <c r="D1690" s="35">
        <v>2022</v>
      </c>
      <c r="E1690" t="s">
        <v>900</v>
      </c>
      <c r="F1690" t="s">
        <v>1041</v>
      </c>
      <c r="G1690" t="s">
        <v>1045</v>
      </c>
      <c r="H1690" s="92" t="s">
        <v>1054</v>
      </c>
      <c r="I1690">
        <v>1</v>
      </c>
      <c r="J1690" s="46">
        <v>1195</v>
      </c>
      <c r="K1690" s="50" t="s">
        <v>940</v>
      </c>
      <c r="L1690" s="46"/>
      <c r="M1690" s="46"/>
    </row>
    <row r="1691" spans="2:13" x14ac:dyDescent="0.25">
      <c r="B1691" s="5">
        <v>44632</v>
      </c>
      <c r="C1691" s="5" t="s">
        <v>784</v>
      </c>
      <c r="D1691" s="35">
        <v>2022</v>
      </c>
      <c r="E1691" t="s">
        <v>900</v>
      </c>
      <c r="F1691" t="s">
        <v>714</v>
      </c>
      <c r="G1691" t="s">
        <v>1046</v>
      </c>
      <c r="H1691" s="92" t="s">
        <v>1054</v>
      </c>
      <c r="I1691">
        <v>1</v>
      </c>
      <c r="J1691" s="46">
        <v>1520</v>
      </c>
      <c r="K1691" s="50" t="s">
        <v>940</v>
      </c>
      <c r="L1691" s="46"/>
      <c r="M1691" s="46"/>
    </row>
    <row r="1692" spans="2:13" x14ac:dyDescent="0.25">
      <c r="B1692" s="5">
        <v>44632</v>
      </c>
      <c r="C1692" s="5" t="s">
        <v>784</v>
      </c>
      <c r="D1692" s="35">
        <v>2022</v>
      </c>
      <c r="E1692" t="s">
        <v>900</v>
      </c>
      <c r="F1692" t="s">
        <v>1042</v>
      </c>
      <c r="G1692" t="s">
        <v>126</v>
      </c>
      <c r="H1692" s="92" t="s">
        <v>965</v>
      </c>
      <c r="I1692">
        <v>3</v>
      </c>
      <c r="J1692" s="46">
        <v>4230</v>
      </c>
      <c r="K1692" s="50" t="s">
        <v>940</v>
      </c>
      <c r="L1692" s="46"/>
      <c r="M1692" s="46"/>
    </row>
    <row r="1693" spans="2:13" x14ac:dyDescent="0.25">
      <c r="B1693" s="5">
        <v>44632</v>
      </c>
      <c r="C1693" s="5" t="s">
        <v>784</v>
      </c>
      <c r="D1693" s="35">
        <v>2022</v>
      </c>
      <c r="E1693" t="s">
        <v>900</v>
      </c>
      <c r="F1693" t="s">
        <v>699</v>
      </c>
      <c r="G1693" t="s">
        <v>269</v>
      </c>
      <c r="H1693" s="92" t="s">
        <v>983</v>
      </c>
      <c r="I1693">
        <v>2</v>
      </c>
      <c r="J1693" s="46">
        <v>580</v>
      </c>
      <c r="K1693" s="50" t="s">
        <v>940</v>
      </c>
      <c r="L1693" s="46"/>
      <c r="M1693" s="46"/>
    </row>
    <row r="1694" spans="2:13" x14ac:dyDescent="0.25">
      <c r="B1694" s="5">
        <v>44632</v>
      </c>
      <c r="C1694" s="5" t="s">
        <v>784</v>
      </c>
      <c r="D1694" s="35">
        <v>2022</v>
      </c>
      <c r="E1694" t="s">
        <v>900</v>
      </c>
      <c r="F1694" t="s">
        <v>699</v>
      </c>
      <c r="G1694" t="s">
        <v>425</v>
      </c>
      <c r="H1694" s="92" t="s">
        <v>980</v>
      </c>
      <c r="I1694">
        <v>1</v>
      </c>
      <c r="J1694" s="46">
        <v>210</v>
      </c>
      <c r="K1694" s="50" t="s">
        <v>940</v>
      </c>
      <c r="L1694" s="46"/>
      <c r="M1694" s="46"/>
    </row>
    <row r="1695" spans="2:13" x14ac:dyDescent="0.25">
      <c r="B1695" s="5">
        <v>44632</v>
      </c>
      <c r="C1695" s="5" t="s">
        <v>784</v>
      </c>
      <c r="D1695" s="35">
        <v>2022</v>
      </c>
      <c r="E1695" t="s">
        <v>900</v>
      </c>
      <c r="F1695" t="s">
        <v>1043</v>
      </c>
      <c r="G1695" t="s">
        <v>1047</v>
      </c>
      <c r="H1695" s="92" t="s">
        <v>968</v>
      </c>
      <c r="I1695">
        <v>3</v>
      </c>
      <c r="J1695" s="46">
        <v>2640</v>
      </c>
      <c r="K1695" s="50" t="s">
        <v>940</v>
      </c>
      <c r="L1695" s="46"/>
      <c r="M1695" s="46"/>
    </row>
    <row r="1696" spans="2:13" x14ac:dyDescent="0.25">
      <c r="B1696" s="5">
        <v>44632</v>
      </c>
      <c r="C1696" s="5" t="s">
        <v>784</v>
      </c>
      <c r="D1696" s="35">
        <v>2022</v>
      </c>
      <c r="E1696" t="s">
        <v>900</v>
      </c>
      <c r="F1696" t="s">
        <v>1019</v>
      </c>
      <c r="G1696" t="s">
        <v>1046</v>
      </c>
      <c r="H1696" s="92" t="s">
        <v>1054</v>
      </c>
      <c r="I1696">
        <v>1</v>
      </c>
      <c r="J1696" s="46">
        <v>1520</v>
      </c>
      <c r="K1696" s="50" t="s">
        <v>940</v>
      </c>
      <c r="L1696" s="46"/>
      <c r="M1696" s="46"/>
    </row>
    <row r="1697" spans="2:13" x14ac:dyDescent="0.25">
      <c r="B1697" s="5">
        <v>44632</v>
      </c>
      <c r="C1697" s="5" t="s">
        <v>784</v>
      </c>
      <c r="D1697" s="35">
        <v>2022</v>
      </c>
      <c r="E1697" t="s">
        <v>900</v>
      </c>
      <c r="F1697" t="s">
        <v>1044</v>
      </c>
      <c r="G1697" t="s">
        <v>269</v>
      </c>
      <c r="H1697" s="92" t="s">
        <v>983</v>
      </c>
      <c r="I1697">
        <v>1</v>
      </c>
      <c r="J1697" s="46">
        <v>315</v>
      </c>
      <c r="K1697" s="50" t="s">
        <v>940</v>
      </c>
      <c r="L1697" s="46"/>
      <c r="M1697" s="46"/>
    </row>
    <row r="1698" spans="2:13" x14ac:dyDescent="0.25">
      <c r="B1698" s="5">
        <v>44632</v>
      </c>
      <c r="C1698" s="5" t="s">
        <v>784</v>
      </c>
      <c r="D1698" s="35">
        <v>2022</v>
      </c>
      <c r="E1698" t="s">
        <v>458</v>
      </c>
      <c r="F1698" t="s">
        <v>139</v>
      </c>
      <c r="G1698" t="s">
        <v>247</v>
      </c>
      <c r="H1698" s="92" t="s">
        <v>966</v>
      </c>
      <c r="I1698">
        <v>1</v>
      </c>
      <c r="J1698" s="46">
        <v>1820</v>
      </c>
      <c r="K1698" s="50" t="s">
        <v>940</v>
      </c>
      <c r="L1698" s="46"/>
      <c r="M1698" s="46"/>
    </row>
    <row r="1699" spans="2:13" x14ac:dyDescent="0.25">
      <c r="B1699" s="5">
        <v>44632</v>
      </c>
      <c r="C1699" s="5" t="s">
        <v>784</v>
      </c>
      <c r="D1699" s="35">
        <v>2022</v>
      </c>
      <c r="E1699" t="s">
        <v>458</v>
      </c>
      <c r="F1699" t="s">
        <v>382</v>
      </c>
      <c r="G1699" t="s">
        <v>269</v>
      </c>
      <c r="H1699" s="92" t="s">
        <v>983</v>
      </c>
      <c r="I1699">
        <v>1</v>
      </c>
      <c r="J1699" s="46">
        <v>315</v>
      </c>
      <c r="K1699" s="50" t="s">
        <v>940</v>
      </c>
      <c r="L1699" s="46"/>
      <c r="M1699" s="46"/>
    </row>
    <row r="1700" spans="2:13" x14ac:dyDescent="0.25">
      <c r="B1700" s="5">
        <v>44632</v>
      </c>
      <c r="C1700" s="5" t="s">
        <v>784</v>
      </c>
      <c r="D1700" s="35">
        <v>2022</v>
      </c>
      <c r="E1700" t="s">
        <v>458</v>
      </c>
      <c r="F1700" t="s">
        <v>239</v>
      </c>
      <c r="G1700" t="s">
        <v>128</v>
      </c>
      <c r="H1700" s="92" t="s">
        <v>965</v>
      </c>
      <c r="I1700">
        <v>1</v>
      </c>
      <c r="J1700" s="46">
        <v>1240</v>
      </c>
      <c r="K1700" s="50" t="s">
        <v>940</v>
      </c>
      <c r="L1700" s="46"/>
      <c r="M1700" s="46"/>
    </row>
    <row r="1701" spans="2:13" x14ac:dyDescent="0.25">
      <c r="B1701" s="5">
        <v>44632</v>
      </c>
      <c r="C1701" s="5" t="s">
        <v>784</v>
      </c>
      <c r="D1701" s="35">
        <v>2022</v>
      </c>
      <c r="E1701" t="s">
        <v>458</v>
      </c>
      <c r="F1701" t="s">
        <v>480</v>
      </c>
      <c r="G1701" t="s">
        <v>1050</v>
      </c>
      <c r="H1701" s="92" t="s">
        <v>1054</v>
      </c>
      <c r="I1701">
        <v>1</v>
      </c>
      <c r="J1701" s="46">
        <v>1395</v>
      </c>
      <c r="K1701" s="50" t="s">
        <v>940</v>
      </c>
      <c r="L1701" s="46"/>
      <c r="M1701" s="46"/>
    </row>
    <row r="1702" spans="2:13" x14ac:dyDescent="0.25">
      <c r="B1702" s="5">
        <v>44632</v>
      </c>
      <c r="C1702" s="5" t="s">
        <v>784</v>
      </c>
      <c r="D1702" s="35">
        <v>2022</v>
      </c>
      <c r="E1702" t="s">
        <v>458</v>
      </c>
      <c r="F1702" t="s">
        <v>1048</v>
      </c>
      <c r="G1702" t="s">
        <v>128</v>
      </c>
      <c r="H1702" s="92" t="s">
        <v>965</v>
      </c>
      <c r="I1702">
        <v>1</v>
      </c>
      <c r="J1702" s="46">
        <v>1240</v>
      </c>
      <c r="K1702" s="50" t="s">
        <v>940</v>
      </c>
      <c r="L1702" s="46"/>
      <c r="M1702" s="46"/>
    </row>
    <row r="1703" spans="2:13" x14ac:dyDescent="0.25">
      <c r="B1703" s="5">
        <v>44632</v>
      </c>
      <c r="C1703" s="5" t="s">
        <v>784</v>
      </c>
      <c r="D1703" s="35">
        <v>2022</v>
      </c>
      <c r="E1703" t="s">
        <v>458</v>
      </c>
      <c r="F1703" t="s">
        <v>1049</v>
      </c>
      <c r="G1703" t="s">
        <v>1045</v>
      </c>
      <c r="H1703" s="92" t="s">
        <v>1054</v>
      </c>
      <c r="I1703">
        <v>1</v>
      </c>
      <c r="J1703" s="46">
        <v>1195</v>
      </c>
      <c r="K1703" s="50" t="s">
        <v>940</v>
      </c>
      <c r="L1703" s="46"/>
      <c r="M1703" s="46"/>
    </row>
    <row r="1704" spans="2:13" x14ac:dyDescent="0.25">
      <c r="B1704" s="5">
        <v>44632</v>
      </c>
      <c r="C1704" s="5" t="s">
        <v>784</v>
      </c>
      <c r="D1704" s="35">
        <v>2022</v>
      </c>
      <c r="E1704" t="s">
        <v>445</v>
      </c>
      <c r="F1704" t="s">
        <v>1051</v>
      </c>
      <c r="G1704" t="s">
        <v>476</v>
      </c>
      <c r="H1704" s="92" t="s">
        <v>969</v>
      </c>
      <c r="I1704">
        <v>1</v>
      </c>
      <c r="J1704" s="46">
        <v>5550</v>
      </c>
      <c r="K1704" s="50" t="s">
        <v>940</v>
      </c>
      <c r="L1704" s="46"/>
      <c r="M1704" s="46"/>
    </row>
    <row r="1705" spans="2:13" x14ac:dyDescent="0.25">
      <c r="B1705" s="5">
        <v>44632</v>
      </c>
      <c r="C1705" s="5" t="s">
        <v>784</v>
      </c>
      <c r="D1705" s="35">
        <v>2022</v>
      </c>
      <c r="E1705" t="s">
        <v>445</v>
      </c>
      <c r="F1705" t="s">
        <v>465</v>
      </c>
      <c r="G1705" t="s">
        <v>45</v>
      </c>
      <c r="H1705" s="92" t="s">
        <v>965</v>
      </c>
      <c r="I1705">
        <v>1</v>
      </c>
      <c r="J1705" s="46">
        <v>1390</v>
      </c>
      <c r="K1705" s="50" t="s">
        <v>940</v>
      </c>
      <c r="L1705" s="46"/>
      <c r="M1705" s="46"/>
    </row>
    <row r="1706" spans="2:13" x14ac:dyDescent="0.25">
      <c r="B1706" s="5">
        <v>44632</v>
      </c>
      <c r="C1706" s="5" t="s">
        <v>784</v>
      </c>
      <c r="D1706" s="35">
        <v>2022</v>
      </c>
      <c r="E1706" t="s">
        <v>445</v>
      </c>
      <c r="F1706" t="s">
        <v>1052</v>
      </c>
      <c r="G1706" t="s">
        <v>58</v>
      </c>
      <c r="H1706" s="92" t="s">
        <v>969</v>
      </c>
      <c r="I1706">
        <v>1</v>
      </c>
      <c r="J1706" s="46">
        <v>2500</v>
      </c>
      <c r="K1706" s="50" t="s">
        <v>940</v>
      </c>
      <c r="L1706" s="46"/>
      <c r="M1706" s="46"/>
    </row>
    <row r="1707" spans="2:13" x14ac:dyDescent="0.25">
      <c r="B1707" s="5">
        <v>44632</v>
      </c>
      <c r="C1707" s="5" t="s">
        <v>784</v>
      </c>
      <c r="D1707" s="35">
        <v>2022</v>
      </c>
      <c r="E1707" t="s">
        <v>445</v>
      </c>
      <c r="F1707" t="s">
        <v>1053</v>
      </c>
      <c r="G1707" t="s">
        <v>45</v>
      </c>
      <c r="H1707" s="92" t="s">
        <v>965</v>
      </c>
      <c r="I1707">
        <v>1</v>
      </c>
      <c r="J1707" s="46">
        <v>1390</v>
      </c>
      <c r="K1707" s="50" t="s">
        <v>940</v>
      </c>
      <c r="L1707" s="46"/>
      <c r="M1707" s="46"/>
    </row>
    <row r="1708" spans="2:13" x14ac:dyDescent="0.25">
      <c r="B1708" s="5">
        <v>44633</v>
      </c>
      <c r="C1708" s="5" t="s">
        <v>784</v>
      </c>
      <c r="D1708" s="35">
        <v>2022</v>
      </c>
      <c r="E1708" t="s">
        <v>417</v>
      </c>
      <c r="F1708" s="92" t="s">
        <v>1077</v>
      </c>
      <c r="G1708" s="92" t="s">
        <v>1045</v>
      </c>
      <c r="H1708" s="92" t="s">
        <v>1054</v>
      </c>
      <c r="I1708" s="46">
        <v>1</v>
      </c>
      <c r="J1708" s="46">
        <v>1195</v>
      </c>
      <c r="K1708" s="50" t="s">
        <v>940</v>
      </c>
      <c r="L1708" s="46"/>
      <c r="M1708" s="46"/>
    </row>
    <row r="1709" spans="2:13" x14ac:dyDescent="0.25">
      <c r="B1709" s="5">
        <v>44633</v>
      </c>
      <c r="C1709" s="5" t="s">
        <v>784</v>
      </c>
      <c r="D1709" s="35">
        <v>2022</v>
      </c>
      <c r="E1709" t="s">
        <v>417</v>
      </c>
      <c r="F1709" t="s">
        <v>1077</v>
      </c>
      <c r="G1709" s="92" t="s">
        <v>126</v>
      </c>
      <c r="H1709" s="92" t="s">
        <v>965</v>
      </c>
      <c r="I1709" s="46">
        <v>1</v>
      </c>
      <c r="J1709" s="46">
        <v>1410</v>
      </c>
      <c r="K1709" s="50" t="s">
        <v>940</v>
      </c>
      <c r="L1709" s="46"/>
      <c r="M1709" s="46"/>
    </row>
    <row r="1710" spans="2:13" x14ac:dyDescent="0.25">
      <c r="B1710" s="5">
        <v>44633</v>
      </c>
      <c r="C1710" s="5" t="s">
        <v>784</v>
      </c>
      <c r="D1710" s="35">
        <v>2022</v>
      </c>
      <c r="E1710" t="s">
        <v>417</v>
      </c>
      <c r="F1710" t="s">
        <v>718</v>
      </c>
      <c r="G1710" s="92" t="s">
        <v>58</v>
      </c>
      <c r="H1710" s="92" t="s">
        <v>969</v>
      </c>
      <c r="I1710" s="46">
        <v>1</v>
      </c>
      <c r="J1710" s="46">
        <v>2500</v>
      </c>
      <c r="K1710" s="50" t="s">
        <v>940</v>
      </c>
      <c r="L1710" s="46"/>
      <c r="M1710" s="46"/>
    </row>
    <row r="1711" spans="2:13" x14ac:dyDescent="0.25">
      <c r="B1711" s="5">
        <v>44633</v>
      </c>
      <c r="C1711" s="5" t="s">
        <v>784</v>
      </c>
      <c r="D1711" s="35">
        <v>2022</v>
      </c>
      <c r="E1711" t="s">
        <v>417</v>
      </c>
      <c r="F1711" t="s">
        <v>1078</v>
      </c>
      <c r="G1711" s="92" t="s">
        <v>1050</v>
      </c>
      <c r="H1711" s="92" t="s">
        <v>1054</v>
      </c>
      <c r="I1711" s="46">
        <v>1</v>
      </c>
      <c r="J1711" s="46">
        <v>1395</v>
      </c>
      <c r="K1711" s="50" t="s">
        <v>940</v>
      </c>
      <c r="L1711" s="46"/>
      <c r="M1711" s="46"/>
    </row>
    <row r="1712" spans="2:13" x14ac:dyDescent="0.25">
      <c r="B1712" s="5">
        <v>44633</v>
      </c>
      <c r="C1712" s="5" t="s">
        <v>784</v>
      </c>
      <c r="D1712" s="35">
        <v>2022</v>
      </c>
      <c r="E1712" t="s">
        <v>417</v>
      </c>
      <c r="F1712" t="s">
        <v>815</v>
      </c>
      <c r="G1712" s="92" t="s">
        <v>45</v>
      </c>
      <c r="H1712" s="92" t="s">
        <v>965</v>
      </c>
      <c r="I1712" s="46">
        <v>2</v>
      </c>
      <c r="J1712" s="46">
        <v>2780</v>
      </c>
      <c r="K1712" s="50" t="s">
        <v>940</v>
      </c>
      <c r="L1712" s="46"/>
      <c r="M1712" s="46"/>
    </row>
    <row r="1713" spans="2:15" x14ac:dyDescent="0.25">
      <c r="B1713" s="5">
        <v>44634</v>
      </c>
      <c r="C1713" s="5" t="s">
        <v>784</v>
      </c>
      <c r="D1713" s="35">
        <v>2022</v>
      </c>
      <c r="E1713" t="s">
        <v>22</v>
      </c>
      <c r="F1713" t="s">
        <v>473</v>
      </c>
      <c r="G1713" t="s">
        <v>128</v>
      </c>
      <c r="H1713" s="92" t="s">
        <v>965</v>
      </c>
      <c r="I1713">
        <v>1</v>
      </c>
      <c r="J1713" s="46">
        <v>1240</v>
      </c>
      <c r="K1713" s="50" t="s">
        <v>1080</v>
      </c>
      <c r="L1713" s="46"/>
      <c r="M1713" s="46"/>
    </row>
    <row r="1714" spans="2:15" x14ac:dyDescent="0.25">
      <c r="B1714" s="5">
        <v>44634</v>
      </c>
      <c r="C1714" s="5" t="s">
        <v>784</v>
      </c>
      <c r="D1714" s="35">
        <v>2022</v>
      </c>
      <c r="E1714" t="s">
        <v>22</v>
      </c>
      <c r="F1714" t="s">
        <v>346</v>
      </c>
      <c r="G1714" t="s">
        <v>321</v>
      </c>
      <c r="H1714" s="92" t="s">
        <v>967</v>
      </c>
      <c r="I1714">
        <v>1</v>
      </c>
      <c r="J1714" s="46">
        <v>2550</v>
      </c>
      <c r="K1714" s="50" t="s">
        <v>1080</v>
      </c>
      <c r="L1714" s="46"/>
      <c r="M1714" s="46"/>
    </row>
    <row r="1715" spans="2:15" x14ac:dyDescent="0.25">
      <c r="B1715" s="5">
        <v>44634</v>
      </c>
      <c r="C1715" s="5" t="s">
        <v>784</v>
      </c>
      <c r="D1715" s="35">
        <v>2022</v>
      </c>
      <c r="E1715" t="s">
        <v>22</v>
      </c>
      <c r="F1715" t="s">
        <v>308</v>
      </c>
      <c r="G1715" t="s">
        <v>476</v>
      </c>
      <c r="H1715" s="92" t="s">
        <v>969</v>
      </c>
      <c r="I1715">
        <v>1</v>
      </c>
      <c r="J1715" s="46">
        <v>5550</v>
      </c>
      <c r="K1715" s="50" t="s">
        <v>1080</v>
      </c>
      <c r="L1715" s="46"/>
      <c r="M1715" s="46"/>
    </row>
    <row r="1716" spans="2:15" x14ac:dyDescent="0.25">
      <c r="B1716" s="5">
        <v>44634</v>
      </c>
      <c r="C1716" s="5" t="s">
        <v>784</v>
      </c>
      <c r="D1716" s="35">
        <v>2022</v>
      </c>
      <c r="E1716" t="s">
        <v>22</v>
      </c>
      <c r="F1716" t="s">
        <v>500</v>
      </c>
      <c r="G1716" t="s">
        <v>321</v>
      </c>
      <c r="H1716" s="92" t="s">
        <v>967</v>
      </c>
      <c r="I1716">
        <v>1</v>
      </c>
      <c r="J1716" s="46">
        <v>2550</v>
      </c>
      <c r="K1716" s="50" t="s">
        <v>1080</v>
      </c>
      <c r="L1716" s="46"/>
      <c r="M1716" s="46"/>
    </row>
    <row r="1717" spans="2:15" x14ac:dyDescent="0.25">
      <c r="B1717" s="5">
        <v>44634</v>
      </c>
      <c r="C1717" s="5" t="s">
        <v>784</v>
      </c>
      <c r="D1717" s="35">
        <v>2022</v>
      </c>
      <c r="E1717" t="s">
        <v>22</v>
      </c>
      <c r="F1717" t="s">
        <v>309</v>
      </c>
      <c r="G1717" t="s">
        <v>247</v>
      </c>
      <c r="H1717" s="92" t="s">
        <v>966</v>
      </c>
      <c r="I1717">
        <v>1</v>
      </c>
      <c r="J1717" s="46">
        <v>1820</v>
      </c>
      <c r="K1717" s="50" t="s">
        <v>1080</v>
      </c>
      <c r="L1717" s="46"/>
      <c r="M1717" s="46"/>
    </row>
    <row r="1718" spans="2:15" x14ac:dyDescent="0.25">
      <c r="B1718" s="5">
        <v>44634</v>
      </c>
      <c r="C1718" s="5" t="s">
        <v>784</v>
      </c>
      <c r="D1718" s="35">
        <v>2022</v>
      </c>
      <c r="E1718" t="s">
        <v>22</v>
      </c>
      <c r="F1718" t="s">
        <v>502</v>
      </c>
      <c r="G1718" t="s">
        <v>128</v>
      </c>
      <c r="H1718" s="92" t="s">
        <v>965</v>
      </c>
      <c r="I1718">
        <v>1</v>
      </c>
      <c r="J1718" s="46">
        <v>1240</v>
      </c>
      <c r="K1718" s="50" t="s">
        <v>1080</v>
      </c>
      <c r="L1718" s="46"/>
      <c r="M1718" s="46"/>
    </row>
    <row r="1719" spans="2:15" x14ac:dyDescent="0.25">
      <c r="B1719" s="5">
        <v>44634</v>
      </c>
      <c r="C1719" s="5" t="s">
        <v>784</v>
      </c>
      <c r="D1719" s="35">
        <v>2022</v>
      </c>
      <c r="E1719" t="s">
        <v>356</v>
      </c>
      <c r="F1719" t="s">
        <v>138</v>
      </c>
      <c r="G1719" t="s">
        <v>1040</v>
      </c>
      <c r="H1719" s="92" t="s">
        <v>966</v>
      </c>
      <c r="I1719">
        <v>1</v>
      </c>
      <c r="J1719" s="46">
        <v>2085</v>
      </c>
      <c r="K1719" s="50" t="s">
        <v>1080</v>
      </c>
      <c r="L1719" s="46"/>
      <c r="M1719" s="46"/>
    </row>
    <row r="1720" spans="2:15" x14ac:dyDescent="0.25">
      <c r="B1720" s="5">
        <v>44634</v>
      </c>
      <c r="C1720" s="5" t="s">
        <v>784</v>
      </c>
      <c r="D1720" s="35">
        <v>2022</v>
      </c>
      <c r="E1720" t="s">
        <v>356</v>
      </c>
      <c r="F1720" t="s">
        <v>453</v>
      </c>
      <c r="G1720" t="s">
        <v>45</v>
      </c>
      <c r="H1720" s="92" t="s">
        <v>965</v>
      </c>
      <c r="I1720">
        <v>6</v>
      </c>
      <c r="J1720" s="46">
        <v>8340</v>
      </c>
      <c r="K1720" s="50" t="s">
        <v>1080</v>
      </c>
      <c r="L1720" s="46"/>
      <c r="M1720" s="46"/>
    </row>
    <row r="1721" spans="2:15" x14ac:dyDescent="0.25">
      <c r="B1721" s="5">
        <v>44634</v>
      </c>
      <c r="C1721" s="5" t="s">
        <v>784</v>
      </c>
      <c r="D1721" s="35">
        <v>2022</v>
      </c>
      <c r="E1721" t="s">
        <v>356</v>
      </c>
      <c r="F1721" t="s">
        <v>137</v>
      </c>
      <c r="G1721" t="s">
        <v>45</v>
      </c>
      <c r="H1721" s="92" t="s">
        <v>965</v>
      </c>
      <c r="I1721">
        <v>2</v>
      </c>
      <c r="J1721" s="46">
        <v>2780</v>
      </c>
      <c r="K1721" s="50" t="s">
        <v>1080</v>
      </c>
      <c r="L1721" s="46">
        <v>2780</v>
      </c>
      <c r="M1721" s="46"/>
      <c r="O1721" t="s">
        <v>571</v>
      </c>
    </row>
    <row r="1722" spans="2:15" x14ac:dyDescent="0.25">
      <c r="B1722" s="5">
        <v>44634</v>
      </c>
      <c r="C1722" s="5" t="s">
        <v>784</v>
      </c>
      <c r="D1722" s="35">
        <v>2022</v>
      </c>
      <c r="E1722" t="s">
        <v>356</v>
      </c>
      <c r="F1722" t="s">
        <v>137</v>
      </c>
      <c r="G1722" t="s">
        <v>126</v>
      </c>
      <c r="H1722" s="92" t="s">
        <v>965</v>
      </c>
      <c r="I1722">
        <v>1</v>
      </c>
      <c r="J1722" s="46">
        <v>1410</v>
      </c>
      <c r="K1722" s="50" t="s">
        <v>1080</v>
      </c>
      <c r="L1722" s="46"/>
      <c r="M1722" s="46"/>
    </row>
    <row r="1723" spans="2:15" x14ac:dyDescent="0.25">
      <c r="B1723" s="5">
        <v>44634</v>
      </c>
      <c r="C1723" s="5" t="s">
        <v>784</v>
      </c>
      <c r="D1723" s="35">
        <v>2022</v>
      </c>
      <c r="E1723" t="s">
        <v>356</v>
      </c>
      <c r="F1723" t="s">
        <v>191</v>
      </c>
      <c r="G1723" t="s">
        <v>45</v>
      </c>
      <c r="H1723" s="92" t="s">
        <v>965</v>
      </c>
      <c r="I1723">
        <v>1</v>
      </c>
      <c r="J1723" s="46">
        <v>1390</v>
      </c>
      <c r="K1723" s="50" t="s">
        <v>1080</v>
      </c>
      <c r="L1723" s="46"/>
      <c r="M1723" s="46"/>
    </row>
    <row r="1724" spans="2:15" x14ac:dyDescent="0.25">
      <c r="B1724" s="5">
        <v>44634</v>
      </c>
      <c r="C1724" s="5" t="s">
        <v>784</v>
      </c>
      <c r="D1724" s="35">
        <v>2022</v>
      </c>
      <c r="E1724" t="s">
        <v>900</v>
      </c>
      <c r="F1724" t="s">
        <v>1019</v>
      </c>
      <c r="G1724" t="s">
        <v>1084</v>
      </c>
      <c r="H1724" s="92" t="s">
        <v>1054</v>
      </c>
      <c r="I1724">
        <v>1</v>
      </c>
      <c r="J1724" s="46">
        <v>1395</v>
      </c>
      <c r="K1724" s="50" t="s">
        <v>1080</v>
      </c>
      <c r="L1724" s="46"/>
      <c r="M1724" s="46"/>
    </row>
    <row r="1725" spans="2:15" x14ac:dyDescent="0.25">
      <c r="B1725" s="5">
        <v>44634</v>
      </c>
      <c r="C1725" s="5" t="s">
        <v>784</v>
      </c>
      <c r="D1725" s="35">
        <v>2022</v>
      </c>
      <c r="E1725" t="s">
        <v>900</v>
      </c>
      <c r="F1725" t="s">
        <v>281</v>
      </c>
      <c r="G1725" t="s">
        <v>1045</v>
      </c>
      <c r="H1725" s="92" t="s">
        <v>1054</v>
      </c>
      <c r="I1725">
        <v>1</v>
      </c>
      <c r="J1725" s="46">
        <v>1195</v>
      </c>
      <c r="K1725" s="50" t="s">
        <v>1080</v>
      </c>
      <c r="L1725" s="46"/>
      <c r="M1725" s="46"/>
    </row>
    <row r="1726" spans="2:15" x14ac:dyDescent="0.25">
      <c r="B1726" s="5">
        <v>44634</v>
      </c>
      <c r="C1726" s="5" t="s">
        <v>784</v>
      </c>
      <c r="D1726" s="35">
        <v>2022</v>
      </c>
      <c r="E1726" t="s">
        <v>900</v>
      </c>
      <c r="F1726" t="s">
        <v>924</v>
      </c>
      <c r="G1726" t="s">
        <v>247</v>
      </c>
      <c r="H1726" s="92" t="s">
        <v>966</v>
      </c>
      <c r="I1726">
        <v>1</v>
      </c>
      <c r="J1726" s="46">
        <v>1820</v>
      </c>
      <c r="K1726" s="50" t="s">
        <v>1080</v>
      </c>
      <c r="L1726" s="46"/>
      <c r="M1726" s="46"/>
    </row>
    <row r="1727" spans="2:15" x14ac:dyDescent="0.25">
      <c r="B1727" s="5">
        <v>44634</v>
      </c>
      <c r="C1727" s="5" t="s">
        <v>784</v>
      </c>
      <c r="D1727" s="35">
        <v>2022</v>
      </c>
      <c r="E1727" t="s">
        <v>900</v>
      </c>
      <c r="F1727" t="s">
        <v>1081</v>
      </c>
      <c r="G1727" t="s">
        <v>128</v>
      </c>
      <c r="H1727" s="92" t="s">
        <v>965</v>
      </c>
      <c r="I1727">
        <v>1</v>
      </c>
      <c r="J1727" s="46">
        <v>1240</v>
      </c>
      <c r="K1727" s="50" t="s">
        <v>1080</v>
      </c>
      <c r="L1727" s="46"/>
      <c r="M1727" s="46"/>
    </row>
    <row r="1728" spans="2:15" x14ac:dyDescent="0.25">
      <c r="B1728" s="5">
        <v>44634</v>
      </c>
      <c r="C1728" s="5" t="s">
        <v>784</v>
      </c>
      <c r="D1728" s="35">
        <v>2022</v>
      </c>
      <c r="E1728" t="s">
        <v>900</v>
      </c>
      <c r="F1728" t="s">
        <v>1082</v>
      </c>
      <c r="G1728" t="s">
        <v>1046</v>
      </c>
      <c r="H1728" s="92" t="s">
        <v>1054</v>
      </c>
      <c r="I1728">
        <v>1</v>
      </c>
      <c r="J1728" s="46">
        <v>1520</v>
      </c>
      <c r="K1728" s="50" t="s">
        <v>1080</v>
      </c>
      <c r="L1728" s="46"/>
      <c r="M1728" s="46"/>
    </row>
    <row r="1729" spans="2:13" x14ac:dyDescent="0.25">
      <c r="B1729" s="5">
        <v>44634</v>
      </c>
      <c r="C1729" s="5" t="s">
        <v>784</v>
      </c>
      <c r="D1729" s="35">
        <v>2022</v>
      </c>
      <c r="E1729" t="s">
        <v>900</v>
      </c>
      <c r="F1729" t="s">
        <v>807</v>
      </c>
      <c r="G1729" t="s">
        <v>247</v>
      </c>
      <c r="H1729" s="92" t="s">
        <v>966</v>
      </c>
      <c r="I1729">
        <v>1</v>
      </c>
      <c r="J1729" s="46">
        <v>1820</v>
      </c>
      <c r="K1729" s="50" t="s">
        <v>1080</v>
      </c>
      <c r="L1729" s="46"/>
      <c r="M1729" s="46"/>
    </row>
    <row r="1730" spans="2:13" x14ac:dyDescent="0.25">
      <c r="B1730" s="5">
        <v>44634</v>
      </c>
      <c r="C1730" s="5" t="s">
        <v>784</v>
      </c>
      <c r="D1730" s="35">
        <v>2022</v>
      </c>
      <c r="E1730" t="s">
        <v>900</v>
      </c>
      <c r="F1730" t="s">
        <v>1083</v>
      </c>
      <c r="G1730" t="s">
        <v>1046</v>
      </c>
      <c r="H1730" s="92" t="s">
        <v>1054</v>
      </c>
      <c r="I1730">
        <v>1</v>
      </c>
      <c r="J1730" s="46">
        <v>1520</v>
      </c>
      <c r="K1730" s="50" t="s">
        <v>1080</v>
      </c>
      <c r="L1730" s="46"/>
      <c r="M1730" s="46"/>
    </row>
    <row r="1731" spans="2:13" x14ac:dyDescent="0.25">
      <c r="B1731" s="5">
        <v>44634</v>
      </c>
      <c r="C1731" s="5" t="s">
        <v>784</v>
      </c>
      <c r="D1731" s="35">
        <v>2022</v>
      </c>
      <c r="E1731" t="s">
        <v>900</v>
      </c>
      <c r="F1731" t="s">
        <v>928</v>
      </c>
      <c r="G1731" t="s">
        <v>128</v>
      </c>
      <c r="H1731" s="92" t="s">
        <v>965</v>
      </c>
      <c r="I1731">
        <v>1</v>
      </c>
      <c r="J1731" s="46">
        <v>1240</v>
      </c>
      <c r="K1731" s="50" t="s">
        <v>1080</v>
      </c>
      <c r="L1731" s="46"/>
      <c r="M1731" s="46"/>
    </row>
    <row r="1732" spans="2:13" x14ac:dyDescent="0.25">
      <c r="B1732" s="5">
        <v>44634</v>
      </c>
      <c r="C1732" s="5" t="s">
        <v>784</v>
      </c>
      <c r="D1732" s="35">
        <v>2022</v>
      </c>
      <c r="E1732" t="s">
        <v>900</v>
      </c>
      <c r="F1732" t="s">
        <v>699</v>
      </c>
      <c r="G1732" t="s">
        <v>58</v>
      </c>
      <c r="H1732" s="92" t="s">
        <v>969</v>
      </c>
      <c r="I1732">
        <v>1</v>
      </c>
      <c r="J1732" s="46">
        <v>2500</v>
      </c>
      <c r="K1732" s="50" t="s">
        <v>1080</v>
      </c>
      <c r="L1732" s="46"/>
      <c r="M1732" s="46"/>
    </row>
    <row r="1733" spans="2:13" x14ac:dyDescent="0.25">
      <c r="B1733" s="5">
        <v>44634</v>
      </c>
      <c r="C1733" s="5" t="s">
        <v>784</v>
      </c>
      <c r="D1733" s="35">
        <v>2022</v>
      </c>
      <c r="E1733" t="s">
        <v>900</v>
      </c>
      <c r="F1733" t="s">
        <v>1028</v>
      </c>
      <c r="G1733" t="s">
        <v>1046</v>
      </c>
      <c r="H1733" s="92" t="s">
        <v>1054</v>
      </c>
      <c r="I1733">
        <v>1</v>
      </c>
      <c r="J1733" s="46">
        <v>1520</v>
      </c>
      <c r="K1733" s="50" t="s">
        <v>1080</v>
      </c>
      <c r="L1733" s="46"/>
      <c r="M1733" s="46"/>
    </row>
    <row r="1734" spans="2:13" x14ac:dyDescent="0.25">
      <c r="B1734" s="5">
        <v>44634</v>
      </c>
      <c r="C1734" s="5" t="s">
        <v>784</v>
      </c>
      <c r="D1734" s="35">
        <v>2022</v>
      </c>
      <c r="E1734" t="s">
        <v>900</v>
      </c>
      <c r="F1734" t="s">
        <v>44</v>
      </c>
      <c r="G1734" t="s">
        <v>247</v>
      </c>
      <c r="H1734" s="92" t="s">
        <v>966</v>
      </c>
      <c r="I1734">
        <v>1</v>
      </c>
      <c r="J1734" s="46">
        <v>1820</v>
      </c>
      <c r="K1734" s="50" t="s">
        <v>1080</v>
      </c>
      <c r="L1734" s="46"/>
      <c r="M1734" s="46"/>
    </row>
    <row r="1735" spans="2:13" x14ac:dyDescent="0.25">
      <c r="B1735" s="5">
        <v>44634</v>
      </c>
      <c r="C1735" s="5" t="s">
        <v>784</v>
      </c>
      <c r="D1735" s="35">
        <v>2022</v>
      </c>
      <c r="E1735" t="s">
        <v>900</v>
      </c>
      <c r="F1735" t="s">
        <v>701</v>
      </c>
      <c r="G1735" t="s">
        <v>247</v>
      </c>
      <c r="H1735" s="92" t="s">
        <v>966</v>
      </c>
      <c r="I1735">
        <v>1</v>
      </c>
      <c r="J1735" s="46">
        <v>1820</v>
      </c>
      <c r="K1735" s="50" t="s">
        <v>1080</v>
      </c>
      <c r="L1735" s="46"/>
      <c r="M1735" s="46"/>
    </row>
    <row r="1736" spans="2:13" x14ac:dyDescent="0.25">
      <c r="B1736" s="5">
        <v>44634</v>
      </c>
      <c r="C1736" s="5" t="s">
        <v>784</v>
      </c>
      <c r="D1736" s="35">
        <v>2022</v>
      </c>
      <c r="E1736" t="s">
        <v>900</v>
      </c>
      <c r="F1736" t="s">
        <v>810</v>
      </c>
      <c r="G1736" t="s">
        <v>127</v>
      </c>
      <c r="H1736" s="92" t="s">
        <v>973</v>
      </c>
      <c r="I1736">
        <v>1</v>
      </c>
      <c r="J1736" s="46">
        <v>260</v>
      </c>
      <c r="K1736" s="50" t="s">
        <v>1080</v>
      </c>
      <c r="L1736" s="46"/>
      <c r="M1736" s="46"/>
    </row>
    <row r="1737" spans="2:13" x14ac:dyDescent="0.25">
      <c r="B1737" s="5">
        <v>44634</v>
      </c>
      <c r="C1737" s="5" t="s">
        <v>784</v>
      </c>
      <c r="D1737" s="35">
        <v>2022</v>
      </c>
      <c r="E1737" t="s">
        <v>900</v>
      </c>
      <c r="F1737" t="s">
        <v>702</v>
      </c>
      <c r="G1737" t="s">
        <v>58</v>
      </c>
      <c r="H1737" s="92" t="s">
        <v>969</v>
      </c>
      <c r="I1737">
        <v>1</v>
      </c>
      <c r="J1737" s="46">
        <v>2500</v>
      </c>
      <c r="K1737" s="50" t="s">
        <v>1080</v>
      </c>
      <c r="L1737" s="46"/>
      <c r="M1737" s="46"/>
    </row>
    <row r="1738" spans="2:13" x14ac:dyDescent="0.25">
      <c r="B1738" s="5">
        <v>44634</v>
      </c>
      <c r="C1738" s="5" t="s">
        <v>784</v>
      </c>
      <c r="D1738" s="35">
        <v>2022</v>
      </c>
      <c r="E1738" t="s">
        <v>417</v>
      </c>
      <c r="F1738" t="s">
        <v>146</v>
      </c>
      <c r="G1738" t="s">
        <v>269</v>
      </c>
      <c r="H1738" s="92" t="s">
        <v>983</v>
      </c>
      <c r="I1738">
        <v>1</v>
      </c>
      <c r="J1738" s="46">
        <v>315</v>
      </c>
      <c r="K1738" s="50" t="s">
        <v>1080</v>
      </c>
      <c r="L1738" s="46"/>
      <c r="M1738" s="46"/>
    </row>
    <row r="1739" spans="2:13" x14ac:dyDescent="0.25">
      <c r="B1739" s="5">
        <v>44634</v>
      </c>
      <c r="C1739" s="5" t="s">
        <v>784</v>
      </c>
      <c r="D1739" s="35">
        <v>2022</v>
      </c>
      <c r="E1739" t="s">
        <v>417</v>
      </c>
      <c r="F1739" t="s">
        <v>146</v>
      </c>
      <c r="G1739" t="s">
        <v>45</v>
      </c>
      <c r="H1739" s="92" t="s">
        <v>965</v>
      </c>
      <c r="I1739">
        <v>1</v>
      </c>
      <c r="J1739" s="46">
        <v>1390</v>
      </c>
      <c r="K1739" s="50" t="s">
        <v>1080</v>
      </c>
      <c r="L1739" s="46"/>
      <c r="M1739" s="46"/>
    </row>
    <row r="1740" spans="2:13" x14ac:dyDescent="0.25">
      <c r="B1740" s="5">
        <v>44634</v>
      </c>
      <c r="C1740" s="5" t="s">
        <v>784</v>
      </c>
      <c r="D1740" s="35">
        <v>2022</v>
      </c>
      <c r="E1740" t="s">
        <v>417</v>
      </c>
      <c r="F1740" t="s">
        <v>25</v>
      </c>
      <c r="G1740" t="s">
        <v>45</v>
      </c>
      <c r="H1740" s="92" t="s">
        <v>965</v>
      </c>
      <c r="I1740">
        <v>1</v>
      </c>
      <c r="J1740" s="46">
        <v>1390</v>
      </c>
      <c r="K1740" s="50" t="s">
        <v>1080</v>
      </c>
      <c r="L1740" s="46"/>
      <c r="M1740" s="46"/>
    </row>
    <row r="1741" spans="2:13" x14ac:dyDescent="0.25">
      <c r="B1741" s="5">
        <v>44634</v>
      </c>
      <c r="C1741" s="5" t="s">
        <v>784</v>
      </c>
      <c r="D1741" s="35">
        <v>2022</v>
      </c>
      <c r="E1741" t="s">
        <v>417</v>
      </c>
      <c r="F1741" t="s">
        <v>1009</v>
      </c>
      <c r="G1741" t="s">
        <v>45</v>
      </c>
      <c r="H1741" s="92" t="s">
        <v>965</v>
      </c>
      <c r="I1741">
        <v>1</v>
      </c>
      <c r="J1741" s="46">
        <v>1390</v>
      </c>
      <c r="K1741" s="50" t="s">
        <v>1080</v>
      </c>
      <c r="L1741" s="46"/>
      <c r="M1741" s="46"/>
    </row>
    <row r="1742" spans="2:13" x14ac:dyDescent="0.25">
      <c r="B1742" s="5">
        <v>44634</v>
      </c>
      <c r="C1742" s="5" t="s">
        <v>784</v>
      </c>
      <c r="D1742" s="35">
        <v>2022</v>
      </c>
      <c r="E1742" t="s">
        <v>417</v>
      </c>
      <c r="F1742" t="s">
        <v>13</v>
      </c>
      <c r="G1742" t="s">
        <v>45</v>
      </c>
      <c r="H1742" s="92" t="s">
        <v>965</v>
      </c>
      <c r="I1742">
        <v>1</v>
      </c>
      <c r="J1742" s="46">
        <v>1390</v>
      </c>
      <c r="K1742" s="50" t="s">
        <v>1080</v>
      </c>
      <c r="L1742" s="46"/>
      <c r="M1742" s="46"/>
    </row>
    <row r="1743" spans="2:13" x14ac:dyDescent="0.25">
      <c r="B1743" s="5">
        <v>44634</v>
      </c>
      <c r="C1743" s="5" t="s">
        <v>784</v>
      </c>
      <c r="D1743" s="35">
        <v>2022</v>
      </c>
      <c r="E1743" t="s">
        <v>417</v>
      </c>
      <c r="F1743" t="s">
        <v>1010</v>
      </c>
      <c r="G1743" t="s">
        <v>1046</v>
      </c>
      <c r="H1743" s="92" t="s">
        <v>1054</v>
      </c>
      <c r="I1743">
        <v>1</v>
      </c>
      <c r="J1743" s="46">
        <v>1520</v>
      </c>
      <c r="K1743" s="50" t="s">
        <v>1080</v>
      </c>
      <c r="L1743" s="46"/>
      <c r="M1743" s="46"/>
    </row>
    <row r="1744" spans="2:13" x14ac:dyDescent="0.25">
      <c r="B1744" s="5">
        <v>44634</v>
      </c>
      <c r="C1744" s="5" t="s">
        <v>784</v>
      </c>
      <c r="D1744" s="35">
        <v>2022</v>
      </c>
      <c r="E1744" t="s">
        <v>417</v>
      </c>
      <c r="F1744" t="s">
        <v>558</v>
      </c>
      <c r="G1744" t="s">
        <v>45</v>
      </c>
      <c r="H1744" s="92" t="s">
        <v>965</v>
      </c>
      <c r="I1744">
        <v>1</v>
      </c>
      <c r="J1744" s="46">
        <v>1390</v>
      </c>
      <c r="K1744" s="50" t="s">
        <v>1080</v>
      </c>
      <c r="L1744" s="46"/>
      <c r="M1744" s="46"/>
    </row>
    <row r="1745" spans="2:13" x14ac:dyDescent="0.25">
      <c r="B1745" s="5">
        <v>44634</v>
      </c>
      <c r="C1745" s="5" t="s">
        <v>784</v>
      </c>
      <c r="D1745" s="35">
        <v>2022</v>
      </c>
      <c r="E1745" t="s">
        <v>445</v>
      </c>
      <c r="F1745" t="s">
        <v>1085</v>
      </c>
      <c r="G1745" t="s">
        <v>321</v>
      </c>
      <c r="H1745" s="92" t="s">
        <v>967</v>
      </c>
      <c r="I1745">
        <v>1</v>
      </c>
      <c r="J1745" s="46">
        <v>2550</v>
      </c>
      <c r="K1745" s="50" t="s">
        <v>1080</v>
      </c>
      <c r="L1745" s="46"/>
      <c r="M1745" s="46"/>
    </row>
    <row r="1746" spans="2:13" x14ac:dyDescent="0.25">
      <c r="B1746" s="5">
        <v>44634</v>
      </c>
      <c r="C1746" s="5" t="s">
        <v>784</v>
      </c>
      <c r="D1746" s="35">
        <v>2022</v>
      </c>
      <c r="E1746" t="s">
        <v>445</v>
      </c>
      <c r="F1746" t="s">
        <v>1051</v>
      </c>
      <c r="G1746" t="s">
        <v>125</v>
      </c>
      <c r="H1746" s="92" t="s">
        <v>971</v>
      </c>
      <c r="I1746">
        <v>1</v>
      </c>
      <c r="J1746" s="46">
        <v>510</v>
      </c>
      <c r="K1746" s="50" t="s">
        <v>1080</v>
      </c>
      <c r="L1746" s="46"/>
      <c r="M1746" s="46"/>
    </row>
    <row r="1747" spans="2:13" x14ac:dyDescent="0.25">
      <c r="B1747" s="5">
        <v>44634</v>
      </c>
      <c r="C1747" s="5" t="s">
        <v>784</v>
      </c>
      <c r="D1747" s="35">
        <v>2022</v>
      </c>
      <c r="E1747" t="s">
        <v>445</v>
      </c>
      <c r="F1747" t="s">
        <v>487</v>
      </c>
      <c r="G1747" t="s">
        <v>125</v>
      </c>
      <c r="H1747" s="92" t="s">
        <v>971</v>
      </c>
      <c r="I1747">
        <v>1</v>
      </c>
      <c r="J1747" s="46">
        <v>510</v>
      </c>
      <c r="K1747" s="50" t="s">
        <v>1080</v>
      </c>
      <c r="L1747" s="46"/>
      <c r="M1747" s="46"/>
    </row>
    <row r="1748" spans="2:13" x14ac:dyDescent="0.25">
      <c r="B1748" s="5">
        <v>44634</v>
      </c>
      <c r="C1748" s="5" t="s">
        <v>784</v>
      </c>
      <c r="D1748" s="35">
        <v>2022</v>
      </c>
      <c r="E1748" t="s">
        <v>445</v>
      </c>
      <c r="F1748" t="s">
        <v>465</v>
      </c>
      <c r="G1748" t="s">
        <v>45</v>
      </c>
      <c r="H1748" s="92" t="s">
        <v>965</v>
      </c>
      <c r="I1748">
        <v>1</v>
      </c>
      <c r="J1748" s="46">
        <v>1390</v>
      </c>
      <c r="K1748" s="50" t="s">
        <v>1080</v>
      </c>
      <c r="L1748" s="46"/>
      <c r="M1748" s="46"/>
    </row>
    <row r="1749" spans="2:13" x14ac:dyDescent="0.25">
      <c r="B1749" s="5">
        <v>44634</v>
      </c>
      <c r="C1749" s="5" t="s">
        <v>784</v>
      </c>
      <c r="D1749" s="35">
        <v>2022</v>
      </c>
      <c r="E1749" t="s">
        <v>445</v>
      </c>
      <c r="F1749" t="s">
        <v>1086</v>
      </c>
      <c r="G1749" t="s">
        <v>247</v>
      </c>
      <c r="H1749" s="92" t="s">
        <v>966</v>
      </c>
      <c r="I1749">
        <v>1</v>
      </c>
      <c r="J1749" s="46">
        <v>1820</v>
      </c>
      <c r="K1749" s="50" t="s">
        <v>1080</v>
      </c>
      <c r="L1749" s="46"/>
      <c r="M1749" s="46"/>
    </row>
    <row r="1750" spans="2:13" x14ac:dyDescent="0.25">
      <c r="B1750" s="5">
        <v>44634</v>
      </c>
      <c r="C1750" s="5" t="s">
        <v>784</v>
      </c>
      <c r="D1750" s="35">
        <v>2022</v>
      </c>
      <c r="E1750" t="s">
        <v>445</v>
      </c>
      <c r="F1750" t="s">
        <v>883</v>
      </c>
      <c r="G1750" t="s">
        <v>1088</v>
      </c>
      <c r="H1750" s="92" t="s">
        <v>966</v>
      </c>
      <c r="I1750">
        <v>1</v>
      </c>
      <c r="J1750" s="46">
        <v>1980</v>
      </c>
      <c r="K1750" s="50" t="s">
        <v>1080</v>
      </c>
      <c r="L1750" s="46"/>
      <c r="M1750" s="46"/>
    </row>
    <row r="1751" spans="2:13" x14ac:dyDescent="0.25">
      <c r="B1751" s="5">
        <v>44634</v>
      </c>
      <c r="C1751" s="5" t="s">
        <v>784</v>
      </c>
      <c r="D1751" s="35">
        <v>2022</v>
      </c>
      <c r="E1751" t="s">
        <v>445</v>
      </c>
      <c r="F1751" t="s">
        <v>845</v>
      </c>
      <c r="G1751" t="s">
        <v>509</v>
      </c>
      <c r="H1751" s="92" t="s">
        <v>977</v>
      </c>
      <c r="I1751">
        <v>2</v>
      </c>
      <c r="J1751" s="46">
        <v>260</v>
      </c>
      <c r="K1751" s="50" t="s">
        <v>1080</v>
      </c>
      <c r="L1751" s="46"/>
      <c r="M1751" s="46"/>
    </row>
    <row r="1752" spans="2:13" x14ac:dyDescent="0.25">
      <c r="B1752" s="5">
        <v>44634</v>
      </c>
      <c r="C1752" s="5" t="s">
        <v>784</v>
      </c>
      <c r="D1752" s="35">
        <v>2022</v>
      </c>
      <c r="E1752" t="s">
        <v>445</v>
      </c>
      <c r="F1752" t="s">
        <v>846</v>
      </c>
      <c r="G1752" t="s">
        <v>126</v>
      </c>
      <c r="H1752" s="92" t="s">
        <v>965</v>
      </c>
      <c r="I1752">
        <v>1</v>
      </c>
      <c r="J1752" s="46">
        <v>1410</v>
      </c>
      <c r="K1752" s="50" t="s">
        <v>1080</v>
      </c>
      <c r="L1752" s="46"/>
      <c r="M1752" s="46"/>
    </row>
    <row r="1753" spans="2:13" x14ac:dyDescent="0.25">
      <c r="B1753" s="5">
        <v>44634</v>
      </c>
      <c r="C1753" s="5" t="s">
        <v>784</v>
      </c>
      <c r="D1753" s="35">
        <v>2022</v>
      </c>
      <c r="E1753" t="s">
        <v>445</v>
      </c>
      <c r="F1753" t="s">
        <v>1087</v>
      </c>
      <c r="G1753" t="s">
        <v>321</v>
      </c>
      <c r="H1753" s="92" t="s">
        <v>967</v>
      </c>
      <c r="I1753">
        <v>1</v>
      </c>
      <c r="J1753" s="46">
        <v>2550</v>
      </c>
      <c r="K1753" s="50" t="s">
        <v>1080</v>
      </c>
      <c r="L1753" s="46"/>
      <c r="M1753" s="46"/>
    </row>
    <row r="1754" spans="2:13" x14ac:dyDescent="0.25">
      <c r="B1754" s="5">
        <v>44634</v>
      </c>
      <c r="C1754" s="5" t="s">
        <v>784</v>
      </c>
      <c r="D1754" s="35">
        <v>2022</v>
      </c>
      <c r="E1754" t="s">
        <v>458</v>
      </c>
      <c r="F1754" t="s">
        <v>1089</v>
      </c>
      <c r="G1754" t="s">
        <v>247</v>
      </c>
      <c r="H1754" s="92" t="s">
        <v>966</v>
      </c>
      <c r="I1754">
        <v>1</v>
      </c>
      <c r="J1754" s="46">
        <v>1820</v>
      </c>
      <c r="K1754" s="50" t="s">
        <v>1080</v>
      </c>
      <c r="L1754" s="46"/>
      <c r="M1754" s="46"/>
    </row>
    <row r="1755" spans="2:13" x14ac:dyDescent="0.25">
      <c r="B1755" s="5">
        <v>44634</v>
      </c>
      <c r="C1755" s="5" t="s">
        <v>784</v>
      </c>
      <c r="D1755" s="35">
        <v>2022</v>
      </c>
      <c r="E1755" t="s">
        <v>458</v>
      </c>
      <c r="F1755" t="s">
        <v>1090</v>
      </c>
      <c r="G1755" t="s">
        <v>1045</v>
      </c>
      <c r="H1755" s="92" t="s">
        <v>1054</v>
      </c>
      <c r="I1755">
        <v>1</v>
      </c>
      <c r="J1755" s="46">
        <v>1195</v>
      </c>
      <c r="K1755" s="50" t="s">
        <v>1080</v>
      </c>
      <c r="L1755" s="46"/>
      <c r="M1755" s="46"/>
    </row>
    <row r="1756" spans="2:13" x14ac:dyDescent="0.25">
      <c r="B1756" s="5">
        <v>44634</v>
      </c>
      <c r="C1756" s="5" t="s">
        <v>784</v>
      </c>
      <c r="D1756" s="35">
        <v>2022</v>
      </c>
      <c r="E1756" t="s">
        <v>458</v>
      </c>
      <c r="F1756" t="s">
        <v>317</v>
      </c>
      <c r="G1756" t="s">
        <v>1045</v>
      </c>
      <c r="H1756" s="92" t="s">
        <v>1054</v>
      </c>
      <c r="I1756">
        <v>1</v>
      </c>
      <c r="J1756" s="46">
        <v>1195</v>
      </c>
      <c r="K1756" s="50" t="s">
        <v>1080</v>
      </c>
      <c r="L1756" s="46"/>
      <c r="M1756" s="46"/>
    </row>
    <row r="1757" spans="2:13" x14ac:dyDescent="0.25">
      <c r="B1757" s="5">
        <v>44634</v>
      </c>
      <c r="C1757" s="5" t="s">
        <v>784</v>
      </c>
      <c r="D1757" s="35">
        <v>2022</v>
      </c>
      <c r="E1757" t="s">
        <v>458</v>
      </c>
      <c r="F1757" t="s">
        <v>29</v>
      </c>
      <c r="G1757" t="s">
        <v>1093</v>
      </c>
      <c r="H1757" s="92" t="s">
        <v>1054</v>
      </c>
      <c r="I1757">
        <v>1</v>
      </c>
      <c r="J1757" s="46">
        <v>1395</v>
      </c>
      <c r="K1757" s="50" t="s">
        <v>1080</v>
      </c>
      <c r="L1757" s="46"/>
      <c r="M1757" s="46"/>
    </row>
    <row r="1758" spans="2:13" x14ac:dyDescent="0.25">
      <c r="B1758" s="5">
        <v>44634</v>
      </c>
      <c r="C1758" s="5" t="s">
        <v>784</v>
      </c>
      <c r="D1758" s="35">
        <v>2022</v>
      </c>
      <c r="E1758" t="s">
        <v>458</v>
      </c>
      <c r="F1758" t="s">
        <v>1091</v>
      </c>
      <c r="G1758" t="s">
        <v>269</v>
      </c>
      <c r="H1758" s="92" t="s">
        <v>983</v>
      </c>
      <c r="I1758">
        <v>2</v>
      </c>
      <c r="J1758" s="46">
        <v>630</v>
      </c>
      <c r="K1758" s="50" t="s">
        <v>1080</v>
      </c>
      <c r="L1758" s="46"/>
      <c r="M1758" s="46"/>
    </row>
    <row r="1759" spans="2:13" x14ac:dyDescent="0.25">
      <c r="B1759" s="5">
        <v>44634</v>
      </c>
      <c r="C1759" s="5" t="s">
        <v>784</v>
      </c>
      <c r="D1759" s="35">
        <v>2022</v>
      </c>
      <c r="E1759" t="s">
        <v>458</v>
      </c>
      <c r="F1759" t="s">
        <v>1091</v>
      </c>
      <c r="G1759" t="s">
        <v>283</v>
      </c>
      <c r="H1759" s="92" t="s">
        <v>983</v>
      </c>
      <c r="I1759">
        <v>1</v>
      </c>
      <c r="J1759" s="46">
        <v>535</v>
      </c>
      <c r="K1759" s="50" t="s">
        <v>1080</v>
      </c>
      <c r="L1759" s="46"/>
      <c r="M1759" s="46"/>
    </row>
    <row r="1760" spans="2:13" x14ac:dyDescent="0.25">
      <c r="B1760" s="5">
        <v>44634</v>
      </c>
      <c r="C1760" s="5" t="s">
        <v>784</v>
      </c>
      <c r="D1760" s="35">
        <v>2022</v>
      </c>
      <c r="E1760" t="s">
        <v>458</v>
      </c>
      <c r="F1760" t="s">
        <v>1092</v>
      </c>
      <c r="G1760" t="s">
        <v>1094</v>
      </c>
      <c r="H1760" s="92" t="s">
        <v>969</v>
      </c>
      <c r="I1760">
        <v>1</v>
      </c>
      <c r="J1760" s="46">
        <v>5500</v>
      </c>
      <c r="K1760" s="50" t="s">
        <v>1080</v>
      </c>
      <c r="L1760" s="46"/>
      <c r="M1760" s="46"/>
    </row>
    <row r="1761" spans="2:16" x14ac:dyDescent="0.25">
      <c r="B1761" s="5">
        <v>44635</v>
      </c>
      <c r="C1761" s="5" t="s">
        <v>784</v>
      </c>
      <c r="D1761" s="35">
        <v>2022</v>
      </c>
      <c r="E1761" t="s">
        <v>356</v>
      </c>
      <c r="F1761" t="s">
        <v>191</v>
      </c>
      <c r="G1761" t="s">
        <v>269</v>
      </c>
      <c r="H1761" s="92" t="s">
        <v>983</v>
      </c>
      <c r="I1761">
        <v>1</v>
      </c>
      <c r="J1761" s="46">
        <v>315</v>
      </c>
      <c r="K1761" s="50" t="s">
        <v>1080</v>
      </c>
      <c r="L1761" s="46">
        <v>315</v>
      </c>
      <c r="M1761" s="46"/>
    </row>
    <row r="1762" spans="2:16" x14ac:dyDescent="0.25">
      <c r="B1762" s="5">
        <v>44635</v>
      </c>
      <c r="C1762" s="5" t="s">
        <v>784</v>
      </c>
      <c r="D1762" s="35">
        <v>2022</v>
      </c>
      <c r="E1762" t="s">
        <v>356</v>
      </c>
      <c r="F1762" t="s">
        <v>455</v>
      </c>
      <c r="G1762" t="s">
        <v>126</v>
      </c>
      <c r="H1762" s="92" t="s">
        <v>965</v>
      </c>
      <c r="I1762">
        <v>1</v>
      </c>
      <c r="J1762" s="46">
        <v>1410</v>
      </c>
      <c r="K1762" s="50" t="s">
        <v>1080</v>
      </c>
      <c r="L1762" s="46">
        <v>1410</v>
      </c>
      <c r="M1762" s="46"/>
    </row>
    <row r="1763" spans="2:16" x14ac:dyDescent="0.25">
      <c r="B1763" s="5">
        <v>44635</v>
      </c>
      <c r="C1763" s="5" t="s">
        <v>784</v>
      </c>
      <c r="D1763" s="35">
        <v>2022</v>
      </c>
      <c r="E1763" t="s">
        <v>356</v>
      </c>
      <c r="F1763" t="s">
        <v>1102</v>
      </c>
      <c r="G1763" t="s">
        <v>321</v>
      </c>
      <c r="H1763" s="92" t="s">
        <v>967</v>
      </c>
      <c r="I1763">
        <v>1</v>
      </c>
      <c r="J1763" s="46">
        <v>2550</v>
      </c>
      <c r="K1763" s="50" t="s">
        <v>1080</v>
      </c>
      <c r="L1763" s="46">
        <v>2550</v>
      </c>
      <c r="M1763" s="46"/>
    </row>
    <row r="1764" spans="2:16" x14ac:dyDescent="0.25">
      <c r="B1764" s="5">
        <v>44635</v>
      </c>
      <c r="C1764" s="5" t="s">
        <v>784</v>
      </c>
      <c r="D1764" s="35">
        <v>2022</v>
      </c>
      <c r="E1764" t="s">
        <v>356</v>
      </c>
      <c r="F1764" t="s">
        <v>138</v>
      </c>
      <c r="G1764" t="s">
        <v>45</v>
      </c>
      <c r="H1764" s="92" t="s">
        <v>965</v>
      </c>
      <c r="I1764">
        <v>5</v>
      </c>
      <c r="J1764" s="46">
        <v>6950</v>
      </c>
      <c r="K1764" s="50" t="s">
        <v>1080</v>
      </c>
      <c r="L1764" s="46">
        <v>6950</v>
      </c>
      <c r="M1764" s="46"/>
      <c r="N1764">
        <v>2780</v>
      </c>
      <c r="P1764" t="s">
        <v>889</v>
      </c>
    </row>
    <row r="1765" spans="2:16" x14ac:dyDescent="0.25">
      <c r="B1765" s="5">
        <v>44635</v>
      </c>
      <c r="C1765" s="5" t="s">
        <v>784</v>
      </c>
      <c r="D1765" s="35">
        <v>2022</v>
      </c>
      <c r="E1765" t="s">
        <v>900</v>
      </c>
      <c r="F1765" t="s">
        <v>764</v>
      </c>
      <c r="G1765" t="s">
        <v>1045</v>
      </c>
      <c r="H1765" s="92" t="s">
        <v>1054</v>
      </c>
      <c r="I1765">
        <v>1</v>
      </c>
      <c r="J1765" s="46">
        <v>1195</v>
      </c>
      <c r="K1765" s="50" t="s">
        <v>1080</v>
      </c>
      <c r="L1765" s="46">
        <v>1195</v>
      </c>
      <c r="M1765" s="46"/>
    </row>
    <row r="1766" spans="2:16" x14ac:dyDescent="0.25">
      <c r="B1766" s="5">
        <v>44635</v>
      </c>
      <c r="C1766" s="5" t="s">
        <v>784</v>
      </c>
      <c r="D1766" s="35">
        <v>2022</v>
      </c>
      <c r="E1766" t="s">
        <v>900</v>
      </c>
      <c r="F1766" t="s">
        <v>761</v>
      </c>
      <c r="G1766" t="s">
        <v>128</v>
      </c>
      <c r="H1766" s="92" t="s">
        <v>965</v>
      </c>
      <c r="I1766">
        <v>1</v>
      </c>
      <c r="J1766" s="46">
        <v>1240</v>
      </c>
      <c r="K1766" s="50" t="s">
        <v>1080</v>
      </c>
      <c r="L1766" s="46">
        <v>1240</v>
      </c>
      <c r="M1766" s="46"/>
    </row>
    <row r="1767" spans="2:16" x14ac:dyDescent="0.25">
      <c r="B1767" s="5">
        <v>44635</v>
      </c>
      <c r="C1767" s="5" t="s">
        <v>784</v>
      </c>
      <c r="D1767" s="35">
        <v>2022</v>
      </c>
      <c r="E1767" t="s">
        <v>900</v>
      </c>
      <c r="F1767" t="s">
        <v>1103</v>
      </c>
      <c r="G1767" t="s">
        <v>128</v>
      </c>
      <c r="H1767" s="92" t="s">
        <v>965</v>
      </c>
      <c r="I1767">
        <v>1</v>
      </c>
      <c r="J1767" s="46">
        <v>1240</v>
      </c>
      <c r="K1767" s="50" t="s">
        <v>1080</v>
      </c>
      <c r="L1767" s="46">
        <v>1240</v>
      </c>
      <c r="M1767" s="46"/>
    </row>
    <row r="1768" spans="2:16" x14ac:dyDescent="0.25">
      <c r="B1768" s="5">
        <v>44635</v>
      </c>
      <c r="C1768" s="5" t="s">
        <v>784</v>
      </c>
      <c r="D1768" s="35">
        <v>2022</v>
      </c>
      <c r="E1768" t="s">
        <v>900</v>
      </c>
      <c r="F1768" t="s">
        <v>713</v>
      </c>
      <c r="G1768" t="s">
        <v>45</v>
      </c>
      <c r="H1768" s="92" t="s">
        <v>965</v>
      </c>
      <c r="I1768">
        <v>1</v>
      </c>
      <c r="J1768" s="46">
        <v>1390</v>
      </c>
      <c r="K1768" s="50" t="s">
        <v>1080</v>
      </c>
      <c r="L1768" s="46">
        <v>1390</v>
      </c>
      <c r="M1768" s="46"/>
    </row>
    <row r="1769" spans="2:16" x14ac:dyDescent="0.25">
      <c r="B1769" s="5">
        <v>44635</v>
      </c>
      <c r="C1769" s="5" t="s">
        <v>784</v>
      </c>
      <c r="D1769" s="35">
        <v>2022</v>
      </c>
      <c r="E1769" t="s">
        <v>900</v>
      </c>
      <c r="F1769" t="s">
        <v>713</v>
      </c>
      <c r="G1769" t="s">
        <v>126</v>
      </c>
      <c r="H1769" s="92" t="s">
        <v>965</v>
      </c>
      <c r="I1769">
        <v>1</v>
      </c>
      <c r="J1769" s="46">
        <v>1410</v>
      </c>
      <c r="K1769" s="50" t="s">
        <v>1080</v>
      </c>
      <c r="L1769" s="46">
        <v>1410</v>
      </c>
      <c r="M1769" s="46"/>
    </row>
    <row r="1770" spans="2:16" x14ac:dyDescent="0.25">
      <c r="B1770" s="5">
        <v>44635</v>
      </c>
      <c r="C1770" s="5" t="s">
        <v>784</v>
      </c>
      <c r="D1770" s="35">
        <v>2022</v>
      </c>
      <c r="E1770" t="s">
        <v>900</v>
      </c>
      <c r="F1770" t="s">
        <v>698</v>
      </c>
      <c r="G1770" t="s">
        <v>126</v>
      </c>
      <c r="H1770" s="92" t="s">
        <v>965</v>
      </c>
      <c r="I1770">
        <v>1</v>
      </c>
      <c r="J1770" s="46">
        <v>1410</v>
      </c>
      <c r="K1770" s="50" t="s">
        <v>1080</v>
      </c>
      <c r="L1770" s="46">
        <v>1410</v>
      </c>
      <c r="M1770" s="46"/>
    </row>
    <row r="1771" spans="2:16" x14ac:dyDescent="0.25">
      <c r="B1771" s="5">
        <v>44635</v>
      </c>
      <c r="C1771" s="5" t="s">
        <v>784</v>
      </c>
      <c r="D1771" s="35">
        <v>2022</v>
      </c>
      <c r="E1771" t="s">
        <v>900</v>
      </c>
      <c r="F1771" t="s">
        <v>1104</v>
      </c>
      <c r="G1771" t="s">
        <v>1046</v>
      </c>
      <c r="H1771" s="92" t="s">
        <v>1054</v>
      </c>
      <c r="I1771">
        <v>1</v>
      </c>
      <c r="J1771" s="46">
        <v>1520</v>
      </c>
      <c r="K1771" s="50" t="s">
        <v>1080</v>
      </c>
      <c r="L1771" s="46">
        <v>1520</v>
      </c>
      <c r="M1771" s="46"/>
    </row>
    <row r="1772" spans="2:16" x14ac:dyDescent="0.25">
      <c r="B1772" s="5">
        <v>44635</v>
      </c>
      <c r="C1772" s="5" t="s">
        <v>784</v>
      </c>
      <c r="D1772" s="35">
        <v>2022</v>
      </c>
      <c r="E1772" t="s">
        <v>900</v>
      </c>
      <c r="F1772" t="s">
        <v>761</v>
      </c>
      <c r="G1772" t="s">
        <v>1046</v>
      </c>
      <c r="H1772" s="92" t="s">
        <v>1054</v>
      </c>
      <c r="I1772">
        <v>1</v>
      </c>
      <c r="J1772" s="46">
        <v>1520</v>
      </c>
      <c r="K1772" s="50" t="s">
        <v>1080</v>
      </c>
      <c r="L1772" s="46">
        <v>1520</v>
      </c>
      <c r="M1772" s="46"/>
    </row>
    <row r="1773" spans="2:16" x14ac:dyDescent="0.25">
      <c r="B1773" s="5">
        <v>44635</v>
      </c>
      <c r="C1773" s="5" t="s">
        <v>784</v>
      </c>
      <c r="D1773" s="35">
        <v>2022</v>
      </c>
      <c r="E1773" t="s">
        <v>900</v>
      </c>
      <c r="F1773" t="s">
        <v>763</v>
      </c>
      <c r="G1773" t="s">
        <v>1046</v>
      </c>
      <c r="H1773" s="92" t="s">
        <v>1054</v>
      </c>
      <c r="I1773">
        <v>1</v>
      </c>
      <c r="J1773" s="46">
        <v>1520</v>
      </c>
      <c r="K1773" s="50" t="s">
        <v>1080</v>
      </c>
      <c r="L1773" s="46">
        <v>1520</v>
      </c>
      <c r="M1773" s="46"/>
    </row>
    <row r="1774" spans="2:16" x14ac:dyDescent="0.25">
      <c r="B1774" s="5">
        <v>44635</v>
      </c>
      <c r="C1774" s="5" t="s">
        <v>784</v>
      </c>
      <c r="D1774" s="35">
        <v>2022</v>
      </c>
      <c r="E1774" t="s">
        <v>900</v>
      </c>
      <c r="F1774" t="s">
        <v>1105</v>
      </c>
      <c r="G1774" t="s">
        <v>58</v>
      </c>
      <c r="H1774" s="92" t="s">
        <v>969</v>
      </c>
      <c r="I1774">
        <v>1</v>
      </c>
      <c r="J1774" s="46">
        <v>2500</v>
      </c>
      <c r="K1774" s="50" t="s">
        <v>1080</v>
      </c>
      <c r="L1774" s="46">
        <v>2500</v>
      </c>
      <c r="M1774" s="46"/>
    </row>
    <row r="1775" spans="2:16" x14ac:dyDescent="0.25">
      <c r="B1775" s="5">
        <v>44635</v>
      </c>
      <c r="C1775" s="5" t="s">
        <v>784</v>
      </c>
      <c r="D1775" s="35">
        <v>2022</v>
      </c>
      <c r="E1775" t="s">
        <v>458</v>
      </c>
      <c r="F1775" t="s">
        <v>208</v>
      </c>
      <c r="G1775" t="s">
        <v>1045</v>
      </c>
      <c r="H1775" s="92" t="s">
        <v>1054</v>
      </c>
      <c r="I1775">
        <v>1</v>
      </c>
      <c r="J1775" s="46">
        <v>1195</v>
      </c>
      <c r="K1775" s="50" t="s">
        <v>1080</v>
      </c>
      <c r="L1775" s="46">
        <v>1195</v>
      </c>
      <c r="M1775" s="46"/>
    </row>
    <row r="1776" spans="2:16" x14ac:dyDescent="0.25">
      <c r="B1776" s="5">
        <v>44635</v>
      </c>
      <c r="C1776" s="5" t="s">
        <v>784</v>
      </c>
      <c r="D1776" s="35">
        <v>2022</v>
      </c>
      <c r="E1776" t="s">
        <v>458</v>
      </c>
      <c r="F1776" t="s">
        <v>318</v>
      </c>
      <c r="G1776" t="s">
        <v>128</v>
      </c>
      <c r="H1776" s="92" t="s">
        <v>965</v>
      </c>
      <c r="I1776">
        <v>1</v>
      </c>
      <c r="J1776" s="46">
        <v>1240</v>
      </c>
      <c r="K1776" s="50" t="s">
        <v>1080</v>
      </c>
      <c r="L1776" s="46">
        <v>1240</v>
      </c>
      <c r="M1776" s="46"/>
    </row>
    <row r="1777" spans="2:16" x14ac:dyDescent="0.25">
      <c r="B1777" s="5">
        <v>44635</v>
      </c>
      <c r="C1777" s="5" t="s">
        <v>784</v>
      </c>
      <c r="D1777" s="35">
        <v>2022</v>
      </c>
      <c r="E1777" t="s">
        <v>458</v>
      </c>
      <c r="F1777" t="s">
        <v>1035</v>
      </c>
      <c r="G1777" t="s">
        <v>128</v>
      </c>
      <c r="H1777" s="92" t="s">
        <v>965</v>
      </c>
      <c r="I1777">
        <v>1</v>
      </c>
      <c r="J1777" s="46">
        <v>1240</v>
      </c>
      <c r="K1777" s="50" t="s">
        <v>1080</v>
      </c>
      <c r="L1777" s="46">
        <v>1240</v>
      </c>
      <c r="M1777" s="46"/>
      <c r="N1777">
        <v>1240</v>
      </c>
      <c r="P1777" t="s">
        <v>1117</v>
      </c>
    </row>
    <row r="1778" spans="2:16" x14ac:dyDescent="0.25">
      <c r="B1778" s="5">
        <v>44635</v>
      </c>
      <c r="C1778" s="5" t="s">
        <v>784</v>
      </c>
      <c r="D1778" s="35">
        <v>2022</v>
      </c>
      <c r="E1778" t="s">
        <v>458</v>
      </c>
      <c r="F1778" t="s">
        <v>930</v>
      </c>
      <c r="G1778" t="s">
        <v>126</v>
      </c>
      <c r="H1778" s="92" t="s">
        <v>965</v>
      </c>
      <c r="I1778">
        <v>1</v>
      </c>
      <c r="J1778" s="46">
        <v>1410</v>
      </c>
      <c r="K1778" s="50" t="s">
        <v>1080</v>
      </c>
      <c r="L1778" s="46">
        <v>1410</v>
      </c>
      <c r="M1778" s="46"/>
      <c r="N1778">
        <v>1410</v>
      </c>
      <c r="P1778" t="s">
        <v>1118</v>
      </c>
    </row>
    <row r="1779" spans="2:16" x14ac:dyDescent="0.25">
      <c r="B1779" s="5">
        <v>44635</v>
      </c>
      <c r="C1779" s="5" t="s">
        <v>784</v>
      </c>
      <c r="D1779" s="35">
        <v>2022</v>
      </c>
      <c r="E1779" t="s">
        <v>458</v>
      </c>
      <c r="F1779" t="s">
        <v>208</v>
      </c>
      <c r="G1779" t="s">
        <v>321</v>
      </c>
      <c r="H1779" s="92" t="s">
        <v>967</v>
      </c>
      <c r="I1779">
        <v>1</v>
      </c>
      <c r="J1779" s="46">
        <v>2550</v>
      </c>
      <c r="K1779" s="50" t="s">
        <v>1080</v>
      </c>
      <c r="L1779" s="46">
        <v>2550</v>
      </c>
      <c r="M1779" s="46"/>
    </row>
    <row r="1780" spans="2:16" x14ac:dyDescent="0.25">
      <c r="B1780" s="5">
        <v>44635</v>
      </c>
      <c r="C1780" s="5" t="s">
        <v>784</v>
      </c>
      <c r="D1780" s="35">
        <v>2022</v>
      </c>
      <c r="E1780" t="s">
        <v>458</v>
      </c>
      <c r="F1780" t="s">
        <v>852</v>
      </c>
      <c r="G1780" t="s">
        <v>1045</v>
      </c>
      <c r="H1780" s="92" t="s">
        <v>1054</v>
      </c>
      <c r="I1780">
        <v>1</v>
      </c>
      <c r="J1780" s="46">
        <v>1195</v>
      </c>
      <c r="K1780" s="50" t="s">
        <v>1080</v>
      </c>
      <c r="L1780" s="46">
        <v>1195</v>
      </c>
      <c r="M1780" s="46"/>
    </row>
    <row r="1781" spans="2:16" x14ac:dyDescent="0.25">
      <c r="B1781" s="5">
        <v>44635</v>
      </c>
      <c r="C1781" s="5" t="s">
        <v>784</v>
      </c>
      <c r="D1781" s="35">
        <v>2022</v>
      </c>
      <c r="E1781" t="s">
        <v>458</v>
      </c>
      <c r="F1781" t="s">
        <v>602</v>
      </c>
      <c r="G1781" t="s">
        <v>1045</v>
      </c>
      <c r="H1781" s="92" t="s">
        <v>1054</v>
      </c>
      <c r="I1781">
        <v>1</v>
      </c>
      <c r="J1781" s="46">
        <v>1195</v>
      </c>
      <c r="K1781" s="50" t="s">
        <v>1080</v>
      </c>
      <c r="L1781" s="46">
        <v>1195</v>
      </c>
      <c r="M1781" s="46"/>
      <c r="N1781">
        <v>1195</v>
      </c>
      <c r="P1781" t="s">
        <v>889</v>
      </c>
    </row>
    <row r="1782" spans="2:16" x14ac:dyDescent="0.25">
      <c r="B1782" s="5">
        <v>44635</v>
      </c>
      <c r="C1782" s="5" t="s">
        <v>784</v>
      </c>
      <c r="D1782" s="35">
        <v>2022</v>
      </c>
      <c r="E1782" t="s">
        <v>417</v>
      </c>
      <c r="F1782" t="s">
        <v>25</v>
      </c>
      <c r="G1782" t="s">
        <v>45</v>
      </c>
      <c r="H1782" s="92" t="s">
        <v>965</v>
      </c>
      <c r="I1782">
        <v>1</v>
      </c>
      <c r="J1782" s="46">
        <v>1390</v>
      </c>
      <c r="K1782" s="50" t="s">
        <v>1080</v>
      </c>
      <c r="L1782" s="46">
        <v>1390</v>
      </c>
      <c r="M1782" s="46"/>
      <c r="N1782" s="46">
        <v>1390</v>
      </c>
      <c r="P1782" t="s">
        <v>889</v>
      </c>
    </row>
    <row r="1783" spans="2:16" x14ac:dyDescent="0.25">
      <c r="B1783" s="5">
        <v>44635</v>
      </c>
      <c r="C1783" s="5" t="s">
        <v>784</v>
      </c>
      <c r="D1783" s="35">
        <v>2022</v>
      </c>
      <c r="E1783" t="s">
        <v>417</v>
      </c>
      <c r="F1783" t="s">
        <v>25</v>
      </c>
      <c r="G1783" t="s">
        <v>1107</v>
      </c>
      <c r="H1783" s="92" t="s">
        <v>965</v>
      </c>
      <c r="I1783">
        <v>1</v>
      </c>
      <c r="J1783" s="46">
        <v>1810</v>
      </c>
      <c r="K1783" s="50" t="s">
        <v>1080</v>
      </c>
      <c r="L1783" s="46">
        <v>1810</v>
      </c>
      <c r="M1783" s="46"/>
    </row>
    <row r="1784" spans="2:16" x14ac:dyDescent="0.25">
      <c r="B1784" s="5">
        <v>44635</v>
      </c>
      <c r="C1784" s="5" t="s">
        <v>784</v>
      </c>
      <c r="D1784" s="35">
        <v>2022</v>
      </c>
      <c r="E1784" t="s">
        <v>417</v>
      </c>
      <c r="F1784" t="s">
        <v>517</v>
      </c>
      <c r="G1784" t="s">
        <v>45</v>
      </c>
      <c r="H1784" s="92" t="s">
        <v>965</v>
      </c>
      <c r="I1784">
        <v>1</v>
      </c>
      <c r="J1784" s="46">
        <v>1390</v>
      </c>
      <c r="K1784" s="50" t="s">
        <v>1080</v>
      </c>
      <c r="L1784" s="46">
        <v>1390</v>
      </c>
      <c r="M1784" s="46"/>
    </row>
    <row r="1785" spans="2:16" x14ac:dyDescent="0.25">
      <c r="B1785" s="5">
        <v>44635</v>
      </c>
      <c r="C1785" s="5" t="s">
        <v>784</v>
      </c>
      <c r="D1785" s="35">
        <v>2022</v>
      </c>
      <c r="E1785" t="s">
        <v>417</v>
      </c>
      <c r="F1785" t="s">
        <v>904</v>
      </c>
      <c r="G1785" t="s">
        <v>126</v>
      </c>
      <c r="H1785" s="92" t="s">
        <v>965</v>
      </c>
      <c r="I1785">
        <v>1</v>
      </c>
      <c r="J1785" s="46">
        <v>1410</v>
      </c>
      <c r="K1785" s="50" t="s">
        <v>1080</v>
      </c>
      <c r="L1785" s="46">
        <v>1410</v>
      </c>
      <c r="M1785" s="46"/>
    </row>
    <row r="1786" spans="2:16" x14ac:dyDescent="0.25">
      <c r="B1786" s="5">
        <v>44635</v>
      </c>
      <c r="C1786" s="5" t="s">
        <v>784</v>
      </c>
      <c r="D1786" s="35">
        <v>2022</v>
      </c>
      <c r="E1786" t="s">
        <v>417</v>
      </c>
      <c r="F1786" t="s">
        <v>1106</v>
      </c>
      <c r="G1786" t="s">
        <v>880</v>
      </c>
      <c r="H1786" s="92" t="s">
        <v>977</v>
      </c>
      <c r="I1786">
        <v>1</v>
      </c>
      <c r="J1786" s="46">
        <v>1510</v>
      </c>
      <c r="K1786" s="50" t="s">
        <v>1080</v>
      </c>
      <c r="L1786" s="46">
        <v>1510</v>
      </c>
      <c r="M1786" s="46"/>
    </row>
    <row r="1787" spans="2:16" x14ac:dyDescent="0.25">
      <c r="B1787" s="5">
        <v>44635</v>
      </c>
      <c r="C1787" s="5" t="s">
        <v>784</v>
      </c>
      <c r="D1787" s="35">
        <v>2022</v>
      </c>
      <c r="E1787" t="s">
        <v>417</v>
      </c>
      <c r="F1787" t="s">
        <v>941</v>
      </c>
      <c r="G1787" t="s">
        <v>123</v>
      </c>
      <c r="H1787" s="92" t="s">
        <v>966</v>
      </c>
      <c r="I1787">
        <v>1</v>
      </c>
      <c r="J1787" s="46">
        <v>1810</v>
      </c>
      <c r="K1787" s="50" t="s">
        <v>1080</v>
      </c>
      <c r="L1787" s="46">
        <v>1810</v>
      </c>
      <c r="M1787" s="46"/>
    </row>
    <row r="1788" spans="2:16" x14ac:dyDescent="0.25">
      <c r="B1788" s="5">
        <v>44635</v>
      </c>
      <c r="C1788" s="5" t="s">
        <v>784</v>
      </c>
      <c r="D1788" s="35">
        <v>2022</v>
      </c>
      <c r="E1788" t="s">
        <v>417</v>
      </c>
      <c r="F1788" t="s">
        <v>1078</v>
      </c>
      <c r="G1788" t="s">
        <v>247</v>
      </c>
      <c r="H1788" s="92" t="s">
        <v>966</v>
      </c>
      <c r="I1788">
        <v>1</v>
      </c>
      <c r="J1788" s="46">
        <v>1830</v>
      </c>
      <c r="K1788" s="50" t="s">
        <v>1080</v>
      </c>
      <c r="L1788" s="46">
        <v>1830</v>
      </c>
      <c r="M1788" s="46"/>
    </row>
    <row r="1789" spans="2:16" x14ac:dyDescent="0.25">
      <c r="B1789" s="5">
        <v>44635</v>
      </c>
      <c r="C1789" s="5" t="s">
        <v>784</v>
      </c>
      <c r="D1789" s="35">
        <v>2022</v>
      </c>
      <c r="E1789" t="s">
        <v>417</v>
      </c>
      <c r="F1789" t="s">
        <v>941</v>
      </c>
      <c r="G1789" t="s">
        <v>45</v>
      </c>
      <c r="H1789" s="92" t="s">
        <v>965</v>
      </c>
      <c r="I1789">
        <v>2</v>
      </c>
      <c r="J1789" s="46">
        <v>2780</v>
      </c>
      <c r="K1789" s="50" t="s">
        <v>1080</v>
      </c>
      <c r="L1789" s="46">
        <v>2780</v>
      </c>
      <c r="M1789" s="46"/>
    </row>
    <row r="1790" spans="2:16" x14ac:dyDescent="0.25">
      <c r="B1790" s="5">
        <v>44635</v>
      </c>
      <c r="C1790" s="5" t="s">
        <v>784</v>
      </c>
      <c r="D1790" s="35">
        <v>2022</v>
      </c>
      <c r="E1790" t="s">
        <v>445</v>
      </c>
      <c r="F1790" t="s">
        <v>1108</v>
      </c>
      <c r="G1790" t="s">
        <v>509</v>
      </c>
      <c r="H1790" s="92" t="s">
        <v>977</v>
      </c>
      <c r="I1790">
        <v>2</v>
      </c>
      <c r="J1790" s="46">
        <v>260</v>
      </c>
      <c r="K1790" s="50" t="s">
        <v>1080</v>
      </c>
      <c r="L1790" s="46">
        <v>260</v>
      </c>
      <c r="M1790" s="46"/>
      <c r="N1790" s="46">
        <v>260</v>
      </c>
      <c r="P1790" t="s">
        <v>1120</v>
      </c>
    </row>
    <row r="1791" spans="2:16" x14ac:dyDescent="0.25">
      <c r="B1791" s="5">
        <v>44635</v>
      </c>
      <c r="C1791" s="5" t="s">
        <v>784</v>
      </c>
      <c r="D1791" s="35">
        <v>2022</v>
      </c>
      <c r="E1791" t="s">
        <v>445</v>
      </c>
      <c r="F1791" t="s">
        <v>994</v>
      </c>
      <c r="G1791" t="s">
        <v>269</v>
      </c>
      <c r="H1791" s="92" t="s">
        <v>983</v>
      </c>
      <c r="I1791">
        <v>1</v>
      </c>
      <c r="J1791" s="46">
        <v>315</v>
      </c>
      <c r="K1791" s="50" t="s">
        <v>1080</v>
      </c>
      <c r="L1791" s="46">
        <v>315</v>
      </c>
      <c r="M1791" s="46"/>
    </row>
    <row r="1792" spans="2:16" x14ac:dyDescent="0.25">
      <c r="B1792" s="5">
        <v>44635</v>
      </c>
      <c r="C1792" s="5" t="s">
        <v>784</v>
      </c>
      <c r="D1792" s="35">
        <v>2022</v>
      </c>
      <c r="E1792" t="s">
        <v>445</v>
      </c>
      <c r="F1792" t="s">
        <v>1108</v>
      </c>
      <c r="G1792" t="s">
        <v>269</v>
      </c>
      <c r="H1792" s="92" t="s">
        <v>983</v>
      </c>
      <c r="I1792">
        <v>1</v>
      </c>
      <c r="J1792" s="46">
        <v>315</v>
      </c>
      <c r="K1792" s="50" t="s">
        <v>1080</v>
      </c>
      <c r="L1792" s="46">
        <v>315</v>
      </c>
      <c r="M1792" s="46"/>
    </row>
    <row r="1793" spans="2:16" x14ac:dyDescent="0.25">
      <c r="B1793" s="5">
        <v>44635</v>
      </c>
      <c r="C1793" s="5" t="s">
        <v>784</v>
      </c>
      <c r="D1793" s="35">
        <v>2022</v>
      </c>
      <c r="E1793" t="s">
        <v>445</v>
      </c>
      <c r="F1793" t="s">
        <v>819</v>
      </c>
      <c r="G1793" t="s">
        <v>45</v>
      </c>
      <c r="H1793" s="92" t="s">
        <v>965</v>
      </c>
      <c r="I1793">
        <v>1</v>
      </c>
      <c r="J1793" s="46">
        <v>1390</v>
      </c>
      <c r="K1793" s="50" t="s">
        <v>1080</v>
      </c>
      <c r="L1793" s="46">
        <v>1390</v>
      </c>
      <c r="M1793" s="46"/>
    </row>
    <row r="1794" spans="2:16" x14ac:dyDescent="0.25">
      <c r="B1794" s="5">
        <v>44635</v>
      </c>
      <c r="C1794" s="5" t="s">
        <v>784</v>
      </c>
      <c r="D1794" s="35">
        <v>2022</v>
      </c>
      <c r="E1794" t="s">
        <v>445</v>
      </c>
      <c r="F1794" t="s">
        <v>819</v>
      </c>
      <c r="G1794" t="s">
        <v>126</v>
      </c>
      <c r="H1794" s="92" t="s">
        <v>965</v>
      </c>
      <c r="I1794">
        <v>1</v>
      </c>
      <c r="J1794" s="46">
        <v>1410</v>
      </c>
      <c r="K1794" s="50" t="s">
        <v>1080</v>
      </c>
      <c r="L1794" s="46">
        <v>1410</v>
      </c>
      <c r="M1794" s="46"/>
    </row>
    <row r="1795" spans="2:16" x14ac:dyDescent="0.25">
      <c r="B1795" s="5">
        <v>44635</v>
      </c>
      <c r="C1795" s="5" t="s">
        <v>784</v>
      </c>
      <c r="D1795" s="35">
        <v>2022</v>
      </c>
      <c r="E1795" t="s">
        <v>445</v>
      </c>
      <c r="F1795" t="s">
        <v>883</v>
      </c>
      <c r="G1795" t="s">
        <v>451</v>
      </c>
      <c r="H1795" s="92" t="s">
        <v>977</v>
      </c>
      <c r="I1795">
        <v>1</v>
      </c>
      <c r="J1795" s="46">
        <v>1510</v>
      </c>
      <c r="K1795" s="50" t="s">
        <v>1080</v>
      </c>
      <c r="L1795" s="46">
        <v>1510</v>
      </c>
      <c r="M1795" s="46"/>
    </row>
    <row r="1796" spans="2:16" x14ac:dyDescent="0.25">
      <c r="B1796" s="5">
        <v>44635</v>
      </c>
      <c r="C1796" s="5" t="s">
        <v>784</v>
      </c>
      <c r="D1796" s="35">
        <v>2022</v>
      </c>
      <c r="E1796" t="s">
        <v>445</v>
      </c>
      <c r="F1796" t="s">
        <v>907</v>
      </c>
      <c r="G1796" t="s">
        <v>58</v>
      </c>
      <c r="H1796" s="92" t="s">
        <v>969</v>
      </c>
      <c r="I1796">
        <v>1</v>
      </c>
      <c r="J1796" s="46">
        <v>2500</v>
      </c>
      <c r="K1796" s="50" t="s">
        <v>1080</v>
      </c>
      <c r="L1796" s="46">
        <v>2500</v>
      </c>
      <c r="M1796" s="46"/>
      <c r="N1796" s="46">
        <v>2500</v>
      </c>
      <c r="P1796" t="s">
        <v>1119</v>
      </c>
    </row>
    <row r="1797" spans="2:16" x14ac:dyDescent="0.25">
      <c r="B1797" s="5">
        <v>44635</v>
      </c>
      <c r="C1797" s="5" t="s">
        <v>784</v>
      </c>
      <c r="D1797" s="35">
        <v>2022</v>
      </c>
      <c r="E1797" t="s">
        <v>22</v>
      </c>
      <c r="F1797" t="s">
        <v>1109</v>
      </c>
      <c r="G1797" t="s">
        <v>1111</v>
      </c>
      <c r="H1797" s="92" t="s">
        <v>977</v>
      </c>
      <c r="I1797">
        <v>8</v>
      </c>
      <c r="J1797" s="46">
        <v>12080</v>
      </c>
      <c r="K1797" s="50" t="s">
        <v>1080</v>
      </c>
      <c r="L1797" s="46">
        <v>6040</v>
      </c>
      <c r="M1797" s="46">
        <v>6040</v>
      </c>
      <c r="O1797" t="s">
        <v>1122</v>
      </c>
    </row>
    <row r="1798" spans="2:16" x14ac:dyDescent="0.25">
      <c r="B1798" s="5">
        <v>44635</v>
      </c>
      <c r="C1798" s="5" t="s">
        <v>784</v>
      </c>
      <c r="D1798" s="35">
        <v>2022</v>
      </c>
      <c r="E1798" t="s">
        <v>22</v>
      </c>
      <c r="G1798" t="s">
        <v>58</v>
      </c>
      <c r="H1798" s="92" t="s">
        <v>969</v>
      </c>
      <c r="I1798">
        <v>1</v>
      </c>
      <c r="J1798" s="46">
        <v>2500</v>
      </c>
      <c r="K1798" s="50" t="s">
        <v>1080</v>
      </c>
      <c r="L1798" s="46">
        <v>2500</v>
      </c>
      <c r="M1798" s="46"/>
    </row>
    <row r="1799" spans="2:16" x14ac:dyDescent="0.25">
      <c r="B1799" s="5">
        <v>44635</v>
      </c>
      <c r="C1799" s="5" t="s">
        <v>784</v>
      </c>
      <c r="D1799" s="35">
        <v>2022</v>
      </c>
      <c r="E1799" t="s">
        <v>22</v>
      </c>
      <c r="G1799" t="s">
        <v>1121</v>
      </c>
      <c r="H1799" s="92" t="s">
        <v>969</v>
      </c>
      <c r="I1799">
        <v>1</v>
      </c>
      <c r="J1799" s="46">
        <v>5550</v>
      </c>
      <c r="K1799" s="50" t="s">
        <v>1080</v>
      </c>
      <c r="L1799" s="46">
        <v>5550</v>
      </c>
      <c r="M1799" s="46"/>
    </row>
    <row r="1800" spans="2:16" x14ac:dyDescent="0.25">
      <c r="B1800" s="5">
        <v>44635</v>
      </c>
      <c r="C1800" s="5" t="s">
        <v>784</v>
      </c>
      <c r="D1800" s="35">
        <v>2022</v>
      </c>
      <c r="E1800" t="s">
        <v>22</v>
      </c>
      <c r="G1800" t="s">
        <v>128</v>
      </c>
      <c r="H1800" s="92" t="s">
        <v>965</v>
      </c>
      <c r="I1800">
        <v>1</v>
      </c>
      <c r="J1800" s="46">
        <v>1240</v>
      </c>
      <c r="K1800" s="50" t="s">
        <v>1080</v>
      </c>
      <c r="L1800" s="46">
        <v>1240</v>
      </c>
      <c r="M1800" s="46"/>
    </row>
    <row r="1801" spans="2:16" x14ac:dyDescent="0.25">
      <c r="B1801" s="5">
        <v>44635</v>
      </c>
      <c r="C1801" s="5" t="s">
        <v>784</v>
      </c>
      <c r="D1801" s="35">
        <v>2022</v>
      </c>
      <c r="E1801" t="s">
        <v>22</v>
      </c>
      <c r="F1801" t="s">
        <v>1110</v>
      </c>
      <c r="G1801" t="s">
        <v>269</v>
      </c>
      <c r="H1801" s="92" t="s">
        <v>983</v>
      </c>
      <c r="I1801">
        <v>2</v>
      </c>
      <c r="J1801" s="46">
        <v>630</v>
      </c>
      <c r="K1801" s="50" t="s">
        <v>1080</v>
      </c>
      <c r="L1801" s="46">
        <v>630</v>
      </c>
      <c r="M1801" s="46"/>
    </row>
    <row r="1802" spans="2:16" x14ac:dyDescent="0.25">
      <c r="B1802" s="5">
        <v>44636</v>
      </c>
      <c r="C1802" s="5" t="s">
        <v>784</v>
      </c>
      <c r="D1802" s="35">
        <v>2022</v>
      </c>
      <c r="E1802" t="s">
        <v>22</v>
      </c>
      <c r="F1802" t="s">
        <v>377</v>
      </c>
      <c r="G1802" t="s">
        <v>128</v>
      </c>
      <c r="H1802" s="92" t="s">
        <v>965</v>
      </c>
      <c r="I1802">
        <v>1</v>
      </c>
      <c r="J1802" s="46">
        <v>1240</v>
      </c>
      <c r="K1802" s="50" t="s">
        <v>1080</v>
      </c>
      <c r="L1802" s="46"/>
      <c r="M1802" s="46"/>
    </row>
    <row r="1803" spans="2:16" x14ac:dyDescent="0.25">
      <c r="B1803" s="5">
        <v>44636</v>
      </c>
      <c r="C1803" s="5" t="s">
        <v>784</v>
      </c>
      <c r="D1803" s="35">
        <v>2022</v>
      </c>
      <c r="E1803" t="s">
        <v>22</v>
      </c>
      <c r="F1803" t="s">
        <v>237</v>
      </c>
      <c r="G1803" t="s">
        <v>128</v>
      </c>
      <c r="H1803" s="92" t="s">
        <v>965</v>
      </c>
      <c r="I1803">
        <v>1</v>
      </c>
      <c r="J1803" s="46">
        <v>1240</v>
      </c>
      <c r="K1803" s="50" t="s">
        <v>1080</v>
      </c>
      <c r="L1803" s="46"/>
      <c r="M1803" s="46"/>
    </row>
    <row r="1804" spans="2:16" x14ac:dyDescent="0.25">
      <c r="B1804" s="5">
        <v>44636</v>
      </c>
      <c r="C1804" s="5" t="s">
        <v>784</v>
      </c>
      <c r="D1804" s="35">
        <v>2022</v>
      </c>
      <c r="E1804" t="s">
        <v>22</v>
      </c>
      <c r="F1804" t="s">
        <v>236</v>
      </c>
      <c r="G1804" t="s">
        <v>128</v>
      </c>
      <c r="H1804" s="92" t="s">
        <v>965</v>
      </c>
      <c r="I1804">
        <v>1</v>
      </c>
      <c r="J1804" s="46">
        <v>1240</v>
      </c>
      <c r="K1804" s="50" t="s">
        <v>1080</v>
      </c>
      <c r="L1804" s="46"/>
      <c r="M1804" s="46"/>
    </row>
    <row r="1805" spans="2:16" x14ac:dyDescent="0.25">
      <c r="B1805" s="5">
        <v>44636</v>
      </c>
      <c r="C1805" s="5" t="s">
        <v>784</v>
      </c>
      <c r="D1805" s="35">
        <v>2022</v>
      </c>
      <c r="E1805" t="s">
        <v>22</v>
      </c>
      <c r="F1805" t="s">
        <v>237</v>
      </c>
      <c r="G1805" t="s">
        <v>1112</v>
      </c>
      <c r="H1805" s="92" t="s">
        <v>975</v>
      </c>
      <c r="I1805">
        <v>1</v>
      </c>
      <c r="J1805" s="46">
        <v>1258</v>
      </c>
      <c r="K1805" s="50" t="s">
        <v>1080</v>
      </c>
      <c r="L1805" s="46"/>
      <c r="M1805" s="46"/>
    </row>
    <row r="1806" spans="2:16" x14ac:dyDescent="0.25">
      <c r="B1806" s="5">
        <v>44636</v>
      </c>
      <c r="C1806" s="5" t="s">
        <v>784</v>
      </c>
      <c r="D1806" s="35">
        <v>2022</v>
      </c>
      <c r="E1806" t="s">
        <v>22</v>
      </c>
      <c r="F1806" t="s">
        <v>236</v>
      </c>
      <c r="G1806" t="s">
        <v>126</v>
      </c>
      <c r="H1806" s="92" t="s">
        <v>965</v>
      </c>
      <c r="I1806">
        <v>1</v>
      </c>
      <c r="J1806" s="46">
        <v>1410</v>
      </c>
      <c r="K1806" s="50" t="s">
        <v>1080</v>
      </c>
      <c r="L1806" s="46"/>
      <c r="M1806" s="46"/>
    </row>
    <row r="1807" spans="2:16" x14ac:dyDescent="0.25">
      <c r="B1807" s="5">
        <v>44636</v>
      </c>
      <c r="C1807" s="5" t="s">
        <v>784</v>
      </c>
      <c r="D1807" s="35">
        <v>2022</v>
      </c>
      <c r="E1807" t="s">
        <v>22</v>
      </c>
      <c r="F1807" t="s">
        <v>133</v>
      </c>
      <c r="G1807" t="s">
        <v>123</v>
      </c>
      <c r="H1807" s="92" t="s">
        <v>966</v>
      </c>
      <c r="I1807">
        <v>1</v>
      </c>
      <c r="J1807" s="46">
        <v>1810</v>
      </c>
      <c r="K1807" s="50" t="s">
        <v>1080</v>
      </c>
      <c r="L1807" s="46"/>
      <c r="M1807" s="46"/>
    </row>
    <row r="1808" spans="2:16" x14ac:dyDescent="0.25">
      <c r="B1808" s="5">
        <v>44636</v>
      </c>
      <c r="C1808" s="5" t="s">
        <v>784</v>
      </c>
      <c r="D1808" s="35">
        <v>2022</v>
      </c>
      <c r="E1808" t="s">
        <v>22</v>
      </c>
      <c r="F1808" t="s">
        <v>376</v>
      </c>
      <c r="G1808" t="s">
        <v>123</v>
      </c>
      <c r="H1808" s="92" t="s">
        <v>966</v>
      </c>
      <c r="I1808">
        <v>1</v>
      </c>
      <c r="J1808" s="46">
        <v>1810</v>
      </c>
      <c r="K1808" s="50" t="s">
        <v>1080</v>
      </c>
      <c r="L1808" s="46"/>
      <c r="M1808" s="46"/>
    </row>
    <row r="1809" spans="2:13" x14ac:dyDescent="0.25">
      <c r="B1809" s="5">
        <v>44636</v>
      </c>
      <c r="C1809" s="5" t="s">
        <v>784</v>
      </c>
      <c r="D1809" s="35">
        <v>2022</v>
      </c>
      <c r="E1809" t="s">
        <v>22</v>
      </c>
      <c r="F1809" t="s">
        <v>309</v>
      </c>
      <c r="G1809" t="s">
        <v>247</v>
      </c>
      <c r="H1809" s="92" t="s">
        <v>966</v>
      </c>
      <c r="I1809">
        <v>1</v>
      </c>
      <c r="J1809" s="46">
        <v>1830</v>
      </c>
      <c r="K1809" s="50" t="s">
        <v>1080</v>
      </c>
      <c r="L1809" s="46"/>
      <c r="M1809" s="46"/>
    </row>
    <row r="1810" spans="2:13" x14ac:dyDescent="0.25">
      <c r="B1810" s="5">
        <v>44636</v>
      </c>
      <c r="C1810" s="5" t="s">
        <v>784</v>
      </c>
      <c r="D1810" s="35">
        <v>2022</v>
      </c>
      <c r="E1810" t="s">
        <v>22</v>
      </c>
      <c r="F1810" t="s">
        <v>236</v>
      </c>
      <c r="G1810" t="s">
        <v>247</v>
      </c>
      <c r="H1810" s="92" t="s">
        <v>966</v>
      </c>
      <c r="I1810">
        <v>1</v>
      </c>
      <c r="J1810" s="46">
        <v>1830</v>
      </c>
      <c r="K1810" s="50" t="s">
        <v>1080</v>
      </c>
      <c r="L1810" s="46"/>
      <c r="M1810" s="46"/>
    </row>
    <row r="1811" spans="2:13" x14ac:dyDescent="0.25">
      <c r="B1811" s="5">
        <v>44636</v>
      </c>
      <c r="C1811" s="5" t="s">
        <v>784</v>
      </c>
      <c r="D1811" s="35">
        <v>2022</v>
      </c>
      <c r="E1811" t="s">
        <v>22</v>
      </c>
      <c r="F1811" t="s">
        <v>132</v>
      </c>
      <c r="G1811" t="s">
        <v>1113</v>
      </c>
      <c r="H1811" s="92" t="s">
        <v>969</v>
      </c>
      <c r="I1811">
        <v>1</v>
      </c>
      <c r="J1811" s="46">
        <v>2450</v>
      </c>
      <c r="K1811" s="50" t="s">
        <v>1080</v>
      </c>
      <c r="L1811" s="46"/>
      <c r="M1811" s="46"/>
    </row>
    <row r="1812" spans="2:13" x14ac:dyDescent="0.25">
      <c r="B1812" s="5">
        <v>44636</v>
      </c>
      <c r="C1812" s="5" t="s">
        <v>784</v>
      </c>
      <c r="D1812" s="35">
        <v>2022</v>
      </c>
      <c r="E1812" t="s">
        <v>22</v>
      </c>
      <c r="F1812" t="s">
        <v>132</v>
      </c>
      <c r="G1812" t="s">
        <v>58</v>
      </c>
      <c r="H1812" s="92" t="s">
        <v>969</v>
      </c>
      <c r="I1812">
        <v>1</v>
      </c>
      <c r="J1812" s="46">
        <v>2500</v>
      </c>
      <c r="K1812" s="50" t="s">
        <v>1080</v>
      </c>
      <c r="L1812" s="46"/>
      <c r="M1812" s="46"/>
    </row>
    <row r="1813" spans="2:13" x14ac:dyDescent="0.25">
      <c r="B1813" s="5">
        <v>44636</v>
      </c>
      <c r="C1813" s="5" t="s">
        <v>784</v>
      </c>
      <c r="D1813" s="35">
        <v>2022</v>
      </c>
      <c r="E1813" t="s">
        <v>356</v>
      </c>
      <c r="F1813" t="s">
        <v>1114</v>
      </c>
      <c r="G1813" t="s">
        <v>269</v>
      </c>
      <c r="H1813" s="92" t="s">
        <v>983</v>
      </c>
      <c r="I1813">
        <v>1</v>
      </c>
      <c r="J1813" s="46">
        <v>315</v>
      </c>
      <c r="K1813" s="50" t="s">
        <v>1080</v>
      </c>
      <c r="L1813" s="46"/>
      <c r="M1813" s="46"/>
    </row>
    <row r="1814" spans="2:13" x14ac:dyDescent="0.25">
      <c r="B1814" s="5">
        <v>44636</v>
      </c>
      <c r="C1814" s="5" t="s">
        <v>784</v>
      </c>
      <c r="D1814" s="35">
        <v>2022</v>
      </c>
      <c r="E1814" t="s">
        <v>356</v>
      </c>
      <c r="F1814" t="s">
        <v>1102</v>
      </c>
      <c r="G1814" t="s">
        <v>283</v>
      </c>
      <c r="H1814" s="92" t="s">
        <v>983</v>
      </c>
      <c r="I1814">
        <v>1</v>
      </c>
      <c r="J1814" s="46">
        <v>535</v>
      </c>
      <c r="K1814" s="50" t="s">
        <v>1080</v>
      </c>
      <c r="L1814" s="46"/>
      <c r="M1814" s="46"/>
    </row>
    <row r="1815" spans="2:13" x14ac:dyDescent="0.25">
      <c r="B1815" s="5">
        <v>44636</v>
      </c>
      <c r="C1815" s="5" t="s">
        <v>784</v>
      </c>
      <c r="D1815" s="35">
        <v>2022</v>
      </c>
      <c r="E1815" t="s">
        <v>356</v>
      </c>
      <c r="F1815" t="s">
        <v>1102</v>
      </c>
      <c r="G1815" t="s">
        <v>451</v>
      </c>
      <c r="H1815" s="92" t="s">
        <v>977</v>
      </c>
      <c r="I1815">
        <v>1</v>
      </c>
      <c r="J1815" s="46">
        <v>1510</v>
      </c>
      <c r="K1815" s="50" t="s">
        <v>1080</v>
      </c>
      <c r="L1815" s="46"/>
      <c r="M1815" s="46"/>
    </row>
    <row r="1816" spans="2:13" x14ac:dyDescent="0.25">
      <c r="B1816" s="5">
        <v>44636</v>
      </c>
      <c r="C1816" s="5" t="s">
        <v>784</v>
      </c>
      <c r="D1816" s="35">
        <v>2022</v>
      </c>
      <c r="E1816" t="s">
        <v>356</v>
      </c>
      <c r="F1816" t="s">
        <v>429</v>
      </c>
      <c r="G1816" t="s">
        <v>123</v>
      </c>
      <c r="H1816" s="92" t="s">
        <v>966</v>
      </c>
      <c r="I1816">
        <v>1</v>
      </c>
      <c r="J1816" s="46">
        <v>1810</v>
      </c>
      <c r="K1816" s="50" t="s">
        <v>1080</v>
      </c>
      <c r="L1816" s="46"/>
      <c r="M1816" s="46"/>
    </row>
    <row r="1817" spans="2:13" x14ac:dyDescent="0.25">
      <c r="B1817" s="5">
        <v>44636</v>
      </c>
      <c r="C1817" s="5" t="s">
        <v>784</v>
      </c>
      <c r="D1817" s="35">
        <v>2022</v>
      </c>
      <c r="E1817" t="s">
        <v>356</v>
      </c>
      <c r="F1817" t="s">
        <v>504</v>
      </c>
      <c r="G1817" t="s">
        <v>1040</v>
      </c>
      <c r="H1817" s="92" t="s">
        <v>966</v>
      </c>
      <c r="I1817">
        <v>1</v>
      </c>
      <c r="J1817" s="46">
        <v>2085</v>
      </c>
      <c r="K1817" s="50" t="s">
        <v>1080</v>
      </c>
      <c r="L1817" s="46"/>
      <c r="M1817" s="46"/>
    </row>
    <row r="1818" spans="2:13" x14ac:dyDescent="0.25">
      <c r="B1818" s="5">
        <v>44636</v>
      </c>
      <c r="C1818" s="5" t="s">
        <v>784</v>
      </c>
      <c r="D1818" s="35">
        <v>2022</v>
      </c>
      <c r="E1818" t="s">
        <v>356</v>
      </c>
      <c r="F1818" t="s">
        <v>138</v>
      </c>
      <c r="G1818" t="s">
        <v>45</v>
      </c>
      <c r="H1818" s="92" t="s">
        <v>965</v>
      </c>
      <c r="I1818">
        <v>3</v>
      </c>
      <c r="J1818" s="46">
        <v>4170</v>
      </c>
      <c r="K1818" s="50" t="s">
        <v>1080</v>
      </c>
      <c r="L1818" s="46"/>
      <c r="M1818" s="46"/>
    </row>
    <row r="1819" spans="2:13" x14ac:dyDescent="0.25">
      <c r="B1819" s="5">
        <v>44636</v>
      </c>
      <c r="C1819" s="5" t="s">
        <v>784</v>
      </c>
      <c r="D1819" s="35">
        <v>2022</v>
      </c>
      <c r="E1819" t="s">
        <v>900</v>
      </c>
      <c r="F1819" t="s">
        <v>878</v>
      </c>
      <c r="G1819" t="s">
        <v>269</v>
      </c>
      <c r="H1819" s="92" t="s">
        <v>983</v>
      </c>
      <c r="I1819">
        <v>1</v>
      </c>
      <c r="J1819" s="46">
        <v>315</v>
      </c>
      <c r="K1819" s="50" t="s">
        <v>1080</v>
      </c>
      <c r="L1819" s="46"/>
      <c r="M1819" s="46"/>
    </row>
    <row r="1820" spans="2:13" x14ac:dyDescent="0.25">
      <c r="B1820" s="5">
        <v>44636</v>
      </c>
      <c r="C1820" s="5" t="s">
        <v>784</v>
      </c>
      <c r="D1820" s="35">
        <v>2022</v>
      </c>
      <c r="E1820" t="s">
        <v>900</v>
      </c>
      <c r="F1820" t="s">
        <v>1082</v>
      </c>
      <c r="G1820" t="s">
        <v>269</v>
      </c>
      <c r="H1820" s="92" t="s">
        <v>983</v>
      </c>
      <c r="I1820">
        <v>1</v>
      </c>
      <c r="J1820" s="46">
        <v>315</v>
      </c>
      <c r="K1820" s="50" t="s">
        <v>1080</v>
      </c>
      <c r="L1820" s="46"/>
      <c r="M1820" s="46"/>
    </row>
    <row r="1821" spans="2:13" x14ac:dyDescent="0.25">
      <c r="B1821" s="5">
        <v>44636</v>
      </c>
      <c r="C1821" s="5" t="s">
        <v>784</v>
      </c>
      <c r="D1821" s="35">
        <v>2022</v>
      </c>
      <c r="E1821" t="s">
        <v>900</v>
      </c>
      <c r="F1821" t="s">
        <v>878</v>
      </c>
      <c r="G1821" t="s">
        <v>283</v>
      </c>
      <c r="H1821" s="92" t="s">
        <v>983</v>
      </c>
      <c r="I1821">
        <v>1</v>
      </c>
      <c r="J1821" s="46">
        <v>535</v>
      </c>
      <c r="K1821" s="50" t="s">
        <v>1080</v>
      </c>
      <c r="L1821" s="46"/>
      <c r="M1821" s="46"/>
    </row>
    <row r="1822" spans="2:13" x14ac:dyDescent="0.25">
      <c r="B1822" s="5">
        <v>44636</v>
      </c>
      <c r="C1822" s="5" t="s">
        <v>784</v>
      </c>
      <c r="D1822" s="35">
        <v>2022</v>
      </c>
      <c r="E1822" t="s">
        <v>900</v>
      </c>
      <c r="F1822" t="s">
        <v>1082</v>
      </c>
      <c r="G1822" t="s">
        <v>283</v>
      </c>
      <c r="H1822" s="92" t="s">
        <v>983</v>
      </c>
      <c r="I1822">
        <v>1</v>
      </c>
      <c r="J1822" s="46">
        <v>535</v>
      </c>
      <c r="K1822" s="50" t="s">
        <v>1080</v>
      </c>
      <c r="L1822" s="46"/>
      <c r="M1822" s="46"/>
    </row>
    <row r="1823" spans="2:13" x14ac:dyDescent="0.25">
      <c r="B1823" s="5">
        <v>44636</v>
      </c>
      <c r="C1823" s="5" t="s">
        <v>784</v>
      </c>
      <c r="D1823" s="35">
        <v>2022</v>
      </c>
      <c r="E1823" t="s">
        <v>900</v>
      </c>
      <c r="F1823" t="s">
        <v>1104</v>
      </c>
      <c r="G1823" t="s">
        <v>1115</v>
      </c>
      <c r="H1823" s="92" t="s">
        <v>969</v>
      </c>
      <c r="I1823">
        <v>1</v>
      </c>
      <c r="J1823" s="46">
        <v>1150</v>
      </c>
      <c r="K1823" s="50" t="s">
        <v>1080</v>
      </c>
      <c r="L1823" s="46"/>
      <c r="M1823" s="46"/>
    </row>
    <row r="1824" spans="2:13" x14ac:dyDescent="0.25">
      <c r="B1824" s="5">
        <v>44636</v>
      </c>
      <c r="C1824" s="5" t="s">
        <v>784</v>
      </c>
      <c r="D1824" s="35">
        <v>2022</v>
      </c>
      <c r="E1824" t="s">
        <v>900</v>
      </c>
      <c r="F1824" t="s">
        <v>806</v>
      </c>
      <c r="G1824" t="s">
        <v>1045</v>
      </c>
      <c r="H1824" s="92" t="s">
        <v>1054</v>
      </c>
      <c r="I1824">
        <v>1</v>
      </c>
      <c r="J1824" s="46">
        <v>1195</v>
      </c>
      <c r="K1824" s="50" t="s">
        <v>1080</v>
      </c>
      <c r="L1824" s="46"/>
      <c r="M1824" s="46"/>
    </row>
    <row r="1825" spans="2:13" x14ac:dyDescent="0.25">
      <c r="B1825" s="5">
        <v>44636</v>
      </c>
      <c r="C1825" s="5" t="s">
        <v>784</v>
      </c>
      <c r="D1825" s="35">
        <v>2022</v>
      </c>
      <c r="E1825" t="s">
        <v>900</v>
      </c>
      <c r="F1825" t="s">
        <v>806</v>
      </c>
      <c r="G1825" t="s">
        <v>1084</v>
      </c>
      <c r="H1825" s="92" t="s">
        <v>1054</v>
      </c>
      <c r="I1825">
        <v>1</v>
      </c>
      <c r="J1825" s="46">
        <v>1395</v>
      </c>
      <c r="K1825" s="50" t="s">
        <v>1080</v>
      </c>
      <c r="L1825" s="46"/>
      <c r="M1825" s="46"/>
    </row>
    <row r="1826" spans="2:13" x14ac:dyDescent="0.25">
      <c r="B1826" s="5">
        <v>44636</v>
      </c>
      <c r="C1826" s="5" t="s">
        <v>784</v>
      </c>
      <c r="D1826" s="35">
        <v>2022</v>
      </c>
      <c r="E1826" t="s">
        <v>900</v>
      </c>
      <c r="F1826" t="s">
        <v>700</v>
      </c>
      <c r="G1826" t="s">
        <v>880</v>
      </c>
      <c r="H1826" s="92" t="s">
        <v>977</v>
      </c>
      <c r="I1826">
        <v>1</v>
      </c>
      <c r="J1826" s="46">
        <v>1510</v>
      </c>
      <c r="K1826" s="50" t="s">
        <v>1080</v>
      </c>
      <c r="L1826" s="46"/>
      <c r="M1826" s="46"/>
    </row>
    <row r="1827" spans="2:13" x14ac:dyDescent="0.25">
      <c r="B1827" s="5">
        <v>44636</v>
      </c>
      <c r="C1827" s="5" t="s">
        <v>784</v>
      </c>
      <c r="D1827" s="35">
        <v>2022</v>
      </c>
      <c r="E1827" t="s">
        <v>900</v>
      </c>
      <c r="F1827" t="s">
        <v>44</v>
      </c>
      <c r="G1827" t="s">
        <v>1046</v>
      </c>
      <c r="H1827" s="92" t="s">
        <v>1054</v>
      </c>
      <c r="I1827">
        <v>1</v>
      </c>
      <c r="J1827" s="46">
        <v>1520</v>
      </c>
      <c r="K1827" s="50" t="s">
        <v>1080</v>
      </c>
      <c r="L1827" s="46"/>
      <c r="M1827" s="46"/>
    </row>
    <row r="1828" spans="2:13" x14ac:dyDescent="0.25">
      <c r="B1828" s="5">
        <v>44636</v>
      </c>
      <c r="C1828" s="5" t="s">
        <v>784</v>
      </c>
      <c r="D1828" s="35">
        <v>2022</v>
      </c>
      <c r="E1828" t="s">
        <v>900</v>
      </c>
      <c r="F1828" t="s">
        <v>834</v>
      </c>
      <c r="G1828" t="s">
        <v>838</v>
      </c>
      <c r="H1828" s="92" t="s">
        <v>967</v>
      </c>
      <c r="I1828">
        <v>1</v>
      </c>
      <c r="J1828" s="46">
        <v>2550</v>
      </c>
      <c r="K1828" s="50" t="s">
        <v>1080</v>
      </c>
      <c r="L1828" s="46"/>
      <c r="M1828" s="46"/>
    </row>
    <row r="1829" spans="2:13" x14ac:dyDescent="0.25">
      <c r="B1829" s="5">
        <v>44636</v>
      </c>
      <c r="C1829" s="5" t="s">
        <v>784</v>
      </c>
      <c r="D1829" s="35">
        <v>2022</v>
      </c>
      <c r="E1829" t="s">
        <v>458</v>
      </c>
      <c r="F1829" t="s">
        <v>822</v>
      </c>
      <c r="G1829" t="s">
        <v>1045</v>
      </c>
      <c r="H1829" s="92" t="s">
        <v>1054</v>
      </c>
      <c r="I1829">
        <v>1</v>
      </c>
      <c r="J1829" s="46">
        <v>1195</v>
      </c>
      <c r="K1829" s="50" t="s">
        <v>1080</v>
      </c>
      <c r="L1829" s="46"/>
      <c r="M1829" s="46"/>
    </row>
    <row r="1830" spans="2:13" x14ac:dyDescent="0.25">
      <c r="B1830" s="5">
        <v>44636</v>
      </c>
      <c r="C1830" s="5" t="s">
        <v>784</v>
      </c>
      <c r="D1830" s="35">
        <v>2022</v>
      </c>
      <c r="E1830" t="s">
        <v>458</v>
      </c>
      <c r="F1830" t="s">
        <v>30</v>
      </c>
      <c r="G1830" t="s">
        <v>1112</v>
      </c>
      <c r="H1830" s="92" t="s">
        <v>975</v>
      </c>
      <c r="I1830">
        <v>1</v>
      </c>
      <c r="J1830" s="46">
        <v>1258</v>
      </c>
      <c r="K1830" s="50" t="s">
        <v>1080</v>
      </c>
      <c r="L1830" s="46"/>
      <c r="M1830" s="46"/>
    </row>
    <row r="1831" spans="2:13" x14ac:dyDescent="0.25">
      <c r="B1831" s="5">
        <v>44636</v>
      </c>
      <c r="C1831" s="5" t="s">
        <v>784</v>
      </c>
      <c r="D1831" s="35">
        <v>2022</v>
      </c>
      <c r="E1831" t="s">
        <v>458</v>
      </c>
      <c r="F1831" t="s">
        <v>930</v>
      </c>
      <c r="G1831" t="s">
        <v>1046</v>
      </c>
      <c r="H1831" s="92" t="s">
        <v>1054</v>
      </c>
      <c r="I1831">
        <v>1</v>
      </c>
      <c r="J1831" s="46">
        <v>1520</v>
      </c>
      <c r="K1831" s="50" t="s">
        <v>1080</v>
      </c>
      <c r="L1831" s="46"/>
      <c r="M1831" s="46"/>
    </row>
    <row r="1832" spans="2:13" x14ac:dyDescent="0.25">
      <c r="B1832" s="5">
        <v>44636</v>
      </c>
      <c r="C1832" s="5" t="s">
        <v>784</v>
      </c>
      <c r="D1832" s="35">
        <v>2022</v>
      </c>
      <c r="E1832" t="s">
        <v>458</v>
      </c>
      <c r="F1832" t="s">
        <v>102</v>
      </c>
      <c r="G1832" t="s">
        <v>123</v>
      </c>
      <c r="H1832" s="92" t="s">
        <v>966</v>
      </c>
      <c r="I1832">
        <v>1</v>
      </c>
      <c r="J1832" s="46">
        <v>1810</v>
      </c>
      <c r="K1832" s="50" t="s">
        <v>1080</v>
      </c>
      <c r="L1832" s="46"/>
      <c r="M1832" s="46"/>
    </row>
    <row r="1833" spans="2:13" x14ac:dyDescent="0.25">
      <c r="B1833" s="5">
        <v>44636</v>
      </c>
      <c r="C1833" s="5" t="s">
        <v>784</v>
      </c>
      <c r="D1833" s="35">
        <v>2022</v>
      </c>
      <c r="E1833" t="s">
        <v>458</v>
      </c>
      <c r="F1833" t="s">
        <v>139</v>
      </c>
      <c r="G1833" t="s">
        <v>58</v>
      </c>
      <c r="H1833" s="92" t="s">
        <v>969</v>
      </c>
      <c r="I1833">
        <v>1</v>
      </c>
      <c r="J1833" s="46">
        <v>2500</v>
      </c>
      <c r="K1833" s="50" t="s">
        <v>1080</v>
      </c>
      <c r="L1833" s="46"/>
      <c r="M1833" s="46"/>
    </row>
    <row r="1834" spans="2:13" x14ac:dyDescent="0.25">
      <c r="B1834" s="5">
        <v>44636</v>
      </c>
      <c r="C1834" s="5" t="s">
        <v>784</v>
      </c>
      <c r="D1834" s="35">
        <v>2022</v>
      </c>
      <c r="E1834" t="s">
        <v>417</v>
      </c>
      <c r="F1834" t="s">
        <v>692</v>
      </c>
      <c r="G1834" t="s">
        <v>840</v>
      </c>
      <c r="H1834" s="92" t="s">
        <v>977</v>
      </c>
      <c r="I1834">
        <v>2</v>
      </c>
      <c r="J1834" s="46">
        <v>260</v>
      </c>
      <c r="K1834" s="50" t="s">
        <v>1080</v>
      </c>
      <c r="L1834" s="46"/>
      <c r="M1834" s="46"/>
    </row>
    <row r="1835" spans="2:13" x14ac:dyDescent="0.25">
      <c r="B1835" s="5">
        <v>44636</v>
      </c>
      <c r="C1835" s="5" t="s">
        <v>784</v>
      </c>
      <c r="D1835" s="35">
        <v>2022</v>
      </c>
      <c r="E1835" t="s">
        <v>417</v>
      </c>
      <c r="F1835" t="s">
        <v>702</v>
      </c>
      <c r="G1835" t="s">
        <v>128</v>
      </c>
      <c r="H1835" s="92" t="s">
        <v>965</v>
      </c>
      <c r="I1835">
        <v>1</v>
      </c>
      <c r="J1835" s="46">
        <v>1240</v>
      </c>
      <c r="K1835" s="50" t="s">
        <v>1080</v>
      </c>
      <c r="L1835" s="46"/>
      <c r="M1835" s="46"/>
    </row>
    <row r="1836" spans="2:13" x14ac:dyDescent="0.25">
      <c r="B1836" s="5">
        <v>44636</v>
      </c>
      <c r="C1836" s="5" t="s">
        <v>784</v>
      </c>
      <c r="D1836" s="35">
        <v>2022</v>
      </c>
      <c r="E1836" t="s">
        <v>417</v>
      </c>
      <c r="F1836" t="s">
        <v>25</v>
      </c>
      <c r="G1836" t="s">
        <v>123</v>
      </c>
      <c r="H1836" s="92" t="s">
        <v>966</v>
      </c>
      <c r="I1836">
        <v>1</v>
      </c>
      <c r="J1836" s="46">
        <v>1810</v>
      </c>
      <c r="K1836" s="50" t="s">
        <v>1080</v>
      </c>
      <c r="L1836" s="46"/>
      <c r="M1836" s="46"/>
    </row>
    <row r="1837" spans="2:13" x14ac:dyDescent="0.25">
      <c r="B1837" s="5">
        <v>44636</v>
      </c>
      <c r="C1837" s="5" t="s">
        <v>784</v>
      </c>
      <c r="D1837" s="35">
        <v>2022</v>
      </c>
      <c r="E1837" t="s">
        <v>417</v>
      </c>
      <c r="F1837" t="s">
        <v>1020</v>
      </c>
      <c r="G1837" t="s">
        <v>247</v>
      </c>
      <c r="H1837" s="92" t="s">
        <v>966</v>
      </c>
      <c r="I1837">
        <v>1</v>
      </c>
      <c r="J1837" s="46">
        <v>1830</v>
      </c>
      <c r="K1837" s="50" t="s">
        <v>1080</v>
      </c>
      <c r="L1837" s="46"/>
      <c r="M1837" s="46"/>
    </row>
    <row r="1838" spans="2:13" x14ac:dyDescent="0.25">
      <c r="B1838" s="5">
        <v>44636</v>
      </c>
      <c r="C1838" s="5" t="s">
        <v>784</v>
      </c>
      <c r="D1838" s="35">
        <v>2022</v>
      </c>
      <c r="E1838" t="s">
        <v>417</v>
      </c>
      <c r="F1838" t="s">
        <v>815</v>
      </c>
      <c r="G1838" t="s">
        <v>123</v>
      </c>
      <c r="H1838" s="92" t="s">
        <v>966</v>
      </c>
      <c r="I1838">
        <v>3</v>
      </c>
      <c r="J1838" s="46">
        <v>5430</v>
      </c>
      <c r="K1838" s="50" t="s">
        <v>1080</v>
      </c>
      <c r="L1838" s="46"/>
      <c r="M1838" s="46"/>
    </row>
    <row r="1839" spans="2:13" x14ac:dyDescent="0.25">
      <c r="B1839" s="5">
        <v>44636</v>
      </c>
      <c r="C1839" s="5" t="s">
        <v>784</v>
      </c>
      <c r="D1839" s="35">
        <v>2022</v>
      </c>
      <c r="E1839" t="s">
        <v>445</v>
      </c>
      <c r="F1839" t="s">
        <v>1037</v>
      </c>
      <c r="G1839" t="s">
        <v>58</v>
      </c>
      <c r="H1839" s="92" t="s">
        <v>969</v>
      </c>
      <c r="I1839">
        <v>1</v>
      </c>
      <c r="J1839" s="46">
        <v>2500</v>
      </c>
      <c r="K1839" s="50" t="s">
        <v>1080</v>
      </c>
      <c r="L1839" s="46"/>
      <c r="M1839" s="46"/>
    </row>
    <row r="1840" spans="2:13" x14ac:dyDescent="0.25">
      <c r="B1840" s="5">
        <v>44636</v>
      </c>
      <c r="C1840" s="5" t="s">
        <v>784</v>
      </c>
      <c r="D1840" s="35">
        <v>2022</v>
      </c>
      <c r="E1840" t="s">
        <v>445</v>
      </c>
      <c r="F1840" t="s">
        <v>1116</v>
      </c>
      <c r="G1840" t="s">
        <v>476</v>
      </c>
      <c r="H1840" s="92" t="s">
        <v>969</v>
      </c>
      <c r="I1840">
        <v>1</v>
      </c>
      <c r="J1840" s="46">
        <v>5550</v>
      </c>
      <c r="K1840" s="50" t="s">
        <v>1080</v>
      </c>
      <c r="L1840" s="46"/>
      <c r="M1840" s="46"/>
    </row>
    <row r="1841" spans="2:13" x14ac:dyDescent="0.25">
      <c r="B1841" s="5"/>
      <c r="C1841" s="5"/>
      <c r="D1841" s="35">
        <v>2022</v>
      </c>
      <c r="J1841" s="46"/>
      <c r="K1841" s="50" t="s">
        <v>1080</v>
      </c>
      <c r="L1841" s="46"/>
      <c r="M1841" s="46"/>
    </row>
    <row r="1842" spans="2:13" x14ac:dyDescent="0.25">
      <c r="B1842" s="5"/>
      <c r="C1842" s="5"/>
      <c r="D1842" s="35">
        <v>2022</v>
      </c>
      <c r="J1842" s="46"/>
      <c r="K1842" s="50" t="s">
        <v>1080</v>
      </c>
      <c r="L1842" s="46"/>
      <c r="M1842" s="46"/>
    </row>
    <row r="1843" spans="2:13" x14ac:dyDescent="0.25">
      <c r="B1843" s="5"/>
      <c r="C1843" s="5"/>
      <c r="D1843" s="35">
        <v>2022</v>
      </c>
      <c r="J1843" s="46"/>
      <c r="K1843" s="50" t="s">
        <v>1080</v>
      </c>
      <c r="L1843" s="46"/>
      <c r="M1843" s="46"/>
    </row>
    <row r="1844" spans="2:13" x14ac:dyDescent="0.25">
      <c r="B1844" s="5"/>
      <c r="C1844" s="5"/>
      <c r="D1844" s="35">
        <v>2022</v>
      </c>
      <c r="J1844" s="46"/>
      <c r="K1844" s="50" t="s">
        <v>1080</v>
      </c>
      <c r="L1844" s="46"/>
      <c r="M1844" s="46"/>
    </row>
    <row r="1845" spans="2:13" x14ac:dyDescent="0.25">
      <c r="B1845" s="5"/>
      <c r="C1845" s="5"/>
      <c r="D1845" s="35">
        <v>2022</v>
      </c>
      <c r="J1845" s="46"/>
      <c r="K1845" s="50" t="s">
        <v>1080</v>
      </c>
      <c r="L1845" s="46"/>
      <c r="M1845" s="46"/>
    </row>
    <row r="1846" spans="2:13" x14ac:dyDescent="0.25">
      <c r="B1846" s="5"/>
      <c r="C1846" s="5"/>
      <c r="D1846" s="35">
        <v>2022</v>
      </c>
      <c r="J1846" s="46"/>
      <c r="K1846" s="50" t="s">
        <v>1080</v>
      </c>
      <c r="L1846" s="46"/>
      <c r="M1846" s="46"/>
    </row>
    <row r="1847" spans="2:13" x14ac:dyDescent="0.25">
      <c r="B1847" s="5"/>
      <c r="C1847" s="5"/>
      <c r="D1847" s="35">
        <v>2022</v>
      </c>
      <c r="J1847" s="46"/>
      <c r="L1847" s="46"/>
      <c r="M1847" s="46"/>
    </row>
    <row r="1848" spans="2:13" x14ac:dyDescent="0.25">
      <c r="B1848" s="5"/>
      <c r="C1848" s="5"/>
      <c r="D1848" s="35">
        <v>2022</v>
      </c>
      <c r="J1848" s="46"/>
      <c r="L1848" s="46"/>
      <c r="M1848" s="46"/>
    </row>
  </sheetData>
  <pageMargins left="0.7" right="0.7" top="0.75" bottom="0.75" header="0.3" footer="0.3"/>
  <pageSetup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3:E23"/>
  <sheetViews>
    <sheetView zoomScale="87" zoomScaleNormal="87" workbookViewId="0">
      <selection activeCell="B5" sqref="B5"/>
    </sheetView>
  </sheetViews>
  <sheetFormatPr defaultRowHeight="15" x14ac:dyDescent="0.25"/>
  <cols>
    <col min="1" max="1" width="17.85546875" bestFit="1" customWidth="1"/>
    <col min="2" max="2" width="19.5703125" customWidth="1"/>
    <col min="3" max="3" width="13.140625" customWidth="1"/>
    <col min="4" max="4" width="18" bestFit="1" customWidth="1"/>
  </cols>
  <sheetData>
    <row r="3" spans="1:5" x14ac:dyDescent="0.25">
      <c r="A3" s="91" t="s">
        <v>541</v>
      </c>
      <c r="B3" t="s">
        <v>988</v>
      </c>
      <c r="C3" t="s">
        <v>986</v>
      </c>
      <c r="D3" t="s">
        <v>987</v>
      </c>
      <c r="E3" s="186" t="s">
        <v>176</v>
      </c>
    </row>
    <row r="4" spans="1:5" x14ac:dyDescent="0.25">
      <c r="A4" s="92" t="s">
        <v>22</v>
      </c>
      <c r="B4" s="102">
        <v>1140</v>
      </c>
      <c r="C4" s="102">
        <v>1054</v>
      </c>
      <c r="D4" s="102">
        <v>225</v>
      </c>
      <c r="E4" s="76">
        <f>C4/B4</f>
        <v>0.92456140350877192</v>
      </c>
    </row>
    <row r="5" spans="1:5" x14ac:dyDescent="0.25">
      <c r="A5" s="92" t="s">
        <v>1</v>
      </c>
      <c r="B5" s="102">
        <v>1110</v>
      </c>
      <c r="C5" s="102">
        <v>509</v>
      </c>
      <c r="D5" s="102">
        <v>184</v>
      </c>
      <c r="E5" s="76">
        <f t="shared" ref="E5:E9" si="0">C5/B5</f>
        <v>0.45855855855855854</v>
      </c>
    </row>
    <row r="6" spans="1:5" x14ac:dyDescent="0.25">
      <c r="A6" s="92" t="s">
        <v>599</v>
      </c>
      <c r="B6" s="102">
        <v>510</v>
      </c>
      <c r="C6" s="102">
        <v>439</v>
      </c>
      <c r="D6" s="102">
        <v>170</v>
      </c>
      <c r="E6" s="76">
        <f t="shared" si="0"/>
        <v>0.86078431372549025</v>
      </c>
    </row>
    <row r="7" spans="1:5" x14ac:dyDescent="0.25">
      <c r="A7" s="92" t="s">
        <v>19</v>
      </c>
      <c r="B7" s="102">
        <v>1050</v>
      </c>
      <c r="C7" s="102">
        <v>849</v>
      </c>
      <c r="D7" s="102">
        <v>207</v>
      </c>
      <c r="E7" s="76">
        <f t="shared" si="0"/>
        <v>0.80857142857142861</v>
      </c>
    </row>
    <row r="8" spans="1:5" x14ac:dyDescent="0.25">
      <c r="A8" s="92" t="s">
        <v>11</v>
      </c>
      <c r="B8" s="102">
        <v>1140</v>
      </c>
      <c r="C8" s="102">
        <v>370</v>
      </c>
      <c r="D8" s="102">
        <v>201</v>
      </c>
      <c r="E8" s="76">
        <f t="shared" si="0"/>
        <v>0.32456140350877194</v>
      </c>
    </row>
    <row r="9" spans="1:5" x14ac:dyDescent="0.25">
      <c r="A9" s="92" t="s">
        <v>111</v>
      </c>
      <c r="B9" s="102">
        <v>1050</v>
      </c>
      <c r="C9" s="102">
        <v>874</v>
      </c>
      <c r="D9" s="102">
        <v>199</v>
      </c>
      <c r="E9" s="76">
        <f t="shared" si="0"/>
        <v>0.83238095238095233</v>
      </c>
    </row>
    <row r="10" spans="1:5" x14ac:dyDescent="0.25">
      <c r="A10" s="92" t="s">
        <v>407</v>
      </c>
      <c r="B10" s="102">
        <v>6000</v>
      </c>
      <c r="C10" s="102">
        <v>4095</v>
      </c>
      <c r="D10" s="102">
        <v>1186</v>
      </c>
      <c r="E10" s="197">
        <f>C10/B10</f>
        <v>0.6825</v>
      </c>
    </row>
    <row r="16" spans="1:5" x14ac:dyDescent="0.25">
      <c r="A16" s="91" t="s">
        <v>541</v>
      </c>
      <c r="B16" t="s">
        <v>759</v>
      </c>
    </row>
    <row r="17" spans="1:2" x14ac:dyDescent="0.25">
      <c r="A17" s="92" t="s">
        <v>22</v>
      </c>
      <c r="B17" s="113">
        <v>1070153</v>
      </c>
    </row>
    <row r="18" spans="1:2" x14ac:dyDescent="0.25">
      <c r="A18" s="92" t="s">
        <v>1</v>
      </c>
      <c r="B18" s="113">
        <v>1371073</v>
      </c>
    </row>
    <row r="19" spans="1:2" x14ac:dyDescent="0.25">
      <c r="A19" s="92" t="s">
        <v>599</v>
      </c>
      <c r="B19" s="113">
        <v>344389</v>
      </c>
    </row>
    <row r="20" spans="1:2" x14ac:dyDescent="0.25">
      <c r="A20" s="92" t="s">
        <v>19</v>
      </c>
      <c r="B20" s="113">
        <v>489406</v>
      </c>
    </row>
    <row r="21" spans="1:2" x14ac:dyDescent="0.25">
      <c r="A21" s="92" t="s">
        <v>11</v>
      </c>
      <c r="B21" s="113">
        <v>474570</v>
      </c>
    </row>
    <row r="22" spans="1:2" x14ac:dyDescent="0.25">
      <c r="A22" s="92" t="s">
        <v>111</v>
      </c>
      <c r="B22" s="113">
        <v>545745</v>
      </c>
    </row>
    <row r="23" spans="1:2" x14ac:dyDescent="0.25">
      <c r="A23" s="92" t="s">
        <v>407</v>
      </c>
      <c r="B23" s="113">
        <v>4295336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J74"/>
  <sheetViews>
    <sheetView showGridLines="0" topLeftCell="A4" zoomScale="75" zoomScaleNormal="75" workbookViewId="0">
      <pane xSplit="1" ySplit="12" topLeftCell="B18" activePane="bottomRight" state="frozen"/>
      <selection activeCell="A4" sqref="A4"/>
      <selection pane="topRight" activeCell="B4" sqref="B4"/>
      <selection pane="bottomLeft" activeCell="A15" sqref="A15"/>
      <selection pane="bottomRight" activeCell="C9" sqref="C9"/>
    </sheetView>
  </sheetViews>
  <sheetFormatPr defaultRowHeight="15" x14ac:dyDescent="0.25"/>
  <cols>
    <col min="1" max="1" width="18.28515625" bestFit="1" customWidth="1"/>
    <col min="2" max="3" width="14.85546875" bestFit="1" customWidth="1"/>
    <col min="4" max="4" width="13" bestFit="1" customWidth="1"/>
    <col min="5" max="5" width="16.140625" bestFit="1" customWidth="1"/>
    <col min="6" max="6" width="12.5703125" bestFit="1" customWidth="1"/>
    <col min="7" max="8" width="13.85546875" bestFit="1" customWidth="1"/>
    <col min="9" max="9" width="14.42578125" bestFit="1" customWidth="1"/>
    <col min="10" max="10" width="16.28515625" bestFit="1" customWidth="1"/>
    <col min="11" max="11" width="13.85546875" bestFit="1" customWidth="1"/>
    <col min="12" max="12" width="15.28515625" bestFit="1" customWidth="1"/>
    <col min="13" max="13" width="15.85546875" bestFit="1" customWidth="1"/>
    <col min="14" max="14" width="12" bestFit="1" customWidth="1"/>
    <col min="15" max="15" width="12.28515625" bestFit="1" customWidth="1"/>
    <col min="16" max="16" width="14.140625" customWidth="1"/>
    <col min="17" max="17" width="17.5703125" bestFit="1" customWidth="1"/>
    <col min="18" max="19" width="17.5703125" customWidth="1"/>
    <col min="20" max="20" width="16.28515625" bestFit="1" customWidth="1"/>
    <col min="21" max="21" width="17" customWidth="1"/>
  </cols>
  <sheetData>
    <row r="2" spans="1:36" ht="26.25" x14ac:dyDescent="0.4">
      <c r="A2" s="241" t="s">
        <v>159</v>
      </c>
      <c r="B2" s="241"/>
      <c r="C2" s="241"/>
      <c r="D2" s="241"/>
      <c r="E2" s="241"/>
      <c r="F2" s="241"/>
      <c r="G2" s="241"/>
      <c r="H2" s="241"/>
      <c r="I2" s="241"/>
      <c r="J2" s="241"/>
      <c r="K2" s="241"/>
      <c r="L2" s="241"/>
      <c r="M2" s="241"/>
      <c r="N2" s="241"/>
    </row>
    <row r="3" spans="1:36" x14ac:dyDescent="0.25">
      <c r="A3" s="42" t="s">
        <v>77</v>
      </c>
      <c r="B3" s="42"/>
      <c r="C3" s="53" t="s">
        <v>163</v>
      </c>
      <c r="D3" s="53"/>
      <c r="E3" s="55" t="s">
        <v>112</v>
      </c>
      <c r="F3" s="55"/>
      <c r="Z3" s="4" t="s">
        <v>110</v>
      </c>
      <c r="AA3" s="4" t="s">
        <v>116</v>
      </c>
      <c r="AB3" s="4" t="s">
        <v>113</v>
      </c>
      <c r="AC3" s="4" t="s">
        <v>114</v>
      </c>
      <c r="AD3" s="4" t="s">
        <v>115</v>
      </c>
      <c r="AE3" s="4" t="s">
        <v>70</v>
      </c>
      <c r="AF3" s="4" t="s">
        <v>80</v>
      </c>
      <c r="AG3" s="4" t="s">
        <v>71</v>
      </c>
      <c r="AH3" s="4" t="s">
        <v>72</v>
      </c>
      <c r="AI3" s="4" t="s">
        <v>81</v>
      </c>
      <c r="AJ3" s="4" t="s">
        <v>112</v>
      </c>
    </row>
    <row r="4" spans="1:36" s="141" customFormat="1" x14ac:dyDescent="0.25">
      <c r="A4" s="64"/>
      <c r="B4" s="64"/>
      <c r="C4" s="64"/>
      <c r="D4" s="64"/>
      <c r="E4" s="64"/>
      <c r="F4" s="64"/>
      <c r="Z4" s="142"/>
      <c r="AA4" s="143"/>
      <c r="AB4" s="144">
        <f>Table148[[#This Row],[Days worked]]*$C$12</f>
        <v>0</v>
      </c>
      <c r="AC4" s="144">
        <f>Table148[[#This Row],[Days worked]]*$C$13</f>
        <v>0</v>
      </c>
      <c r="AD4" s="145">
        <f>$C$14*Table148[[#This Row],[Days worked]]</f>
        <v>0</v>
      </c>
      <c r="AE4" s="146"/>
      <c r="AF4" s="146"/>
      <c r="AG4" s="145"/>
      <c r="AH4" s="147"/>
      <c r="AI4" s="147"/>
      <c r="AJ4" s="145"/>
    </row>
    <row r="5" spans="1:36" x14ac:dyDescent="0.25">
      <c r="A5" s="42" t="s">
        <v>119</v>
      </c>
      <c r="B5" s="52">
        <f>IF(INDEX(Targets!$C$5:$C$16,MATCH(Dashboard!$D$6,Targets!$B$5:$B$16,0))=Dashboard!$B$6,INDEX(Targets!$E$5:$E$16,MATCH(Dashboard!$D$6,Targets!$B$5:$B$16,0))/INDEX(Targets!$D$5:$D$16,MATCH(Dashboard!$D$6,Targets!$B$5:$B$15,0)),"***")</f>
        <v>254000</v>
      </c>
      <c r="C5" s="53" t="s">
        <v>117</v>
      </c>
      <c r="D5" s="54">
        <v>30</v>
      </c>
      <c r="E5" s="55" t="s">
        <v>118</v>
      </c>
      <c r="F5" s="56">
        <v>9</v>
      </c>
      <c r="H5" s="45"/>
      <c r="P5" t="s">
        <v>535</v>
      </c>
      <c r="Z5" t="s">
        <v>22</v>
      </c>
      <c r="AA5" s="15">
        <v>5</v>
      </c>
      <c r="AB5" s="15">
        <f>Table148[[#This Row],[Days worked]]*$C$13</f>
        <v>0</v>
      </c>
      <c r="AC5" s="15">
        <f>Table148[[#This Row],[Days worked]]*$C$14</f>
        <v>0</v>
      </c>
      <c r="AD5" s="7" t="e">
        <f>$C$15*Table148[[#This Row],[Days worked]]</f>
        <v>#VALUE!</v>
      </c>
      <c r="AE5" s="19">
        <v>86</v>
      </c>
      <c r="AF5" s="19">
        <v>25</v>
      </c>
      <c r="AG5" s="7"/>
      <c r="AH5" s="7"/>
      <c r="AI5" s="7"/>
      <c r="AJ5" s="7"/>
    </row>
    <row r="6" spans="1:36" x14ac:dyDescent="0.25">
      <c r="A6" s="40" t="s">
        <v>179</v>
      </c>
      <c r="B6" s="41">
        <v>2022</v>
      </c>
      <c r="C6" s="40" t="s">
        <v>178</v>
      </c>
      <c r="D6" s="44" t="s">
        <v>784</v>
      </c>
      <c r="E6" s="41">
        <v>26</v>
      </c>
      <c r="G6" s="237" t="s">
        <v>224</v>
      </c>
      <c r="H6" s="237"/>
      <c r="I6" s="237"/>
      <c r="J6" s="237"/>
      <c r="K6" s="237"/>
      <c r="L6" s="237"/>
      <c r="Z6" t="s">
        <v>1</v>
      </c>
      <c r="AA6" s="15">
        <v>5</v>
      </c>
      <c r="AB6" s="15">
        <f>Table148[[#This Row],[Days worked]]*$C$13</f>
        <v>0</v>
      </c>
      <c r="AC6" s="15">
        <f>Table148[[#This Row],[Days worked]]*$C$14</f>
        <v>0</v>
      </c>
      <c r="AD6" s="7" t="e">
        <f>$C$15*Table148[[#This Row],[Days worked]]</f>
        <v>#VALUE!</v>
      </c>
      <c r="AE6" s="19">
        <v>44</v>
      </c>
      <c r="AF6" s="19">
        <v>34</v>
      </c>
      <c r="AG6" s="7"/>
      <c r="AH6" s="7"/>
      <c r="AI6" s="8"/>
      <c r="AJ6" s="7"/>
    </row>
    <row r="7" spans="1:36" ht="21" x14ac:dyDescent="0.35">
      <c r="A7" s="58" t="s">
        <v>1080</v>
      </c>
      <c r="B7" s="243" t="s">
        <v>522</v>
      </c>
      <c r="C7" s="243"/>
      <c r="D7" s="243"/>
      <c r="E7" s="41"/>
      <c r="G7" s="239" t="s">
        <v>226</v>
      </c>
      <c r="H7" s="239"/>
      <c r="I7" s="239"/>
      <c r="J7" s="240" t="s">
        <v>227</v>
      </c>
      <c r="K7" s="240"/>
      <c r="L7" s="240"/>
      <c r="Z7" t="s">
        <v>15</v>
      </c>
      <c r="AA7" s="15">
        <v>3</v>
      </c>
      <c r="AB7" s="15">
        <f>Table148[[#This Row],[Days worked]]*$C$13</f>
        <v>0</v>
      </c>
      <c r="AC7" s="15">
        <f>Table148[[#This Row],[Days worked]]*$C$14</f>
        <v>0</v>
      </c>
      <c r="AD7" s="7" t="e">
        <f>$C$15*Table148[[#This Row],[Days worked]]</f>
        <v>#VALUE!</v>
      </c>
      <c r="AE7" s="19">
        <v>64</v>
      </c>
      <c r="AF7" s="19">
        <v>9</v>
      </c>
      <c r="AG7" s="7"/>
      <c r="AH7" s="6"/>
      <c r="AI7" s="6"/>
      <c r="AJ7" s="7"/>
    </row>
    <row r="8" spans="1:36" x14ac:dyDescent="0.25">
      <c r="A8" s="43" t="s">
        <v>934</v>
      </c>
      <c r="B8" s="43" t="s">
        <v>160</v>
      </c>
      <c r="C8" s="43" t="s">
        <v>161</v>
      </c>
      <c r="D8" s="43" t="s">
        <v>162</v>
      </c>
      <c r="F8" s="64" t="str">
        <f>$D$6</f>
        <v>March</v>
      </c>
      <c r="G8" s="43" t="s">
        <v>160</v>
      </c>
      <c r="H8" s="43" t="s">
        <v>161</v>
      </c>
      <c r="I8" s="43" t="s">
        <v>162</v>
      </c>
      <c r="J8" s="59" t="s">
        <v>160</v>
      </c>
      <c r="K8" s="59" t="s">
        <v>161</v>
      </c>
      <c r="L8" s="59" t="s">
        <v>162</v>
      </c>
      <c r="Z8" t="s">
        <v>19</v>
      </c>
      <c r="AA8" s="15">
        <v>5</v>
      </c>
      <c r="AB8" s="15">
        <f>Table148[[#This Row],[Days worked]]*$C$13</f>
        <v>0</v>
      </c>
      <c r="AC8" s="15">
        <f>Table148[[#This Row],[Days worked]]*$C$14</f>
        <v>0</v>
      </c>
      <c r="AD8" s="7" t="e">
        <f>$C$15*Table148[[#This Row],[Days worked]]</f>
        <v>#VALUE!</v>
      </c>
      <c r="AE8" s="19">
        <v>163</v>
      </c>
      <c r="AF8" s="19">
        <v>26</v>
      </c>
      <c r="AG8" s="7"/>
      <c r="AH8" s="18"/>
      <c r="AI8" s="14"/>
      <c r="AJ8" s="7"/>
    </row>
    <row r="9" spans="1:36" x14ac:dyDescent="0.25">
      <c r="A9" s="2" t="s">
        <v>533</v>
      </c>
      <c r="B9" s="36">
        <f>$B$5*6</f>
        <v>1524000</v>
      </c>
      <c r="C9" s="37">
        <f>SUMIFS(Data!$J:$J,Data!$D:$D,Dashboard!$B$6,Data!$K:$K,Dashboard!$A$7)</f>
        <v>233951</v>
      </c>
      <c r="D9" s="38">
        <f>IFERROR(C9/B9,"")</f>
        <v>0.15351115485564304</v>
      </c>
      <c r="F9" s="64" t="s">
        <v>71</v>
      </c>
      <c r="G9" s="61">
        <f>IF(INDEX(Targets!$C$5:$C$16,MATCH(Dashboard!$D$6,Targets!$B$5:$B$16,0))=Dashboard!$B$6,INDEX(Targets!$E$5:$E$16,MATCH(Dashboard!$D$6,Targets!$B$5:$B$16,0)),"***")</f>
        <v>6604000</v>
      </c>
      <c r="H9" s="61">
        <f>SUMIFS(Data!$J:$J,Data!$C:$C,Dashboard!$D$6,Data!$D:$D,Dashboard!$B$6)</f>
        <v>1089674</v>
      </c>
      <c r="I9" s="62">
        <f>IFERROR(H9/G9,"")</f>
        <v>0.16500211992731678</v>
      </c>
      <c r="J9" s="85">
        <f>IF(INDEX(Targets!$C$5:$C$16,MATCH(Dashboard!$D$6,Targets!$B$5:$B$16,0))=Dashboard!$B$6,INDEX(Targets!$E$5:$E$16,MATCH(Dashboard!$D$6,Targets!$B$5:$B$16,0)),"***")</f>
        <v>6604000</v>
      </c>
      <c r="K9" s="63">
        <f>SUMIF(Data!$D:$D,Dashboard!$B$6,Data!$J:$J)</f>
        <v>4556151</v>
      </c>
      <c r="L9" s="86">
        <f>IFERROR(K9/J9,"")</f>
        <v>0.68990778316172019</v>
      </c>
      <c r="Z9" t="s">
        <v>11</v>
      </c>
      <c r="AA9" s="15">
        <v>5</v>
      </c>
      <c r="AB9" s="15">
        <f>Table148[[#This Row],[Days worked]]*$C$13</f>
        <v>0</v>
      </c>
      <c r="AC9" s="15">
        <f>Table148[[#This Row],[Days worked]]*$C$14</f>
        <v>0</v>
      </c>
      <c r="AD9" s="7" t="e">
        <f>$C$15*Table148[[#This Row],[Days worked]]</f>
        <v>#VALUE!</v>
      </c>
      <c r="AE9" s="19">
        <v>32</v>
      </c>
      <c r="AF9" s="19">
        <v>19</v>
      </c>
      <c r="AG9" s="7"/>
      <c r="AH9" s="9"/>
      <c r="AI9" s="14"/>
      <c r="AJ9" s="7"/>
    </row>
    <row r="10" spans="1:36" x14ac:dyDescent="0.25">
      <c r="A10" s="2" t="s">
        <v>164</v>
      </c>
      <c r="B10" s="36">
        <f>Table11011[[#Totals],[Reach Target]]</f>
        <v>1080</v>
      </c>
      <c r="C10" s="37">
        <f>SUMIFS('Reach Data'!$I:$I,'Reach Data'!$E:$E,Dashboard!$A$7,'Reach Data'!$D:$D,Dashboard!$B$6)</f>
        <v>159</v>
      </c>
      <c r="D10" s="38">
        <f t="shared" ref="D10:D11" si="0">IFERROR(C10/B10,"")</f>
        <v>0.14722222222222223</v>
      </c>
      <c r="F10" s="64" t="s">
        <v>228</v>
      </c>
      <c r="G10" s="84">
        <f>$B$10*4</f>
        <v>4320</v>
      </c>
      <c r="H10" s="61">
        <f>SUMIFS('Reach Data'!$I:$I,'Reach Data'!$C:$C,Dashboard!$D$6,'Reach Data'!$D:$D,Dashboard!$B$6)</f>
        <v>1734</v>
      </c>
      <c r="I10" s="62">
        <f>IFERROR(H10/G10,"")</f>
        <v>0.40138888888888891</v>
      </c>
      <c r="J10" s="85">
        <f>G10*12</f>
        <v>51840</v>
      </c>
      <c r="K10" s="63">
        <f>SUMIFS('Reach Data'!$I:$I,'Reach Data'!$D:$D,Dashboard!$B$6)</f>
        <v>4249</v>
      </c>
      <c r="L10" s="86">
        <f t="shared" ref="L10:L11" si="1">IFERROR(K10/J10,"")</f>
        <v>8.1963734567901236E-2</v>
      </c>
      <c r="Z10" t="s">
        <v>16</v>
      </c>
      <c r="AA10" s="15">
        <v>5</v>
      </c>
      <c r="AB10" s="15">
        <f>Table148[[#This Row],[Days worked]]*$C$13</f>
        <v>0</v>
      </c>
      <c r="AC10" s="15">
        <f>Table148[[#This Row],[Days worked]]*$C$14</f>
        <v>0</v>
      </c>
      <c r="AD10" s="7" t="e">
        <f>$C$15*Table148[[#This Row],[Days worked]]</f>
        <v>#VALUE!</v>
      </c>
      <c r="AE10" s="19"/>
      <c r="AF10" s="19">
        <v>13</v>
      </c>
      <c r="AG10" s="7"/>
      <c r="AH10" s="9"/>
      <c r="AI10" s="14"/>
      <c r="AJ10" s="7"/>
    </row>
    <row r="11" spans="1:36" x14ac:dyDescent="0.25">
      <c r="A11" s="2" t="s">
        <v>225</v>
      </c>
      <c r="B11" s="36">
        <f>Table11011[[#Totals],[Conversion Target2]]</f>
        <v>324</v>
      </c>
      <c r="C11" s="37">
        <f>SUMIFS('Reach Data'!$J:$J,'Reach Data'!$D:$D,Dashboard!$B$6,'Reach Data'!$E:$E,Dashboard!$A$7)</f>
        <v>45</v>
      </c>
      <c r="D11" s="38">
        <f t="shared" si="0"/>
        <v>0.1388888888888889</v>
      </c>
      <c r="F11" s="64" t="s">
        <v>225</v>
      </c>
      <c r="G11" s="84">
        <f>$B$11*4</f>
        <v>1296</v>
      </c>
      <c r="H11" s="61">
        <f>SUMIFS('Reach Data'!$J:$J,'Reach Data'!$C:$C,Dashboard!$D$6,'Reach Data'!$D:$D,Dashboard!$B$6)</f>
        <v>437</v>
      </c>
      <c r="I11" s="62">
        <f>IFERROR(H11/G11,"")</f>
        <v>0.33719135802469136</v>
      </c>
      <c r="J11" s="85">
        <f>G11*12</f>
        <v>15552</v>
      </c>
      <c r="K11" s="63">
        <f>SUMIFS('Reach Data'!$J:$J,'Reach Data'!$D:$D,Dashboard!$B$6)</f>
        <v>1220</v>
      </c>
      <c r="L11" s="86">
        <f t="shared" si="1"/>
        <v>7.8446502057613166E-2</v>
      </c>
      <c r="Z11" t="s">
        <v>111</v>
      </c>
      <c r="AA11" s="19">
        <v>2</v>
      </c>
      <c r="AB11" s="15">
        <f>Table148[[#This Row],[Days worked]]*$C$13</f>
        <v>0</v>
      </c>
      <c r="AC11" s="15">
        <f>Table148[[#This Row],[Days worked]]*$C$14</f>
        <v>0</v>
      </c>
      <c r="AD11" s="7" t="e">
        <f>$C$15*Table148[[#This Row],[Days worked]]</f>
        <v>#VALUE!</v>
      </c>
      <c r="AE11" s="19">
        <v>34</v>
      </c>
      <c r="AF11" s="19">
        <v>12</v>
      </c>
      <c r="AG11" s="7"/>
      <c r="AH11" s="9"/>
      <c r="AI11" s="9"/>
      <c r="AJ11" s="7"/>
    </row>
    <row r="12" spans="1:36" x14ac:dyDescent="0.25">
      <c r="A12" s="2" t="s">
        <v>534</v>
      </c>
      <c r="B12" s="36">
        <f>$C$9</f>
        <v>233951</v>
      </c>
      <c r="AA12" s="16">
        <f>SUBTOTAL(101,Table148[Days worked])</f>
        <v>4.2857142857142856</v>
      </c>
      <c r="AB12" s="17">
        <f>SUBTOTAL(109,Table148[Target Reach])</f>
        <v>0</v>
      </c>
      <c r="AC12" s="17">
        <f>SUBTOTAL(109,Table148[Target Conversion])</f>
        <v>0</v>
      </c>
      <c r="AD12" s="11" t="e">
        <f>SUBTOTAL(109,Table148[Target Order])</f>
        <v>#VALUE!</v>
      </c>
      <c r="AE12" s="17">
        <f>SUBTOTAL(109,Table148[Outlets Visited])</f>
        <v>423</v>
      </c>
      <c r="AF12" s="17">
        <f>SUBTOTAL(109,Table148[Outlets with Order])</f>
        <v>138</v>
      </c>
      <c r="AG12" s="12">
        <f>SUBTOTAL(109,Table148[Order])</f>
        <v>0</v>
      </c>
      <c r="AH12" s="12">
        <f>SUBTOTAL(109,Table148[Delivery])</f>
        <v>0</v>
      </c>
      <c r="AI12" s="12">
        <f>SUBTOTAL(109,Table148[Non- Delivered])</f>
        <v>0</v>
      </c>
      <c r="AJ12" s="13"/>
    </row>
    <row r="13" spans="1:36" x14ac:dyDescent="0.25">
      <c r="H13" t="s">
        <v>398</v>
      </c>
    </row>
    <row r="14" spans="1:36" ht="26.25" x14ac:dyDescent="0.4">
      <c r="A14" s="241" t="s">
        <v>180</v>
      </c>
      <c r="B14" s="241"/>
      <c r="C14" s="241"/>
      <c r="D14" s="241"/>
      <c r="E14" s="241"/>
      <c r="F14" s="241"/>
      <c r="G14" s="49"/>
      <c r="K14" s="5"/>
    </row>
    <row r="15" spans="1:36" ht="26.25" x14ac:dyDescent="0.4">
      <c r="A15" s="32" t="str">
        <f>D6</f>
        <v>March</v>
      </c>
      <c r="B15" s="32"/>
      <c r="C15" s="32" t="str">
        <f>A7</f>
        <v>Week 7</v>
      </c>
      <c r="D15" s="32"/>
      <c r="E15" s="32"/>
      <c r="F15" s="32"/>
    </row>
    <row r="16" spans="1:36" x14ac:dyDescent="0.25">
      <c r="A16" s="68" t="s">
        <v>174</v>
      </c>
      <c r="B16" s="69" t="str">
        <f>IF($A$7="Week 1","31-Jan",IF($A$7="Week 2","7-Feb",IF($A$7="Week 3","14-Feb",IF($A$7="Week 4","21-Feb",IF($A$7="Week 4","21-Feb",IF($A$7="Week 5","28-Feb",IF($A$7="Week 6","7-Mar",IF($A$7="Week 7","14-Mar"))))))))</f>
        <v>14-Mar</v>
      </c>
      <c r="C16" s="70">
        <f>B16+1</f>
        <v>44635</v>
      </c>
      <c r="D16" s="70">
        <f>C16+1</f>
        <v>44636</v>
      </c>
      <c r="E16" s="70">
        <f t="shared" ref="E16:H16" si="2">D16+1</f>
        <v>44637</v>
      </c>
      <c r="F16" s="70">
        <f t="shared" si="2"/>
        <v>44638</v>
      </c>
      <c r="G16" s="70">
        <f t="shared" si="2"/>
        <v>44639</v>
      </c>
      <c r="H16" s="70">
        <f t="shared" si="2"/>
        <v>44640</v>
      </c>
      <c r="I16" s="68" t="s">
        <v>175</v>
      </c>
      <c r="J16" s="71" t="s">
        <v>231</v>
      </c>
      <c r="K16" s="68" t="s">
        <v>176</v>
      </c>
      <c r="L16" s="68" t="s">
        <v>175</v>
      </c>
      <c r="M16" s="68" t="s">
        <v>230</v>
      </c>
      <c r="N16" s="68" t="s">
        <v>176</v>
      </c>
    </row>
    <row r="17" spans="1:21" hidden="1" x14ac:dyDescent="0.25">
      <c r="B17" t="s">
        <v>158</v>
      </c>
      <c r="C17" t="s">
        <v>165</v>
      </c>
      <c r="D17" t="s">
        <v>166</v>
      </c>
      <c r="E17" t="s">
        <v>167</v>
      </c>
      <c r="F17" t="s">
        <v>168</v>
      </c>
      <c r="G17" t="s">
        <v>169</v>
      </c>
      <c r="H17" t="s">
        <v>170</v>
      </c>
      <c r="I17" t="s">
        <v>171</v>
      </c>
      <c r="J17" t="s">
        <v>172</v>
      </c>
      <c r="K17" t="s">
        <v>173</v>
      </c>
      <c r="L17" t="s">
        <v>229</v>
      </c>
      <c r="M17" s="10" t="s">
        <v>232</v>
      </c>
      <c r="N17" t="s">
        <v>233</v>
      </c>
    </row>
    <row r="18" spans="1:21" x14ac:dyDescent="0.25">
      <c r="A18" t="s">
        <v>22</v>
      </c>
      <c r="B18" s="33">
        <f>SUMIFS(Data!$J:$J,Data!$E:$E,Dashboard!$A18,Data!$K:$K,Dashboard!$A$7,Data!$D:$D,Dashboard!$B$6,Data!$B:$B,Dashboard!B$16)</f>
        <v>14950</v>
      </c>
      <c r="C18" s="33">
        <f>SUMIFS(Data!$J:$J,Data!$E:$E,Dashboard!$A18,Data!$K:$K,Dashboard!$A$7,Data!$D:$D,Dashboard!$B$6,Data!$B:$B,Dashboard!C$16)</f>
        <v>22000</v>
      </c>
      <c r="D18" s="33">
        <f>SUMIFS(Data!$J:$J,Data!$E:$E,Dashboard!$A18,Data!$K:$K,Dashboard!$A$7,Data!$D:$D,Dashboard!$B$6,Data!$B:$B,Dashboard!D$16)</f>
        <v>18618</v>
      </c>
      <c r="E18" s="33">
        <f>SUMIFS(Data!$J:$J,Data!$E:$E,Dashboard!$A18,Data!$K:$K,Dashboard!$A$7,Data!$D:$D,Dashboard!$B$6,Data!$B:$B,Dashboard!E$16)</f>
        <v>0</v>
      </c>
      <c r="F18" s="33">
        <f>SUMIFS(Data!$J:$J,Data!$E:$E,Dashboard!$A18,Data!$K:$K,Dashboard!$A$7,Data!$D:$D,Dashboard!$B$6,Data!$B:$B,Dashboard!F$16)</f>
        <v>0</v>
      </c>
      <c r="G18" s="33">
        <f>SUMIFS(Data!$J:$J,Data!$E:$E,Dashboard!$A18,Data!$K:$K,Dashboard!$A$7,Data!$D:$D,Dashboard!$B$6,Data!$B:$B,Dashboard!G$16)</f>
        <v>0</v>
      </c>
      <c r="H18" s="33">
        <f>SUMIFS(Data!$J:$J,Data!$E:$E,Dashboard!$A18,Data!$K:$K,Dashboard!$A$7,Data!$D:$D,Dashboard!$B$6,Data!$B:$B,Dashboard!H$16)</f>
        <v>0</v>
      </c>
      <c r="I18" s="34">
        <f t="shared" ref="I18:I23" si="3">$B$5/6</f>
        <v>42333.333333333336</v>
      </c>
      <c r="J18" s="7">
        <f>SUMIFS(Data!$J:$J,Data!$E:$E,Dashboard!$A18,Data!$K:$K,Dashboard!$A$7,Data!$D:$D,Dashboard!$B$6)</f>
        <v>55568</v>
      </c>
      <c r="K18" s="39">
        <f>Table149[[#This Row],[Column9]]/Table149[[#This Row],[Column8]]</f>
        <v>1.3126299212598425</v>
      </c>
      <c r="L18" s="46">
        <f t="shared" ref="L18:L23" si="4">$B$5*$E$6</f>
        <v>6604000</v>
      </c>
      <c r="M18" s="46">
        <f>SUMIFS(Data!$J:$J,Data!$E:$E,Dashboard!$A18,Data!$C:$C,Dashboard!$D$6,Data!$D:$D,Dashboard!$B$6)</f>
        <v>206813</v>
      </c>
      <c r="N18" s="39">
        <f>Table149[[#This Row],[Column12]]/Table149[[#This Row],[Column11]]</f>
        <v>3.1316323440339189E-2</v>
      </c>
      <c r="P18" s="90" t="s">
        <v>397</v>
      </c>
      <c r="U18" t="s">
        <v>401</v>
      </c>
    </row>
    <row r="19" spans="1:21" x14ac:dyDescent="0.25">
      <c r="A19" t="s">
        <v>1</v>
      </c>
      <c r="B19" s="33">
        <f>SUMIFS(Data!$J:$J,Data!$E:$E,Dashboard!$A19,Data!$K:$K,Dashboard!$A$7,Data!$D:$D,Dashboard!$B$6,Data!$B:$B,Dashboard!B$16)</f>
        <v>16005</v>
      </c>
      <c r="C19" s="33">
        <f>SUMIFS(Data!$J:$J,Data!$E:$E,Dashboard!$A19,Data!$K:$K,Dashboard!$A$7,Data!$D:$D,Dashboard!$B$6,Data!$B:$B,Dashboard!C$16)</f>
        <v>11225</v>
      </c>
      <c r="D19" s="33">
        <f>SUMIFS(Data!$J:$J,Data!$E:$E,Dashboard!$A19,Data!$K:$K,Dashboard!$A$7,Data!$D:$D,Dashboard!$B$6,Data!$B:$B,Dashboard!D$16)</f>
        <v>10425</v>
      </c>
      <c r="E19" s="33">
        <f>SUMIFS(Data!$J:$J,Data!$E:$E,Dashboard!$A19,Data!$K:$K,Dashboard!$A$7,Data!$D:$D,Dashboard!$B$6,Data!$B:$B,Dashboard!E$16)</f>
        <v>0</v>
      </c>
      <c r="F19" s="33">
        <f>SUMIFS(Data!$J:$J,Data!$E:$E,Dashboard!$A19,Data!$K:$K,Dashboard!$A$7,Data!$D:$D,Dashboard!$B$6,Data!$B:$B,Dashboard!F$16)</f>
        <v>0</v>
      </c>
      <c r="G19" s="33">
        <f>SUMIFS(Data!$J:$J,Data!$E:$E,Dashboard!$A19,Data!$K:$K,Dashboard!$A$7,Data!$D:$D,Dashboard!$B$6,Data!$B:$B,Dashboard!G$16)</f>
        <v>0</v>
      </c>
      <c r="H19" s="33">
        <f>SUMIFS(Data!$J:$J,Data!$E:$E,Dashboard!$A19,Data!$K:$K,Dashboard!$A$7,Data!$D:$D,Dashboard!$B$6,Data!$B:$B,Dashboard!H$16)</f>
        <v>0</v>
      </c>
      <c r="I19" s="34">
        <f t="shared" si="3"/>
        <v>42333.333333333336</v>
      </c>
      <c r="J19" s="7">
        <f>SUMIFS(Data!$J:$J,Data!$E:$E,Dashboard!$A19,Data!$K:$K,Dashboard!$A$7,Data!$D:$D,Dashboard!$B$6)</f>
        <v>37655</v>
      </c>
      <c r="K19" s="39">
        <f>Table149[[#This Row],[Column9]]/Table149[[#This Row],[Column8]]</f>
        <v>0.88948818897637794</v>
      </c>
      <c r="L19" s="46">
        <f t="shared" si="4"/>
        <v>6604000</v>
      </c>
      <c r="M19" s="46">
        <f>SUMIFS(Data!$J:$J,Data!$E:$E,Dashboard!$A19,Data!$C:$C,Dashboard!$D$6,Data!$D:$D,Dashboard!$B$6)</f>
        <v>234505</v>
      </c>
      <c r="N19" s="39">
        <f>Table149[[#This Row],[Column12]]/Table149[[#This Row],[Column11]]</f>
        <v>3.55095396729255E-2</v>
      </c>
      <c r="P19" s="89"/>
      <c r="U19" t="s">
        <v>402</v>
      </c>
    </row>
    <row r="20" spans="1:21" x14ac:dyDescent="0.25">
      <c r="A20" t="s">
        <v>19</v>
      </c>
      <c r="B20" s="33">
        <f>SUMIFS(Data!$J:$J,Data!$E:$E,Dashboard!$A20,Data!$K:$K,Dashboard!$A$7,Data!$D:$D,Dashboard!$B$6,Data!$B:$B,Dashboard!B$16)</f>
        <v>12270</v>
      </c>
      <c r="C20" s="33">
        <f>SUMIFS(Data!$J:$J,Data!$E:$E,Dashboard!$A20,Data!$K:$K,Dashboard!$A$7,Data!$D:$D,Dashboard!$B$6,Data!$B:$B,Dashboard!C$16)</f>
        <v>10025</v>
      </c>
      <c r="D20" s="33">
        <f>SUMIFS(Data!$J:$J,Data!$E:$E,Dashboard!$A20,Data!$K:$K,Dashboard!$A$7,Data!$D:$D,Dashboard!$B$6,Data!$B:$B,Dashboard!D$16)</f>
        <v>8283</v>
      </c>
      <c r="E20" s="33">
        <f>SUMIFS(Data!$J:$J,Data!$E:$E,Dashboard!$A20,Data!$K:$K,Dashboard!$A$7,Data!$D:$D,Dashboard!$B$6,Data!$B:$B,Dashboard!E$16)</f>
        <v>0</v>
      </c>
      <c r="F20" s="33">
        <f>SUMIFS(Data!$J:$J,Data!$E:$E,Dashboard!$A20,Data!$K:$K,Dashboard!$A$7,Data!$D:$D,Dashboard!$B$6,Data!$B:$B,Dashboard!F$16)</f>
        <v>0</v>
      </c>
      <c r="G20" s="33">
        <f>SUMIFS(Data!$J:$J,Data!$E:$E,Dashboard!$A20,Data!$K:$K,Dashboard!$A$7,Data!$D:$D,Dashboard!$B$6,Data!$B:$B,Dashboard!G$16)</f>
        <v>0</v>
      </c>
      <c r="H20" s="33">
        <f>SUMIFS(Data!$J:$J,Data!$E:$E,Dashboard!$A20,Data!$K:$K,Dashboard!$A$7,Data!$D:$D,Dashboard!$B$6,Data!$B:$B,Dashboard!H$16)</f>
        <v>0</v>
      </c>
      <c r="I20" s="34">
        <f t="shared" si="3"/>
        <v>42333.333333333336</v>
      </c>
      <c r="J20" s="7">
        <f>SUMIFS(Data!$J:$J,Data!$E:$E,Dashboard!$A20,Data!$K:$K,Dashboard!$A$7,Data!$D:$D,Dashboard!$B$6)</f>
        <v>30578</v>
      </c>
      <c r="K20" s="39">
        <f>Table149[[#This Row],[Column9]]/Table149[[#This Row],[Column8]]</f>
        <v>0.72231496062992118</v>
      </c>
      <c r="L20" s="46">
        <f t="shared" si="4"/>
        <v>6604000</v>
      </c>
      <c r="M20" s="46">
        <f>SUMIFS(Data!$J:$J,Data!$E:$E,Dashboard!$A20,Data!$C:$C,Dashboard!$D$6,Data!$D:$D,Dashboard!$B$6)</f>
        <v>162211</v>
      </c>
      <c r="N20" s="39">
        <f>Table149[[#This Row],[Column12]]/Table149[[#This Row],[Column11]]</f>
        <v>2.4562537855844942E-2</v>
      </c>
      <c r="U20" t="s">
        <v>403</v>
      </c>
    </row>
    <row r="21" spans="1:21" x14ac:dyDescent="0.25">
      <c r="A21" t="s">
        <v>11</v>
      </c>
      <c r="B21" s="33">
        <f>SUMIFS(Data!$J:$J,Data!$E:$E,Dashboard!$A21,Data!$K:$K,Dashboard!$A$7,Data!$D:$D,Dashboard!$B$6,Data!$B:$B,Dashboard!B$16)</f>
        <v>8785</v>
      </c>
      <c r="C21" s="33">
        <f>SUMIFS(Data!$J:$J,Data!$E:$E,Dashboard!$A21,Data!$K:$K,Dashboard!$A$7,Data!$D:$D,Dashboard!$B$6,Data!$B:$B,Dashboard!C$16)</f>
        <v>13930</v>
      </c>
      <c r="D21" s="33">
        <f>SUMIFS(Data!$J:$J,Data!$E:$E,Dashboard!$A21,Data!$K:$K,Dashboard!$A$7,Data!$D:$D,Dashboard!$B$6,Data!$B:$B,Dashboard!D$16)</f>
        <v>10570</v>
      </c>
      <c r="E21" s="33">
        <f>SUMIFS(Data!$J:$J,Data!$E:$E,Dashboard!$A21,Data!$K:$K,Dashboard!$A$7,Data!$D:$D,Dashboard!$B$6,Data!$B:$B,Dashboard!E$16)</f>
        <v>0</v>
      </c>
      <c r="F21" s="33">
        <f>SUMIFS(Data!$J:$J,Data!$E:$E,Dashboard!$A21,Data!$K:$K,Dashboard!$A$7,Data!$D:$D,Dashboard!$B$6,Data!$B:$B,Dashboard!F$16)</f>
        <v>0</v>
      </c>
      <c r="G21" s="33">
        <f>SUMIFS(Data!$J:$J,Data!$E:$E,Dashboard!$A21,Data!$K:$K,Dashboard!$A$7,Data!$D:$D,Dashboard!$B$6,Data!$B:$B,Dashboard!G$16)</f>
        <v>0</v>
      </c>
      <c r="H21" s="33">
        <f>SUMIFS(Data!$J:$J,Data!$E:$E,Dashboard!$A21,Data!$K:$K,Dashboard!$A$7,Data!$D:$D,Dashboard!$B$6,Data!$B:$B,Dashboard!H$16)</f>
        <v>0</v>
      </c>
      <c r="I21" s="34">
        <f t="shared" si="3"/>
        <v>42333.333333333336</v>
      </c>
      <c r="J21" s="7">
        <f>SUMIFS(Data!$J:$J,Data!$E:$E,Dashboard!$A21,Data!$K:$K,Dashboard!$A$7,Data!$D:$D,Dashboard!$B$6)</f>
        <v>33285</v>
      </c>
      <c r="K21" s="39">
        <f>Table149[[#This Row],[Column9]]/Table149[[#This Row],[Column8]]</f>
        <v>0.78625984251968495</v>
      </c>
      <c r="L21" s="46">
        <f t="shared" si="4"/>
        <v>6604000</v>
      </c>
      <c r="M21" s="46">
        <f>SUMIFS(Data!$J:$J,Data!$E:$E,Dashboard!$A21,Data!$C:$C,Dashboard!$D$6,Data!$D:$D,Dashboard!$B$6)</f>
        <v>141580</v>
      </c>
      <c r="N21" s="39">
        <f>Table149[[#This Row],[Column12]]/Table149[[#This Row],[Column11]]</f>
        <v>2.1438522107813447E-2</v>
      </c>
      <c r="P21" s="90" t="s">
        <v>404</v>
      </c>
      <c r="Q21" s="2"/>
    </row>
    <row r="22" spans="1:21" x14ac:dyDescent="0.25">
      <c r="A22" t="s">
        <v>599</v>
      </c>
      <c r="B22" s="33">
        <f>SUMIFS(Data!$J:$J,Data!$E:$E,Dashboard!$A22,Data!$K:$K,Dashboard!$A$7,Data!$D:$D,Dashboard!$B$6,Data!$B:$B,Dashboard!B$16)</f>
        <v>22170</v>
      </c>
      <c r="C22" s="33">
        <f>SUMIFS(Data!$J:$J,Data!$E:$E,Dashboard!$A22,Data!$K:$K,Dashboard!$A$7,Data!$D:$D,Dashboard!$B$6,Data!$B:$B,Dashboard!C$16)</f>
        <v>14945</v>
      </c>
      <c r="D22" s="33">
        <f>SUMIFS(Data!$J:$J,Data!$E:$E,Dashboard!$A22,Data!$K:$K,Dashboard!$A$7,Data!$D:$D,Dashboard!$B$6,Data!$B:$B,Dashboard!D$16)</f>
        <v>11020</v>
      </c>
      <c r="E22" s="33">
        <f>SUMIFS(Data!$J:$J,Data!$E:$E,Dashboard!$A22,Data!$K:$K,Dashboard!$A$7,Data!$D:$D,Dashboard!$B$6,Data!$B:$B,Dashboard!E$16)</f>
        <v>0</v>
      </c>
      <c r="F22" s="33">
        <f>SUMIFS(Data!$J:$J,Data!$E:$E,Dashboard!$A22,Data!$K:$K,Dashboard!$A$7,Data!$D:$D,Dashboard!$B$6,Data!$B:$B,Dashboard!F$16)</f>
        <v>0</v>
      </c>
      <c r="G22" s="33">
        <f>SUMIFS(Data!$J:$J,Data!$E:$E,Dashboard!$A22,Data!$K:$K,Dashboard!$A$7,Data!$D:$D,Dashboard!$B$6,Data!$B:$B,Dashboard!G$16)</f>
        <v>0</v>
      </c>
      <c r="H22" s="33">
        <f>SUMIFS(Data!$J:$J,Data!$E:$E,Dashboard!$A22,Data!$K:$K,Dashboard!$A$7,Data!$D:$D,Dashboard!$B$6,Data!$B:$B,Dashboard!H$16)</f>
        <v>0</v>
      </c>
      <c r="I22" s="34">
        <f t="shared" si="3"/>
        <v>42333.333333333336</v>
      </c>
      <c r="J22" s="7">
        <f>SUMIFS(Data!$J:$J,Data!$E:$E,Dashboard!$A22,Data!$K:$K,Dashboard!$A$7,Data!$D:$D,Dashboard!$B$6)</f>
        <v>48135</v>
      </c>
      <c r="K22" s="39">
        <f>Table149[[#This Row],[Column9]]/Table149[[#This Row],[Column8]]</f>
        <v>1.1370472440944881</v>
      </c>
      <c r="L22" s="46">
        <f t="shared" si="4"/>
        <v>6604000</v>
      </c>
      <c r="M22" s="46">
        <f>SUMIFS(Data!$J:$J,Data!$E:$E,Dashboard!$A22,Data!$C:$C,Dashboard!$D$6,Data!$D:$D,Dashboard!$B$6)</f>
        <v>217900</v>
      </c>
      <c r="N22" s="39">
        <f>Table149[[#This Row],[Column12]]/Table149[[#This Row],[Column11]]</f>
        <v>3.2995154451847364E-2</v>
      </c>
      <c r="P22" s="2" t="s">
        <v>405</v>
      </c>
      <c r="Q22" s="2"/>
    </row>
    <row r="23" spans="1:21" x14ac:dyDescent="0.25">
      <c r="A23" t="s">
        <v>111</v>
      </c>
      <c r="B23" s="33">
        <f>SUMIFS(Data!$J:$J,Data!$E:$E,Dashboard!$A23,Data!$K:$K,Dashboard!$A$7,Data!$D:$D,Dashboard!$B$6,Data!$B:$B,Dashboard!B$16)</f>
        <v>12980</v>
      </c>
      <c r="C23" s="33">
        <f>SUMIFS(Data!$J:$J,Data!$E:$E,Dashboard!$A23,Data!$K:$K,Dashboard!$A$7,Data!$D:$D,Dashboard!$B$6,Data!$B:$B,Dashboard!C$16)</f>
        <v>7700</v>
      </c>
      <c r="D23" s="33">
        <f>SUMIFS(Data!$J:$J,Data!$E:$E,Dashboard!$A23,Data!$K:$K,Dashboard!$A$7,Data!$D:$D,Dashboard!$B$6,Data!$B:$B,Dashboard!D$16)</f>
        <v>8050</v>
      </c>
      <c r="E23" s="33">
        <f>SUMIFS(Data!$J:$J,Data!$E:$E,Dashboard!$A23,Data!$K:$K,Dashboard!$A$7,Data!$D:$D,Dashboard!$B$6,Data!$B:$B,Dashboard!E$16)</f>
        <v>0</v>
      </c>
      <c r="F23" s="33">
        <f>SUMIFS(Data!$J:$J,Data!$E:$E,Dashboard!$A23,Data!$K:$K,Dashboard!$A$7,Data!$D:$D,Dashboard!$B$6,Data!$B:$B,Dashboard!F$16)</f>
        <v>0</v>
      </c>
      <c r="G23" s="33">
        <f>SUMIFS(Data!$J:$J,Data!$E:$E,Dashboard!$A23,Data!$K:$K,Dashboard!$A$7,Data!$D:$D,Dashboard!$B$6,Data!$B:$B,Dashboard!G$16)</f>
        <v>0</v>
      </c>
      <c r="H23" s="33">
        <f>SUMIFS(Data!$J:$J,Data!$E:$E,Dashboard!$A23,Data!$K:$K,Dashboard!$A$7,Data!$D:$D,Dashboard!$B$6,Data!$B:$B,Dashboard!H$16)</f>
        <v>0</v>
      </c>
      <c r="I23" s="34">
        <f t="shared" si="3"/>
        <v>42333.333333333336</v>
      </c>
      <c r="J23" s="7">
        <f>SUMIFS(Data!$J:$J,Data!$E:$E,Dashboard!$A23,Data!$K:$K,Dashboard!$A$7,Data!$D:$D,Dashboard!$B$6)</f>
        <v>28730</v>
      </c>
      <c r="K23" s="39">
        <f>Table149[[#This Row],[Column9]]/Table149[[#This Row],[Column8]]</f>
        <v>0.67866141732283458</v>
      </c>
      <c r="L23" s="46">
        <f t="shared" si="4"/>
        <v>6604000</v>
      </c>
      <c r="M23" s="46">
        <f>SUMIFS(Data!$J:$J,Data!$E:$E,Dashboard!$A23,Data!$C:$C,Dashboard!$D$6,Data!$D:$D,Dashboard!$B$6)</f>
        <v>126665</v>
      </c>
      <c r="N23" s="39">
        <f>Table149[[#This Row],[Column12]]/Table149[[#This Row],[Column11]]</f>
        <v>1.9180042398546336E-2</v>
      </c>
      <c r="P23" s="2" t="s">
        <v>399</v>
      </c>
      <c r="Q23" s="2"/>
    </row>
    <row r="24" spans="1:21" x14ac:dyDescent="0.25">
      <c r="A24" s="4" t="s">
        <v>447</v>
      </c>
      <c r="B24" s="65">
        <f>SUBTOTAL(109,Table149[Column1])</f>
        <v>87160</v>
      </c>
      <c r="C24" s="57">
        <f>SUBTOTAL(109,Table149[Column2])</f>
        <v>79825</v>
      </c>
      <c r="D24" s="57">
        <f>SUBTOTAL(109,Table149[Column3])</f>
        <v>66966</v>
      </c>
      <c r="E24" s="12">
        <f>SUBTOTAL(109,Table149[Column4])</f>
        <v>0</v>
      </c>
      <c r="F24" s="57">
        <f>SUBTOTAL(109,Table149[Column5])</f>
        <v>0</v>
      </c>
      <c r="G24" s="57">
        <f>SUBTOTAL(109,Table149[Column6])</f>
        <v>0</v>
      </c>
      <c r="H24" s="12">
        <f>SUBTOTAL(109,Table149[Column7])</f>
        <v>0</v>
      </c>
      <c r="I24" s="12">
        <f>SUBTOTAL(109,Table149[Column8])</f>
        <v>254000.00000000003</v>
      </c>
      <c r="J24" s="12">
        <f>SUBTOTAL(109,Table149[Column9])</f>
        <v>233951</v>
      </c>
      <c r="K24" s="66">
        <f>SUBTOTAL(101,Table149[Column10])</f>
        <v>0.92106692913385835</v>
      </c>
      <c r="L24" s="11">
        <f>SUBTOTAL(109,Table149[Column11])</f>
        <v>39624000</v>
      </c>
      <c r="M24" s="11">
        <f>SUBTOTAL(109,Table149[Column12])</f>
        <v>1089674</v>
      </c>
      <c r="N24" s="66">
        <f>SUBTOTAL(101,Table149[Column102])</f>
        <v>2.7500353321219462E-2</v>
      </c>
      <c r="P24" s="2" t="s">
        <v>400</v>
      </c>
      <c r="Q24" s="2"/>
    </row>
    <row r="25" spans="1:21" x14ac:dyDescent="0.25">
      <c r="A25" s="97" t="s">
        <v>448</v>
      </c>
      <c r="B25" s="98">
        <f>SUMIFS(Data!$J:$J,Data!$B:$B,Dashboard!B16-7)</f>
        <v>62020</v>
      </c>
      <c r="C25" s="98">
        <f>SUMIFS(Data!$J:$J,Data!$B:$B,Dashboard!C16-7)</f>
        <v>55580</v>
      </c>
      <c r="D25" s="98">
        <f>SUMIFS(Data!$J:$J,Data!$B:$B,Dashboard!D16-7)</f>
        <v>59165</v>
      </c>
      <c r="E25" s="98">
        <f>SUMIFS(Data!$J:$J,Data!$B:$B,Dashboard!E16-7)</f>
        <v>48535</v>
      </c>
      <c r="F25" s="98">
        <f>SUMIFS(Data!$J:$J,Data!$B:$B,Dashboard!F16-7)</f>
        <v>57915</v>
      </c>
      <c r="G25" s="98">
        <f>SUMIFS(Data!$J:$J,Data!$B:$B,Dashboard!G16-7)</f>
        <v>63415</v>
      </c>
      <c r="H25" s="98">
        <f>SUMIFS(Data!$J:$J,Data!$B:$B,Dashboard!H16-7)</f>
        <v>9280</v>
      </c>
      <c r="I25" s="99"/>
      <c r="J25" s="100">
        <f>SUM(B25:H25)</f>
        <v>355910</v>
      </c>
      <c r="K25" s="101">
        <f>IFERROR(J25/Table149[[#Totals],[Column8]],"")</f>
        <v>1.4012204724409447</v>
      </c>
      <c r="L25" s="99"/>
      <c r="M25" s="99"/>
      <c r="N25" s="99"/>
    </row>
    <row r="26" spans="1:21" x14ac:dyDescent="0.25">
      <c r="A26" s="96" t="s">
        <v>449</v>
      </c>
      <c r="B26" s="93">
        <f>IFERROR((Table149[[#Totals],[Column1]]-B25)/B25,"")</f>
        <v>0.40535311189938728</v>
      </c>
      <c r="C26" s="93">
        <f>IFERROR((Table149[[#Totals],[Column2]]-C25)/C25,"")</f>
        <v>0.43621806405181718</v>
      </c>
      <c r="D26" s="93">
        <f>IFERROR((Table149[[#Totals],[Column3]]-D25)/D25,"")</f>
        <v>0.13185160145356206</v>
      </c>
      <c r="E26" s="93">
        <f>IFERROR((Table149[[#Totals],[Column4]]-E25)/E25,"")</f>
        <v>-1</v>
      </c>
      <c r="F26" s="93">
        <f>IFERROR((Table149[[#Totals],[Column5]]-F25)/F25,"")</f>
        <v>-1</v>
      </c>
      <c r="G26" s="93">
        <f>IFERROR((Table149[[#Totals],[Column6]]-G25)/G25,"")</f>
        <v>-1</v>
      </c>
      <c r="H26" s="93">
        <f>IFERROR((Table149[[#Totals],[Column7]]-H25)/H25,"")</f>
        <v>-1</v>
      </c>
      <c r="I26" s="94"/>
      <c r="J26" s="95">
        <f>IFERROR((Table149[[#Totals],[Column9]]-J25)/J25,"")</f>
        <v>-0.34266809024753447</v>
      </c>
      <c r="Q26" t="s">
        <v>398</v>
      </c>
    </row>
    <row r="27" spans="1:21" x14ac:dyDescent="0.25">
      <c r="A27" s="96"/>
      <c r="B27" s="93"/>
      <c r="C27" s="93"/>
      <c r="D27" s="93"/>
      <c r="E27" s="93"/>
      <c r="F27" s="93"/>
      <c r="G27" s="93"/>
      <c r="H27" s="93"/>
      <c r="I27" s="94"/>
      <c r="J27" s="95"/>
    </row>
    <row r="28" spans="1:21" x14ac:dyDescent="0.25">
      <c r="A28" s="96"/>
      <c r="B28" s="93"/>
      <c r="C28" s="93"/>
      <c r="D28" s="93"/>
      <c r="E28" s="93"/>
      <c r="F28" s="93"/>
      <c r="G28" s="93"/>
      <c r="H28" s="93"/>
      <c r="I28" s="94"/>
      <c r="J28" s="95"/>
    </row>
    <row r="29" spans="1:21" x14ac:dyDescent="0.25">
      <c r="A29" s="96"/>
      <c r="B29" s="93"/>
      <c r="C29" s="93"/>
      <c r="D29" s="93"/>
      <c r="E29" s="93"/>
      <c r="F29" s="93"/>
      <c r="G29" s="93"/>
      <c r="H29" s="219"/>
      <c r="I29" s="94"/>
      <c r="J29" s="95"/>
    </row>
    <row r="30" spans="1:21" x14ac:dyDescent="0.25">
      <c r="H30" t="s">
        <v>398</v>
      </c>
    </row>
    <row r="31" spans="1:21" ht="15" customHeight="1" x14ac:dyDescent="0.25">
      <c r="A31" s="238" t="s">
        <v>345</v>
      </c>
      <c r="B31" s="238"/>
      <c r="C31" s="238"/>
    </row>
    <row r="32" spans="1:21" ht="15" customHeight="1" x14ac:dyDescent="0.25">
      <c r="A32" s="238"/>
      <c r="B32" s="238"/>
      <c r="C32" s="238"/>
    </row>
    <row r="33" spans="1:21" x14ac:dyDescent="0.25">
      <c r="A33" s="70"/>
      <c r="B33" s="235" t="str">
        <f>B16</f>
        <v>14-Mar</v>
      </c>
      <c r="C33" s="235"/>
      <c r="D33" s="235">
        <f>B33+1</f>
        <v>44635</v>
      </c>
      <c r="E33" s="235"/>
      <c r="F33" s="235">
        <f>D33+1</f>
        <v>44636</v>
      </c>
      <c r="G33" s="235"/>
      <c r="H33" s="235">
        <f>F33+1</f>
        <v>44637</v>
      </c>
      <c r="I33" s="235"/>
      <c r="J33" s="235">
        <f>H33+1</f>
        <v>44638</v>
      </c>
      <c r="K33" s="235"/>
      <c r="L33" s="235">
        <f>J33+1</f>
        <v>44639</v>
      </c>
      <c r="M33" s="235"/>
      <c r="N33" s="235">
        <f>L33+1</f>
        <v>44640</v>
      </c>
      <c r="O33" s="235"/>
      <c r="P33" s="236" t="s">
        <v>344</v>
      </c>
      <c r="Q33" s="236"/>
      <c r="R33" s="236"/>
      <c r="S33" s="234" t="s">
        <v>343</v>
      </c>
      <c r="T33" s="234"/>
      <c r="U33" s="234"/>
    </row>
    <row r="34" spans="1:21" x14ac:dyDescent="0.25">
      <c r="A34" s="4" t="s">
        <v>79</v>
      </c>
      <c r="B34" s="77" t="s">
        <v>163</v>
      </c>
      <c r="C34" s="77" t="s">
        <v>112</v>
      </c>
      <c r="D34" s="77" t="s">
        <v>326</v>
      </c>
      <c r="E34" s="77" t="s">
        <v>332</v>
      </c>
      <c r="F34" s="77" t="s">
        <v>327</v>
      </c>
      <c r="G34" s="77" t="s">
        <v>333</v>
      </c>
      <c r="H34" s="77" t="s">
        <v>328</v>
      </c>
      <c r="I34" s="77" t="s">
        <v>334</v>
      </c>
      <c r="J34" s="77" t="s">
        <v>329</v>
      </c>
      <c r="K34" s="77" t="s">
        <v>335</v>
      </c>
      <c r="L34" s="77" t="s">
        <v>330</v>
      </c>
      <c r="M34" s="77" t="s">
        <v>336</v>
      </c>
      <c r="N34" s="77" t="s">
        <v>331</v>
      </c>
      <c r="O34" s="77" t="s">
        <v>337</v>
      </c>
      <c r="P34" s="78" t="s">
        <v>302</v>
      </c>
      <c r="Q34" s="77" t="s">
        <v>341</v>
      </c>
      <c r="R34" s="77" t="s">
        <v>338</v>
      </c>
      <c r="S34" s="77" t="s">
        <v>340</v>
      </c>
      <c r="T34" s="4" t="s">
        <v>342</v>
      </c>
      <c r="U34" s="77" t="s">
        <v>339</v>
      </c>
    </row>
    <row r="35" spans="1:21" x14ac:dyDescent="0.25">
      <c r="A35" t="s">
        <v>22</v>
      </c>
      <c r="B35" s="67">
        <f>SUMIFS('Reach Data'!$I:$I,'Reach Data'!$E:$E,Dashboard!$A$7,'Reach Data'!$D:$D,Dashboard!$B$6,'Reach Data'!$F:$F,Dashboard!$A35,'Reach Data'!$B:$B,Dashboard!B$33)</f>
        <v>35</v>
      </c>
      <c r="C35" s="67">
        <f>SUMIFS('Reach Data'!$J:$J,'Reach Data'!$E:$E,Dashboard!$A$7,'Reach Data'!$D:$D,Dashboard!$B$6,'Reach Data'!$F:$F,Dashboard!$A35,'Reach Data'!$B:$B,Dashboard!B$33)</f>
        <v>6</v>
      </c>
      <c r="D35" s="67">
        <f>SUMIFS('Reach Data'!$I:$I,'Reach Data'!$E:$E,Dashboard!$A$7,'Reach Data'!$D:$D,Dashboard!$B$6,'Reach Data'!$F:$F,Dashboard!$A35,'Reach Data'!$B:$B,Dashboard!D$33)</f>
        <v>0</v>
      </c>
      <c r="E35" s="67">
        <f>SUMIFS('Reach Data'!$J:$J,'Reach Data'!$E:$E,Dashboard!$A$7,'Reach Data'!$D:$D,Dashboard!$B$6,'Reach Data'!$F:$F,Dashboard!$A35,'Reach Data'!$B:$B,Dashboard!D$33)</f>
        <v>0</v>
      </c>
      <c r="F35" s="67">
        <f>SUMIFS('Reach Data'!$I:$I,'Reach Data'!$E:$E,Dashboard!$A$7,'Reach Data'!$D:$D,Dashboard!$B$6,'Reach Data'!$F:$F,Dashboard!$A35,'Reach Data'!$B:$B,Dashboard!F$33)</f>
        <v>0</v>
      </c>
      <c r="G35" s="67">
        <f>SUMIFS('Reach Data'!$J:$J,'Reach Data'!$E:$E,Dashboard!$A$7,'Reach Data'!$D:$D,Dashboard!$B$6,'Reach Data'!$F:$F,Dashboard!$A35,'Reach Data'!$B:$B,Dashboard!F$33)</f>
        <v>0</v>
      </c>
      <c r="H35" s="67">
        <f>SUMIFS('Reach Data'!$I:$I,'Reach Data'!$E:$E,Dashboard!$A$7,'Reach Data'!$D:$D,Dashboard!$B$6,'Reach Data'!$F:$F,Dashboard!$A35,'Reach Data'!$B:$B,Dashboard!H$33)</f>
        <v>0</v>
      </c>
      <c r="I35" s="67">
        <f>SUMIFS('Reach Data'!$J:$J,'Reach Data'!$E:$E,Dashboard!$A$7,'Reach Data'!$D:$D,Dashboard!$B$6,'Reach Data'!$F:$F,Dashboard!$A35,'Reach Data'!$B:$B,Dashboard!H$33)</f>
        <v>0</v>
      </c>
      <c r="J35" s="67">
        <f>SUMIFS('Reach Data'!$I:$I,'Reach Data'!$E:$E,Dashboard!$A$7,'Reach Data'!$D:$D,Dashboard!$B$6,'Reach Data'!$F:$F,Dashboard!$A35,'Reach Data'!$B:$B,Dashboard!J$33)</f>
        <v>0</v>
      </c>
      <c r="K35" s="67">
        <f>SUMIFS('Reach Data'!$J:$J,'Reach Data'!$E:$E,Dashboard!$A$7,'Reach Data'!$D:$D,Dashboard!$B$6,'Reach Data'!$F:$F,Dashboard!$A35,'Reach Data'!$B:$B,Dashboard!J$33)</f>
        <v>0</v>
      </c>
      <c r="L35" s="67">
        <f>SUMIFS('Reach Data'!$I:$I,'Reach Data'!$E:$E,Dashboard!$A$7,'Reach Data'!$D:$D,Dashboard!$B$6,'Reach Data'!$F:$F,Dashboard!$A35,'Reach Data'!$B:$B,Dashboard!L$33)</f>
        <v>0</v>
      </c>
      <c r="M35" s="67">
        <f>SUMIFS('Reach Data'!$J:$J,'Reach Data'!$E:$E,Dashboard!$A$7,'Reach Data'!$D:$D,Dashboard!$B$6,'Reach Data'!$F:$F,Dashboard!$A35,'Reach Data'!$B:$B,Dashboard!L$33)</f>
        <v>0</v>
      </c>
      <c r="N35" s="67">
        <f>SUMIFS('Reach Data'!$I:$I,'Reach Data'!$E:$E,Dashboard!$A$7,'Reach Data'!$D:$D,Dashboard!$B$6,'Reach Data'!$F:$F,Dashboard!$A35,'Reach Data'!$B:$B,Dashboard!N$33)</f>
        <v>0</v>
      </c>
      <c r="O35" s="67">
        <f>SUMIFS('Reach Data'!$J:$J,'Reach Data'!$E:$E,Dashboard!$A$7,'Reach Data'!$D:$D,Dashboard!$B$6,'Reach Data'!$F:$F,Dashboard!$A35,'Reach Data'!$B:$B,Dashboard!N$33)</f>
        <v>0</v>
      </c>
      <c r="P35" s="79">
        <f t="shared" ref="P35:P40" si="5">$D$5*6</f>
        <v>180</v>
      </c>
      <c r="Q35" s="79">
        <f>SUMIFS('Reach Data'!$I:$I,'Reach Data'!$E:$E,Dashboard!$A$7,'Reach Data'!$D:$D,Dashboard!$B$6,'Reach Data'!$F:$F,Dashboard!$A35)</f>
        <v>35</v>
      </c>
      <c r="R35" s="80">
        <f>IFERROR(Table11011[[#This Row],[Total Reach]]/Table11011[[#This Row],[Reach Target]],"")</f>
        <v>0.19444444444444445</v>
      </c>
      <c r="S35" s="81">
        <f t="shared" ref="S35:S40" si="6">$F$5*6</f>
        <v>54</v>
      </c>
      <c r="T35" s="83">
        <f>SUMIFS('Reach Data'!$J:$J,'Reach Data'!$E:$E,Dashboard!$A$7,'Reach Data'!$D:$D,Dashboard!$B$6,'Reach Data'!$F:$F,Dashboard!$A35)</f>
        <v>6</v>
      </c>
      <c r="U35" s="82">
        <f>Table11011[[#This Row],[Total Conversion]]/Table11011[[#This Row],[Conversion Target2]]</f>
        <v>0.1111111111111111</v>
      </c>
    </row>
    <row r="36" spans="1:21" x14ac:dyDescent="0.25">
      <c r="A36" t="s">
        <v>1</v>
      </c>
      <c r="B36" s="67">
        <f>SUMIFS('Reach Data'!$I:$I,'Reach Data'!$E:$E,Dashboard!$A$7,'Reach Data'!$D:$D,Dashboard!$B$6,'Reach Data'!$F:$F,Dashboard!$A36,'Reach Data'!$B:$B,Dashboard!B$33)</f>
        <v>30</v>
      </c>
      <c r="C36" s="67">
        <f>SUMIFS('Reach Data'!$J:$J,'Reach Data'!$E:$E,Dashboard!$A$7,'Reach Data'!$D:$D,Dashboard!$B$6,'Reach Data'!$F:$F,Dashboard!$A36,'Reach Data'!$B:$B,Dashboard!B$33)</f>
        <v>4</v>
      </c>
      <c r="D36" s="67">
        <f>SUMIFS('Reach Data'!$I:$I,'Reach Data'!$E:$E,Dashboard!$A$7,'Reach Data'!$D:$D,Dashboard!$B$6,'Reach Data'!$F:$F,Dashboard!$A36,'Reach Data'!$B:$B,Dashboard!D$33)</f>
        <v>0</v>
      </c>
      <c r="E36" s="67">
        <f>SUMIFS('Reach Data'!$J:$J,'Reach Data'!$E:$E,Dashboard!$A$7,'Reach Data'!$D:$D,Dashboard!$B$6,'Reach Data'!$F:$F,Dashboard!$A36,'Reach Data'!$B:$B,Dashboard!D$33)</f>
        <v>0</v>
      </c>
      <c r="F36" s="67">
        <f>SUMIFS('Reach Data'!$I:$I,'Reach Data'!$E:$E,Dashboard!$A$7,'Reach Data'!$D:$D,Dashboard!$B$6,'Reach Data'!$F:$F,Dashboard!$A36,'Reach Data'!$B:$B,Dashboard!F$33)</f>
        <v>0</v>
      </c>
      <c r="G36" s="67">
        <f>SUMIFS('Reach Data'!$J:$J,'Reach Data'!$E:$E,Dashboard!$A$7,'Reach Data'!$D:$D,Dashboard!$B$6,'Reach Data'!$F:$F,Dashboard!$A36,'Reach Data'!$B:$B,Dashboard!F$33)</f>
        <v>0</v>
      </c>
      <c r="H36" s="67">
        <f>SUMIFS('Reach Data'!$I:$I,'Reach Data'!$E:$E,Dashboard!$A$7,'Reach Data'!$D:$D,Dashboard!$B$6,'Reach Data'!$F:$F,Dashboard!$A36,'Reach Data'!$B:$B,Dashboard!H$33)</f>
        <v>0</v>
      </c>
      <c r="I36" s="67">
        <f>SUMIFS('Reach Data'!$J:$J,'Reach Data'!$E:$E,Dashboard!$A$7,'Reach Data'!$D:$D,Dashboard!$B$6,'Reach Data'!$F:$F,Dashboard!$A36,'Reach Data'!$B:$B,Dashboard!H$33)</f>
        <v>0</v>
      </c>
      <c r="J36" s="67">
        <f>SUMIFS('Reach Data'!$I:$I,'Reach Data'!$E:$E,Dashboard!$A$7,'Reach Data'!$D:$D,Dashboard!$B$6,'Reach Data'!$F:$F,Dashboard!$A36,'Reach Data'!$B:$B,Dashboard!J$33)</f>
        <v>0</v>
      </c>
      <c r="K36" s="67">
        <f>SUMIFS('Reach Data'!$J:$J,'Reach Data'!$E:$E,Dashboard!$A$7,'Reach Data'!$D:$D,Dashboard!$B$6,'Reach Data'!$F:$F,Dashboard!$A36,'Reach Data'!$B:$B,Dashboard!J$33)</f>
        <v>0</v>
      </c>
      <c r="L36" s="67">
        <f>SUMIFS('Reach Data'!$I:$I,'Reach Data'!$E:$E,Dashboard!$A$7,'Reach Data'!$D:$D,Dashboard!$B$6,'Reach Data'!$F:$F,Dashboard!$A36,'Reach Data'!$B:$B,Dashboard!L$33)</f>
        <v>0</v>
      </c>
      <c r="M36" s="67">
        <f>SUMIFS('Reach Data'!$J:$J,'Reach Data'!$E:$E,Dashboard!$A$7,'Reach Data'!$D:$D,Dashboard!$B$6,'Reach Data'!$F:$F,Dashboard!$A36,'Reach Data'!$B:$B,Dashboard!L$33)</f>
        <v>0</v>
      </c>
      <c r="N36" s="67">
        <f>SUMIFS('Reach Data'!$I:$I,'Reach Data'!$E:$E,Dashboard!$A$7,'Reach Data'!$D:$D,Dashboard!$B$6,'Reach Data'!$F:$F,Dashboard!$A36,'Reach Data'!$B:$B,Dashboard!N$33)</f>
        <v>0</v>
      </c>
      <c r="O36" s="67">
        <f>SUMIFS('Reach Data'!$J:$J,'Reach Data'!$E:$E,Dashboard!$A$7,'Reach Data'!$D:$D,Dashboard!$B$6,'Reach Data'!$F:$F,Dashboard!$A36,'Reach Data'!$B:$B,Dashboard!N$33)</f>
        <v>0</v>
      </c>
      <c r="P36" s="79">
        <f t="shared" si="5"/>
        <v>180</v>
      </c>
      <c r="Q36" s="79">
        <f>SUMIFS('Reach Data'!$I:$I,'Reach Data'!$E:$E,Dashboard!$A$7,'Reach Data'!$D:$D,Dashboard!$B$6,'Reach Data'!$F:$F,Dashboard!$A36)</f>
        <v>30</v>
      </c>
      <c r="R36" s="80">
        <f>IFERROR(Table11011[[#This Row],[Total Reach]]/Table11011[[#This Row],[Reach Target]],"")</f>
        <v>0.16666666666666666</v>
      </c>
      <c r="S36" s="81">
        <f t="shared" si="6"/>
        <v>54</v>
      </c>
      <c r="T36" s="83">
        <f>SUMIFS('Reach Data'!$J:$J,'Reach Data'!$E:$E,Dashboard!$A$7,'Reach Data'!$D:$D,Dashboard!$B$6,'Reach Data'!$F:$F,Dashboard!$A36)</f>
        <v>4</v>
      </c>
      <c r="U36" s="82">
        <f>Table11011[[#This Row],[Total Conversion]]/Table11011[[#This Row],[Conversion Target2]]</f>
        <v>7.407407407407407E-2</v>
      </c>
    </row>
    <row r="37" spans="1:21" x14ac:dyDescent="0.25">
      <c r="A37" t="s">
        <v>19</v>
      </c>
      <c r="B37" s="67">
        <f>SUMIFS('Reach Data'!$I:$I,'Reach Data'!$E:$E,Dashboard!$A$7,'Reach Data'!$D:$D,Dashboard!$B$6,'Reach Data'!$F:$F,Dashboard!$A37,'Reach Data'!$B:$B,Dashboard!B$33)</f>
        <v>6</v>
      </c>
      <c r="C37" s="67">
        <f>SUMIFS('Reach Data'!$J:$J,'Reach Data'!$E:$E,Dashboard!$A$7,'Reach Data'!$D:$D,Dashboard!$B$6,'Reach Data'!$F:$F,Dashboard!$A37,'Reach Data'!$B:$B,Dashboard!B$33)</f>
        <v>6</v>
      </c>
      <c r="D37" s="67">
        <f>SUMIFS('Reach Data'!$I:$I,'Reach Data'!$E:$E,Dashboard!$A$7,'Reach Data'!$D:$D,Dashboard!$B$6,'Reach Data'!$F:$F,Dashboard!$A37,'Reach Data'!$B:$B,Dashboard!D$33)</f>
        <v>0</v>
      </c>
      <c r="E37" s="67">
        <f>SUMIFS('Reach Data'!$J:$J,'Reach Data'!$E:$E,Dashboard!$A$7,'Reach Data'!$D:$D,Dashboard!$B$6,'Reach Data'!$F:$F,Dashboard!$A37,'Reach Data'!$B:$B,Dashboard!D$33)</f>
        <v>0</v>
      </c>
      <c r="F37" s="67">
        <f>SUMIFS('Reach Data'!$I:$I,'Reach Data'!$E:$E,Dashboard!$A$7,'Reach Data'!$D:$D,Dashboard!$B$6,'Reach Data'!$F:$F,Dashboard!$A37,'Reach Data'!$B:$B,Dashboard!F$33)</f>
        <v>0</v>
      </c>
      <c r="G37" s="67">
        <f>SUMIFS('Reach Data'!$J:$J,'Reach Data'!$E:$E,Dashboard!$A$7,'Reach Data'!$D:$D,Dashboard!$B$6,'Reach Data'!$F:$F,Dashboard!$A37,'Reach Data'!$B:$B,Dashboard!F$33)</f>
        <v>0</v>
      </c>
      <c r="H37" s="67">
        <f>SUMIFS('Reach Data'!$I:$I,'Reach Data'!$E:$E,Dashboard!$A$7,'Reach Data'!$D:$D,Dashboard!$B$6,'Reach Data'!$F:$F,Dashboard!$A37,'Reach Data'!$B:$B,Dashboard!H$33)</f>
        <v>0</v>
      </c>
      <c r="I37" s="67">
        <f>SUMIFS('Reach Data'!$J:$J,'Reach Data'!$E:$E,Dashboard!$A$7,'Reach Data'!$D:$D,Dashboard!$B$6,'Reach Data'!$F:$F,Dashboard!$A37,'Reach Data'!$B:$B,Dashboard!H$33)</f>
        <v>0</v>
      </c>
      <c r="J37" s="67">
        <f>SUMIFS('Reach Data'!$I:$I,'Reach Data'!$E:$E,Dashboard!$A$7,'Reach Data'!$D:$D,Dashboard!$B$6,'Reach Data'!$F:$F,Dashboard!$A37,'Reach Data'!$B:$B,Dashboard!J$33)</f>
        <v>0</v>
      </c>
      <c r="K37" s="67">
        <f>SUMIFS('Reach Data'!$J:$J,'Reach Data'!$E:$E,Dashboard!$A$7,'Reach Data'!$D:$D,Dashboard!$B$6,'Reach Data'!$F:$F,Dashboard!$A37,'Reach Data'!$B:$B,Dashboard!J$33)</f>
        <v>0</v>
      </c>
      <c r="L37" s="67">
        <f>SUMIFS('Reach Data'!$I:$I,'Reach Data'!$E:$E,Dashboard!$A$7,'Reach Data'!$D:$D,Dashboard!$B$6,'Reach Data'!$F:$F,Dashboard!$A37,'Reach Data'!$B:$B,Dashboard!L$33)</f>
        <v>0</v>
      </c>
      <c r="M37" s="67">
        <f>SUMIFS('Reach Data'!$J:$J,'Reach Data'!$E:$E,Dashboard!$A$7,'Reach Data'!$D:$D,Dashboard!$B$6,'Reach Data'!$F:$F,Dashboard!$A37,'Reach Data'!$B:$B,Dashboard!L$33)</f>
        <v>0</v>
      </c>
      <c r="N37" s="67">
        <f>SUMIFS('Reach Data'!$I:$I,'Reach Data'!$E:$E,Dashboard!$A$7,'Reach Data'!$D:$D,Dashboard!$B$6,'Reach Data'!$F:$F,Dashboard!$A37,'Reach Data'!$B:$B,Dashboard!N$33)</f>
        <v>0</v>
      </c>
      <c r="O37" s="67">
        <f>SUMIFS('Reach Data'!$J:$J,'Reach Data'!$E:$E,Dashboard!$A$7,'Reach Data'!$D:$D,Dashboard!$B$6,'Reach Data'!$F:$F,Dashboard!$A37,'Reach Data'!$B:$B,Dashboard!N$33)</f>
        <v>0</v>
      </c>
      <c r="P37" s="79">
        <f t="shared" si="5"/>
        <v>180</v>
      </c>
      <c r="Q37" s="79">
        <f>SUMIFS('Reach Data'!$I:$I,'Reach Data'!$E:$E,Dashboard!$A$7,'Reach Data'!$D:$D,Dashboard!$B$6,'Reach Data'!$F:$F,Dashboard!$A37)</f>
        <v>6</v>
      </c>
      <c r="R37" s="80">
        <f>IFERROR(Table11011[[#This Row],[Total Reach]]/Table11011[[#This Row],[Reach Target]],"")</f>
        <v>3.3333333333333333E-2</v>
      </c>
      <c r="S37" s="81">
        <f t="shared" si="6"/>
        <v>54</v>
      </c>
      <c r="T37" s="83">
        <f>SUMIFS('Reach Data'!$J:$J,'Reach Data'!$E:$E,Dashboard!$A$7,'Reach Data'!$D:$D,Dashboard!$B$6,'Reach Data'!$F:$F,Dashboard!$A37)</f>
        <v>6</v>
      </c>
      <c r="U37" s="82">
        <f>Table11011[[#This Row],[Total Conversion]]/Table11011[[#This Row],[Conversion Target2]]</f>
        <v>0.1111111111111111</v>
      </c>
    </row>
    <row r="38" spans="1:21" x14ac:dyDescent="0.25">
      <c r="A38" t="s">
        <v>11</v>
      </c>
      <c r="B38" s="67">
        <f>SUMIFS('Reach Data'!$I:$I,'Reach Data'!$E:$E,Dashboard!$A$7,'Reach Data'!$D:$D,Dashboard!$B$6,'Reach Data'!$F:$F,Dashboard!$A38,'Reach Data'!$B:$B,Dashboard!B$33)</f>
        <v>23</v>
      </c>
      <c r="C38" s="67">
        <f>SUMIFS('Reach Data'!$J:$J,'Reach Data'!$E:$E,Dashboard!$A$7,'Reach Data'!$D:$D,Dashboard!$B$6,'Reach Data'!$F:$F,Dashboard!$A38,'Reach Data'!$B:$B,Dashboard!B$33)</f>
        <v>6</v>
      </c>
      <c r="D38" s="67">
        <f>SUMIFS('Reach Data'!$I:$I,'Reach Data'!$E:$E,Dashboard!$A$7,'Reach Data'!$D:$D,Dashboard!$B$6,'Reach Data'!$F:$F,Dashboard!$A38,'Reach Data'!$B:$B,Dashboard!D$33)</f>
        <v>0</v>
      </c>
      <c r="E38" s="67">
        <f>SUMIFS('Reach Data'!$J:$J,'Reach Data'!$E:$E,Dashboard!$A$7,'Reach Data'!$D:$D,Dashboard!$B$6,'Reach Data'!$F:$F,Dashboard!$A38,'Reach Data'!$B:$B,Dashboard!D$33)</f>
        <v>0</v>
      </c>
      <c r="F38" s="67">
        <f>SUMIFS('Reach Data'!$I:$I,'Reach Data'!$E:$E,Dashboard!$A$7,'Reach Data'!$D:$D,Dashboard!$B$6,'Reach Data'!$F:$F,Dashboard!$A38,'Reach Data'!$B:$B,Dashboard!F$33)</f>
        <v>0</v>
      </c>
      <c r="G38" s="67">
        <f>SUMIFS('Reach Data'!$J:$J,'Reach Data'!$E:$E,Dashboard!$A$7,'Reach Data'!$D:$D,Dashboard!$B$6,'Reach Data'!$F:$F,Dashboard!$A38,'Reach Data'!$B:$B,Dashboard!F$33)</f>
        <v>0</v>
      </c>
      <c r="H38" s="67">
        <f>SUMIFS('Reach Data'!$I:$I,'Reach Data'!$E:$E,Dashboard!$A$7,'Reach Data'!$D:$D,Dashboard!$B$6,'Reach Data'!$F:$F,Dashboard!$A38,'Reach Data'!$B:$B,Dashboard!H$33)</f>
        <v>0</v>
      </c>
      <c r="I38" s="67">
        <f>SUMIFS('Reach Data'!$J:$J,'Reach Data'!$E:$E,Dashboard!$A$7,'Reach Data'!$D:$D,Dashboard!$B$6,'Reach Data'!$F:$F,Dashboard!$A38,'Reach Data'!$B:$B,Dashboard!H$33)</f>
        <v>0</v>
      </c>
      <c r="J38" s="67">
        <f>SUMIFS('Reach Data'!$I:$I,'Reach Data'!$E:$E,Dashboard!$A$7,'Reach Data'!$D:$D,Dashboard!$B$6,'Reach Data'!$F:$F,Dashboard!$A38,'Reach Data'!$B:$B,Dashboard!J$33)</f>
        <v>0</v>
      </c>
      <c r="K38" s="67">
        <f>SUMIFS('Reach Data'!$J:$J,'Reach Data'!$E:$E,Dashboard!$A$7,'Reach Data'!$D:$D,Dashboard!$B$6,'Reach Data'!$F:$F,Dashboard!$A38,'Reach Data'!$B:$B,Dashboard!J$33)</f>
        <v>0</v>
      </c>
      <c r="L38" s="67">
        <f>SUMIFS('Reach Data'!$I:$I,'Reach Data'!$E:$E,Dashboard!$A$7,'Reach Data'!$D:$D,Dashboard!$B$6,'Reach Data'!$F:$F,Dashboard!$A38,'Reach Data'!$B:$B,Dashboard!L$33)</f>
        <v>0</v>
      </c>
      <c r="M38" s="67">
        <f>SUMIFS('Reach Data'!$J:$J,'Reach Data'!$E:$E,Dashboard!$A$7,'Reach Data'!$D:$D,Dashboard!$B$6,'Reach Data'!$F:$F,Dashboard!$A38,'Reach Data'!$B:$B,Dashboard!L$33)</f>
        <v>0</v>
      </c>
      <c r="N38" s="67">
        <f>SUMIFS('Reach Data'!$I:$I,'Reach Data'!$E:$E,Dashboard!$A$7,'Reach Data'!$D:$D,Dashboard!$B$6,'Reach Data'!$F:$F,Dashboard!$A38,'Reach Data'!$B:$B,Dashboard!N$33)</f>
        <v>0</v>
      </c>
      <c r="O38" s="67">
        <f>SUMIFS('Reach Data'!$J:$J,'Reach Data'!$E:$E,Dashboard!$A$7,'Reach Data'!$D:$D,Dashboard!$B$6,'Reach Data'!$F:$F,Dashboard!$A38,'Reach Data'!$B:$B,Dashboard!N$33)</f>
        <v>0</v>
      </c>
      <c r="P38" s="79">
        <f t="shared" si="5"/>
        <v>180</v>
      </c>
      <c r="Q38" s="79">
        <f>SUMIFS('Reach Data'!$I:$I,'Reach Data'!$E:$E,Dashboard!$A$7,'Reach Data'!$D:$D,Dashboard!$B$6,'Reach Data'!$F:$F,Dashboard!$A38)</f>
        <v>23</v>
      </c>
      <c r="R38" s="80">
        <f>IFERROR(Table11011[[#This Row],[Total Reach]]/Table11011[[#This Row],[Reach Target]],"")</f>
        <v>0.12777777777777777</v>
      </c>
      <c r="S38" s="81">
        <f t="shared" si="6"/>
        <v>54</v>
      </c>
      <c r="T38" s="83">
        <f>SUMIFS('Reach Data'!$J:$J,'Reach Data'!$E:$E,Dashboard!$A$7,'Reach Data'!$D:$D,Dashboard!$B$6,'Reach Data'!$F:$F,Dashboard!$A38)</f>
        <v>6</v>
      </c>
      <c r="U38" s="82">
        <f>Table11011[[#This Row],[Total Conversion]]/Table11011[[#This Row],[Conversion Target2]]</f>
        <v>0.1111111111111111</v>
      </c>
    </row>
    <row r="39" spans="1:21" x14ac:dyDescent="0.25">
      <c r="A39" t="s">
        <v>599</v>
      </c>
      <c r="B39" s="67">
        <f>SUMIFS('Reach Data'!$I:$I,'Reach Data'!$E:$E,Dashboard!$A$7,'Reach Data'!$D:$D,Dashboard!$B$6,'Reach Data'!$F:$F,Dashboard!$A39,'Reach Data'!$B:$B,Dashboard!B$33)</f>
        <v>33</v>
      </c>
      <c r="C39" s="67">
        <f>SUMIFS('Reach Data'!$J:$J,'Reach Data'!$E:$E,Dashboard!$A$7,'Reach Data'!$D:$D,Dashboard!$B$6,'Reach Data'!$F:$F,Dashboard!$A39,'Reach Data'!$B:$B,Dashboard!B$33)</f>
        <v>14</v>
      </c>
      <c r="D39" s="67">
        <f>SUMIFS('Reach Data'!$I:$I,'Reach Data'!$E:$E,Dashboard!$A$7,'Reach Data'!$D:$D,Dashboard!$B$6,'Reach Data'!$F:$F,Dashboard!$A39,'Reach Data'!$B:$B,Dashboard!D$33)</f>
        <v>0</v>
      </c>
      <c r="E39" s="67">
        <f>SUMIFS('Reach Data'!$J:$J,'Reach Data'!$E:$E,Dashboard!$A$7,'Reach Data'!$D:$D,Dashboard!$B$6,'Reach Data'!$F:$F,Dashboard!$A39,'Reach Data'!$B:$B,Dashboard!D$33)</f>
        <v>0</v>
      </c>
      <c r="F39" s="67">
        <f>SUMIFS('Reach Data'!$I:$I,'Reach Data'!$E:$E,Dashboard!$A$7,'Reach Data'!$D:$D,Dashboard!$B$6,'Reach Data'!$F:$F,Dashboard!$A39,'Reach Data'!$B:$B,Dashboard!F$33)</f>
        <v>0</v>
      </c>
      <c r="G39" s="67">
        <f>SUMIFS('Reach Data'!$J:$J,'Reach Data'!$E:$E,Dashboard!$A$7,'Reach Data'!$D:$D,Dashboard!$B$6,'Reach Data'!$F:$F,Dashboard!$A39,'Reach Data'!$B:$B,Dashboard!F$33)</f>
        <v>0</v>
      </c>
      <c r="H39" s="67">
        <f>SUMIFS('Reach Data'!$I:$I,'Reach Data'!$E:$E,Dashboard!$A$7,'Reach Data'!$D:$D,Dashboard!$B$6,'Reach Data'!$F:$F,Dashboard!$A39,'Reach Data'!$B:$B,Dashboard!H$33)</f>
        <v>0</v>
      </c>
      <c r="I39" s="67">
        <f>SUMIFS('Reach Data'!$J:$J,'Reach Data'!$E:$E,Dashboard!$A$7,'Reach Data'!$D:$D,Dashboard!$B$6,'Reach Data'!$F:$F,Dashboard!$A39,'Reach Data'!$B:$B,Dashboard!H$33)</f>
        <v>0</v>
      </c>
      <c r="J39" s="67">
        <f>SUMIFS('Reach Data'!$I:$I,'Reach Data'!$E:$E,Dashboard!$A$7,'Reach Data'!$D:$D,Dashboard!$B$6,'Reach Data'!$F:$F,Dashboard!$A39,'Reach Data'!$B:$B,Dashboard!J$33)</f>
        <v>0</v>
      </c>
      <c r="K39" s="67">
        <f>SUMIFS('Reach Data'!$J:$J,'Reach Data'!$E:$E,Dashboard!$A$7,'Reach Data'!$D:$D,Dashboard!$B$6,'Reach Data'!$F:$F,Dashboard!$A39,'Reach Data'!$B:$B,Dashboard!J$33)</f>
        <v>0</v>
      </c>
      <c r="L39" s="67">
        <f>SUMIFS('Reach Data'!$I:$I,'Reach Data'!$E:$E,Dashboard!$A$7,'Reach Data'!$D:$D,Dashboard!$B$6,'Reach Data'!$F:$F,Dashboard!$A39,'Reach Data'!$B:$B,Dashboard!L$33)</f>
        <v>0</v>
      </c>
      <c r="M39" s="67">
        <f>SUMIFS('Reach Data'!$J:$J,'Reach Data'!$E:$E,Dashboard!$A$7,'Reach Data'!$D:$D,Dashboard!$B$6,'Reach Data'!$F:$F,Dashboard!$A39,'Reach Data'!$B:$B,Dashboard!L$33)</f>
        <v>0</v>
      </c>
      <c r="N39" s="67">
        <f>SUMIFS('Reach Data'!$I:$I,'Reach Data'!$E:$E,Dashboard!$A$7,'Reach Data'!$D:$D,Dashboard!$B$6,'Reach Data'!$F:$F,Dashboard!$A39,'Reach Data'!$B:$B,Dashboard!N$33)</f>
        <v>0</v>
      </c>
      <c r="O39" s="67">
        <f>SUMIFS('Reach Data'!$J:$J,'Reach Data'!$E:$E,Dashboard!$A$7,'Reach Data'!$D:$D,Dashboard!$B$6,'Reach Data'!$F:$F,Dashboard!$A39,'Reach Data'!$B:$B,Dashboard!N$33)</f>
        <v>0</v>
      </c>
      <c r="P39" s="79">
        <f t="shared" si="5"/>
        <v>180</v>
      </c>
      <c r="Q39" s="79">
        <f>SUMIFS('Reach Data'!$I:$I,'Reach Data'!$E:$E,Dashboard!$A$7,'Reach Data'!$D:$D,Dashboard!$B$6,'Reach Data'!$F:$F,Dashboard!$A39)</f>
        <v>33</v>
      </c>
      <c r="R39" s="80">
        <f>IFERROR(Table11011[[#This Row],[Total Reach]]/Table11011[[#This Row],[Reach Target]],"")</f>
        <v>0.18333333333333332</v>
      </c>
      <c r="S39" s="81">
        <f t="shared" si="6"/>
        <v>54</v>
      </c>
      <c r="T39" s="83">
        <f>SUMIFS('Reach Data'!$J:$J,'Reach Data'!$E:$E,Dashboard!$A$7,'Reach Data'!$D:$D,Dashboard!$B$6,'Reach Data'!$F:$F,Dashboard!$A39)</f>
        <v>14</v>
      </c>
      <c r="U39" s="82">
        <f>Table11011[[#This Row],[Total Conversion]]/Table11011[[#This Row],[Conversion Target2]]</f>
        <v>0.25925925925925924</v>
      </c>
    </row>
    <row r="40" spans="1:21" x14ac:dyDescent="0.25">
      <c r="A40" t="s">
        <v>111</v>
      </c>
      <c r="B40" s="67">
        <f>SUMIFS('Reach Data'!$I:$I,'Reach Data'!$E:$E,Dashboard!$A$7,'Reach Data'!$D:$D,Dashboard!$B$6,'Reach Data'!$F:$F,Dashboard!$A40,'Reach Data'!$B:$B,Dashboard!B$33)</f>
        <v>32</v>
      </c>
      <c r="C40" s="67">
        <f>SUMIFS('Reach Data'!$J:$J,'Reach Data'!$E:$E,Dashboard!$A$7,'Reach Data'!$D:$D,Dashboard!$B$6,'Reach Data'!$F:$F,Dashboard!$A40,'Reach Data'!$B:$B,Dashboard!B$33)</f>
        <v>9</v>
      </c>
      <c r="D40" s="67">
        <f>SUMIFS('Reach Data'!$I:$I,'Reach Data'!$E:$E,Dashboard!$A$7,'Reach Data'!$D:$D,Dashboard!$B$6,'Reach Data'!$F:$F,Dashboard!$A40,'Reach Data'!$B:$B,Dashboard!D$33)</f>
        <v>0</v>
      </c>
      <c r="E40" s="67">
        <f>SUMIFS('Reach Data'!$J:$J,'Reach Data'!$E:$E,Dashboard!$A$7,'Reach Data'!$D:$D,Dashboard!$B$6,'Reach Data'!$F:$F,Dashboard!$A40,'Reach Data'!$B:$B,Dashboard!D$33)</f>
        <v>0</v>
      </c>
      <c r="F40" s="67">
        <f>SUMIFS('Reach Data'!$I:$I,'Reach Data'!$E:$E,Dashboard!$A$7,'Reach Data'!$D:$D,Dashboard!$B$6,'Reach Data'!$F:$F,Dashboard!$A40,'Reach Data'!$B:$B,Dashboard!F$33)</f>
        <v>0</v>
      </c>
      <c r="G40" s="67">
        <f>SUMIFS('Reach Data'!$J:$J,'Reach Data'!$E:$E,Dashboard!$A$7,'Reach Data'!$D:$D,Dashboard!$B$6,'Reach Data'!$F:$F,Dashboard!$A40,'Reach Data'!$B:$B,Dashboard!F$33)</f>
        <v>0</v>
      </c>
      <c r="H40" s="67">
        <f>SUMIFS('Reach Data'!$I:$I,'Reach Data'!$E:$E,Dashboard!$A$7,'Reach Data'!$D:$D,Dashboard!$B$6,'Reach Data'!$F:$F,Dashboard!$A40,'Reach Data'!$B:$B,Dashboard!H$33)</f>
        <v>0</v>
      </c>
      <c r="I40" s="67">
        <f>SUMIFS('Reach Data'!$J:$J,'Reach Data'!$E:$E,Dashboard!$A$7,'Reach Data'!$D:$D,Dashboard!$B$6,'Reach Data'!$F:$F,Dashboard!$A40,'Reach Data'!$B:$B,Dashboard!H$33)</f>
        <v>0</v>
      </c>
      <c r="J40" s="67">
        <f>SUMIFS('Reach Data'!$I:$I,'Reach Data'!$E:$E,Dashboard!$A$7,'Reach Data'!$D:$D,Dashboard!$B$6,'Reach Data'!$F:$F,Dashboard!$A40,'Reach Data'!$B:$B,Dashboard!J$33)</f>
        <v>0</v>
      </c>
      <c r="K40" s="67">
        <f>SUMIFS('Reach Data'!$J:$J,'Reach Data'!$E:$E,Dashboard!$A$7,'Reach Data'!$D:$D,Dashboard!$B$6,'Reach Data'!$F:$F,Dashboard!$A40,'Reach Data'!$B:$B,Dashboard!J$33)</f>
        <v>0</v>
      </c>
      <c r="L40" s="67">
        <f>SUMIFS('Reach Data'!$I:$I,'Reach Data'!$E:$E,Dashboard!$A$7,'Reach Data'!$D:$D,Dashboard!$B$6,'Reach Data'!$F:$F,Dashboard!$A40,'Reach Data'!$B:$B,Dashboard!L$33)</f>
        <v>0</v>
      </c>
      <c r="M40" s="67">
        <f>SUMIFS('Reach Data'!$J:$J,'Reach Data'!$E:$E,Dashboard!$A$7,'Reach Data'!$D:$D,Dashboard!$B$6,'Reach Data'!$F:$F,Dashboard!$A40,'Reach Data'!$B:$B,Dashboard!L$33)</f>
        <v>0</v>
      </c>
      <c r="N40" s="67">
        <f>SUMIFS('Reach Data'!$I:$I,'Reach Data'!$E:$E,Dashboard!$A$7,'Reach Data'!$D:$D,Dashboard!$B$6,'Reach Data'!$F:$F,Dashboard!$A40,'Reach Data'!$B:$B,Dashboard!N$33)</f>
        <v>0</v>
      </c>
      <c r="O40" s="67">
        <f>SUMIFS('Reach Data'!$J:$J,'Reach Data'!$E:$E,Dashboard!$A$7,'Reach Data'!$D:$D,Dashboard!$B$6,'Reach Data'!$F:$F,Dashboard!$A40,'Reach Data'!$B:$B,Dashboard!N$33)</f>
        <v>0</v>
      </c>
      <c r="P40" s="79">
        <f t="shared" si="5"/>
        <v>180</v>
      </c>
      <c r="Q40" s="79">
        <f>SUMIFS('Reach Data'!$I:$I,'Reach Data'!$E:$E,Dashboard!$A$7,'Reach Data'!$D:$D,Dashboard!$B$6,'Reach Data'!$F:$F,Dashboard!$A40)</f>
        <v>32</v>
      </c>
      <c r="R40" s="80">
        <f>IFERROR(Table11011[[#This Row],[Total Reach]]/Table11011[[#This Row],[Reach Target]],"")</f>
        <v>0.17777777777777778</v>
      </c>
      <c r="S40" s="81">
        <f t="shared" si="6"/>
        <v>54</v>
      </c>
      <c r="T40" s="83">
        <f>SUMIFS('Reach Data'!$J:$J,'Reach Data'!$E:$E,Dashboard!$A$7,'Reach Data'!$D:$D,Dashboard!$B$6,'Reach Data'!$F:$F,Dashboard!$A40)</f>
        <v>9</v>
      </c>
      <c r="U40" s="82">
        <f>Table11011[[#This Row],[Total Conversion]]/Table11011[[#This Row],[Conversion Target2]]</f>
        <v>0.16666666666666666</v>
      </c>
    </row>
    <row r="41" spans="1:21" x14ac:dyDescent="0.25">
      <c r="A41" s="72" t="s">
        <v>447</v>
      </c>
      <c r="B41" s="65">
        <f>SUBTOTAL(109,Table11011[Reach])</f>
        <v>159</v>
      </c>
      <c r="C41" s="65">
        <f>SUBTOTAL(109,Table11011[Conversion])</f>
        <v>45</v>
      </c>
      <c r="D41" s="65">
        <f>SUBTOTAL(109,Table11011[Reach2])</f>
        <v>0</v>
      </c>
      <c r="E41" s="65">
        <f>SUBTOTAL(109,Table11011[Conversion2])</f>
        <v>0</v>
      </c>
      <c r="F41" s="65">
        <f>SUBTOTAL(109,Table11011[Reach3])</f>
        <v>0</v>
      </c>
      <c r="G41" s="65">
        <f>SUBTOTAL(109,Table11011[Conversion3])</f>
        <v>0</v>
      </c>
      <c r="H41" s="65">
        <f>SUBTOTAL(109,Table11011[Reach4])</f>
        <v>0</v>
      </c>
      <c r="I41" s="65">
        <f>SUBTOTAL(109,Table11011[Conversion4])</f>
        <v>0</v>
      </c>
      <c r="J41" s="65">
        <f>SUBTOTAL(109,Table11011[Reach5])</f>
        <v>0</v>
      </c>
      <c r="K41" s="65">
        <f>SUBTOTAL(109,Table11011[Conversion5])</f>
        <v>0</v>
      </c>
      <c r="L41" s="65">
        <f>SUBTOTAL(109,Table11011[Reach6])</f>
        <v>0</v>
      </c>
      <c r="M41" s="65">
        <f>SUBTOTAL(109,Table11011[Conversion6])</f>
        <v>0</v>
      </c>
      <c r="N41" s="65">
        <f>SUBTOTAL(109,Table11011[Reach7])</f>
        <v>0</v>
      </c>
      <c r="O41" s="65">
        <f>SUBTOTAL(109,Table11011[Conversion7])</f>
        <v>0</v>
      </c>
      <c r="P41" s="17">
        <f>SUBTOTAL(109,Table11011[Reach Target])</f>
        <v>1080</v>
      </c>
      <c r="Q41" s="17">
        <f>SUBTOTAL(109,Table11011[Total Reach])</f>
        <v>159</v>
      </c>
      <c r="R41" s="104">
        <f>SUBTOTAL(101,Table11011[%Perf Reach])</f>
        <v>0.14722222222222223</v>
      </c>
      <c r="S41" s="17">
        <f>SUBTOTAL(109,Table11011[Conversion Target2])</f>
        <v>324</v>
      </c>
      <c r="T41" s="157">
        <f>SUBTOTAL(109,Table11011[Total Conversion])</f>
        <v>45</v>
      </c>
      <c r="U41" s="104">
        <f>SUBTOTAL(101,Table11011[%Perf Conversion])</f>
        <v>0.13888888888888887</v>
      </c>
    </row>
    <row r="42" spans="1:21" x14ac:dyDescent="0.25">
      <c r="A42" s="72" t="s">
        <v>448</v>
      </c>
      <c r="B42" s="67">
        <f>SUMIFS('Reach Data'!$I:$I,'Reach Data'!$B:$B,Dashboard!B33-7)</f>
        <v>131</v>
      </c>
      <c r="C42" s="67">
        <f>SUMIFS('Reach Data'!$J:$J,'Reach Data'!$B:$B,Dashboard!B33-7)</f>
        <v>32</v>
      </c>
      <c r="D42" s="67">
        <f>SUMIFS('Reach Data'!$I:$I,'Reach Data'!$B:$B,Dashboard!D33-7)</f>
        <v>182</v>
      </c>
      <c r="E42" s="67">
        <f>SUMIFS('Reach Data'!$J:$J,'Reach Data'!$B:$B,Dashboard!D33-7)</f>
        <v>31</v>
      </c>
      <c r="F42" s="67">
        <f>SUMIFS('Reach Data'!$I:$I,'Reach Data'!$B:$B,Dashboard!F33-7)</f>
        <v>182</v>
      </c>
      <c r="G42" s="67">
        <f>SUMIFS('Reach Data'!$J:$J,'Reach Data'!$B:$B,Dashboard!F33-7)</f>
        <v>40</v>
      </c>
      <c r="H42" s="67">
        <f>SUMIFS('Reach Data'!$I:$I,'Reach Data'!$B:$B,Dashboard!H33-7)</f>
        <v>161</v>
      </c>
      <c r="I42" s="67">
        <f>SUMIFS('Reach Data'!$J:$J,'Reach Data'!$B:$B,Dashboard!H33-7)</f>
        <v>33</v>
      </c>
      <c r="J42" s="67">
        <f>SUMIFS('Reach Data'!$I:$I,'Reach Data'!$B:$B,Dashboard!J33-7)</f>
        <v>180</v>
      </c>
      <c r="K42" s="67">
        <f>SUMIFS('Reach Data'!$J:$J,'Reach Data'!$B:$B,Dashboard!J33-7)</f>
        <v>34</v>
      </c>
      <c r="L42" s="67">
        <f>SUMIFS('Reach Data'!$I:$I,'Reach Data'!$B:$B,Dashboard!L33-7)</f>
        <v>142</v>
      </c>
      <c r="M42" s="67">
        <f>SUMIFS('Reach Data'!$J:$J,'Reach Data'!$B:$B,Dashboard!L33-7)</f>
        <v>30</v>
      </c>
      <c r="N42" s="67">
        <f>SUMIFS('Reach Data'!$I:$I,'Reach Data'!$B:$B,Dashboard!N33-7)</f>
        <v>17</v>
      </c>
      <c r="O42" s="67">
        <f>SUMIFS('Reach Data'!$J:$J,'Reach Data'!$B:$B,Dashboard!N33-7)</f>
        <v>4</v>
      </c>
    </row>
    <row r="43" spans="1:21" x14ac:dyDescent="0.25">
      <c r="A43" s="72" t="s">
        <v>449</v>
      </c>
      <c r="B43" s="10">
        <f>IFERROR((Table11011[[#Totals],[Reach]]-B42)/B42,"")</f>
        <v>0.21374045801526717</v>
      </c>
      <c r="C43" s="10">
        <f>IFERROR((Table11011[[#Totals],[Conversion]]-C42)/C42,"")</f>
        <v>0.40625</v>
      </c>
      <c r="D43" s="10">
        <f>IFERROR((Table11011[[#Totals],[Reach2]]-D42)/D42,"")</f>
        <v>-1</v>
      </c>
      <c r="E43" s="10">
        <f>IFERROR((Table11011[[#Totals],[Conversion2]]-E42)/E42,"")</f>
        <v>-1</v>
      </c>
      <c r="F43" s="10">
        <f>IFERROR((Table11011[[#Totals],[Reach3]]-F42)/F42,"")</f>
        <v>-1</v>
      </c>
      <c r="G43" s="10">
        <f>IFERROR(Table11011[[#Totals],[Conversion3]]/G42,"")</f>
        <v>0</v>
      </c>
      <c r="H43" s="10">
        <f>IFERROR(Table11011[[#Totals],[Reach4]]/H42,"")</f>
        <v>0</v>
      </c>
      <c r="I43" s="10">
        <f>IFERROR(Table11011[[#Totals],[Conversion4]]/I42,"")</f>
        <v>0</v>
      </c>
      <c r="J43" s="10">
        <f>IFERROR(Table11011[[#Totals],[Reach5]]/J42,"")</f>
        <v>0</v>
      </c>
      <c r="K43" s="10">
        <f>IFERROR(Table11011[[#Totals],[Conversion5]]/K42,"")</f>
        <v>0</v>
      </c>
      <c r="L43" s="10">
        <f>IFERROR(Table11011[[#Totals],[Reach6]]/L42,"")</f>
        <v>0</v>
      </c>
      <c r="M43" s="10">
        <f>IFERROR(Table11011[[#Totals],[Conversion6]]/M42,"")</f>
        <v>0</v>
      </c>
      <c r="N43" s="10">
        <f>IFERROR(Table11011[[#Totals],[Reach7]]/N42,"")</f>
        <v>0</v>
      </c>
      <c r="O43" s="10">
        <f>IFERROR(Table11011[[#Totals],[Conversion7]]/O42,"")</f>
        <v>0</v>
      </c>
    </row>
    <row r="45" spans="1:21" ht="15" customHeight="1" x14ac:dyDescent="0.25">
      <c r="A45" s="238" t="s">
        <v>917</v>
      </c>
      <c r="B45" s="238"/>
      <c r="C45" s="238"/>
    </row>
    <row r="46" spans="1:21" ht="15" customHeight="1" x14ac:dyDescent="0.25">
      <c r="A46" s="238"/>
      <c r="B46" s="238"/>
      <c r="C46" s="238"/>
    </row>
    <row r="47" spans="1:21" ht="15" customHeight="1" x14ac:dyDescent="0.25">
      <c r="A47" s="70"/>
      <c r="B47" s="235" t="str">
        <f>B16</f>
        <v>14-Mar</v>
      </c>
      <c r="C47" s="235"/>
      <c r="D47" s="235">
        <f>B47+1</f>
        <v>44635</v>
      </c>
      <c r="E47" s="235"/>
      <c r="F47" s="235">
        <f>D47+1</f>
        <v>44636</v>
      </c>
      <c r="G47" s="235"/>
      <c r="H47" s="235">
        <f>F47+1</f>
        <v>44637</v>
      </c>
      <c r="I47" s="235"/>
      <c r="J47" s="235">
        <f>H47+1</f>
        <v>44638</v>
      </c>
      <c r="K47" s="235"/>
      <c r="L47" s="235">
        <f>J47+1</f>
        <v>44639</v>
      </c>
      <c r="M47" s="235"/>
      <c r="N47" s="235">
        <f>L47+1</f>
        <v>44640</v>
      </c>
      <c r="O47" s="235"/>
      <c r="P47" s="236" t="s">
        <v>919</v>
      </c>
      <c r="Q47" s="236"/>
      <c r="R47" s="236"/>
      <c r="S47" s="234" t="s">
        <v>918</v>
      </c>
      <c r="T47" s="234"/>
      <c r="U47" s="234"/>
    </row>
    <row r="48" spans="1:21" x14ac:dyDescent="0.25">
      <c r="A48" s="4" t="s">
        <v>79</v>
      </c>
      <c r="B48" s="77" t="s">
        <v>77</v>
      </c>
      <c r="C48" s="77" t="s">
        <v>567</v>
      </c>
      <c r="D48" s="77" t="s">
        <v>493</v>
      </c>
      <c r="E48" s="77" t="s">
        <v>910</v>
      </c>
      <c r="F48" s="77" t="s">
        <v>496</v>
      </c>
      <c r="G48" s="77" t="s">
        <v>911</v>
      </c>
      <c r="H48" s="77" t="s">
        <v>494</v>
      </c>
      <c r="I48" s="77" t="s">
        <v>912</v>
      </c>
      <c r="J48" s="77" t="s">
        <v>497</v>
      </c>
      <c r="K48" s="77" t="s">
        <v>913</v>
      </c>
      <c r="L48" s="77" t="s">
        <v>495</v>
      </c>
      <c r="M48" s="77" t="s">
        <v>914</v>
      </c>
      <c r="N48" s="77" t="s">
        <v>498</v>
      </c>
      <c r="O48" s="77" t="s">
        <v>915</v>
      </c>
      <c r="P48" s="78" t="s">
        <v>78</v>
      </c>
      <c r="Q48" s="77" t="s">
        <v>916</v>
      </c>
      <c r="R48" s="77" t="s">
        <v>920</v>
      </c>
      <c r="S48" s="77" t="s">
        <v>908</v>
      </c>
      <c r="T48" s="4" t="s">
        <v>611</v>
      </c>
      <c r="U48" s="77" t="s">
        <v>921</v>
      </c>
    </row>
    <row r="49" spans="1:24" x14ac:dyDescent="0.25">
      <c r="A49" t="s">
        <v>22</v>
      </c>
      <c r="B49" s="67">
        <f>SUMIFS(Data!$J:$J,Data!$E:$E,Dashboard!$A49,Data!$K:$K,Dashboard!$A$7,Data!$D:$D,Dashboard!$B$6,Data!$B:$B,Dashboard!B$47)</f>
        <v>14950</v>
      </c>
      <c r="C49" s="67">
        <f>SUMIFS(Data!$M:$M,Data!$E:$E,Dashboard!$A49,Data!$K:$K,Dashboard!$A$7,Data!$D:$D,Dashboard!$B$6,Data!$B:$B,Dashboard!B$47)</f>
        <v>0</v>
      </c>
      <c r="D49" s="67">
        <f>SUMIFS(Data!$J:$J,Data!$E:$E,Dashboard!$A49,Data!$K:$K,Dashboard!$A$7,Data!$D:$D,Dashboard!$B$6,Data!$B:$B,Dashboard!D$47)</f>
        <v>22000</v>
      </c>
      <c r="E49" s="67">
        <f>SUMIFS(Data!$M:$M,Data!$E:$E,Dashboard!$A49,Data!$K:$K,Dashboard!$A$7,Data!$D:$D,Dashboard!$B$6,Data!$B:$B,Dashboard!D$47)</f>
        <v>6040</v>
      </c>
      <c r="F49" s="67">
        <f>SUMIFS(Data!$J:$J,Data!$E:$E,Dashboard!$A49,Data!$K:$K,Dashboard!$A$7,Data!$D:$D,Dashboard!$B$6,Data!$B:$B,Dashboard!F$47)</f>
        <v>18618</v>
      </c>
      <c r="G49" s="67">
        <f>SUMIFS(Data!$M:$M,Data!$E:$E,Dashboard!$A49,Data!$K:$K,Dashboard!$A$7,Data!$D:$D,Dashboard!$B$6,Data!$B:$B,Dashboard!F$47)</f>
        <v>0</v>
      </c>
      <c r="H49" s="67">
        <f>SUMIFS(Data!$J:$J,Data!$E:$E,Dashboard!$A49,Data!$K:$K,Dashboard!$A$7,Data!$D:$D,Dashboard!$B$6,Data!$B:$B,Dashboard!H$47)</f>
        <v>0</v>
      </c>
      <c r="I49" s="67">
        <f>SUMIFS(Data!$M:$M,Data!$E:$E,Dashboard!$A49,Data!$K:$K,Dashboard!$A$7,Data!$D:$D,Dashboard!$B$6,Data!$B:$B,Dashboard!H$47)</f>
        <v>0</v>
      </c>
      <c r="J49" s="67">
        <f>SUMIFS(Data!$J:$J,Data!$E:$E,Dashboard!$A49,Data!$K:$K,Dashboard!$A$7,Data!$D:$D,Dashboard!$B$6,Data!$B:$B,Dashboard!J$47)</f>
        <v>0</v>
      </c>
      <c r="K49" s="67">
        <f>SUMIFS(Data!$M:$M,Data!$E:$E,Dashboard!$A49,Data!$K:$K,Dashboard!$A$7,Data!$D:$D,Dashboard!$B$6,Data!$B:$B,Dashboard!J$47)</f>
        <v>0</v>
      </c>
      <c r="L49" s="67">
        <f>SUMIFS(Data!$J:$J,Data!$E:$E,Dashboard!$A49,Data!$K:$K,Dashboard!$A$7,Data!$D:$D,Dashboard!$B$6,Data!$B:$B,Dashboard!L$47)</f>
        <v>0</v>
      </c>
      <c r="M49" s="67">
        <f>SUMIFS(Data!$M:$M,Data!$E:$E,Dashboard!$A49,Data!$K:$K,Dashboard!$A$7,Data!$D:$D,Dashboard!$B$6,Data!$B:$B,Dashboard!L$47)</f>
        <v>0</v>
      </c>
      <c r="N49" s="67">
        <f>SUMIFS(Data!$J:$J,Data!$E:$E,Dashboard!$A49,Data!$K:$K,Dashboard!$A$7,Data!$D:$D,Dashboard!$B$6,Data!$B:$B,Dashboard!N$47)</f>
        <v>0</v>
      </c>
      <c r="O49" s="67">
        <f>SUMIFS(Data!$M:$M,Data!$E:$E,Dashboard!$A49,Data!$K:$K,Dashboard!$A$7,Data!$D:$D,Dashboard!$B$6,Data!$B:$B,Dashboard!N$47)</f>
        <v>0</v>
      </c>
      <c r="P49" s="105">
        <f>SUMIFS(Data!$J:$J,Data!$E:$E,Dashboard!$A49,Data!$K:$K,Dashboard!$A$7,Data!$D:$D,Dashboard!$B$6)</f>
        <v>55568</v>
      </c>
      <c r="Q49" s="105">
        <f>SUMIFS(Data!$M:$M,Data!$E:$E,Dashboard!$A49,Data!$K:$K,Dashboard!$A$7,Data!$D:$D,Dashboard!$B$6)</f>
        <v>6040</v>
      </c>
      <c r="R49" s="115">
        <f>(Table1101114[[#This Row],[Total Orders]]-Table1101114[[#This Row],[Total Not Dispatch]])/Table1101114[[#This Row],[Total Orders]]</f>
        <v>0.89130434782608692</v>
      </c>
      <c r="S49" s="117">
        <f>SUMIFS(Data!$L:$L,Data!$E:$E,Dashboard!$A49,Data!$K:$K,Dashboard!$A$7,Data!$D:$D,Dashboard!$B$6)</f>
        <v>15960</v>
      </c>
      <c r="T49" s="117">
        <f>SUMIFS('Returns Data'!$J:$J,'Returns Data'!$G:$G,Dashboard!$A49,'Returns Data'!$F:$F,Dashboard!$A$7,'Returns Data'!$D:$D,Dashboard!$B$6)</f>
        <v>0</v>
      </c>
      <c r="U49" s="117">
        <f>Table1101114[[#This Row],[Dispatch]]-Table1101114[[#This Row],[Return]]</f>
        <v>15960</v>
      </c>
    </row>
    <row r="50" spans="1:24" x14ac:dyDescent="0.25">
      <c r="A50" t="s">
        <v>1</v>
      </c>
      <c r="B50" s="67">
        <f>SUMIFS(Data!$J:$J,Data!$E:$E,Dashboard!$A50,Data!$K:$K,Dashboard!$A$7,Data!$D:$D,Dashboard!$B$6,Data!$B:$B,Dashboard!B$47)</f>
        <v>16005</v>
      </c>
      <c r="C50" s="67">
        <f>SUMIFS(Data!$M:$M,Data!$E:$E,Dashboard!$A50,Data!$K:$K,Dashboard!$A$7,Data!$D:$D,Dashboard!$B$6,Data!$B:$B,Dashboard!B$47)</f>
        <v>0</v>
      </c>
      <c r="D50" s="67">
        <f>SUMIFS(Data!$J:$J,Data!$E:$E,Dashboard!$A50,Data!$K:$K,Dashboard!$A$7,Data!$D:$D,Dashboard!$B$6,Data!$B:$B,Dashboard!D$47)</f>
        <v>11225</v>
      </c>
      <c r="E50" s="67">
        <f>SUMIFS(Data!$M:$M,Data!$E:$E,Dashboard!$A50,Data!$K:$K,Dashboard!$A$7,Data!$D:$D,Dashboard!$B$6,Data!$B:$B,Dashboard!D$47)</f>
        <v>0</v>
      </c>
      <c r="F50" s="67">
        <f>SUMIFS(Data!$J:$J,Data!$E:$E,Dashboard!$A50,Data!$K:$K,Dashboard!$A$7,Data!$D:$D,Dashboard!$B$6,Data!$B:$B,Dashboard!F$47)</f>
        <v>10425</v>
      </c>
      <c r="G50" s="67">
        <f>SUMIFS(Data!$M:$M,Data!$E:$E,Dashboard!$A50,Data!$K:$K,Dashboard!$A$7,Data!$D:$D,Dashboard!$B$6,Data!$B:$B,Dashboard!F$47)</f>
        <v>0</v>
      </c>
      <c r="H50" s="67">
        <f>SUMIFS(Data!$J:$J,Data!$E:$E,Dashboard!$A50,Data!$K:$K,Dashboard!$A$7,Data!$D:$D,Dashboard!$B$6,Data!$B:$B,Dashboard!H$47)</f>
        <v>0</v>
      </c>
      <c r="I50" s="67">
        <f>SUMIFS(Data!$M:$M,Data!$E:$E,Dashboard!$A50,Data!$K:$K,Dashboard!$A$7,Data!$D:$D,Dashboard!$B$6,Data!$B:$B,Dashboard!H$47)</f>
        <v>0</v>
      </c>
      <c r="J50" s="67">
        <f>SUMIFS(Data!$J:$J,Data!$E:$E,Dashboard!$A50,Data!$K:$K,Dashboard!$A$7,Data!$D:$D,Dashboard!$B$6,Data!$B:$B,Dashboard!J$47)</f>
        <v>0</v>
      </c>
      <c r="K50" s="67">
        <f>SUMIFS(Data!$M:$M,Data!$E:$E,Dashboard!$A50,Data!$K:$K,Dashboard!$A$7,Data!$D:$D,Dashboard!$B$6,Data!$B:$B,Dashboard!J$47)</f>
        <v>0</v>
      </c>
      <c r="L50" s="67">
        <f>SUMIFS(Data!$J:$J,Data!$E:$E,Dashboard!$A50,Data!$K:$K,Dashboard!$A$7,Data!$D:$D,Dashboard!$B$6,Data!$B:$B,Dashboard!L$47)</f>
        <v>0</v>
      </c>
      <c r="M50" s="67">
        <f>SUMIFS(Data!$M:$M,Data!$E:$E,Dashboard!$A50,Data!$K:$K,Dashboard!$A$7,Data!$D:$D,Dashboard!$B$6,Data!$B:$B,Dashboard!L$47)</f>
        <v>0</v>
      </c>
      <c r="N50" s="67">
        <f>SUMIFS(Data!$J:$J,Data!$E:$E,Dashboard!$A50,Data!$K:$K,Dashboard!$A$7,Data!$D:$D,Dashboard!$B$6,Data!$B:$B,Dashboard!N$47)</f>
        <v>0</v>
      </c>
      <c r="O50" s="67">
        <f>SUMIFS(Data!$M:$M,Data!$E:$E,Dashboard!$A50,Data!$K:$K,Dashboard!$A$7,Data!$D:$D,Dashboard!$B$6,Data!$B:$B,Dashboard!N$47)</f>
        <v>0</v>
      </c>
      <c r="P50" s="105">
        <f>SUMIFS(Data!$J:$J,Data!$E:$E,Dashboard!$A50,Data!$K:$K,Dashboard!$A$7,Data!$D:$D,Dashboard!$B$6)</f>
        <v>37655</v>
      </c>
      <c r="Q50" s="105">
        <f>SUMIFS(Data!$M:$M,Data!$E:$E,Dashboard!$A50,Data!$K:$K,Dashboard!$A$7,Data!$D:$D,Dashboard!$B$6)</f>
        <v>0</v>
      </c>
      <c r="R50" s="115">
        <f>(Table1101114[[#This Row],[Total Orders]]-Table1101114[[#This Row],[Total Not Dispatch]])/Table1101114[[#This Row],[Total Orders]]</f>
        <v>1</v>
      </c>
      <c r="S50" s="117">
        <f>SUMIFS(Data!$L:$L,Data!$E:$E,Dashboard!$A50,Data!$K:$K,Dashboard!$A$7,Data!$D:$D,Dashboard!$B$6)</f>
        <v>14005</v>
      </c>
      <c r="T50" s="117">
        <f>SUMIFS('Returns Data'!$J:$J,'Returns Data'!$G:$G,Dashboard!$A50,'Returns Data'!$F:$F,Dashboard!$A$7,'Returns Data'!$D:$D,Dashboard!$B$6)</f>
        <v>2780</v>
      </c>
      <c r="U50" s="117">
        <f>Table1101114[[#This Row],[Dispatch]]-Table1101114[[#This Row],[Return]]</f>
        <v>11225</v>
      </c>
    </row>
    <row r="51" spans="1:24" x14ac:dyDescent="0.25">
      <c r="A51" t="s">
        <v>19</v>
      </c>
      <c r="B51" s="67">
        <f>SUMIFS(Data!$J:$J,Data!$E:$E,Dashboard!$A51,Data!$K:$K,Dashboard!$A$7,Data!$D:$D,Dashboard!$B$6,Data!$B:$B,Dashboard!B$47)</f>
        <v>12270</v>
      </c>
      <c r="C51" s="67">
        <f>SUMIFS(Data!$M:$M,Data!$E:$E,Dashboard!$A51,Data!$K:$K,Dashboard!$A$7,Data!$D:$D,Dashboard!$B$6,Data!$B:$B,Dashboard!B$47)</f>
        <v>0</v>
      </c>
      <c r="D51" s="67">
        <f>SUMIFS(Data!$J:$J,Data!$E:$E,Dashboard!$A51,Data!$K:$K,Dashboard!$A$7,Data!$D:$D,Dashboard!$B$6,Data!$B:$B,Dashboard!D$47)</f>
        <v>10025</v>
      </c>
      <c r="E51" s="67">
        <f>SUMIFS(Data!$M:$M,Data!$E:$E,Dashboard!$A51,Data!$K:$K,Dashboard!$A$7,Data!$D:$D,Dashboard!$B$6,Data!$B:$B,Dashboard!D$47)</f>
        <v>0</v>
      </c>
      <c r="F51" s="67">
        <f>SUMIFS(Data!$J:$J,Data!$E:$E,Dashboard!$A51,Data!$K:$K,Dashboard!$A$7,Data!$D:$D,Dashboard!$B$6,Data!$B:$B,Dashboard!F$47)</f>
        <v>8283</v>
      </c>
      <c r="G51" s="67">
        <f>SUMIFS(Data!$M:$M,Data!$E:$E,Dashboard!$A51,Data!$K:$K,Dashboard!$A$7,Data!$D:$D,Dashboard!$B$6,Data!$B:$B,Dashboard!F$47)</f>
        <v>0</v>
      </c>
      <c r="H51" s="67">
        <f>SUMIFS(Data!$J:$J,Data!$E:$E,Dashboard!$A51,Data!$K:$K,Dashboard!$A$7,Data!$D:$D,Dashboard!$B$6,Data!$B:$B,Dashboard!H$47)</f>
        <v>0</v>
      </c>
      <c r="I51" s="67">
        <f>SUMIFS(Data!$M:$M,Data!$E:$E,Dashboard!$A51,Data!$K:$K,Dashboard!$A$7,Data!$D:$D,Dashboard!$B$6,Data!$B:$B,Dashboard!H$47)</f>
        <v>0</v>
      </c>
      <c r="J51" s="67">
        <f>SUMIFS(Data!$J:$J,Data!$E:$E,Dashboard!$A51,Data!$K:$K,Dashboard!$A$7,Data!$D:$D,Dashboard!$B$6,Data!$B:$B,Dashboard!J$47)</f>
        <v>0</v>
      </c>
      <c r="K51" s="67">
        <f>SUMIFS(Data!$M:$M,Data!$E:$E,Dashboard!$A51,Data!$K:$K,Dashboard!$A$7,Data!$D:$D,Dashboard!$B$6,Data!$B:$B,Dashboard!J$47)</f>
        <v>0</v>
      </c>
      <c r="L51" s="67">
        <f>SUMIFS(Data!$J:$J,Data!$E:$E,Dashboard!$A51,Data!$K:$K,Dashboard!$A$7,Data!$D:$D,Dashboard!$B$6,Data!$B:$B,Dashboard!L$47)</f>
        <v>0</v>
      </c>
      <c r="M51" s="67">
        <f>SUMIFS(Data!$M:$M,Data!$E:$E,Dashboard!$A51,Data!$K:$K,Dashboard!$A$7,Data!$D:$D,Dashboard!$B$6,Data!$B:$B,Dashboard!L$47)</f>
        <v>0</v>
      </c>
      <c r="N51" s="67">
        <f>SUMIFS(Data!$J:$J,Data!$E:$E,Dashboard!$A51,Data!$K:$K,Dashboard!$A$7,Data!$D:$D,Dashboard!$B$6,Data!$B:$B,Dashboard!N$47)</f>
        <v>0</v>
      </c>
      <c r="O51" s="67">
        <f>SUMIFS(Data!$M:$M,Data!$E:$E,Dashboard!$A51,Data!$K:$K,Dashboard!$A$7,Data!$D:$D,Dashboard!$B$6,Data!$B:$B,Dashboard!N$47)</f>
        <v>0</v>
      </c>
      <c r="P51" s="105">
        <f>SUMIFS(Data!$J:$J,Data!$E:$E,Dashboard!$A51,Data!$K:$K,Dashboard!$A$7,Data!$D:$D,Dashboard!$B$6)</f>
        <v>30578</v>
      </c>
      <c r="Q51" s="105">
        <f>SUMIFS(Data!$M:$M,Data!$E:$E,Dashboard!$A51,Data!$K:$K,Dashboard!$A$7,Data!$D:$D,Dashboard!$B$6)</f>
        <v>0</v>
      </c>
      <c r="R51" s="115">
        <f>(Table1101114[[#This Row],[Total Orders]]-Table1101114[[#This Row],[Total Not Dispatch]])/Table1101114[[#This Row],[Total Orders]]</f>
        <v>1</v>
      </c>
      <c r="S51" s="117">
        <f>SUMIFS(Data!$L:$L,Data!$E:$E,Dashboard!$A51,Data!$K:$K,Dashboard!$A$7,Data!$D:$D,Dashboard!$B$6)</f>
        <v>10025</v>
      </c>
      <c r="T51" s="117">
        <f>SUMIFS('Returns Data'!$J:$J,'Returns Data'!$G:$G,Dashboard!$A51,'Returns Data'!$F:$F,Dashboard!$A$7,'Returns Data'!$D:$D,Dashboard!$B$6)</f>
        <v>3845</v>
      </c>
      <c r="U51" s="117">
        <f>Table1101114[[#This Row],[Dispatch]]-Table1101114[[#This Row],[Return]]</f>
        <v>6180</v>
      </c>
    </row>
    <row r="52" spans="1:24" x14ac:dyDescent="0.25">
      <c r="A52" t="s">
        <v>11</v>
      </c>
      <c r="B52" s="67">
        <f>SUMIFS(Data!$J:$J,Data!$E:$E,Dashboard!$A52,Data!$K:$K,Dashboard!$A$7,Data!$D:$D,Dashboard!$B$6,Data!$B:$B,Dashboard!B$47)</f>
        <v>8785</v>
      </c>
      <c r="C52" s="67">
        <f>SUMIFS(Data!$M:$M,Data!$E:$E,Dashboard!$A52,Data!$K:$K,Dashboard!$A$7,Data!$D:$D,Dashboard!$B$6,Data!$B:$B,Dashboard!B$47)</f>
        <v>0</v>
      </c>
      <c r="D52" s="67">
        <f>SUMIFS(Data!$J:$J,Data!$E:$E,Dashboard!$A52,Data!$K:$K,Dashboard!$A$7,Data!$D:$D,Dashboard!$B$6,Data!$B:$B,Dashboard!D$47)</f>
        <v>13930</v>
      </c>
      <c r="E52" s="67">
        <f>SUMIFS(Data!$M:$M,Data!$E:$E,Dashboard!$A52,Data!$K:$K,Dashboard!$A$7,Data!$D:$D,Dashboard!$B$6,Data!$B:$B,Dashboard!D$47)</f>
        <v>0</v>
      </c>
      <c r="F52" s="67">
        <f>SUMIFS(Data!$J:$J,Data!$E:$E,Dashboard!$A52,Data!$K:$K,Dashboard!$A$7,Data!$D:$D,Dashboard!$B$6,Data!$B:$B,Dashboard!F$47)</f>
        <v>10570</v>
      </c>
      <c r="G52" s="67">
        <f>SUMIFS(Data!$M:$M,Data!$E:$E,Dashboard!$A52,Data!$K:$K,Dashboard!$A$7,Data!$D:$D,Dashboard!$B$6,Data!$B:$B,Dashboard!F$47)</f>
        <v>0</v>
      </c>
      <c r="H52" s="67">
        <f>SUMIFS(Data!$J:$J,Data!$E:$E,Dashboard!$A52,Data!$K:$K,Dashboard!$A$7,Data!$D:$D,Dashboard!$B$6,Data!$B:$B,Dashboard!H$47)</f>
        <v>0</v>
      </c>
      <c r="I52" s="67">
        <f>SUMIFS(Data!$M:$M,Data!$E:$E,Dashboard!$A52,Data!$K:$K,Dashboard!$A$7,Data!$D:$D,Dashboard!$B$6,Data!$B:$B,Dashboard!H$47)</f>
        <v>0</v>
      </c>
      <c r="J52" s="67">
        <f>SUMIFS(Data!$J:$J,Data!$E:$E,Dashboard!$A52,Data!$K:$K,Dashboard!$A$7,Data!$D:$D,Dashboard!$B$6,Data!$B:$B,Dashboard!J$47)</f>
        <v>0</v>
      </c>
      <c r="K52" s="67">
        <f>SUMIFS(Data!$M:$M,Data!$E:$E,Dashboard!$A52,Data!$K:$K,Dashboard!$A$7,Data!$D:$D,Dashboard!$B$6,Data!$B:$B,Dashboard!J$47)</f>
        <v>0</v>
      </c>
      <c r="L52" s="67">
        <f>SUMIFS(Data!$J:$J,Data!$E:$E,Dashboard!$A52,Data!$K:$K,Dashboard!$A$7,Data!$D:$D,Dashboard!$B$6,Data!$B:$B,Dashboard!L$47)</f>
        <v>0</v>
      </c>
      <c r="M52" s="67">
        <f>SUMIFS(Data!$M:$M,Data!$E:$E,Dashboard!$A52,Data!$K:$K,Dashboard!$A$7,Data!$D:$D,Dashboard!$B$6,Data!$B:$B,Dashboard!L$47)</f>
        <v>0</v>
      </c>
      <c r="N52" s="67">
        <f>SUMIFS(Data!$J:$J,Data!$E:$E,Dashboard!$A52,Data!$K:$K,Dashboard!$A$7,Data!$D:$D,Dashboard!$B$6,Data!$B:$B,Dashboard!N$47)</f>
        <v>0</v>
      </c>
      <c r="O52" s="67">
        <f>SUMIFS(Data!$M:$M,Data!$E:$E,Dashboard!$A52,Data!$K:$K,Dashboard!$A$7,Data!$D:$D,Dashboard!$B$6,Data!$B:$B,Dashboard!N$47)</f>
        <v>0</v>
      </c>
      <c r="P52" s="105">
        <f>SUMIFS(Data!$J:$J,Data!$E:$E,Dashboard!$A52,Data!$K:$K,Dashboard!$A$7,Data!$D:$D,Dashboard!$B$6)</f>
        <v>33285</v>
      </c>
      <c r="Q52" s="105">
        <f>SUMIFS(Data!$M:$M,Data!$E:$E,Dashboard!$A52,Data!$K:$K,Dashboard!$A$7,Data!$D:$D,Dashboard!$B$6)</f>
        <v>0</v>
      </c>
      <c r="R52" s="115">
        <f>(Table1101114[[#This Row],[Total Orders]]-Table1101114[[#This Row],[Total Not Dispatch]])/Table1101114[[#This Row],[Total Orders]]</f>
        <v>1</v>
      </c>
      <c r="S52" s="117">
        <f>SUMIFS(Data!$L:$L,Data!$E:$E,Dashboard!$A52,Data!$K:$K,Dashboard!$A$7,Data!$D:$D,Dashboard!$B$6)</f>
        <v>13930</v>
      </c>
      <c r="T52" s="117">
        <f>SUMIFS('Returns Data'!$J:$J,'Returns Data'!$G:$G,Dashboard!$A52,'Returns Data'!$F:$F,Dashboard!$A$7,'Returns Data'!$D:$D,Dashboard!$B$6)</f>
        <v>1390</v>
      </c>
      <c r="U52" s="117">
        <f>Table1101114[[#This Row],[Dispatch]]-Table1101114[[#This Row],[Return]]</f>
        <v>12540</v>
      </c>
    </row>
    <row r="53" spans="1:24" x14ac:dyDescent="0.25">
      <c r="A53" t="s">
        <v>599</v>
      </c>
      <c r="B53" s="67">
        <f>SUMIFS(Data!$J:$J,Data!$E:$E,Dashboard!$A53,Data!$K:$K,Dashboard!$A$7,Data!$D:$D,Dashboard!$B$6,Data!$B:$B,Dashboard!B$47)</f>
        <v>22170</v>
      </c>
      <c r="C53" s="67">
        <f>SUMIFS(Data!$M:$M,Data!$E:$E,Dashboard!$A53,Data!$K:$K,Dashboard!$A$7,Data!$D:$D,Dashboard!$B$6,Data!$B:$B,Dashboard!B$47)</f>
        <v>0</v>
      </c>
      <c r="D53" s="67">
        <f>SUMIFS(Data!$J:$J,Data!$E:$E,Dashboard!$A53,Data!$K:$K,Dashboard!$A$7,Data!$D:$D,Dashboard!$B$6,Data!$B:$B,Dashboard!D$47)</f>
        <v>14945</v>
      </c>
      <c r="E53" s="67">
        <f>SUMIFS(Data!$M:$M,Data!$E:$E,Dashboard!$A53,Data!$K:$K,Dashboard!$A$7,Data!$D:$D,Dashboard!$B$6,Data!$B:$B,Dashboard!D$47)</f>
        <v>0</v>
      </c>
      <c r="F53" s="67">
        <f>SUMIFS(Data!$J:$J,Data!$E:$E,Dashboard!$A53,Data!$K:$K,Dashboard!$A$7,Data!$D:$D,Dashboard!$B$6,Data!$B:$B,Dashboard!F$47)</f>
        <v>11020</v>
      </c>
      <c r="G53" s="67">
        <f>SUMIFS(Data!$M:$M,Data!$E:$E,Dashboard!$A53,Data!$K:$K,Dashboard!$A$7,Data!$D:$D,Dashboard!$B$6,Data!$B:$B,Dashboard!F$47)</f>
        <v>0</v>
      </c>
      <c r="H53" s="67">
        <f>SUMIFS(Data!$J:$J,Data!$E:$E,Dashboard!$A53,Data!$K:$K,Dashboard!$A$7,Data!$D:$D,Dashboard!$B$6,Data!$B:$B,Dashboard!H$47)</f>
        <v>0</v>
      </c>
      <c r="I53" s="67">
        <f>SUMIFS(Data!$M:$M,Data!$E:$E,Dashboard!$A53,Data!$K:$K,Dashboard!$A$7,Data!$D:$D,Dashboard!$B$6,Data!$B:$B,Dashboard!H$47)</f>
        <v>0</v>
      </c>
      <c r="J53" s="67">
        <f>SUMIFS(Data!$J:$J,Data!$E:$E,Dashboard!$A53,Data!$K:$K,Dashboard!$A$7,Data!$D:$D,Dashboard!$B$6,Data!$B:$B,Dashboard!J$47)</f>
        <v>0</v>
      </c>
      <c r="K53" s="67">
        <f>SUMIFS(Data!$M:$M,Data!$E:$E,Dashboard!$A53,Data!$K:$K,Dashboard!$A$7,Data!$D:$D,Dashboard!$B$6,Data!$B:$B,Dashboard!J$47)</f>
        <v>0</v>
      </c>
      <c r="L53" s="67">
        <f>SUMIFS(Data!$J:$J,Data!$E:$E,Dashboard!$A53,Data!$K:$K,Dashboard!$A$7,Data!$D:$D,Dashboard!$B$6,Data!$B:$B,Dashboard!L$47)</f>
        <v>0</v>
      </c>
      <c r="M53" s="67">
        <f>SUMIFS(Data!$M:$M,Data!$E:$E,Dashboard!$A53,Data!$K:$K,Dashboard!$A$7,Data!$D:$D,Dashboard!$B$6,Data!$B:$B,Dashboard!L$47)</f>
        <v>0</v>
      </c>
      <c r="N53" s="67">
        <f>SUMIFS(Data!$J:$J,Data!$E:$E,Dashboard!$A53,Data!$K:$K,Dashboard!$A$7,Data!$D:$D,Dashboard!$B$6,Data!$B:$B,Dashboard!N$47)</f>
        <v>0</v>
      </c>
      <c r="O53" s="67">
        <f>SUMIFS(Data!$M:$M,Data!$E:$E,Dashboard!$A53,Data!$K:$K,Dashboard!$A$7,Data!$D:$D,Dashboard!$B$6,Data!$B:$B,Dashboard!N$47)</f>
        <v>0</v>
      </c>
      <c r="P53" s="105">
        <f>SUMIFS(Data!$J:$J,Data!$E:$E,Dashboard!$A53,Data!$K:$K,Dashboard!$A$7,Data!$D:$D,Dashboard!$B$6)</f>
        <v>48135</v>
      </c>
      <c r="Q53" s="105">
        <f>SUMIFS(Data!$M:$M,Data!$E:$E,Dashboard!$A53,Data!$K:$K,Dashboard!$A$7,Data!$D:$D,Dashboard!$B$6)</f>
        <v>0</v>
      </c>
      <c r="R53" s="115">
        <f>(Table1101114[[#This Row],[Total Orders]]-Table1101114[[#This Row],[Total Not Dispatch]])/Table1101114[[#This Row],[Total Orders]]</f>
        <v>1</v>
      </c>
      <c r="S53" s="117">
        <f>SUMIFS(Data!$L:$L,Data!$E:$E,Dashboard!$A53,Data!$K:$K,Dashboard!$A$7,Data!$D:$D,Dashboard!$B$6)</f>
        <v>14945</v>
      </c>
      <c r="T53" s="117">
        <f>SUMIFS('Returns Data'!$J:$J,'Returns Data'!$G:$G,Dashboard!$A53,'Returns Data'!$F:$F,Dashboard!$A$7,'Returns Data'!$D:$D,Dashboard!$B$6)</f>
        <v>0</v>
      </c>
      <c r="U53" s="117">
        <f>Table1101114[[#This Row],[Dispatch]]-Table1101114[[#This Row],[Return]]</f>
        <v>14945</v>
      </c>
      <c r="X53" t="s">
        <v>398</v>
      </c>
    </row>
    <row r="54" spans="1:24" x14ac:dyDescent="0.25">
      <c r="A54" t="s">
        <v>111</v>
      </c>
      <c r="B54" s="67">
        <f>SUMIFS(Data!$J:$J,Data!$E:$E,Dashboard!$A54,Data!$K:$K,Dashboard!$A$7,Data!$D:$D,Dashboard!$B$6,Data!$B:$B,Dashboard!B$47)</f>
        <v>12980</v>
      </c>
      <c r="C54" s="67">
        <f>SUMIFS(Data!$M:$M,Data!$E:$E,Dashboard!$A54,Data!$K:$K,Dashboard!$A$7,Data!$D:$D,Dashboard!$B$6,Data!$B:$B,Dashboard!B$47)</f>
        <v>0</v>
      </c>
      <c r="D54" s="67">
        <f>SUMIFS(Data!$J:$J,Data!$E:$E,Dashboard!$A54,Data!$K:$K,Dashboard!$A$7,Data!$D:$D,Dashboard!$B$6,Data!$B:$B,Dashboard!D$47)</f>
        <v>7700</v>
      </c>
      <c r="E54" s="67">
        <f>SUMIFS(Data!$M:$M,Data!$E:$E,Dashboard!$A54,Data!$K:$K,Dashboard!$A$7,Data!$D:$D,Dashboard!$B$6,Data!$B:$B,Dashboard!D$47)</f>
        <v>0</v>
      </c>
      <c r="F54" s="67">
        <f>SUMIFS(Data!$J:$J,Data!$E:$E,Dashboard!$A54,Data!$K:$K,Dashboard!$A$7,Data!$D:$D,Dashboard!$B$6,Data!$B:$B,Dashboard!F$47)</f>
        <v>8050</v>
      </c>
      <c r="G54" s="67">
        <f>SUMIFS(Data!$M:$M,Data!$E:$E,Dashboard!$A54,Data!$K:$K,Dashboard!$A$7,Data!$D:$D,Dashboard!$B$6,Data!$B:$B,Dashboard!F$47)</f>
        <v>0</v>
      </c>
      <c r="H54" s="67">
        <f>SUMIFS(Data!$J:$J,Data!$E:$E,Dashboard!$A54,Data!$K:$K,Dashboard!$A$7,Data!$D:$D,Dashboard!$B$6,Data!$B:$B,Dashboard!H$47)</f>
        <v>0</v>
      </c>
      <c r="I54" s="67">
        <f>SUMIFS(Data!$M:$M,Data!$E:$E,Dashboard!$A54,Data!$K:$K,Dashboard!$A$7,Data!$D:$D,Dashboard!$B$6,Data!$B:$B,Dashboard!H$47)</f>
        <v>0</v>
      </c>
      <c r="J54" s="67">
        <f>SUMIFS(Data!$J:$J,Data!$E:$E,Dashboard!$A54,Data!$K:$K,Dashboard!$A$7,Data!$D:$D,Dashboard!$B$6,Data!$B:$B,Dashboard!J$47)</f>
        <v>0</v>
      </c>
      <c r="K54" s="67">
        <f>SUMIFS(Data!$M:$M,Data!$E:$E,Dashboard!$A54,Data!$K:$K,Dashboard!$A$7,Data!$D:$D,Dashboard!$B$6,Data!$B:$B,Dashboard!J$47)</f>
        <v>0</v>
      </c>
      <c r="L54" s="67">
        <f>SUMIFS(Data!$J:$J,Data!$E:$E,Dashboard!$A54,Data!$K:$K,Dashboard!$A$7,Data!$D:$D,Dashboard!$B$6,Data!$B:$B,Dashboard!L$47)</f>
        <v>0</v>
      </c>
      <c r="M54" s="67">
        <f>SUMIFS(Data!$M:$M,Data!$E:$E,Dashboard!$A54,Data!$K:$K,Dashboard!$A$7,Data!$D:$D,Dashboard!$B$6,Data!$B:$B,Dashboard!L$47)</f>
        <v>0</v>
      </c>
      <c r="N54" s="67">
        <f>SUMIFS(Data!$J:$J,Data!$E:$E,Dashboard!$A54,Data!$K:$K,Dashboard!$A$7,Data!$D:$D,Dashboard!$B$6,Data!$B:$B,Dashboard!N$47)</f>
        <v>0</v>
      </c>
      <c r="O54" s="67">
        <f>SUMIFS(Data!$M:$M,Data!$E:$E,Dashboard!$A54,Data!$K:$K,Dashboard!$A$7,Data!$D:$D,Dashboard!$B$6,Data!$B:$B,Dashboard!N$47)</f>
        <v>0</v>
      </c>
      <c r="P54" s="105">
        <f>SUMIFS(Data!$J:$J,Data!$E:$E,Dashboard!$A54,Data!$K:$K,Dashboard!$A$7,Data!$D:$D,Dashboard!$B$6)</f>
        <v>28730</v>
      </c>
      <c r="Q54" s="105">
        <f>SUMIFS(Data!$M:$M,Data!$E:$E,Dashboard!$A54,Data!$K:$K,Dashboard!$A$7,Data!$D:$D,Dashboard!$B$6)</f>
        <v>0</v>
      </c>
      <c r="R54" s="115">
        <f>(Table1101114[[#This Row],[Total Orders]]-Table1101114[[#This Row],[Total Not Dispatch]])/Table1101114[[#This Row],[Total Orders]]</f>
        <v>1</v>
      </c>
      <c r="S54" s="117">
        <f>SUMIFS(Data!$L:$L,Data!$E:$E,Dashboard!$A54,Data!$K:$K,Dashboard!$A$7,Data!$D:$D,Dashboard!$B$6)</f>
        <v>7700</v>
      </c>
      <c r="T54" s="117">
        <f>SUMIFS('Returns Data'!$J:$J,'Returns Data'!$G:$G,Dashboard!$A54,'Returns Data'!$F:$F,Dashboard!$A$7,'Returns Data'!$D:$D,Dashboard!$B$6)</f>
        <v>2760</v>
      </c>
      <c r="U54" s="117">
        <f>Table1101114[[#This Row],[Dispatch]]-Table1101114[[#This Row],[Return]]</f>
        <v>4940</v>
      </c>
    </row>
    <row r="55" spans="1:24" x14ac:dyDescent="0.25">
      <c r="A55" s="65" t="s">
        <v>447</v>
      </c>
      <c r="B55" s="65">
        <f>SUBTOTAL(109,Table1101114[Orders])</f>
        <v>87160</v>
      </c>
      <c r="C55" s="65">
        <f>SUBTOTAL(109,Table1101114[Not Dispatch])</f>
        <v>0</v>
      </c>
      <c r="D55" s="65">
        <f>SUBTOTAL(109,Table1101114[Orders2])</f>
        <v>79825</v>
      </c>
      <c r="E55" s="65">
        <f>SUBTOTAL(109,Table1101114[Not Dispatch2])</f>
        <v>6040</v>
      </c>
      <c r="F55" s="65">
        <f>SUBTOTAL(109,Table1101114[Orders3])</f>
        <v>66966</v>
      </c>
      <c r="G55" s="65">
        <f>SUBTOTAL(109,Table1101114[Not Dispatch3])</f>
        <v>0</v>
      </c>
      <c r="H55" s="65">
        <f>SUBTOTAL(109,Table1101114[Orders4])</f>
        <v>0</v>
      </c>
      <c r="I55" s="65">
        <f>SUBTOTAL(109,Table1101114[Not Dispatch4])</f>
        <v>0</v>
      </c>
      <c r="J55" s="65">
        <f>SUBTOTAL(109,Table1101114[Orders5])</f>
        <v>0</v>
      </c>
      <c r="K55" s="65">
        <f>SUBTOTAL(109,Table1101114[Not Dispatch5])</f>
        <v>0</v>
      </c>
      <c r="L55" s="65">
        <f>SUBTOTAL(109,Table1101114[Orders6])</f>
        <v>0</v>
      </c>
      <c r="M55" s="65">
        <f>SUBTOTAL(109,Table1101114[Not Dispatch6])</f>
        <v>0</v>
      </c>
      <c r="N55" s="65">
        <f>SUBTOTAL(109,Table1101114[Orders7])</f>
        <v>0</v>
      </c>
      <c r="O55" s="65">
        <f>SUBTOTAL(109,Table1101114[Not Dispatch7])</f>
        <v>0</v>
      </c>
      <c r="P55" s="65">
        <f>SUBTOTAL(109,Table1101114[Total Orders])</f>
        <v>233951</v>
      </c>
      <c r="Q55" s="65">
        <f>SUBTOTAL(109,Table1101114[Total Not Dispatch])</f>
        <v>6040</v>
      </c>
      <c r="R55" s="66">
        <f>Table1101114[[#Totals],[Total Not Dispatch]]/Table1101114[[#Totals],[Total Orders]]</f>
        <v>2.581737201379776E-2</v>
      </c>
      <c r="S55" s="65">
        <f>SUBTOTAL(109,Table1101114[Dispatch])</f>
        <v>76565</v>
      </c>
      <c r="T55" s="65">
        <f>SUBTOTAL(109,Table1101114[Return])</f>
        <v>10775</v>
      </c>
      <c r="U55" s="65">
        <f>SUBTOTAL(109,Table1101114[Sales])</f>
        <v>65790</v>
      </c>
    </row>
    <row r="56" spans="1:24" x14ac:dyDescent="0.25">
      <c r="A56" s="98" t="s">
        <v>448</v>
      </c>
      <c r="B56" s="98">
        <f>SUMIFS(Data!$J:$J,Data!$B:$B,Dashboard!B47-7)</f>
        <v>62020</v>
      </c>
      <c r="C56" s="98">
        <f>SUMIFS(Data!$M:$M,Data!$B:$B,Dashboard!B47-7)</f>
        <v>4900</v>
      </c>
      <c r="D56" s="98">
        <f>SUMIFS(Data!$J:$J,Data!$B:$B,Dashboard!D47-7)</f>
        <v>55580</v>
      </c>
      <c r="E56" s="98">
        <f>SUMIFS(Data!$M:$M,Data!$B:$B,Dashboard!D47-7)</f>
        <v>4350</v>
      </c>
      <c r="F56" s="98">
        <f>SUMIFS(Data!$J:$J,Data!$B:$B,Dashboard!F47-7)</f>
        <v>59165</v>
      </c>
      <c r="G56" s="98">
        <f>SUMIFS(Data!$M:$M,Data!$B:$B,Dashboard!F47-7)</f>
        <v>10270</v>
      </c>
      <c r="H56" s="98">
        <f>SUMIFS(Data!$J:$J,Data!$B:$B,Dashboard!H47-7)</f>
        <v>48535</v>
      </c>
      <c r="I56" s="98">
        <f>SUMIFS(Data!$M:$M,Data!$B:$B,Dashboard!H47-7)</f>
        <v>6960</v>
      </c>
      <c r="J56" s="98">
        <f>SUMIFS(Data!$J:$J,Data!$B:$B,Dashboard!J47-7)</f>
        <v>57915</v>
      </c>
      <c r="K56" s="98">
        <f>SUMIFS(Data!$M:$M,Data!$B:$B,Dashboard!J47-7)</f>
        <v>0</v>
      </c>
      <c r="L56" s="98">
        <f>SUMIFS(Data!$J:$J,Data!$B:$B,Dashboard!L47-7)</f>
        <v>63415</v>
      </c>
      <c r="M56" s="98">
        <f>SUMIFS(Data!$M:$M,Data!$B:$B,Dashboard!L47-7)</f>
        <v>0</v>
      </c>
      <c r="N56" s="98">
        <f>SUMIFS(Data!$J:$J,Data!$B:$B,Dashboard!N47-7)</f>
        <v>9280</v>
      </c>
      <c r="O56" s="98">
        <f>SUMIFS(Data!$M:$M,Data!$B:$B,Dashboard!N47-7)</f>
        <v>0</v>
      </c>
      <c r="P56" s="98">
        <f>SUM(B56,D56,F56,H56,J56,L56,N56)</f>
        <v>355910</v>
      </c>
      <c r="Q56" s="98">
        <f>SUM(C56,E56,G56,I56,K56,M56,O56)</f>
        <v>26480</v>
      </c>
      <c r="R56" s="116">
        <f>Q56/P56</f>
        <v>7.440083167092805E-2</v>
      </c>
      <c r="S56" s="98">
        <f>P56-Q56</f>
        <v>329430</v>
      </c>
    </row>
    <row r="57" spans="1:24" ht="15.75" x14ac:dyDescent="0.25">
      <c r="A57" s="114" t="s">
        <v>521</v>
      </c>
      <c r="B57" s="242"/>
      <c r="C57" s="242"/>
      <c r="D57" s="242"/>
      <c r="E57" s="242"/>
      <c r="F57" s="242"/>
      <c r="G57" s="242"/>
      <c r="H57" s="242"/>
      <c r="I57" s="242"/>
      <c r="J57" s="242"/>
      <c r="K57" s="242"/>
      <c r="L57" s="242" t="str">
        <f>IFERROR(Table1101114[[#Totals],[Not Dispatch6]]/Table1101114[[#Totals],[Orders6]],"")</f>
        <v/>
      </c>
      <c r="M57" s="242"/>
      <c r="N57" s="242" t="str">
        <f>IFERROR(Table1101114[[#Totals],[Not Dispatch7]]/Table1101114[[#Totals],[Orders7]],"")</f>
        <v/>
      </c>
      <c r="O57" s="242"/>
      <c r="S57" s="10"/>
    </row>
    <row r="59" spans="1:24" x14ac:dyDescent="0.25">
      <c r="D59" s="113"/>
      <c r="M59" s="46">
        <f>Table1101114[[#Totals],[Orders5]]-Table1101114[[#Totals],[Not Dispatch5]]</f>
        <v>0</v>
      </c>
    </row>
    <row r="61" spans="1:24" x14ac:dyDescent="0.25">
      <c r="B61" t="s">
        <v>160</v>
      </c>
      <c r="C61" t="s">
        <v>533</v>
      </c>
      <c r="D61" t="s">
        <v>935</v>
      </c>
      <c r="E61" t="s">
        <v>936</v>
      </c>
      <c r="F61" t="s">
        <v>937</v>
      </c>
      <c r="G61" t="s">
        <v>938</v>
      </c>
    </row>
    <row r="62" spans="1:24" x14ac:dyDescent="0.25">
      <c r="A62" t="s">
        <v>862</v>
      </c>
    </row>
    <row r="63" spans="1:24" x14ac:dyDescent="0.25">
      <c r="A63" t="s">
        <v>177</v>
      </c>
    </row>
    <row r="64" spans="1:24" x14ac:dyDescent="0.25">
      <c r="A64" t="s">
        <v>784</v>
      </c>
    </row>
    <row r="65" spans="1:1" x14ac:dyDescent="0.25">
      <c r="A65" t="s">
        <v>863</v>
      </c>
    </row>
    <row r="66" spans="1:1" x14ac:dyDescent="0.25">
      <c r="A66" t="s">
        <v>861</v>
      </c>
    </row>
    <row r="67" spans="1:1" x14ac:dyDescent="0.25">
      <c r="A67" t="s">
        <v>864</v>
      </c>
    </row>
    <row r="68" spans="1:1" x14ac:dyDescent="0.25">
      <c r="A68" t="s">
        <v>865</v>
      </c>
    </row>
    <row r="69" spans="1:1" x14ac:dyDescent="0.25">
      <c r="A69" t="s">
        <v>866</v>
      </c>
    </row>
    <row r="70" spans="1:1" x14ac:dyDescent="0.25">
      <c r="A70" t="s">
        <v>867</v>
      </c>
    </row>
    <row r="71" spans="1:1" x14ac:dyDescent="0.25">
      <c r="A71" t="s">
        <v>868</v>
      </c>
    </row>
    <row r="72" spans="1:1" x14ac:dyDescent="0.25">
      <c r="A72" t="s">
        <v>869</v>
      </c>
    </row>
    <row r="73" spans="1:1" x14ac:dyDescent="0.25">
      <c r="A73" t="s">
        <v>870</v>
      </c>
    </row>
    <row r="74" spans="1:1" x14ac:dyDescent="0.25">
      <c r="A74" s="161" t="s">
        <v>572</v>
      </c>
    </row>
  </sheetData>
  <mergeCells count="33">
    <mergeCell ref="A2:N2"/>
    <mergeCell ref="L57:M57"/>
    <mergeCell ref="N57:O57"/>
    <mergeCell ref="B7:D7"/>
    <mergeCell ref="B57:C57"/>
    <mergeCell ref="D57:E57"/>
    <mergeCell ref="F57:G57"/>
    <mergeCell ref="H57:I57"/>
    <mergeCell ref="J57:K57"/>
    <mergeCell ref="A14:F14"/>
    <mergeCell ref="L33:M33"/>
    <mergeCell ref="N33:O33"/>
    <mergeCell ref="L47:M47"/>
    <mergeCell ref="A45:C46"/>
    <mergeCell ref="S33:U33"/>
    <mergeCell ref="B33:C33"/>
    <mergeCell ref="D33:E33"/>
    <mergeCell ref="F33:G33"/>
    <mergeCell ref="G6:L6"/>
    <mergeCell ref="J33:K33"/>
    <mergeCell ref="H33:I33"/>
    <mergeCell ref="A31:C32"/>
    <mergeCell ref="G7:I7"/>
    <mergeCell ref="J7:L7"/>
    <mergeCell ref="P33:R33"/>
    <mergeCell ref="S47:U47"/>
    <mergeCell ref="B47:C47"/>
    <mergeCell ref="D47:E47"/>
    <mergeCell ref="F47:G47"/>
    <mergeCell ref="H47:I47"/>
    <mergeCell ref="J47:K47"/>
    <mergeCell ref="N47:O47"/>
    <mergeCell ref="P47:R47"/>
  </mergeCells>
  <conditionalFormatting sqref="J18:J23">
    <cfRule type="dataBar" priority="8">
      <dataBar>
        <cfvo type="min"/>
        <cfvo type="max"/>
        <color rgb="FFFF555A"/>
      </dataBar>
      <extLst>
        <ext xmlns:x14="http://schemas.microsoft.com/office/spreadsheetml/2009/9/main" uri="{B025F937-C7B1-47D3-B67F-A62EFF666E3E}">
          <x14:id>{93723891-1561-4A47-B2D2-CDA4FF94EA74}</x14:id>
        </ext>
      </extLst>
    </cfRule>
  </conditionalFormatting>
  <conditionalFormatting sqref="M18:M23">
    <cfRule type="dataBar" priority="10">
      <dataBar>
        <cfvo type="min"/>
        <cfvo type="max"/>
        <color rgb="FFFF555A"/>
      </dataBar>
      <extLst>
        <ext xmlns:x14="http://schemas.microsoft.com/office/spreadsheetml/2009/9/main" uri="{B025F937-C7B1-47D3-B67F-A62EFF666E3E}">
          <x14:id>{76DC6B0F-79D7-4CA4-BB2A-5408FEF1FDE3}</x14:id>
        </ext>
      </extLst>
    </cfRule>
  </conditionalFormatting>
  <conditionalFormatting sqref="Q35:Q40">
    <cfRule type="dataBar" priority="5">
      <dataBar>
        <cfvo type="min"/>
        <cfvo type="max"/>
        <color rgb="FFFF555A"/>
      </dataBar>
      <extLst>
        <ext xmlns:x14="http://schemas.microsoft.com/office/spreadsheetml/2009/9/main" uri="{B025F937-C7B1-47D3-B67F-A62EFF666E3E}">
          <x14:id>{B776ED1E-9C4B-4F7F-AAF8-4E6647658E89}</x14:id>
        </ext>
      </extLst>
    </cfRule>
  </conditionalFormatting>
  <conditionalFormatting sqref="T35:T40">
    <cfRule type="dataBar" priority="4">
      <dataBar>
        <cfvo type="min"/>
        <cfvo type="max"/>
        <color rgb="FFFF555A"/>
      </dataBar>
      <extLst>
        <ext xmlns:x14="http://schemas.microsoft.com/office/spreadsheetml/2009/9/main" uri="{B025F937-C7B1-47D3-B67F-A62EFF666E3E}">
          <x14:id>{15873DE3-5E3B-4CD3-9F90-73B3409831BD}</x14:id>
        </ext>
      </extLst>
    </cfRule>
  </conditionalFormatting>
  <conditionalFormatting sqref="T49:T54">
    <cfRule type="dataBar" priority="2">
      <dataBar>
        <cfvo type="min"/>
        <cfvo type="max"/>
        <color rgb="FFFF555A"/>
      </dataBar>
      <extLst>
        <ext xmlns:x14="http://schemas.microsoft.com/office/spreadsheetml/2009/9/main" uri="{B025F937-C7B1-47D3-B67F-A62EFF666E3E}">
          <x14:id>{9919EDBF-2967-46A7-B2C9-23D2DEDA333B}</x14:id>
        </ext>
      </extLst>
    </cfRule>
  </conditionalFormatting>
  <conditionalFormatting sqref="Q49:Q54">
    <cfRule type="dataBar" priority="1">
      <dataBar>
        <cfvo type="min"/>
        <cfvo type="max"/>
        <color rgb="FFFF555A"/>
      </dataBar>
      <extLst>
        <ext xmlns:x14="http://schemas.microsoft.com/office/spreadsheetml/2009/9/main" uri="{B025F937-C7B1-47D3-B67F-A62EFF666E3E}">
          <x14:id>{16309A30-B99F-429F-9C90-1B6949C5477E}</x14:id>
        </ext>
      </extLst>
    </cfRule>
  </conditionalFormatting>
  <dataValidations count="4">
    <dataValidation type="list" allowBlank="1" showInputMessage="1" showErrorMessage="1" promptTitle="Year" prompt="Select Year" sqref="B6">
      <formula1>"2022,2023,2024"</formula1>
    </dataValidation>
    <dataValidation type="list" showInputMessage="1" showErrorMessage="1" sqref="E6:E7">
      <formula1>"23,25,26"</formula1>
    </dataValidation>
    <dataValidation type="list" allowBlank="1" showInputMessage="1" showErrorMessage="1" promptTitle="Week" prompt="Select Week" sqref="A7">
      <formula1>"Week 1,Week 2,Week 3,Week 4,Week 5,Week 6,Week 7,Week 8,Week 9,Week 10,Week 11,Week 12,Week 13,Week 14,Week 15,Week 16,Week 17,Week 18,Week 19,Week 20"</formula1>
    </dataValidation>
    <dataValidation type="list" allowBlank="1" showInputMessage="1" showErrorMessage="1" promptTitle="Month" prompt="Select Month" sqref="D6">
      <formula1>"2022,January,February,March,April,May,June,July,August,September,October,November,December"</formula1>
    </dataValidation>
  </dataValidations>
  <pageMargins left="0.7" right="0.7" top="0.75" bottom="0.75" header="0.3" footer="0.3"/>
  <pageSetup orientation="portrait" horizontalDpi="360" verticalDpi="360" r:id="rId1"/>
  <drawing r:id="rId2"/>
  <tableParts count="4">
    <tablePart r:id="rId3"/>
    <tablePart r:id="rId4"/>
    <tablePart r:id="rId5"/>
    <tablePart r:id="rId6"/>
  </tableParts>
  <extLst>
    <ext xmlns:x14="http://schemas.microsoft.com/office/spreadsheetml/2009/9/main" uri="{78C0D931-6437-407d-A8EE-F0AAD7539E65}">
      <x14:conditionalFormattings>
        <x14:conditionalFormatting xmlns:xm="http://schemas.microsoft.com/office/excel/2006/main">
          <x14:cfRule type="dataBar" id="{93723891-1561-4A47-B2D2-CDA4FF94EA74}">
            <x14:dataBar minLength="0" maxLength="100" gradient="0">
              <x14:cfvo type="autoMin"/>
              <x14:cfvo type="autoMax"/>
              <x14:negativeFillColor rgb="FFFF0000"/>
              <x14:axisColor rgb="FF000000"/>
            </x14:dataBar>
          </x14:cfRule>
          <xm:sqref>J18:J23</xm:sqref>
        </x14:conditionalFormatting>
        <x14:conditionalFormatting xmlns:xm="http://schemas.microsoft.com/office/excel/2006/main">
          <x14:cfRule type="dataBar" id="{76DC6B0F-79D7-4CA4-BB2A-5408FEF1FDE3}">
            <x14:dataBar minLength="0" maxLength="100" gradient="0">
              <x14:cfvo type="autoMin"/>
              <x14:cfvo type="autoMax"/>
              <x14:negativeFillColor rgb="FFFF0000"/>
              <x14:axisColor rgb="FF000000"/>
            </x14:dataBar>
          </x14:cfRule>
          <xm:sqref>M18:M23</xm:sqref>
        </x14:conditionalFormatting>
        <x14:conditionalFormatting xmlns:xm="http://schemas.microsoft.com/office/excel/2006/main">
          <x14:cfRule type="dataBar" id="{B776ED1E-9C4B-4F7F-AAF8-4E6647658E89}">
            <x14:dataBar minLength="0" maxLength="100" gradient="0">
              <x14:cfvo type="autoMin"/>
              <x14:cfvo type="autoMax"/>
              <x14:negativeFillColor rgb="FFFF0000"/>
              <x14:axisColor rgb="FF000000"/>
            </x14:dataBar>
          </x14:cfRule>
          <xm:sqref>Q35:Q40</xm:sqref>
        </x14:conditionalFormatting>
        <x14:conditionalFormatting xmlns:xm="http://schemas.microsoft.com/office/excel/2006/main">
          <x14:cfRule type="dataBar" id="{15873DE3-5E3B-4CD3-9F90-73B3409831BD}">
            <x14:dataBar minLength="0" maxLength="100" gradient="0">
              <x14:cfvo type="autoMin"/>
              <x14:cfvo type="autoMax"/>
              <x14:negativeFillColor rgb="FFFF0000"/>
              <x14:axisColor rgb="FF000000"/>
            </x14:dataBar>
          </x14:cfRule>
          <xm:sqref>T35:T40</xm:sqref>
        </x14:conditionalFormatting>
        <x14:conditionalFormatting xmlns:xm="http://schemas.microsoft.com/office/excel/2006/main">
          <x14:cfRule type="dataBar" id="{9919EDBF-2967-46A7-B2C9-23D2DEDA333B}">
            <x14:dataBar minLength="0" maxLength="100" gradient="0">
              <x14:cfvo type="autoMin"/>
              <x14:cfvo type="autoMax"/>
              <x14:negativeFillColor rgb="FFFF0000"/>
              <x14:axisColor rgb="FF000000"/>
            </x14:dataBar>
          </x14:cfRule>
          <xm:sqref>T49:T54</xm:sqref>
        </x14:conditionalFormatting>
        <x14:conditionalFormatting xmlns:xm="http://schemas.microsoft.com/office/excel/2006/main">
          <x14:cfRule type="dataBar" id="{16309A30-B99F-429F-9C90-1B6949C5477E}">
            <x14:dataBar minLength="0" maxLength="100" gradient="0">
              <x14:cfvo type="autoMin"/>
              <x14:cfvo type="autoMax"/>
              <x14:negativeFillColor rgb="FFFF0000"/>
              <x14:axisColor rgb="FF000000"/>
            </x14:dataBar>
          </x14:cfRule>
          <xm:sqref>Q49:Q54</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M281"/>
  <sheetViews>
    <sheetView topLeftCell="A209" zoomScale="77" zoomScaleNormal="77" workbookViewId="0">
      <selection activeCell="Q221" sqref="Q221"/>
    </sheetView>
  </sheetViews>
  <sheetFormatPr defaultRowHeight="15" x14ac:dyDescent="0.25"/>
  <cols>
    <col min="4" max="5" width="9.140625" style="75"/>
    <col min="6" max="6" width="15.85546875" bestFit="1" customWidth="1"/>
    <col min="7" max="7" width="14.42578125" style="75" customWidth="1"/>
    <col min="8" max="8" width="18.7109375" style="75" customWidth="1"/>
    <col min="9" max="9" width="16.7109375" style="75" customWidth="1"/>
    <col min="10" max="10" width="13" style="75" customWidth="1"/>
    <col min="11" max="11" width="14.5703125" style="75" customWidth="1"/>
    <col min="12" max="12" width="19.28515625" style="75" customWidth="1"/>
  </cols>
  <sheetData>
    <row r="1" spans="2:13" x14ac:dyDescent="0.25">
      <c r="B1" s="72" t="s">
        <v>42</v>
      </c>
      <c r="C1" s="72" t="s">
        <v>178</v>
      </c>
      <c r="D1" s="72" t="s">
        <v>179</v>
      </c>
      <c r="E1" s="158" t="s">
        <v>158</v>
      </c>
      <c r="F1" s="72" t="s">
        <v>0</v>
      </c>
      <c r="G1" s="72" t="s">
        <v>302</v>
      </c>
      <c r="H1" s="72" t="s">
        <v>301</v>
      </c>
      <c r="I1" s="72" t="s">
        <v>163</v>
      </c>
      <c r="J1" s="72" t="s">
        <v>303</v>
      </c>
      <c r="K1" s="72" t="s">
        <v>304</v>
      </c>
      <c r="L1" s="72" t="s">
        <v>305</v>
      </c>
      <c r="M1" s="51" t="s">
        <v>165</v>
      </c>
    </row>
    <row r="2" spans="2:13" x14ac:dyDescent="0.25">
      <c r="B2" s="5">
        <v>44593</v>
      </c>
      <c r="C2" t="s">
        <v>177</v>
      </c>
      <c r="D2" s="75">
        <v>2022</v>
      </c>
      <c r="E2" t="s">
        <v>75</v>
      </c>
      <c r="F2" t="s">
        <v>22</v>
      </c>
      <c r="G2" s="15">
        <v>30</v>
      </c>
      <c r="H2" s="15">
        <v>9</v>
      </c>
      <c r="I2" s="15">
        <v>2</v>
      </c>
      <c r="J2" s="15">
        <f>COUNTIFS(Data!$B:$B,Table11[[#This Row],[Date]],Data!$E:$E,Table11[[#This Row],[FSRs]])</f>
        <v>1</v>
      </c>
      <c r="K2" s="76">
        <f t="shared" ref="K2:K65" si="0">IFERROR(I2/G2,"")</f>
        <v>6.6666666666666666E-2</v>
      </c>
      <c r="L2" s="76">
        <f>IFERROR(J2/H2,"")</f>
        <v>0.1111111111111111</v>
      </c>
    </row>
    <row r="3" spans="2:13" x14ac:dyDescent="0.25">
      <c r="B3" s="5">
        <v>44593</v>
      </c>
      <c r="C3" t="s">
        <v>177</v>
      </c>
      <c r="D3" s="75">
        <v>2022</v>
      </c>
      <c r="E3" t="s">
        <v>75</v>
      </c>
      <c r="F3" t="s">
        <v>1</v>
      </c>
      <c r="G3" s="15">
        <v>30</v>
      </c>
      <c r="H3" s="15">
        <v>9</v>
      </c>
      <c r="I3" s="15">
        <v>5</v>
      </c>
      <c r="J3" s="15">
        <v>5</v>
      </c>
      <c r="K3" s="76">
        <f t="shared" si="0"/>
        <v>0.16666666666666666</v>
      </c>
      <c r="L3" s="76">
        <f t="shared" ref="L3:L65" si="1">IFERROR(J3/H3,"")</f>
        <v>0.55555555555555558</v>
      </c>
    </row>
    <row r="4" spans="2:13" x14ac:dyDescent="0.25">
      <c r="B4" s="5">
        <v>44593</v>
      </c>
      <c r="C4" t="s">
        <v>177</v>
      </c>
      <c r="D4" s="75">
        <v>2022</v>
      </c>
      <c r="E4" t="s">
        <v>75</v>
      </c>
      <c r="F4" t="s">
        <v>15</v>
      </c>
      <c r="G4" s="15">
        <v>30</v>
      </c>
      <c r="H4" s="15">
        <v>9</v>
      </c>
      <c r="I4" s="15">
        <v>25</v>
      </c>
      <c r="J4" s="15">
        <v>0</v>
      </c>
      <c r="K4" s="76">
        <f t="shared" si="0"/>
        <v>0.83333333333333337</v>
      </c>
      <c r="L4" s="76">
        <f t="shared" si="1"/>
        <v>0</v>
      </c>
    </row>
    <row r="5" spans="2:13" x14ac:dyDescent="0.25">
      <c r="B5" s="5">
        <v>44593</v>
      </c>
      <c r="C5" t="s">
        <v>177</v>
      </c>
      <c r="D5" s="75">
        <v>2022</v>
      </c>
      <c r="E5" t="s">
        <v>75</v>
      </c>
      <c r="F5" t="s">
        <v>19</v>
      </c>
      <c r="G5" s="15">
        <v>30</v>
      </c>
      <c r="H5" s="15">
        <v>9</v>
      </c>
      <c r="I5" s="15">
        <v>34</v>
      </c>
      <c r="J5" s="15">
        <v>2</v>
      </c>
      <c r="K5" s="76">
        <f t="shared" si="0"/>
        <v>1.1333333333333333</v>
      </c>
      <c r="L5" s="76">
        <f t="shared" si="1"/>
        <v>0.22222222222222221</v>
      </c>
    </row>
    <row r="6" spans="2:13" x14ac:dyDescent="0.25">
      <c r="B6" s="5">
        <v>44593</v>
      </c>
      <c r="C6" t="s">
        <v>177</v>
      </c>
      <c r="D6" s="75">
        <v>2022</v>
      </c>
      <c r="E6" t="s">
        <v>75</v>
      </c>
      <c r="F6" t="s">
        <v>11</v>
      </c>
      <c r="G6" s="15">
        <v>30</v>
      </c>
      <c r="H6" s="15">
        <v>9</v>
      </c>
      <c r="I6" s="15">
        <v>12</v>
      </c>
      <c r="J6" s="15">
        <v>2</v>
      </c>
      <c r="K6" s="76">
        <f t="shared" si="0"/>
        <v>0.4</v>
      </c>
      <c r="L6" s="76">
        <f t="shared" si="1"/>
        <v>0.22222222222222221</v>
      </c>
    </row>
    <row r="7" spans="2:13" x14ac:dyDescent="0.25">
      <c r="B7" s="5">
        <v>44593</v>
      </c>
      <c r="C7" t="s">
        <v>177</v>
      </c>
      <c r="D7" s="75">
        <v>2022</v>
      </c>
      <c r="E7" t="s">
        <v>75</v>
      </c>
      <c r="F7" t="s">
        <v>16</v>
      </c>
      <c r="G7" s="15">
        <v>30</v>
      </c>
      <c r="H7" s="15">
        <v>9</v>
      </c>
      <c r="I7" s="15">
        <v>13</v>
      </c>
      <c r="J7" s="15">
        <v>1</v>
      </c>
      <c r="K7" s="76">
        <f t="shared" si="0"/>
        <v>0.43333333333333335</v>
      </c>
      <c r="L7" s="76">
        <f t="shared" si="1"/>
        <v>0.1111111111111111</v>
      </c>
    </row>
    <row r="8" spans="2:13" x14ac:dyDescent="0.25">
      <c r="B8" s="5">
        <v>44594</v>
      </c>
      <c r="C8" t="s">
        <v>177</v>
      </c>
      <c r="D8" s="75">
        <v>2022</v>
      </c>
      <c r="E8" t="s">
        <v>75</v>
      </c>
      <c r="F8" t="s">
        <v>22</v>
      </c>
      <c r="G8" s="15">
        <v>30</v>
      </c>
      <c r="H8" s="15">
        <v>9</v>
      </c>
      <c r="I8" s="15">
        <v>7</v>
      </c>
      <c r="J8" s="15">
        <v>1</v>
      </c>
      <c r="K8" s="76">
        <f t="shared" si="0"/>
        <v>0.23333333333333334</v>
      </c>
      <c r="L8" s="76">
        <f t="shared" si="1"/>
        <v>0.1111111111111111</v>
      </c>
    </row>
    <row r="9" spans="2:13" x14ac:dyDescent="0.25">
      <c r="B9" s="5">
        <v>44594</v>
      </c>
      <c r="C9" t="s">
        <v>177</v>
      </c>
      <c r="D9" s="75">
        <v>2022</v>
      </c>
      <c r="E9" t="s">
        <v>75</v>
      </c>
      <c r="F9" t="s">
        <v>1</v>
      </c>
      <c r="G9" s="15">
        <v>30</v>
      </c>
      <c r="H9" s="15">
        <v>9</v>
      </c>
      <c r="I9" s="15">
        <v>11</v>
      </c>
      <c r="J9" s="15">
        <v>4</v>
      </c>
      <c r="K9" s="76">
        <f t="shared" si="0"/>
        <v>0.36666666666666664</v>
      </c>
      <c r="L9" s="76">
        <f t="shared" si="1"/>
        <v>0.44444444444444442</v>
      </c>
    </row>
    <row r="10" spans="2:13" x14ac:dyDescent="0.25">
      <c r="B10" s="5">
        <v>44594</v>
      </c>
      <c r="C10" t="s">
        <v>177</v>
      </c>
      <c r="D10" s="75">
        <v>2022</v>
      </c>
      <c r="E10" t="s">
        <v>75</v>
      </c>
      <c r="F10" t="s">
        <v>15</v>
      </c>
      <c r="G10" s="15">
        <v>30</v>
      </c>
      <c r="H10" s="15">
        <v>9</v>
      </c>
      <c r="I10" s="15">
        <v>21</v>
      </c>
      <c r="J10" s="15">
        <v>6</v>
      </c>
      <c r="K10" s="76">
        <f>IFERROR(I10/G10,"")</f>
        <v>0.7</v>
      </c>
      <c r="L10" s="76">
        <f>IFERROR(J10/H10,"")</f>
        <v>0.66666666666666663</v>
      </c>
    </row>
    <row r="11" spans="2:13" x14ac:dyDescent="0.25">
      <c r="B11" s="5">
        <v>44594</v>
      </c>
      <c r="C11" t="s">
        <v>177</v>
      </c>
      <c r="D11" s="75">
        <v>2022</v>
      </c>
      <c r="E11" t="s">
        <v>75</v>
      </c>
      <c r="F11" t="s">
        <v>19</v>
      </c>
      <c r="G11" s="15">
        <v>30</v>
      </c>
      <c r="H11" s="15">
        <v>9</v>
      </c>
      <c r="I11" s="15">
        <v>29</v>
      </c>
      <c r="J11" s="15">
        <v>2</v>
      </c>
      <c r="K11" s="76">
        <f t="shared" si="0"/>
        <v>0.96666666666666667</v>
      </c>
      <c r="L11" s="76">
        <f t="shared" si="1"/>
        <v>0.22222222222222221</v>
      </c>
    </row>
    <row r="12" spans="2:13" x14ac:dyDescent="0.25">
      <c r="B12" s="5">
        <v>44594</v>
      </c>
      <c r="C12" t="s">
        <v>177</v>
      </c>
      <c r="D12" s="75">
        <v>2022</v>
      </c>
      <c r="E12" t="s">
        <v>75</v>
      </c>
      <c r="F12" t="s">
        <v>11</v>
      </c>
      <c r="G12" s="15">
        <v>30</v>
      </c>
      <c r="H12" s="15">
        <v>9</v>
      </c>
      <c r="I12" s="15">
        <v>4</v>
      </c>
      <c r="J12" s="15">
        <v>2</v>
      </c>
      <c r="K12" s="76">
        <f t="shared" si="0"/>
        <v>0.13333333333333333</v>
      </c>
      <c r="L12" s="76">
        <f t="shared" si="1"/>
        <v>0.22222222222222221</v>
      </c>
    </row>
    <row r="13" spans="2:13" x14ac:dyDescent="0.25">
      <c r="B13" s="5">
        <v>44594</v>
      </c>
      <c r="C13" t="s">
        <v>177</v>
      </c>
      <c r="D13" s="75">
        <v>2022</v>
      </c>
      <c r="E13" t="s">
        <v>75</v>
      </c>
      <c r="F13" t="s">
        <v>16</v>
      </c>
      <c r="G13" s="15">
        <v>30</v>
      </c>
      <c r="H13" s="15">
        <v>9</v>
      </c>
      <c r="I13" s="15">
        <v>0</v>
      </c>
      <c r="J13" s="15">
        <v>0</v>
      </c>
      <c r="K13" s="76">
        <f t="shared" si="0"/>
        <v>0</v>
      </c>
      <c r="L13" s="76">
        <f t="shared" si="1"/>
        <v>0</v>
      </c>
    </row>
    <row r="14" spans="2:13" x14ac:dyDescent="0.25">
      <c r="B14" s="5">
        <v>44595</v>
      </c>
      <c r="C14" t="s">
        <v>177</v>
      </c>
      <c r="D14" s="75">
        <v>2022</v>
      </c>
      <c r="E14" t="s">
        <v>75</v>
      </c>
      <c r="F14" t="s">
        <v>22</v>
      </c>
      <c r="G14" s="15">
        <v>30</v>
      </c>
      <c r="H14" s="15">
        <v>9</v>
      </c>
      <c r="I14" s="15">
        <v>19</v>
      </c>
      <c r="J14" s="15">
        <v>3</v>
      </c>
      <c r="K14" s="76">
        <f t="shared" si="0"/>
        <v>0.6333333333333333</v>
      </c>
      <c r="L14" s="76">
        <f t="shared" si="1"/>
        <v>0.33333333333333331</v>
      </c>
    </row>
    <row r="15" spans="2:13" x14ac:dyDescent="0.25">
      <c r="B15" s="5">
        <v>44595</v>
      </c>
      <c r="C15" t="s">
        <v>177</v>
      </c>
      <c r="D15" s="75">
        <v>2022</v>
      </c>
      <c r="E15" t="s">
        <v>75</v>
      </c>
      <c r="F15" t="s">
        <v>1</v>
      </c>
      <c r="G15" s="15">
        <v>30</v>
      </c>
      <c r="H15" s="15">
        <v>9</v>
      </c>
      <c r="I15" s="15">
        <v>17</v>
      </c>
      <c r="J15" s="15">
        <v>5</v>
      </c>
      <c r="K15" s="76">
        <f t="shared" si="0"/>
        <v>0.56666666666666665</v>
      </c>
      <c r="L15" s="76">
        <f t="shared" si="1"/>
        <v>0.55555555555555558</v>
      </c>
    </row>
    <row r="16" spans="2:13" x14ac:dyDescent="0.25">
      <c r="B16" s="5">
        <v>44595</v>
      </c>
      <c r="C16" t="s">
        <v>177</v>
      </c>
      <c r="D16" s="75">
        <v>2022</v>
      </c>
      <c r="E16" t="s">
        <v>75</v>
      </c>
      <c r="F16" t="s">
        <v>15</v>
      </c>
      <c r="G16" s="15">
        <v>30</v>
      </c>
      <c r="H16" s="15">
        <v>9</v>
      </c>
      <c r="I16" s="15">
        <v>17</v>
      </c>
      <c r="J16" s="15">
        <v>0</v>
      </c>
      <c r="K16" s="76">
        <f>IFERROR(I16/G16,"")</f>
        <v>0.56666666666666665</v>
      </c>
      <c r="L16" s="76">
        <f>IFERROR(J16/H16,"")</f>
        <v>0</v>
      </c>
    </row>
    <row r="17" spans="2:12" x14ac:dyDescent="0.25">
      <c r="B17" s="5">
        <v>44595</v>
      </c>
      <c r="C17" t="s">
        <v>177</v>
      </c>
      <c r="D17" s="75">
        <v>2022</v>
      </c>
      <c r="E17" t="s">
        <v>75</v>
      </c>
      <c r="F17" t="s">
        <v>19</v>
      </c>
      <c r="G17" s="15">
        <v>30</v>
      </c>
      <c r="H17" s="15">
        <v>9</v>
      </c>
      <c r="I17" s="15">
        <v>32</v>
      </c>
      <c r="J17" s="15">
        <v>1</v>
      </c>
      <c r="K17" s="76">
        <f t="shared" si="0"/>
        <v>1.0666666666666667</v>
      </c>
      <c r="L17" s="76">
        <f t="shared" si="1"/>
        <v>0.1111111111111111</v>
      </c>
    </row>
    <row r="18" spans="2:12" x14ac:dyDescent="0.25">
      <c r="B18" s="5">
        <v>44595</v>
      </c>
      <c r="C18" t="s">
        <v>177</v>
      </c>
      <c r="D18" s="75">
        <v>2022</v>
      </c>
      <c r="E18" t="s">
        <v>75</v>
      </c>
      <c r="F18" t="s">
        <v>11</v>
      </c>
      <c r="G18" s="15">
        <v>30</v>
      </c>
      <c r="H18" s="15">
        <v>9</v>
      </c>
      <c r="I18" s="15">
        <v>5</v>
      </c>
      <c r="J18" s="15">
        <v>2</v>
      </c>
      <c r="K18" s="76">
        <f t="shared" si="0"/>
        <v>0.16666666666666666</v>
      </c>
      <c r="L18" s="76">
        <f t="shared" si="1"/>
        <v>0.22222222222222221</v>
      </c>
    </row>
    <row r="19" spans="2:12" x14ac:dyDescent="0.25">
      <c r="B19" s="5">
        <v>44595</v>
      </c>
      <c r="C19" t="s">
        <v>177</v>
      </c>
      <c r="D19" s="75">
        <v>2022</v>
      </c>
      <c r="E19" t="s">
        <v>75</v>
      </c>
      <c r="F19" t="s">
        <v>16</v>
      </c>
      <c r="G19" s="15">
        <v>30</v>
      </c>
      <c r="H19" s="15">
        <v>9</v>
      </c>
      <c r="I19" s="15">
        <v>4</v>
      </c>
      <c r="J19" s="15">
        <v>4</v>
      </c>
      <c r="K19" s="76">
        <f t="shared" si="0"/>
        <v>0.13333333333333333</v>
      </c>
      <c r="L19" s="76">
        <f t="shared" si="1"/>
        <v>0.44444444444444442</v>
      </c>
    </row>
    <row r="20" spans="2:12" x14ac:dyDescent="0.25">
      <c r="B20" s="5">
        <v>44596</v>
      </c>
      <c r="C20" t="s">
        <v>177</v>
      </c>
      <c r="D20" s="75">
        <v>2022</v>
      </c>
      <c r="E20" t="s">
        <v>75</v>
      </c>
      <c r="F20" t="s">
        <v>22</v>
      </c>
      <c r="G20" s="15">
        <v>30</v>
      </c>
      <c r="H20" s="15">
        <v>9</v>
      </c>
      <c r="I20" s="15">
        <v>35</v>
      </c>
      <c r="J20" s="15">
        <v>4</v>
      </c>
      <c r="K20" s="76">
        <f t="shared" si="0"/>
        <v>1.1666666666666667</v>
      </c>
      <c r="L20" s="76">
        <f t="shared" si="1"/>
        <v>0.44444444444444442</v>
      </c>
    </row>
    <row r="21" spans="2:12" x14ac:dyDescent="0.25">
      <c r="B21" s="5">
        <v>44596</v>
      </c>
      <c r="C21" t="s">
        <v>177</v>
      </c>
      <c r="D21" s="75">
        <v>2022</v>
      </c>
      <c r="E21" t="s">
        <v>75</v>
      </c>
      <c r="F21" t="s">
        <v>1</v>
      </c>
      <c r="G21" s="15">
        <v>30</v>
      </c>
      <c r="H21" s="15">
        <v>9</v>
      </c>
      <c r="I21" s="15">
        <v>7</v>
      </c>
      <c r="J21" s="15">
        <v>7</v>
      </c>
      <c r="K21" s="76">
        <f t="shared" si="0"/>
        <v>0.23333333333333334</v>
      </c>
      <c r="L21" s="76">
        <f t="shared" si="1"/>
        <v>0.77777777777777779</v>
      </c>
    </row>
    <row r="22" spans="2:12" x14ac:dyDescent="0.25">
      <c r="B22" s="5">
        <v>44596</v>
      </c>
      <c r="C22" t="s">
        <v>177</v>
      </c>
      <c r="D22" s="75">
        <v>2022</v>
      </c>
      <c r="E22" t="s">
        <v>75</v>
      </c>
      <c r="F22" t="s">
        <v>19</v>
      </c>
      <c r="G22" s="15">
        <v>30</v>
      </c>
      <c r="H22" s="15">
        <v>9</v>
      </c>
      <c r="I22" s="15">
        <v>32</v>
      </c>
      <c r="J22" s="15">
        <v>5</v>
      </c>
      <c r="K22" s="76">
        <f t="shared" si="0"/>
        <v>1.0666666666666667</v>
      </c>
      <c r="L22" s="76">
        <f t="shared" si="1"/>
        <v>0.55555555555555558</v>
      </c>
    </row>
    <row r="23" spans="2:12" x14ac:dyDescent="0.25">
      <c r="B23" s="5">
        <v>44596</v>
      </c>
      <c r="C23" t="s">
        <v>177</v>
      </c>
      <c r="D23" s="75">
        <v>2022</v>
      </c>
      <c r="E23" t="s">
        <v>75</v>
      </c>
      <c r="F23" t="s">
        <v>11</v>
      </c>
      <c r="G23" s="15">
        <v>30</v>
      </c>
      <c r="H23" s="15">
        <v>9</v>
      </c>
      <c r="I23" s="15">
        <v>1</v>
      </c>
      <c r="J23" s="15">
        <v>4</v>
      </c>
      <c r="K23" s="76">
        <f t="shared" si="0"/>
        <v>3.3333333333333333E-2</v>
      </c>
      <c r="L23" s="76">
        <f t="shared" si="1"/>
        <v>0.44444444444444442</v>
      </c>
    </row>
    <row r="24" spans="2:12" x14ac:dyDescent="0.25">
      <c r="B24" s="5">
        <v>44596</v>
      </c>
      <c r="C24" t="s">
        <v>177</v>
      </c>
      <c r="D24" s="75">
        <v>2022</v>
      </c>
      <c r="E24" t="s">
        <v>75</v>
      </c>
      <c r="F24" t="s">
        <v>16</v>
      </c>
      <c r="G24" s="15">
        <v>30</v>
      </c>
      <c r="H24" s="15">
        <v>9</v>
      </c>
      <c r="I24" s="15">
        <v>4</v>
      </c>
      <c r="J24" s="15">
        <v>4</v>
      </c>
      <c r="K24" s="76">
        <f t="shared" si="0"/>
        <v>0.13333333333333333</v>
      </c>
      <c r="L24" s="76">
        <f t="shared" si="1"/>
        <v>0.44444444444444442</v>
      </c>
    </row>
    <row r="25" spans="2:12" x14ac:dyDescent="0.25">
      <c r="B25" s="5">
        <v>44596</v>
      </c>
      <c r="C25" t="s">
        <v>177</v>
      </c>
      <c r="D25" s="75">
        <v>2022</v>
      </c>
      <c r="E25" t="s">
        <v>75</v>
      </c>
      <c r="F25" t="s">
        <v>111</v>
      </c>
      <c r="G25" s="15">
        <v>30</v>
      </c>
      <c r="H25" s="15">
        <v>9</v>
      </c>
      <c r="I25" s="15">
        <v>12</v>
      </c>
      <c r="J25" s="15">
        <v>2</v>
      </c>
      <c r="K25" s="76">
        <f t="shared" si="0"/>
        <v>0.4</v>
      </c>
      <c r="L25" s="76">
        <f t="shared" si="1"/>
        <v>0.22222222222222221</v>
      </c>
    </row>
    <row r="26" spans="2:12" x14ac:dyDescent="0.25">
      <c r="B26" s="5">
        <v>44597</v>
      </c>
      <c r="C26" t="s">
        <v>177</v>
      </c>
      <c r="D26" s="75">
        <v>2022</v>
      </c>
      <c r="E26" t="s">
        <v>75</v>
      </c>
      <c r="F26" t="s">
        <v>22</v>
      </c>
      <c r="G26" s="15">
        <v>30</v>
      </c>
      <c r="H26" s="15">
        <v>9</v>
      </c>
      <c r="I26" s="15">
        <v>22</v>
      </c>
      <c r="J26" s="15">
        <v>5</v>
      </c>
      <c r="K26" s="76">
        <f t="shared" si="0"/>
        <v>0.73333333333333328</v>
      </c>
      <c r="L26" s="76">
        <f t="shared" si="1"/>
        <v>0.55555555555555558</v>
      </c>
    </row>
    <row r="27" spans="2:12" x14ac:dyDescent="0.25">
      <c r="B27" s="5">
        <v>44597</v>
      </c>
      <c r="C27" t="s">
        <v>177</v>
      </c>
      <c r="D27" s="75">
        <v>2022</v>
      </c>
      <c r="E27" t="s">
        <v>75</v>
      </c>
      <c r="F27" t="s">
        <v>1</v>
      </c>
      <c r="G27" s="15">
        <v>30</v>
      </c>
      <c r="H27" s="15">
        <v>9</v>
      </c>
      <c r="I27" s="15">
        <v>3</v>
      </c>
      <c r="J27" s="15">
        <v>3</v>
      </c>
      <c r="K27" s="76">
        <f t="shared" si="0"/>
        <v>0.1</v>
      </c>
      <c r="L27" s="76">
        <f t="shared" si="1"/>
        <v>0.33333333333333331</v>
      </c>
    </row>
    <row r="28" spans="2:12" x14ac:dyDescent="0.25">
      <c r="B28" s="5">
        <v>44597</v>
      </c>
      <c r="C28" t="s">
        <v>177</v>
      </c>
      <c r="D28" s="75">
        <v>2022</v>
      </c>
      <c r="E28" t="s">
        <v>75</v>
      </c>
      <c r="F28" t="s">
        <v>19</v>
      </c>
      <c r="G28" s="15">
        <v>30</v>
      </c>
      <c r="H28" s="15">
        <v>9</v>
      </c>
      <c r="I28" s="15">
        <v>35</v>
      </c>
      <c r="J28" s="15">
        <v>5</v>
      </c>
      <c r="K28" s="76">
        <f t="shared" si="0"/>
        <v>1.1666666666666667</v>
      </c>
      <c r="L28" s="76">
        <f t="shared" si="1"/>
        <v>0.55555555555555558</v>
      </c>
    </row>
    <row r="29" spans="2:12" x14ac:dyDescent="0.25">
      <c r="B29" s="5">
        <v>44597</v>
      </c>
      <c r="C29" t="s">
        <v>177</v>
      </c>
      <c r="D29" s="75">
        <v>2022</v>
      </c>
      <c r="E29" t="s">
        <v>75</v>
      </c>
      <c r="F29" t="s">
        <v>11</v>
      </c>
      <c r="G29" s="15">
        <v>30</v>
      </c>
      <c r="H29" s="15">
        <v>9</v>
      </c>
      <c r="I29" s="15">
        <v>0</v>
      </c>
      <c r="J29" s="15">
        <v>0</v>
      </c>
      <c r="K29" s="76">
        <f t="shared" si="0"/>
        <v>0</v>
      </c>
      <c r="L29" s="76">
        <f t="shared" si="1"/>
        <v>0</v>
      </c>
    </row>
    <row r="30" spans="2:12" x14ac:dyDescent="0.25">
      <c r="B30" s="5">
        <v>44597</v>
      </c>
      <c r="C30" t="s">
        <v>177</v>
      </c>
      <c r="D30" s="75">
        <v>2022</v>
      </c>
      <c r="E30" t="s">
        <v>75</v>
      </c>
      <c r="F30" t="s">
        <v>16</v>
      </c>
      <c r="G30" s="15">
        <v>30</v>
      </c>
      <c r="H30" s="15">
        <v>9</v>
      </c>
      <c r="I30" s="15">
        <v>4</v>
      </c>
      <c r="J30" s="15">
        <v>4</v>
      </c>
      <c r="K30" s="76">
        <f t="shared" si="0"/>
        <v>0.13333333333333333</v>
      </c>
      <c r="L30" s="76">
        <f t="shared" si="1"/>
        <v>0.44444444444444442</v>
      </c>
    </row>
    <row r="31" spans="2:12" x14ac:dyDescent="0.25">
      <c r="B31" s="5">
        <v>44597</v>
      </c>
      <c r="C31" t="s">
        <v>177</v>
      </c>
      <c r="D31" s="75">
        <v>2022</v>
      </c>
      <c r="E31" t="s">
        <v>75</v>
      </c>
      <c r="F31" t="s">
        <v>111</v>
      </c>
      <c r="G31" s="15">
        <v>30</v>
      </c>
      <c r="H31" s="15">
        <v>9</v>
      </c>
      <c r="I31" s="15">
        <v>20</v>
      </c>
      <c r="J31" s="15">
        <v>3</v>
      </c>
      <c r="K31" s="76">
        <f t="shared" si="0"/>
        <v>0.66666666666666663</v>
      </c>
      <c r="L31" s="76">
        <f t="shared" si="1"/>
        <v>0.33333333333333331</v>
      </c>
    </row>
    <row r="32" spans="2:12" x14ac:dyDescent="0.25">
      <c r="B32" s="5">
        <v>44598</v>
      </c>
      <c r="C32" t="s">
        <v>177</v>
      </c>
      <c r="D32" s="75">
        <v>2022</v>
      </c>
      <c r="E32" t="s">
        <v>75</v>
      </c>
      <c r="F32" t="s">
        <v>22</v>
      </c>
      <c r="G32" s="15">
        <v>30</v>
      </c>
      <c r="H32" s="15">
        <v>9</v>
      </c>
      <c r="I32" s="15">
        <v>0</v>
      </c>
      <c r="J32" s="15">
        <v>0</v>
      </c>
      <c r="K32" s="76">
        <f t="shared" si="0"/>
        <v>0</v>
      </c>
      <c r="L32" s="76">
        <f t="shared" si="1"/>
        <v>0</v>
      </c>
    </row>
    <row r="33" spans="2:12" x14ac:dyDescent="0.25">
      <c r="B33" s="5">
        <v>44598</v>
      </c>
      <c r="C33" t="s">
        <v>177</v>
      </c>
      <c r="D33" s="75">
        <v>2022</v>
      </c>
      <c r="E33" t="s">
        <v>75</v>
      </c>
      <c r="F33" t="s">
        <v>1</v>
      </c>
      <c r="G33" s="15">
        <v>30</v>
      </c>
      <c r="H33" s="15">
        <v>9</v>
      </c>
      <c r="I33" s="15">
        <v>0</v>
      </c>
      <c r="J33" s="15">
        <v>1</v>
      </c>
      <c r="K33" s="76">
        <f t="shared" si="0"/>
        <v>0</v>
      </c>
      <c r="L33" s="76">
        <f t="shared" si="1"/>
        <v>0.1111111111111111</v>
      </c>
    </row>
    <row r="34" spans="2:12" x14ac:dyDescent="0.25">
      <c r="B34" s="5">
        <v>44598</v>
      </c>
      <c r="C34" t="s">
        <v>177</v>
      </c>
      <c r="D34" s="75">
        <v>2022</v>
      </c>
      <c r="E34" t="s">
        <v>75</v>
      </c>
      <c r="F34" t="s">
        <v>19</v>
      </c>
      <c r="G34" s="15">
        <v>30</v>
      </c>
      <c r="H34" s="15">
        <v>9</v>
      </c>
      <c r="I34" s="15">
        <v>0</v>
      </c>
      <c r="J34" s="15">
        <v>0</v>
      </c>
      <c r="K34" s="76">
        <f t="shared" si="0"/>
        <v>0</v>
      </c>
      <c r="L34" s="76">
        <f t="shared" si="1"/>
        <v>0</v>
      </c>
    </row>
    <row r="35" spans="2:12" x14ac:dyDescent="0.25">
      <c r="B35" s="5">
        <v>44598</v>
      </c>
      <c r="C35" t="s">
        <v>177</v>
      </c>
      <c r="D35" s="75">
        <v>2022</v>
      </c>
      <c r="E35" t="s">
        <v>75</v>
      </c>
      <c r="F35" t="s">
        <v>11</v>
      </c>
      <c r="G35" s="15">
        <v>30</v>
      </c>
      <c r="H35" s="15">
        <v>9</v>
      </c>
      <c r="I35" s="15">
        <v>9</v>
      </c>
      <c r="J35" s="15">
        <v>7</v>
      </c>
      <c r="K35" s="76">
        <f t="shared" si="0"/>
        <v>0.3</v>
      </c>
      <c r="L35" s="76">
        <f t="shared" si="1"/>
        <v>0.77777777777777779</v>
      </c>
    </row>
    <row r="36" spans="2:12" x14ac:dyDescent="0.25">
      <c r="B36" s="5">
        <v>44598</v>
      </c>
      <c r="C36" t="s">
        <v>177</v>
      </c>
      <c r="D36" s="75">
        <v>2022</v>
      </c>
      <c r="E36" t="s">
        <v>75</v>
      </c>
      <c r="F36" t="s">
        <v>16</v>
      </c>
      <c r="G36" s="15">
        <v>30</v>
      </c>
      <c r="H36" s="15">
        <v>9</v>
      </c>
      <c r="I36" s="15">
        <v>0</v>
      </c>
      <c r="J36" s="15">
        <v>0</v>
      </c>
      <c r="K36" s="76">
        <f t="shared" si="0"/>
        <v>0</v>
      </c>
      <c r="L36" s="76">
        <f t="shared" si="1"/>
        <v>0</v>
      </c>
    </row>
    <row r="37" spans="2:12" x14ac:dyDescent="0.25">
      <c r="B37" s="5">
        <v>44598</v>
      </c>
      <c r="C37" t="s">
        <v>177</v>
      </c>
      <c r="D37" s="75">
        <v>2022</v>
      </c>
      <c r="E37" t="s">
        <v>75</v>
      </c>
      <c r="F37" t="s">
        <v>111</v>
      </c>
      <c r="G37" s="15">
        <v>30</v>
      </c>
      <c r="H37" s="15">
        <v>9</v>
      </c>
      <c r="I37" s="15">
        <v>2</v>
      </c>
      <c r="J37" s="15">
        <v>1</v>
      </c>
      <c r="K37" s="76">
        <f t="shared" si="0"/>
        <v>6.6666666666666666E-2</v>
      </c>
      <c r="L37" s="76">
        <f t="shared" si="1"/>
        <v>0.1111111111111111</v>
      </c>
    </row>
    <row r="38" spans="2:12" x14ac:dyDescent="0.25">
      <c r="B38" s="5">
        <v>44599</v>
      </c>
      <c r="C38" t="s">
        <v>177</v>
      </c>
      <c r="D38" s="75">
        <v>2022</v>
      </c>
      <c r="E38" t="s">
        <v>222</v>
      </c>
      <c r="F38" t="s">
        <v>22</v>
      </c>
      <c r="G38" s="15">
        <v>30</v>
      </c>
      <c r="H38" s="15">
        <v>9</v>
      </c>
      <c r="I38" s="15">
        <v>21</v>
      </c>
      <c r="J38" s="15">
        <v>2</v>
      </c>
      <c r="K38" s="76">
        <f t="shared" si="0"/>
        <v>0.7</v>
      </c>
      <c r="L38" s="76">
        <f t="shared" si="1"/>
        <v>0.22222222222222221</v>
      </c>
    </row>
    <row r="39" spans="2:12" x14ac:dyDescent="0.25">
      <c r="B39" s="5">
        <v>44599</v>
      </c>
      <c r="C39" t="s">
        <v>177</v>
      </c>
      <c r="D39" s="75">
        <v>2022</v>
      </c>
      <c r="E39" t="s">
        <v>222</v>
      </c>
      <c r="F39" t="s">
        <v>1</v>
      </c>
      <c r="G39" s="15">
        <v>30</v>
      </c>
      <c r="H39" s="15">
        <v>9</v>
      </c>
      <c r="I39" s="15">
        <v>10</v>
      </c>
      <c r="J39" s="15">
        <v>9</v>
      </c>
      <c r="K39" s="76">
        <f t="shared" si="0"/>
        <v>0.33333333333333331</v>
      </c>
      <c r="L39" s="76">
        <f t="shared" si="1"/>
        <v>1</v>
      </c>
    </row>
    <row r="40" spans="2:12" x14ac:dyDescent="0.25">
      <c r="B40" s="5">
        <v>44599</v>
      </c>
      <c r="C40" t="s">
        <v>177</v>
      </c>
      <c r="D40" s="75">
        <v>2022</v>
      </c>
      <c r="E40" t="s">
        <v>222</v>
      </c>
      <c r="F40" t="s">
        <v>19</v>
      </c>
      <c r="G40" s="15">
        <v>30</v>
      </c>
      <c r="H40" s="15">
        <v>9</v>
      </c>
      <c r="I40" s="15">
        <v>38</v>
      </c>
      <c r="J40" s="15">
        <v>9</v>
      </c>
      <c r="K40" s="76">
        <f t="shared" si="0"/>
        <v>1.2666666666666666</v>
      </c>
      <c r="L40" s="76">
        <f t="shared" si="1"/>
        <v>1</v>
      </c>
    </row>
    <row r="41" spans="2:12" x14ac:dyDescent="0.25">
      <c r="B41" s="5">
        <v>44599</v>
      </c>
      <c r="C41" t="s">
        <v>177</v>
      </c>
      <c r="D41" s="75">
        <v>2022</v>
      </c>
      <c r="E41" t="s">
        <v>222</v>
      </c>
      <c r="F41" t="s">
        <v>11</v>
      </c>
      <c r="G41" s="15">
        <v>30</v>
      </c>
      <c r="H41" s="15">
        <v>9</v>
      </c>
      <c r="I41" s="15">
        <v>6</v>
      </c>
      <c r="J41" s="15">
        <v>4</v>
      </c>
      <c r="K41" s="76">
        <f t="shared" si="0"/>
        <v>0.2</v>
      </c>
      <c r="L41" s="76">
        <f t="shared" si="1"/>
        <v>0.44444444444444442</v>
      </c>
    </row>
    <row r="42" spans="2:12" x14ac:dyDescent="0.25">
      <c r="B42" s="5">
        <v>44599</v>
      </c>
      <c r="C42" t="s">
        <v>177</v>
      </c>
      <c r="D42" s="75">
        <v>2022</v>
      </c>
      <c r="E42" t="s">
        <v>222</v>
      </c>
      <c r="F42" t="s">
        <v>16</v>
      </c>
      <c r="G42" s="15">
        <v>30</v>
      </c>
      <c r="H42" s="15">
        <v>9</v>
      </c>
      <c r="I42" s="15">
        <v>1</v>
      </c>
      <c r="J42" s="15">
        <v>0</v>
      </c>
      <c r="K42" s="76">
        <f t="shared" si="0"/>
        <v>3.3333333333333333E-2</v>
      </c>
      <c r="L42" s="76">
        <f t="shared" si="1"/>
        <v>0</v>
      </c>
    </row>
    <row r="43" spans="2:12" x14ac:dyDescent="0.25">
      <c r="B43" s="5">
        <v>44599</v>
      </c>
      <c r="C43" t="s">
        <v>177</v>
      </c>
      <c r="D43" s="75">
        <v>2022</v>
      </c>
      <c r="E43" t="s">
        <v>222</v>
      </c>
      <c r="F43" t="s">
        <v>111</v>
      </c>
      <c r="G43" s="15">
        <v>30</v>
      </c>
      <c r="H43" s="15">
        <v>9</v>
      </c>
      <c r="I43" s="15">
        <v>10</v>
      </c>
      <c r="J43" s="15">
        <v>9</v>
      </c>
      <c r="K43" s="76">
        <f t="shared" si="0"/>
        <v>0.33333333333333331</v>
      </c>
      <c r="L43" s="76">
        <f t="shared" si="1"/>
        <v>1</v>
      </c>
    </row>
    <row r="44" spans="2:12" x14ac:dyDescent="0.25">
      <c r="B44" s="5">
        <v>44600</v>
      </c>
      <c r="C44" t="s">
        <v>177</v>
      </c>
      <c r="D44" s="75">
        <v>2022</v>
      </c>
      <c r="E44" t="s">
        <v>222</v>
      </c>
      <c r="F44" t="s">
        <v>22</v>
      </c>
      <c r="G44" s="15">
        <v>30</v>
      </c>
      <c r="H44" s="15">
        <v>9</v>
      </c>
      <c r="I44" s="15">
        <v>36</v>
      </c>
      <c r="J44" s="15">
        <v>8</v>
      </c>
      <c r="K44" s="76">
        <f t="shared" si="0"/>
        <v>1.2</v>
      </c>
      <c r="L44" s="76">
        <f t="shared" si="1"/>
        <v>0.88888888888888884</v>
      </c>
    </row>
    <row r="45" spans="2:12" x14ac:dyDescent="0.25">
      <c r="B45" s="5">
        <v>44600</v>
      </c>
      <c r="C45" t="s">
        <v>177</v>
      </c>
      <c r="D45" s="75">
        <v>2022</v>
      </c>
      <c r="E45" t="s">
        <v>222</v>
      </c>
      <c r="F45" t="s">
        <v>1</v>
      </c>
      <c r="G45" s="15">
        <v>30</v>
      </c>
      <c r="H45" s="15">
        <v>9</v>
      </c>
      <c r="I45" s="15">
        <v>4</v>
      </c>
      <c r="J45" s="15">
        <v>4</v>
      </c>
      <c r="K45" s="76">
        <f t="shared" si="0"/>
        <v>0.13333333333333333</v>
      </c>
      <c r="L45" s="76">
        <f t="shared" si="1"/>
        <v>0.44444444444444442</v>
      </c>
    </row>
    <row r="46" spans="2:12" x14ac:dyDescent="0.25">
      <c r="B46" s="5">
        <v>44600</v>
      </c>
      <c r="C46" t="s">
        <v>177</v>
      </c>
      <c r="D46" s="75">
        <v>2022</v>
      </c>
      <c r="E46" t="s">
        <v>222</v>
      </c>
      <c r="F46" t="s">
        <v>19</v>
      </c>
      <c r="G46" s="15">
        <v>30</v>
      </c>
      <c r="H46" s="15">
        <v>9</v>
      </c>
      <c r="I46" s="15">
        <v>35</v>
      </c>
      <c r="J46" s="15">
        <v>8</v>
      </c>
      <c r="K46" s="76">
        <f t="shared" si="0"/>
        <v>1.1666666666666667</v>
      </c>
      <c r="L46" s="76">
        <f t="shared" si="1"/>
        <v>0.88888888888888884</v>
      </c>
    </row>
    <row r="47" spans="2:12" x14ac:dyDescent="0.25">
      <c r="B47" s="5">
        <v>44600</v>
      </c>
      <c r="C47" t="s">
        <v>177</v>
      </c>
      <c r="D47" s="75">
        <v>2022</v>
      </c>
      <c r="E47" t="s">
        <v>222</v>
      </c>
      <c r="F47" t="s">
        <v>11</v>
      </c>
      <c r="G47" s="15">
        <v>30</v>
      </c>
      <c r="H47" s="15">
        <v>9</v>
      </c>
      <c r="I47" s="15">
        <v>5</v>
      </c>
      <c r="J47" s="15">
        <v>5</v>
      </c>
      <c r="K47" s="76">
        <f t="shared" si="0"/>
        <v>0.16666666666666666</v>
      </c>
      <c r="L47" s="76">
        <f t="shared" si="1"/>
        <v>0.55555555555555558</v>
      </c>
    </row>
    <row r="48" spans="2:12" x14ac:dyDescent="0.25">
      <c r="B48" s="5">
        <v>44600</v>
      </c>
      <c r="C48" t="s">
        <v>177</v>
      </c>
      <c r="D48" s="75">
        <v>2022</v>
      </c>
      <c r="E48" t="s">
        <v>222</v>
      </c>
      <c r="F48" t="s">
        <v>16</v>
      </c>
      <c r="G48" s="15">
        <v>30</v>
      </c>
      <c r="H48" s="15">
        <v>9</v>
      </c>
      <c r="I48" s="15">
        <v>0</v>
      </c>
      <c r="J48" s="15">
        <v>0</v>
      </c>
      <c r="K48" s="76">
        <f t="shared" si="0"/>
        <v>0</v>
      </c>
      <c r="L48" s="76">
        <f t="shared" si="1"/>
        <v>0</v>
      </c>
    </row>
    <row r="49" spans="2:12" x14ac:dyDescent="0.25">
      <c r="B49" s="5">
        <v>44600</v>
      </c>
      <c r="C49" t="s">
        <v>177</v>
      </c>
      <c r="D49" s="75">
        <v>2022</v>
      </c>
      <c r="E49" t="s">
        <v>222</v>
      </c>
      <c r="F49" t="s">
        <v>111</v>
      </c>
      <c r="G49" s="15">
        <v>30</v>
      </c>
      <c r="H49" s="15">
        <v>9</v>
      </c>
      <c r="I49" s="15">
        <v>7</v>
      </c>
      <c r="J49" s="15">
        <v>5</v>
      </c>
      <c r="K49" s="76">
        <f t="shared" si="0"/>
        <v>0.23333333333333334</v>
      </c>
      <c r="L49" s="76">
        <f t="shared" si="1"/>
        <v>0.55555555555555558</v>
      </c>
    </row>
    <row r="50" spans="2:12" x14ac:dyDescent="0.25">
      <c r="B50" s="5">
        <v>44601</v>
      </c>
      <c r="C50" t="s">
        <v>177</v>
      </c>
      <c r="D50" s="75">
        <v>2022</v>
      </c>
      <c r="E50" t="s">
        <v>222</v>
      </c>
      <c r="F50" t="s">
        <v>22</v>
      </c>
      <c r="G50" s="15">
        <v>30</v>
      </c>
      <c r="H50" s="15">
        <v>9</v>
      </c>
      <c r="I50" s="15">
        <v>29</v>
      </c>
      <c r="J50" s="15">
        <v>5</v>
      </c>
      <c r="K50" s="76">
        <f t="shared" si="0"/>
        <v>0.96666666666666667</v>
      </c>
      <c r="L50" s="76">
        <f t="shared" si="1"/>
        <v>0.55555555555555558</v>
      </c>
    </row>
    <row r="51" spans="2:12" x14ac:dyDescent="0.25">
      <c r="B51" s="5">
        <v>44601</v>
      </c>
      <c r="C51" t="s">
        <v>177</v>
      </c>
      <c r="D51" s="75">
        <v>2022</v>
      </c>
      <c r="E51" t="s">
        <v>222</v>
      </c>
      <c r="F51" t="s">
        <v>1</v>
      </c>
      <c r="G51" s="15">
        <v>30</v>
      </c>
      <c r="H51" s="15">
        <v>9</v>
      </c>
      <c r="I51" s="15">
        <v>7</v>
      </c>
      <c r="J51" s="15">
        <v>7</v>
      </c>
      <c r="K51" s="76">
        <f t="shared" si="0"/>
        <v>0.23333333333333334</v>
      </c>
      <c r="L51" s="76">
        <f t="shared" si="1"/>
        <v>0.77777777777777779</v>
      </c>
    </row>
    <row r="52" spans="2:12" x14ac:dyDescent="0.25">
      <c r="B52" s="5">
        <v>44601</v>
      </c>
      <c r="C52" t="s">
        <v>177</v>
      </c>
      <c r="D52" s="75">
        <v>2022</v>
      </c>
      <c r="E52" t="s">
        <v>222</v>
      </c>
      <c r="F52" t="s">
        <v>19</v>
      </c>
      <c r="G52" s="15">
        <v>30</v>
      </c>
      <c r="H52" s="15">
        <v>9</v>
      </c>
      <c r="I52" s="15">
        <v>33</v>
      </c>
      <c r="J52" s="15">
        <v>6</v>
      </c>
      <c r="K52" s="76">
        <f t="shared" si="0"/>
        <v>1.1000000000000001</v>
      </c>
      <c r="L52" s="76">
        <f t="shared" si="1"/>
        <v>0.66666666666666663</v>
      </c>
    </row>
    <row r="53" spans="2:12" x14ac:dyDescent="0.25">
      <c r="B53" s="5">
        <v>44601</v>
      </c>
      <c r="C53" t="s">
        <v>177</v>
      </c>
      <c r="D53" s="75">
        <v>2022</v>
      </c>
      <c r="E53" t="s">
        <v>222</v>
      </c>
      <c r="F53" t="s">
        <v>11</v>
      </c>
      <c r="G53" s="15">
        <v>30</v>
      </c>
      <c r="H53" s="15">
        <v>9</v>
      </c>
      <c r="I53" s="15">
        <v>9</v>
      </c>
      <c r="J53" s="15">
        <v>9</v>
      </c>
      <c r="K53" s="76">
        <f t="shared" si="0"/>
        <v>0.3</v>
      </c>
      <c r="L53" s="76">
        <f t="shared" si="1"/>
        <v>1</v>
      </c>
    </row>
    <row r="54" spans="2:12" x14ac:dyDescent="0.25">
      <c r="B54" s="5">
        <v>44601</v>
      </c>
      <c r="C54" t="s">
        <v>177</v>
      </c>
      <c r="D54" s="75">
        <v>2022</v>
      </c>
      <c r="E54" t="s">
        <v>222</v>
      </c>
      <c r="F54" t="s">
        <v>16</v>
      </c>
      <c r="G54" s="15">
        <v>30</v>
      </c>
      <c r="H54" s="15">
        <v>9</v>
      </c>
      <c r="I54" s="15">
        <v>0</v>
      </c>
      <c r="J54" s="15">
        <v>0</v>
      </c>
      <c r="K54" s="76">
        <f t="shared" si="0"/>
        <v>0</v>
      </c>
      <c r="L54" s="76">
        <f t="shared" si="1"/>
        <v>0</v>
      </c>
    </row>
    <row r="55" spans="2:12" x14ac:dyDescent="0.25">
      <c r="B55" s="5">
        <v>44601</v>
      </c>
      <c r="C55" t="s">
        <v>177</v>
      </c>
      <c r="D55" s="75">
        <v>2022</v>
      </c>
      <c r="E55" t="s">
        <v>222</v>
      </c>
      <c r="F55" t="s">
        <v>111</v>
      </c>
      <c r="G55" s="15">
        <v>30</v>
      </c>
      <c r="H55" s="15">
        <v>9</v>
      </c>
      <c r="I55" s="15">
        <v>13</v>
      </c>
      <c r="J55" s="15">
        <v>7</v>
      </c>
      <c r="K55" s="76">
        <f t="shared" si="0"/>
        <v>0.43333333333333335</v>
      </c>
      <c r="L55" s="76">
        <f t="shared" si="1"/>
        <v>0.77777777777777779</v>
      </c>
    </row>
    <row r="56" spans="2:12" x14ac:dyDescent="0.25">
      <c r="B56" s="5">
        <v>44602</v>
      </c>
      <c r="C56" t="s">
        <v>177</v>
      </c>
      <c r="D56" s="75">
        <v>2022</v>
      </c>
      <c r="E56" t="s">
        <v>222</v>
      </c>
      <c r="F56" t="s">
        <v>22</v>
      </c>
      <c r="G56" s="15">
        <v>30</v>
      </c>
      <c r="H56" s="15">
        <v>9</v>
      </c>
      <c r="I56" s="15">
        <v>28</v>
      </c>
      <c r="J56" s="15">
        <v>6</v>
      </c>
      <c r="K56" s="76">
        <f t="shared" si="0"/>
        <v>0.93333333333333335</v>
      </c>
      <c r="L56" s="76">
        <f t="shared" si="1"/>
        <v>0.66666666666666663</v>
      </c>
    </row>
    <row r="57" spans="2:12" x14ac:dyDescent="0.25">
      <c r="B57" s="5">
        <v>44602</v>
      </c>
      <c r="C57" t="s">
        <v>177</v>
      </c>
      <c r="D57" s="75">
        <v>2022</v>
      </c>
      <c r="E57" t="s">
        <v>222</v>
      </c>
      <c r="F57" t="s">
        <v>1</v>
      </c>
      <c r="G57" s="15">
        <v>30</v>
      </c>
      <c r="H57" s="15">
        <v>9</v>
      </c>
      <c r="I57" s="15">
        <v>7</v>
      </c>
      <c r="J57" s="15">
        <v>6</v>
      </c>
      <c r="K57" s="76">
        <f t="shared" si="0"/>
        <v>0.23333333333333334</v>
      </c>
      <c r="L57" s="76">
        <f t="shared" si="1"/>
        <v>0.66666666666666663</v>
      </c>
    </row>
    <row r="58" spans="2:12" x14ac:dyDescent="0.25">
      <c r="B58" s="5">
        <v>44602</v>
      </c>
      <c r="C58" t="s">
        <v>177</v>
      </c>
      <c r="D58" s="75">
        <v>2022</v>
      </c>
      <c r="E58" t="s">
        <v>222</v>
      </c>
      <c r="F58" t="s">
        <v>19</v>
      </c>
      <c r="G58" s="15">
        <v>30</v>
      </c>
      <c r="H58" s="15">
        <v>9</v>
      </c>
      <c r="I58" s="15">
        <v>38</v>
      </c>
      <c r="J58" s="15">
        <v>10</v>
      </c>
      <c r="K58" s="76">
        <f t="shared" si="0"/>
        <v>1.2666666666666666</v>
      </c>
      <c r="L58" s="76">
        <f t="shared" si="1"/>
        <v>1.1111111111111112</v>
      </c>
    </row>
    <row r="59" spans="2:12" x14ac:dyDescent="0.25">
      <c r="B59" s="5">
        <v>44602</v>
      </c>
      <c r="C59" t="s">
        <v>177</v>
      </c>
      <c r="D59" s="75">
        <v>2022</v>
      </c>
      <c r="E59" t="s">
        <v>222</v>
      </c>
      <c r="F59" t="s">
        <v>11</v>
      </c>
      <c r="G59" s="15">
        <v>30</v>
      </c>
      <c r="H59" s="15">
        <v>9</v>
      </c>
      <c r="I59" s="15">
        <v>2</v>
      </c>
      <c r="J59" s="15">
        <v>2</v>
      </c>
      <c r="K59" s="76">
        <f t="shared" si="0"/>
        <v>6.6666666666666666E-2</v>
      </c>
      <c r="L59" s="76">
        <f t="shared" si="1"/>
        <v>0.22222222222222221</v>
      </c>
    </row>
    <row r="60" spans="2:12" x14ac:dyDescent="0.25">
      <c r="B60" s="5">
        <v>44602</v>
      </c>
      <c r="C60" t="s">
        <v>177</v>
      </c>
      <c r="D60" s="75">
        <v>2022</v>
      </c>
      <c r="E60" t="s">
        <v>222</v>
      </c>
      <c r="F60" t="s">
        <v>16</v>
      </c>
      <c r="G60" s="15">
        <v>30</v>
      </c>
      <c r="H60" s="15">
        <v>9</v>
      </c>
      <c r="I60" s="15">
        <v>3</v>
      </c>
      <c r="J60" s="15">
        <v>0</v>
      </c>
      <c r="K60" s="76">
        <f t="shared" si="0"/>
        <v>0.1</v>
      </c>
      <c r="L60" s="76">
        <f t="shared" si="1"/>
        <v>0</v>
      </c>
    </row>
    <row r="61" spans="2:12" x14ac:dyDescent="0.25">
      <c r="B61" s="5">
        <v>44602</v>
      </c>
      <c r="C61" t="s">
        <v>177</v>
      </c>
      <c r="D61" s="75">
        <v>2022</v>
      </c>
      <c r="E61" t="s">
        <v>222</v>
      </c>
      <c r="F61" t="s">
        <v>111</v>
      </c>
      <c r="G61" s="15">
        <v>30</v>
      </c>
      <c r="H61" s="15">
        <v>9</v>
      </c>
      <c r="I61" s="15">
        <v>4</v>
      </c>
      <c r="J61" s="15">
        <v>4</v>
      </c>
      <c r="K61" s="76">
        <f t="shared" si="0"/>
        <v>0.13333333333333333</v>
      </c>
      <c r="L61" s="76">
        <f t="shared" si="1"/>
        <v>0.44444444444444442</v>
      </c>
    </row>
    <row r="62" spans="2:12" x14ac:dyDescent="0.25">
      <c r="B62" s="5">
        <v>44603</v>
      </c>
      <c r="C62" t="s">
        <v>177</v>
      </c>
      <c r="D62" s="75">
        <v>2022</v>
      </c>
      <c r="E62" t="s">
        <v>222</v>
      </c>
      <c r="F62" t="s">
        <v>22</v>
      </c>
      <c r="G62" s="15">
        <v>30</v>
      </c>
      <c r="H62" s="15">
        <v>9</v>
      </c>
      <c r="I62" s="15">
        <v>31</v>
      </c>
      <c r="J62" s="15">
        <v>6</v>
      </c>
      <c r="K62" s="76">
        <f t="shared" si="0"/>
        <v>1.0333333333333334</v>
      </c>
      <c r="L62" s="76">
        <f t="shared" si="1"/>
        <v>0.66666666666666663</v>
      </c>
    </row>
    <row r="63" spans="2:12" x14ac:dyDescent="0.25">
      <c r="B63" s="5">
        <v>44603</v>
      </c>
      <c r="C63" t="s">
        <v>177</v>
      </c>
      <c r="D63" s="75">
        <v>2022</v>
      </c>
      <c r="E63" t="s">
        <v>222</v>
      </c>
      <c r="F63" t="s">
        <v>1</v>
      </c>
      <c r="G63" s="15">
        <v>30</v>
      </c>
      <c r="H63" s="15">
        <v>9</v>
      </c>
      <c r="I63" s="15">
        <v>10</v>
      </c>
      <c r="J63" s="15">
        <v>10</v>
      </c>
      <c r="K63" s="76">
        <f t="shared" si="0"/>
        <v>0.33333333333333331</v>
      </c>
      <c r="L63" s="76">
        <f t="shared" si="1"/>
        <v>1.1111111111111112</v>
      </c>
    </row>
    <row r="64" spans="2:12" x14ac:dyDescent="0.25">
      <c r="B64" s="5">
        <v>44603</v>
      </c>
      <c r="C64" t="s">
        <v>177</v>
      </c>
      <c r="D64" s="75">
        <v>2022</v>
      </c>
      <c r="E64" t="s">
        <v>222</v>
      </c>
      <c r="F64" t="s">
        <v>19</v>
      </c>
      <c r="G64" s="15">
        <v>30</v>
      </c>
      <c r="H64" s="15">
        <v>9</v>
      </c>
      <c r="I64" s="15">
        <v>0</v>
      </c>
      <c r="J64" s="15">
        <v>0</v>
      </c>
      <c r="K64" s="76">
        <f t="shared" si="0"/>
        <v>0</v>
      </c>
      <c r="L64" s="76">
        <f t="shared" si="1"/>
        <v>0</v>
      </c>
    </row>
    <row r="65" spans="2:12" x14ac:dyDescent="0.25">
      <c r="B65" s="5">
        <v>44603</v>
      </c>
      <c r="C65" t="s">
        <v>177</v>
      </c>
      <c r="D65" s="75">
        <v>2022</v>
      </c>
      <c r="E65" t="s">
        <v>222</v>
      </c>
      <c r="F65" t="s">
        <v>11</v>
      </c>
      <c r="G65" s="15">
        <v>30</v>
      </c>
      <c r="H65" s="15">
        <v>9</v>
      </c>
      <c r="I65" s="15">
        <v>8</v>
      </c>
      <c r="J65" s="15">
        <v>7</v>
      </c>
      <c r="K65" s="76">
        <f t="shared" si="0"/>
        <v>0.26666666666666666</v>
      </c>
      <c r="L65" s="76">
        <f t="shared" si="1"/>
        <v>0.77777777777777779</v>
      </c>
    </row>
    <row r="66" spans="2:12" x14ac:dyDescent="0.25">
      <c r="B66" s="5">
        <v>44603</v>
      </c>
      <c r="C66" t="s">
        <v>177</v>
      </c>
      <c r="D66" s="75">
        <v>2022</v>
      </c>
      <c r="E66" t="s">
        <v>222</v>
      </c>
      <c r="F66" t="s">
        <v>16</v>
      </c>
      <c r="G66" s="15">
        <v>30</v>
      </c>
      <c r="H66" s="15">
        <v>9</v>
      </c>
      <c r="I66" s="15">
        <v>0</v>
      </c>
      <c r="J66" s="15">
        <v>0</v>
      </c>
      <c r="K66" s="76">
        <f t="shared" ref="K66:K127" si="2">IFERROR(I66/G66,"")</f>
        <v>0</v>
      </c>
      <c r="L66" s="76">
        <f t="shared" ref="L66:L127" si="3">IFERROR(J66/H66,"")</f>
        <v>0</v>
      </c>
    </row>
    <row r="67" spans="2:12" x14ac:dyDescent="0.25">
      <c r="B67" s="5">
        <v>44603</v>
      </c>
      <c r="C67" t="s">
        <v>177</v>
      </c>
      <c r="D67" s="75">
        <v>2022</v>
      </c>
      <c r="E67" t="s">
        <v>222</v>
      </c>
      <c r="F67" t="s">
        <v>111</v>
      </c>
      <c r="G67" s="15">
        <v>30</v>
      </c>
      <c r="H67" s="15">
        <v>9</v>
      </c>
      <c r="I67" s="15">
        <v>10</v>
      </c>
      <c r="J67" s="15">
        <v>8</v>
      </c>
      <c r="K67" s="76">
        <f t="shared" si="2"/>
        <v>0.33333333333333331</v>
      </c>
      <c r="L67" s="76">
        <f t="shared" si="3"/>
        <v>0.88888888888888884</v>
      </c>
    </row>
    <row r="68" spans="2:12" x14ac:dyDescent="0.25">
      <c r="B68" s="5">
        <v>44604</v>
      </c>
      <c r="C68" t="s">
        <v>177</v>
      </c>
      <c r="D68" s="75">
        <v>2022</v>
      </c>
      <c r="E68" t="s">
        <v>222</v>
      </c>
      <c r="F68" t="s">
        <v>22</v>
      </c>
      <c r="G68" s="15">
        <v>30</v>
      </c>
      <c r="H68" s="15">
        <v>9</v>
      </c>
      <c r="I68" s="15">
        <v>22</v>
      </c>
      <c r="J68" s="15">
        <v>10</v>
      </c>
      <c r="K68" s="76">
        <f t="shared" si="2"/>
        <v>0.73333333333333328</v>
      </c>
      <c r="L68" s="76">
        <f t="shared" si="3"/>
        <v>1.1111111111111112</v>
      </c>
    </row>
    <row r="69" spans="2:12" x14ac:dyDescent="0.25">
      <c r="B69" s="5">
        <v>44604</v>
      </c>
      <c r="C69" t="s">
        <v>177</v>
      </c>
      <c r="D69" s="75">
        <v>2022</v>
      </c>
      <c r="E69" t="s">
        <v>222</v>
      </c>
      <c r="F69" t="s">
        <v>1</v>
      </c>
      <c r="G69" s="15">
        <v>30</v>
      </c>
      <c r="H69" s="15">
        <v>9</v>
      </c>
      <c r="I69" s="15">
        <v>2</v>
      </c>
      <c r="J69" s="15">
        <v>2</v>
      </c>
      <c r="K69" s="76">
        <f t="shared" si="2"/>
        <v>6.6666666666666666E-2</v>
      </c>
      <c r="L69" s="76">
        <f t="shared" si="3"/>
        <v>0.22222222222222221</v>
      </c>
    </row>
    <row r="70" spans="2:12" x14ac:dyDescent="0.25">
      <c r="B70" s="5">
        <v>44604</v>
      </c>
      <c r="C70" t="s">
        <v>177</v>
      </c>
      <c r="D70" s="75">
        <v>2022</v>
      </c>
      <c r="E70" t="s">
        <v>222</v>
      </c>
      <c r="F70" t="s">
        <v>19</v>
      </c>
      <c r="G70" s="15">
        <v>30</v>
      </c>
      <c r="H70" s="15">
        <v>9</v>
      </c>
      <c r="I70" s="15">
        <v>52</v>
      </c>
      <c r="J70" s="15">
        <v>8</v>
      </c>
      <c r="K70" s="76">
        <f t="shared" si="2"/>
        <v>1.7333333333333334</v>
      </c>
      <c r="L70" s="76">
        <f t="shared" si="3"/>
        <v>0.88888888888888884</v>
      </c>
    </row>
    <row r="71" spans="2:12" x14ac:dyDescent="0.25">
      <c r="B71" s="5">
        <v>44604</v>
      </c>
      <c r="C71" t="s">
        <v>177</v>
      </c>
      <c r="D71" s="75">
        <v>2022</v>
      </c>
      <c r="E71" t="s">
        <v>222</v>
      </c>
      <c r="F71" t="s">
        <v>11</v>
      </c>
      <c r="G71" s="15">
        <v>30</v>
      </c>
      <c r="H71" s="15">
        <v>9</v>
      </c>
      <c r="I71" s="15">
        <v>0</v>
      </c>
      <c r="J71" s="15">
        <v>0</v>
      </c>
      <c r="K71" s="76">
        <f t="shared" si="2"/>
        <v>0</v>
      </c>
      <c r="L71" s="76">
        <f t="shared" si="3"/>
        <v>0</v>
      </c>
    </row>
    <row r="72" spans="2:12" x14ac:dyDescent="0.25">
      <c r="B72" s="5">
        <v>44604</v>
      </c>
      <c r="C72" t="s">
        <v>177</v>
      </c>
      <c r="D72" s="75">
        <v>2022</v>
      </c>
      <c r="E72" t="s">
        <v>222</v>
      </c>
      <c r="F72" t="s">
        <v>16</v>
      </c>
      <c r="G72" s="15">
        <v>30</v>
      </c>
      <c r="H72" s="15">
        <v>9</v>
      </c>
      <c r="I72" s="15">
        <v>0</v>
      </c>
      <c r="J72" s="15">
        <v>0</v>
      </c>
      <c r="K72" s="76">
        <f t="shared" si="2"/>
        <v>0</v>
      </c>
      <c r="L72" s="76">
        <f t="shared" si="3"/>
        <v>0</v>
      </c>
    </row>
    <row r="73" spans="2:12" x14ac:dyDescent="0.25">
      <c r="B73" s="5">
        <v>44604</v>
      </c>
      <c r="C73" t="s">
        <v>177</v>
      </c>
      <c r="D73" s="75">
        <v>2022</v>
      </c>
      <c r="E73" t="s">
        <v>222</v>
      </c>
      <c r="F73" t="s">
        <v>111</v>
      </c>
      <c r="G73" s="15">
        <v>30</v>
      </c>
      <c r="H73" s="15">
        <v>9</v>
      </c>
      <c r="I73" s="15">
        <v>7</v>
      </c>
      <c r="J73" s="15">
        <v>7</v>
      </c>
      <c r="K73" s="76">
        <f t="shared" si="2"/>
        <v>0.23333333333333334</v>
      </c>
      <c r="L73" s="76">
        <f t="shared" si="3"/>
        <v>0.77777777777777779</v>
      </c>
    </row>
    <row r="74" spans="2:12" x14ac:dyDescent="0.25">
      <c r="B74" s="5">
        <v>44605</v>
      </c>
      <c r="C74" t="s">
        <v>177</v>
      </c>
      <c r="D74" s="75">
        <v>2022</v>
      </c>
      <c r="E74" t="s">
        <v>222</v>
      </c>
      <c r="F74" t="s">
        <v>11</v>
      </c>
      <c r="G74" s="15">
        <v>30</v>
      </c>
      <c r="H74" s="15">
        <v>9</v>
      </c>
      <c r="I74" s="15">
        <v>8</v>
      </c>
      <c r="J74" s="15">
        <v>8</v>
      </c>
      <c r="K74" s="76">
        <f t="shared" si="2"/>
        <v>0.26666666666666666</v>
      </c>
      <c r="L74" s="76">
        <f t="shared" si="3"/>
        <v>0.88888888888888884</v>
      </c>
    </row>
    <row r="75" spans="2:12" x14ac:dyDescent="0.25">
      <c r="B75" s="5">
        <v>44606</v>
      </c>
      <c r="C75" t="s">
        <v>177</v>
      </c>
      <c r="D75" s="75">
        <v>2022</v>
      </c>
      <c r="E75" t="s">
        <v>397</v>
      </c>
      <c r="F75" t="s">
        <v>22</v>
      </c>
      <c r="G75" s="15">
        <v>30</v>
      </c>
      <c r="H75" s="15">
        <v>9</v>
      </c>
      <c r="I75" s="15">
        <v>30</v>
      </c>
      <c r="J75" s="15">
        <v>4</v>
      </c>
      <c r="K75" s="76">
        <f t="shared" si="2"/>
        <v>1</v>
      </c>
      <c r="L75" s="76">
        <f t="shared" si="3"/>
        <v>0.44444444444444442</v>
      </c>
    </row>
    <row r="76" spans="2:12" x14ac:dyDescent="0.25">
      <c r="B76" s="5">
        <v>44606</v>
      </c>
      <c r="C76" t="s">
        <v>177</v>
      </c>
      <c r="D76" s="75">
        <v>2022</v>
      </c>
      <c r="E76" t="s">
        <v>397</v>
      </c>
      <c r="F76" t="s">
        <v>1</v>
      </c>
      <c r="G76" s="15">
        <v>30</v>
      </c>
      <c r="H76" s="15">
        <v>9</v>
      </c>
      <c r="I76" s="15">
        <v>5</v>
      </c>
      <c r="J76" s="15">
        <v>4</v>
      </c>
      <c r="K76" s="76">
        <f t="shared" si="2"/>
        <v>0.16666666666666666</v>
      </c>
      <c r="L76" s="76">
        <f t="shared" si="3"/>
        <v>0.44444444444444442</v>
      </c>
    </row>
    <row r="77" spans="2:12" x14ac:dyDescent="0.25">
      <c r="B77" s="5">
        <v>44606</v>
      </c>
      <c r="C77" t="s">
        <v>177</v>
      </c>
      <c r="D77" s="75">
        <v>2022</v>
      </c>
      <c r="E77" t="s">
        <v>397</v>
      </c>
      <c r="F77" t="s">
        <v>19</v>
      </c>
      <c r="G77" s="15">
        <v>30</v>
      </c>
      <c r="H77" s="15">
        <v>9</v>
      </c>
      <c r="I77" s="15">
        <v>44</v>
      </c>
      <c r="J77" s="15">
        <v>2</v>
      </c>
      <c r="K77" s="76">
        <f t="shared" si="2"/>
        <v>1.4666666666666666</v>
      </c>
      <c r="L77" s="76">
        <f t="shared" si="3"/>
        <v>0.22222222222222221</v>
      </c>
    </row>
    <row r="78" spans="2:12" x14ac:dyDescent="0.25">
      <c r="B78" s="5">
        <v>44606</v>
      </c>
      <c r="C78" t="s">
        <v>177</v>
      </c>
      <c r="D78" s="75">
        <v>2022</v>
      </c>
      <c r="E78" t="s">
        <v>397</v>
      </c>
      <c r="F78" t="s">
        <v>11</v>
      </c>
      <c r="G78" s="15">
        <v>30</v>
      </c>
      <c r="H78" s="15">
        <v>9</v>
      </c>
      <c r="I78" s="15">
        <v>7</v>
      </c>
      <c r="J78" s="15">
        <v>2</v>
      </c>
      <c r="K78" s="76">
        <f t="shared" si="2"/>
        <v>0.23333333333333334</v>
      </c>
      <c r="L78" s="76">
        <f t="shared" si="3"/>
        <v>0.22222222222222221</v>
      </c>
    </row>
    <row r="79" spans="2:12" x14ac:dyDescent="0.25">
      <c r="B79" s="5">
        <v>44606</v>
      </c>
      <c r="C79" t="s">
        <v>177</v>
      </c>
      <c r="D79" s="75">
        <v>2022</v>
      </c>
      <c r="E79" t="s">
        <v>397</v>
      </c>
      <c r="F79" t="s">
        <v>16</v>
      </c>
      <c r="G79" s="15">
        <v>30</v>
      </c>
      <c r="H79" s="15">
        <v>9</v>
      </c>
      <c r="I79" s="15">
        <v>2</v>
      </c>
      <c r="J79" s="15">
        <v>2</v>
      </c>
      <c r="K79" s="76">
        <f t="shared" si="2"/>
        <v>6.6666666666666666E-2</v>
      </c>
      <c r="L79" s="76">
        <f t="shared" si="3"/>
        <v>0.22222222222222221</v>
      </c>
    </row>
    <row r="80" spans="2:12" x14ac:dyDescent="0.25">
      <c r="B80" s="5">
        <v>44606</v>
      </c>
      <c r="C80" t="s">
        <v>177</v>
      </c>
      <c r="D80" s="75">
        <v>2022</v>
      </c>
      <c r="E80" t="s">
        <v>397</v>
      </c>
      <c r="F80" t="s">
        <v>111</v>
      </c>
      <c r="G80" s="15">
        <v>30</v>
      </c>
      <c r="H80" s="15">
        <v>9</v>
      </c>
      <c r="I80" s="15">
        <v>7</v>
      </c>
      <c r="J80" s="15">
        <v>2</v>
      </c>
      <c r="K80" s="76">
        <f t="shared" si="2"/>
        <v>0.23333333333333334</v>
      </c>
      <c r="L80" s="76">
        <f t="shared" si="3"/>
        <v>0.22222222222222221</v>
      </c>
    </row>
    <row r="81" spans="2:12" x14ac:dyDescent="0.25">
      <c r="B81" s="5">
        <v>44607</v>
      </c>
      <c r="C81" t="s">
        <v>177</v>
      </c>
      <c r="D81" s="75">
        <v>2022</v>
      </c>
      <c r="E81" t="s">
        <v>397</v>
      </c>
      <c r="F81" t="s">
        <v>22</v>
      </c>
      <c r="G81" s="15">
        <v>30</v>
      </c>
      <c r="H81" s="15">
        <v>9</v>
      </c>
      <c r="I81" s="15">
        <v>44</v>
      </c>
      <c r="J81" s="15">
        <v>12</v>
      </c>
      <c r="K81" s="76">
        <f t="shared" si="2"/>
        <v>1.4666666666666666</v>
      </c>
      <c r="L81" s="76">
        <f t="shared" si="3"/>
        <v>1.3333333333333333</v>
      </c>
    </row>
    <row r="82" spans="2:12" x14ac:dyDescent="0.25">
      <c r="B82" s="5">
        <v>44607</v>
      </c>
      <c r="C82" t="s">
        <v>177</v>
      </c>
      <c r="D82" s="75">
        <v>2022</v>
      </c>
      <c r="E82" t="s">
        <v>397</v>
      </c>
      <c r="F82" t="s">
        <v>1</v>
      </c>
      <c r="G82" s="15">
        <v>30</v>
      </c>
      <c r="H82" s="15">
        <v>9</v>
      </c>
      <c r="I82" s="15">
        <v>18</v>
      </c>
      <c r="J82" s="15">
        <v>11</v>
      </c>
      <c r="K82" s="76">
        <f t="shared" si="2"/>
        <v>0.6</v>
      </c>
      <c r="L82" s="76">
        <f t="shared" si="3"/>
        <v>1.2222222222222223</v>
      </c>
    </row>
    <row r="83" spans="2:12" x14ac:dyDescent="0.25">
      <c r="B83" s="5">
        <v>44607</v>
      </c>
      <c r="C83" t="s">
        <v>177</v>
      </c>
      <c r="D83" s="75">
        <v>2022</v>
      </c>
      <c r="E83" t="s">
        <v>397</v>
      </c>
      <c r="F83" t="s">
        <v>19</v>
      </c>
      <c r="G83" s="15">
        <v>30</v>
      </c>
      <c r="H83" s="15">
        <v>9</v>
      </c>
      <c r="I83" s="15">
        <v>42</v>
      </c>
      <c r="J83" s="15">
        <v>5</v>
      </c>
      <c r="K83" s="76">
        <f t="shared" si="2"/>
        <v>1.4</v>
      </c>
      <c r="L83" s="76">
        <f t="shared" si="3"/>
        <v>0.55555555555555558</v>
      </c>
    </row>
    <row r="84" spans="2:12" x14ac:dyDescent="0.25">
      <c r="B84" s="5">
        <v>44607</v>
      </c>
      <c r="C84" t="s">
        <v>177</v>
      </c>
      <c r="D84" s="75">
        <v>2022</v>
      </c>
      <c r="E84" t="s">
        <v>397</v>
      </c>
      <c r="F84" t="s">
        <v>11</v>
      </c>
      <c r="G84" s="15">
        <v>30</v>
      </c>
      <c r="H84" s="15">
        <v>9</v>
      </c>
      <c r="I84" s="15">
        <v>10</v>
      </c>
      <c r="J84" s="15">
        <v>6</v>
      </c>
      <c r="K84" s="76">
        <f t="shared" si="2"/>
        <v>0.33333333333333331</v>
      </c>
      <c r="L84" s="76">
        <f t="shared" si="3"/>
        <v>0.66666666666666663</v>
      </c>
    </row>
    <row r="85" spans="2:12" x14ac:dyDescent="0.25">
      <c r="B85" s="5">
        <v>44607</v>
      </c>
      <c r="C85" t="s">
        <v>177</v>
      </c>
      <c r="D85" s="75">
        <v>2022</v>
      </c>
      <c r="E85" t="s">
        <v>397</v>
      </c>
      <c r="F85" t="s">
        <v>16</v>
      </c>
      <c r="G85" s="15">
        <v>30</v>
      </c>
      <c r="H85" s="15">
        <v>9</v>
      </c>
      <c r="I85" s="15">
        <v>3</v>
      </c>
      <c r="J85" s="15">
        <v>3</v>
      </c>
      <c r="K85" s="76">
        <f t="shared" si="2"/>
        <v>0.1</v>
      </c>
      <c r="L85" s="76">
        <f t="shared" si="3"/>
        <v>0.33333333333333331</v>
      </c>
    </row>
    <row r="86" spans="2:12" x14ac:dyDescent="0.25">
      <c r="B86" s="5">
        <v>44607</v>
      </c>
      <c r="C86" t="s">
        <v>177</v>
      </c>
      <c r="D86" s="75">
        <v>2022</v>
      </c>
      <c r="E86" t="s">
        <v>397</v>
      </c>
      <c r="F86" t="s">
        <v>111</v>
      </c>
      <c r="G86" s="15">
        <v>30</v>
      </c>
      <c r="H86" s="15">
        <v>9</v>
      </c>
      <c r="I86" s="15">
        <v>30</v>
      </c>
      <c r="J86" s="15">
        <v>8</v>
      </c>
      <c r="K86" s="76">
        <f t="shared" si="2"/>
        <v>1</v>
      </c>
      <c r="L86" s="76">
        <f t="shared" si="3"/>
        <v>0.88888888888888884</v>
      </c>
    </row>
    <row r="87" spans="2:12" x14ac:dyDescent="0.25">
      <c r="B87" s="5">
        <v>44608</v>
      </c>
      <c r="C87" t="s">
        <v>177</v>
      </c>
      <c r="D87" s="75">
        <v>2022</v>
      </c>
      <c r="E87" t="s">
        <v>397</v>
      </c>
      <c r="F87" t="s">
        <v>22</v>
      </c>
      <c r="G87" s="15">
        <v>30</v>
      </c>
      <c r="H87" s="15">
        <v>9</v>
      </c>
      <c r="I87" s="15">
        <v>31</v>
      </c>
      <c r="J87" s="15">
        <v>8</v>
      </c>
      <c r="K87" s="76">
        <f t="shared" si="2"/>
        <v>1.0333333333333334</v>
      </c>
      <c r="L87" s="76">
        <f t="shared" si="3"/>
        <v>0.88888888888888884</v>
      </c>
    </row>
    <row r="88" spans="2:12" x14ac:dyDescent="0.25">
      <c r="B88" s="5">
        <v>44608</v>
      </c>
      <c r="C88" t="s">
        <v>177</v>
      </c>
      <c r="D88" s="75">
        <v>2022</v>
      </c>
      <c r="E88" t="s">
        <v>397</v>
      </c>
      <c r="F88" t="s">
        <v>1</v>
      </c>
      <c r="G88" s="15">
        <v>30</v>
      </c>
      <c r="H88" s="15">
        <v>9</v>
      </c>
      <c r="I88" s="15">
        <v>17</v>
      </c>
      <c r="J88" s="15">
        <v>5</v>
      </c>
      <c r="K88" s="76">
        <f t="shared" si="2"/>
        <v>0.56666666666666665</v>
      </c>
      <c r="L88" s="76">
        <f t="shared" si="3"/>
        <v>0.55555555555555558</v>
      </c>
    </row>
    <row r="89" spans="2:12" x14ac:dyDescent="0.25">
      <c r="B89" s="5">
        <v>44608</v>
      </c>
      <c r="C89" t="s">
        <v>177</v>
      </c>
      <c r="D89" s="75">
        <v>2022</v>
      </c>
      <c r="E89" t="s">
        <v>397</v>
      </c>
      <c r="F89" t="s">
        <v>19</v>
      </c>
      <c r="G89" s="15">
        <v>30</v>
      </c>
      <c r="H89" s="15">
        <v>9</v>
      </c>
      <c r="I89" s="15">
        <v>39</v>
      </c>
      <c r="J89" s="15">
        <v>10</v>
      </c>
      <c r="K89" s="76">
        <f t="shared" si="2"/>
        <v>1.3</v>
      </c>
      <c r="L89" s="76">
        <f t="shared" si="3"/>
        <v>1.1111111111111112</v>
      </c>
    </row>
    <row r="90" spans="2:12" x14ac:dyDescent="0.25">
      <c r="B90" s="5">
        <v>44608</v>
      </c>
      <c r="C90" t="s">
        <v>177</v>
      </c>
      <c r="D90" s="75">
        <v>2022</v>
      </c>
      <c r="E90" t="s">
        <v>397</v>
      </c>
      <c r="F90" t="s">
        <v>11</v>
      </c>
      <c r="G90" s="15">
        <v>30</v>
      </c>
      <c r="H90" s="15">
        <v>9</v>
      </c>
      <c r="I90" s="15">
        <v>11</v>
      </c>
      <c r="J90" s="15">
        <v>8</v>
      </c>
      <c r="K90" s="76">
        <f t="shared" si="2"/>
        <v>0.36666666666666664</v>
      </c>
      <c r="L90" s="76">
        <f t="shared" si="3"/>
        <v>0.88888888888888884</v>
      </c>
    </row>
    <row r="91" spans="2:12" x14ac:dyDescent="0.25">
      <c r="B91" s="5">
        <v>44608</v>
      </c>
      <c r="C91" t="s">
        <v>177</v>
      </c>
      <c r="D91" s="75">
        <v>2022</v>
      </c>
      <c r="E91" t="s">
        <v>397</v>
      </c>
      <c r="F91" t="s">
        <v>16</v>
      </c>
      <c r="G91" s="15">
        <v>30</v>
      </c>
      <c r="H91" s="15">
        <v>9</v>
      </c>
      <c r="I91" s="15">
        <v>6</v>
      </c>
      <c r="J91" s="15">
        <v>0</v>
      </c>
      <c r="K91" s="76">
        <f t="shared" si="2"/>
        <v>0.2</v>
      </c>
      <c r="L91" s="76">
        <f t="shared" si="3"/>
        <v>0</v>
      </c>
    </row>
    <row r="92" spans="2:12" x14ac:dyDescent="0.25">
      <c r="B92" s="5">
        <v>44608</v>
      </c>
      <c r="C92" t="s">
        <v>177</v>
      </c>
      <c r="D92" s="75">
        <v>2022</v>
      </c>
      <c r="E92" t="s">
        <v>397</v>
      </c>
      <c r="F92" t="s">
        <v>111</v>
      </c>
      <c r="G92" s="15">
        <v>30</v>
      </c>
      <c r="H92" s="15">
        <v>9</v>
      </c>
      <c r="I92" s="15">
        <v>42</v>
      </c>
      <c r="J92" s="15">
        <v>9</v>
      </c>
      <c r="K92" s="76">
        <f t="shared" si="2"/>
        <v>1.4</v>
      </c>
      <c r="L92" s="76">
        <f t="shared" si="3"/>
        <v>1</v>
      </c>
    </row>
    <row r="93" spans="2:12" x14ac:dyDescent="0.25">
      <c r="B93" s="5">
        <v>44609</v>
      </c>
      <c r="C93" t="s">
        <v>177</v>
      </c>
      <c r="D93" s="75">
        <v>2022</v>
      </c>
      <c r="E93" t="s">
        <v>397</v>
      </c>
      <c r="F93" t="s">
        <v>22</v>
      </c>
      <c r="G93" s="15">
        <v>30</v>
      </c>
      <c r="H93" s="15">
        <v>9</v>
      </c>
      <c r="I93" s="15">
        <v>33</v>
      </c>
      <c r="J93" s="15">
        <v>8</v>
      </c>
      <c r="K93" s="76">
        <f t="shared" si="2"/>
        <v>1.1000000000000001</v>
      </c>
      <c r="L93" s="76">
        <f t="shared" si="3"/>
        <v>0.88888888888888884</v>
      </c>
    </row>
    <row r="94" spans="2:12" x14ac:dyDescent="0.25">
      <c r="B94" s="5">
        <v>44609</v>
      </c>
      <c r="C94" t="s">
        <v>177</v>
      </c>
      <c r="D94" s="75">
        <v>2022</v>
      </c>
      <c r="E94" t="s">
        <v>397</v>
      </c>
      <c r="F94" t="s">
        <v>1</v>
      </c>
      <c r="G94" s="15">
        <v>30</v>
      </c>
      <c r="H94" s="15">
        <v>9</v>
      </c>
      <c r="I94" s="15">
        <v>20</v>
      </c>
      <c r="J94" s="15">
        <v>9</v>
      </c>
      <c r="K94" s="76">
        <f t="shared" si="2"/>
        <v>0.66666666666666663</v>
      </c>
      <c r="L94" s="76">
        <f t="shared" si="3"/>
        <v>1</v>
      </c>
    </row>
    <row r="95" spans="2:12" x14ac:dyDescent="0.25">
      <c r="B95" s="5">
        <v>44609</v>
      </c>
      <c r="C95" t="s">
        <v>177</v>
      </c>
      <c r="D95" s="75">
        <v>2022</v>
      </c>
      <c r="E95" t="s">
        <v>397</v>
      </c>
      <c r="F95" t="s">
        <v>19</v>
      </c>
      <c r="G95" s="15">
        <v>30</v>
      </c>
      <c r="H95" s="15">
        <v>9</v>
      </c>
      <c r="I95" s="15">
        <v>35</v>
      </c>
      <c r="J95" s="15">
        <v>10</v>
      </c>
      <c r="K95" s="76">
        <f t="shared" si="2"/>
        <v>1.1666666666666667</v>
      </c>
      <c r="L95" s="76">
        <f t="shared" si="3"/>
        <v>1.1111111111111112</v>
      </c>
    </row>
    <row r="96" spans="2:12" x14ac:dyDescent="0.25">
      <c r="B96" s="5">
        <v>44609</v>
      </c>
      <c r="C96" t="s">
        <v>177</v>
      </c>
      <c r="D96" s="75">
        <v>2022</v>
      </c>
      <c r="E96" t="s">
        <v>397</v>
      </c>
      <c r="F96" t="s">
        <v>11</v>
      </c>
      <c r="G96" s="15">
        <v>30</v>
      </c>
      <c r="H96" s="15">
        <v>9</v>
      </c>
      <c r="I96" s="15">
        <v>8</v>
      </c>
      <c r="J96" s="15">
        <v>5</v>
      </c>
      <c r="K96" s="76">
        <f t="shared" si="2"/>
        <v>0.26666666666666666</v>
      </c>
      <c r="L96" s="76">
        <f t="shared" si="3"/>
        <v>0.55555555555555558</v>
      </c>
    </row>
    <row r="97" spans="2:12" x14ac:dyDescent="0.25">
      <c r="B97" s="5">
        <v>44609</v>
      </c>
      <c r="C97" t="s">
        <v>177</v>
      </c>
      <c r="D97" s="75">
        <v>2022</v>
      </c>
      <c r="E97" t="s">
        <v>397</v>
      </c>
      <c r="F97" t="s">
        <v>16</v>
      </c>
      <c r="G97" s="15">
        <v>30</v>
      </c>
      <c r="H97" s="15">
        <v>9</v>
      </c>
      <c r="I97" s="15">
        <v>13</v>
      </c>
      <c r="J97" s="15">
        <v>1</v>
      </c>
      <c r="K97" s="76">
        <f t="shared" si="2"/>
        <v>0.43333333333333335</v>
      </c>
      <c r="L97" s="76">
        <f t="shared" si="3"/>
        <v>0.1111111111111111</v>
      </c>
    </row>
    <row r="98" spans="2:12" x14ac:dyDescent="0.25">
      <c r="B98" s="5">
        <v>44609</v>
      </c>
      <c r="C98" t="s">
        <v>177</v>
      </c>
      <c r="D98" s="75">
        <v>2022</v>
      </c>
      <c r="E98" t="s">
        <v>397</v>
      </c>
      <c r="F98" t="s">
        <v>111</v>
      </c>
      <c r="G98" s="15">
        <v>30</v>
      </c>
      <c r="H98" s="15">
        <v>9</v>
      </c>
      <c r="I98" s="15">
        <v>37</v>
      </c>
      <c r="J98" s="15">
        <v>6</v>
      </c>
      <c r="K98" s="76">
        <f t="shared" si="2"/>
        <v>1.2333333333333334</v>
      </c>
      <c r="L98" s="76">
        <f t="shared" si="3"/>
        <v>0.66666666666666663</v>
      </c>
    </row>
    <row r="99" spans="2:12" x14ac:dyDescent="0.25">
      <c r="B99" s="5">
        <v>44610</v>
      </c>
      <c r="C99" t="s">
        <v>177</v>
      </c>
      <c r="D99" s="75">
        <v>2022</v>
      </c>
      <c r="E99" t="s">
        <v>397</v>
      </c>
      <c r="F99" t="s">
        <v>22</v>
      </c>
      <c r="G99" s="15">
        <v>30</v>
      </c>
      <c r="H99" s="15">
        <v>9</v>
      </c>
      <c r="I99" s="15">
        <v>36</v>
      </c>
      <c r="J99" s="15">
        <v>12</v>
      </c>
      <c r="K99" s="76">
        <f t="shared" si="2"/>
        <v>1.2</v>
      </c>
      <c r="L99" s="76">
        <f t="shared" si="3"/>
        <v>1.3333333333333333</v>
      </c>
    </row>
    <row r="100" spans="2:12" x14ac:dyDescent="0.25">
      <c r="B100" s="5">
        <v>44610</v>
      </c>
      <c r="C100" t="s">
        <v>177</v>
      </c>
      <c r="D100" s="75">
        <v>2022</v>
      </c>
      <c r="E100" t="s">
        <v>397</v>
      </c>
      <c r="F100" t="s">
        <v>1</v>
      </c>
      <c r="G100" s="15">
        <v>30</v>
      </c>
      <c r="H100" s="15">
        <v>9</v>
      </c>
      <c r="I100" s="15">
        <v>14</v>
      </c>
      <c r="J100" s="15">
        <v>5</v>
      </c>
      <c r="K100" s="76">
        <f t="shared" si="2"/>
        <v>0.46666666666666667</v>
      </c>
      <c r="L100" s="76">
        <f t="shared" si="3"/>
        <v>0.55555555555555558</v>
      </c>
    </row>
    <row r="101" spans="2:12" x14ac:dyDescent="0.25">
      <c r="B101" s="5">
        <v>44610</v>
      </c>
      <c r="C101" t="s">
        <v>177</v>
      </c>
      <c r="D101" s="75">
        <v>2022</v>
      </c>
      <c r="E101" t="s">
        <v>397</v>
      </c>
      <c r="F101" t="s">
        <v>19</v>
      </c>
      <c r="G101" s="15">
        <v>30</v>
      </c>
      <c r="H101" s="15">
        <v>9</v>
      </c>
      <c r="I101" s="15">
        <v>41</v>
      </c>
      <c r="J101" s="15">
        <v>7</v>
      </c>
      <c r="K101" s="76">
        <f t="shared" si="2"/>
        <v>1.3666666666666667</v>
      </c>
      <c r="L101" s="76">
        <f t="shared" si="3"/>
        <v>0.77777777777777779</v>
      </c>
    </row>
    <row r="102" spans="2:12" x14ac:dyDescent="0.25">
      <c r="B102" s="5">
        <v>44610</v>
      </c>
      <c r="C102" t="s">
        <v>177</v>
      </c>
      <c r="D102" s="75">
        <v>2022</v>
      </c>
      <c r="E102" t="s">
        <v>397</v>
      </c>
      <c r="F102" t="s">
        <v>11</v>
      </c>
      <c r="G102" s="15">
        <v>30</v>
      </c>
      <c r="H102" s="15">
        <v>9</v>
      </c>
      <c r="I102" s="15">
        <v>7</v>
      </c>
      <c r="J102" s="15">
        <v>6</v>
      </c>
      <c r="K102" s="76">
        <f t="shared" si="2"/>
        <v>0.23333333333333334</v>
      </c>
      <c r="L102" s="76">
        <f t="shared" si="3"/>
        <v>0.66666666666666663</v>
      </c>
    </row>
    <row r="103" spans="2:12" x14ac:dyDescent="0.25">
      <c r="B103" s="5">
        <v>44610</v>
      </c>
      <c r="C103" t="s">
        <v>177</v>
      </c>
      <c r="D103" s="75">
        <v>2022</v>
      </c>
      <c r="E103" t="s">
        <v>397</v>
      </c>
      <c r="F103" t="s">
        <v>16</v>
      </c>
      <c r="G103" s="15">
        <v>30</v>
      </c>
      <c r="H103" s="15">
        <v>9</v>
      </c>
      <c r="I103" s="15">
        <v>12</v>
      </c>
      <c r="J103" s="15">
        <v>4</v>
      </c>
      <c r="K103" s="76">
        <f t="shared" si="2"/>
        <v>0.4</v>
      </c>
      <c r="L103" s="76">
        <f t="shared" si="3"/>
        <v>0.44444444444444442</v>
      </c>
    </row>
    <row r="104" spans="2:12" x14ac:dyDescent="0.25">
      <c r="B104" s="5">
        <v>44610</v>
      </c>
      <c r="C104" t="s">
        <v>177</v>
      </c>
      <c r="D104" s="75">
        <v>2022</v>
      </c>
      <c r="E104" t="s">
        <v>397</v>
      </c>
      <c r="F104" t="s">
        <v>111</v>
      </c>
      <c r="G104" s="15">
        <v>30</v>
      </c>
      <c r="H104" s="15">
        <v>9</v>
      </c>
      <c r="I104" s="15">
        <v>32</v>
      </c>
      <c r="J104" s="15">
        <v>7</v>
      </c>
      <c r="K104" s="76">
        <f t="shared" si="2"/>
        <v>1.0666666666666667</v>
      </c>
      <c r="L104" s="76">
        <f t="shared" si="3"/>
        <v>0.77777777777777779</v>
      </c>
    </row>
    <row r="105" spans="2:12" x14ac:dyDescent="0.25">
      <c r="B105" s="5">
        <v>44611</v>
      </c>
      <c r="C105" t="s">
        <v>177</v>
      </c>
      <c r="D105" s="75">
        <v>2022</v>
      </c>
      <c r="E105" t="s">
        <v>397</v>
      </c>
      <c r="F105" t="s">
        <v>22</v>
      </c>
      <c r="G105" s="15">
        <v>30</v>
      </c>
      <c r="H105" s="15">
        <v>9</v>
      </c>
      <c r="I105" s="15">
        <v>30</v>
      </c>
      <c r="J105" s="15">
        <v>8</v>
      </c>
      <c r="K105" s="76">
        <f t="shared" si="2"/>
        <v>1</v>
      </c>
      <c r="L105" s="76">
        <f t="shared" si="3"/>
        <v>0.88888888888888884</v>
      </c>
    </row>
    <row r="106" spans="2:12" x14ac:dyDescent="0.25">
      <c r="B106" s="5">
        <v>44611</v>
      </c>
      <c r="C106" t="s">
        <v>177</v>
      </c>
      <c r="D106" s="75">
        <v>2022</v>
      </c>
      <c r="E106" t="s">
        <v>397</v>
      </c>
      <c r="F106" t="s">
        <v>1</v>
      </c>
      <c r="G106" s="15">
        <v>30</v>
      </c>
      <c r="H106" s="15">
        <v>9</v>
      </c>
      <c r="I106" s="15">
        <v>7</v>
      </c>
      <c r="J106" s="15">
        <v>5</v>
      </c>
      <c r="K106" s="76">
        <f t="shared" si="2"/>
        <v>0.23333333333333334</v>
      </c>
      <c r="L106" s="76">
        <f t="shared" si="3"/>
        <v>0.55555555555555558</v>
      </c>
    </row>
    <row r="107" spans="2:12" x14ac:dyDescent="0.25">
      <c r="B107" s="5">
        <v>44611</v>
      </c>
      <c r="C107" t="s">
        <v>177</v>
      </c>
      <c r="D107" s="75">
        <v>2022</v>
      </c>
      <c r="E107" t="s">
        <v>397</v>
      </c>
      <c r="F107" t="s">
        <v>19</v>
      </c>
      <c r="G107" s="15">
        <v>30</v>
      </c>
      <c r="H107" s="15">
        <v>9</v>
      </c>
      <c r="I107" s="15">
        <v>21</v>
      </c>
      <c r="J107" s="15">
        <v>3</v>
      </c>
      <c r="K107" s="76">
        <f t="shared" si="2"/>
        <v>0.7</v>
      </c>
      <c r="L107" s="76">
        <f t="shared" si="3"/>
        <v>0.33333333333333331</v>
      </c>
    </row>
    <row r="108" spans="2:12" x14ac:dyDescent="0.25">
      <c r="B108" s="5">
        <v>44611</v>
      </c>
      <c r="C108" t="s">
        <v>177</v>
      </c>
      <c r="D108" s="75">
        <v>2022</v>
      </c>
      <c r="E108" t="s">
        <v>397</v>
      </c>
      <c r="F108" t="s">
        <v>16</v>
      </c>
      <c r="G108" s="15">
        <v>30</v>
      </c>
      <c r="H108" s="15">
        <v>9</v>
      </c>
      <c r="I108" s="15">
        <v>11</v>
      </c>
      <c r="J108" s="15">
        <v>2</v>
      </c>
      <c r="K108" s="76">
        <f t="shared" si="2"/>
        <v>0.36666666666666664</v>
      </c>
      <c r="L108" s="76">
        <f t="shared" si="3"/>
        <v>0.22222222222222221</v>
      </c>
    </row>
    <row r="109" spans="2:12" x14ac:dyDescent="0.25">
      <c r="B109" s="5">
        <v>44611</v>
      </c>
      <c r="C109" t="s">
        <v>177</v>
      </c>
      <c r="D109" s="75">
        <v>2022</v>
      </c>
      <c r="E109" t="s">
        <v>397</v>
      </c>
      <c r="F109" t="s">
        <v>111</v>
      </c>
      <c r="G109" s="15">
        <v>30</v>
      </c>
      <c r="H109" s="15">
        <v>9</v>
      </c>
      <c r="I109" s="15">
        <v>40</v>
      </c>
      <c r="J109" s="15">
        <v>8</v>
      </c>
      <c r="K109" s="76">
        <f t="shared" si="2"/>
        <v>1.3333333333333333</v>
      </c>
      <c r="L109" s="76">
        <f t="shared" si="3"/>
        <v>0.88888888888888884</v>
      </c>
    </row>
    <row r="110" spans="2:12" x14ac:dyDescent="0.25">
      <c r="B110" s="5">
        <v>44612</v>
      </c>
      <c r="C110" t="s">
        <v>177</v>
      </c>
      <c r="D110" s="75">
        <v>2022</v>
      </c>
      <c r="E110" t="s">
        <v>397</v>
      </c>
      <c r="F110" t="s">
        <v>11</v>
      </c>
      <c r="G110" s="15">
        <v>30</v>
      </c>
      <c r="H110" s="15">
        <v>9</v>
      </c>
      <c r="I110" s="15">
        <v>11</v>
      </c>
      <c r="J110" s="15">
        <v>11</v>
      </c>
      <c r="K110" s="76">
        <f t="shared" si="2"/>
        <v>0.36666666666666664</v>
      </c>
      <c r="L110" s="76">
        <f t="shared" si="3"/>
        <v>1.2222222222222223</v>
      </c>
    </row>
    <row r="111" spans="2:12" x14ac:dyDescent="0.25">
      <c r="B111" s="5">
        <v>44613</v>
      </c>
      <c r="C111" t="s">
        <v>177</v>
      </c>
      <c r="D111" s="75">
        <v>2022</v>
      </c>
      <c r="E111" t="s">
        <v>397</v>
      </c>
      <c r="F111" t="s">
        <v>22</v>
      </c>
      <c r="G111" s="15">
        <v>30</v>
      </c>
      <c r="H111" s="15">
        <v>9</v>
      </c>
      <c r="I111" s="15">
        <v>28</v>
      </c>
      <c r="J111" s="15">
        <v>6</v>
      </c>
      <c r="K111" s="76">
        <f t="shared" si="2"/>
        <v>0.93333333333333335</v>
      </c>
      <c r="L111" s="76">
        <f t="shared" si="3"/>
        <v>0.66666666666666663</v>
      </c>
    </row>
    <row r="112" spans="2:12" x14ac:dyDescent="0.25">
      <c r="B112" s="5">
        <v>44613</v>
      </c>
      <c r="C112" t="s">
        <v>177</v>
      </c>
      <c r="D112" s="75">
        <v>2022</v>
      </c>
      <c r="E112" t="s">
        <v>397</v>
      </c>
      <c r="F112" t="s">
        <v>1</v>
      </c>
      <c r="G112" s="15">
        <v>30</v>
      </c>
      <c r="H112" s="15">
        <v>9</v>
      </c>
      <c r="I112" s="15">
        <v>11</v>
      </c>
      <c r="J112" s="15">
        <v>6</v>
      </c>
      <c r="K112" s="76">
        <f t="shared" si="2"/>
        <v>0.36666666666666664</v>
      </c>
      <c r="L112" s="76">
        <f t="shared" si="3"/>
        <v>0.66666666666666663</v>
      </c>
    </row>
    <row r="113" spans="2:13" x14ac:dyDescent="0.25">
      <c r="B113" s="5">
        <v>44613</v>
      </c>
      <c r="C113" t="s">
        <v>177</v>
      </c>
      <c r="D113" s="75">
        <v>2022</v>
      </c>
      <c r="E113" t="s">
        <v>545</v>
      </c>
      <c r="F113" t="s">
        <v>458</v>
      </c>
      <c r="G113" s="15">
        <v>30</v>
      </c>
      <c r="H113" s="15">
        <v>9</v>
      </c>
      <c r="I113" s="15">
        <v>2</v>
      </c>
      <c r="J113" s="15">
        <v>2</v>
      </c>
      <c r="K113" s="131">
        <f>IFERROR(I113/G113,"")</f>
        <v>6.6666666666666666E-2</v>
      </c>
      <c r="L113" s="131">
        <f>IFERROR(J113/H113,"")</f>
        <v>0.22222222222222221</v>
      </c>
      <c r="M113" s="102"/>
    </row>
    <row r="114" spans="2:13" x14ac:dyDescent="0.25">
      <c r="B114" s="5">
        <v>44613</v>
      </c>
      <c r="C114" t="s">
        <v>177</v>
      </c>
      <c r="D114" s="75">
        <v>2022</v>
      </c>
      <c r="E114" t="s">
        <v>545</v>
      </c>
      <c r="F114" t="s">
        <v>11</v>
      </c>
      <c r="G114" s="15">
        <v>30</v>
      </c>
      <c r="H114" s="15">
        <v>9</v>
      </c>
      <c r="I114" s="15">
        <v>15</v>
      </c>
      <c r="J114" s="15">
        <v>13</v>
      </c>
      <c r="K114" s="76">
        <f t="shared" si="2"/>
        <v>0.5</v>
      </c>
      <c r="L114" s="76">
        <f t="shared" si="3"/>
        <v>1.4444444444444444</v>
      </c>
    </row>
    <row r="115" spans="2:13" x14ac:dyDescent="0.25">
      <c r="B115" s="5">
        <v>44613</v>
      </c>
      <c r="C115" t="s">
        <v>177</v>
      </c>
      <c r="D115" s="75">
        <v>2022</v>
      </c>
      <c r="E115" t="s">
        <v>545</v>
      </c>
      <c r="F115" t="s">
        <v>536</v>
      </c>
      <c r="G115" s="15">
        <v>30</v>
      </c>
      <c r="H115" s="15">
        <v>9</v>
      </c>
      <c r="I115" s="15">
        <v>4</v>
      </c>
      <c r="J115" s="15">
        <v>0</v>
      </c>
      <c r="K115" s="76">
        <f t="shared" si="2"/>
        <v>0.13333333333333333</v>
      </c>
      <c r="L115" s="76">
        <f t="shared" si="3"/>
        <v>0</v>
      </c>
    </row>
    <row r="116" spans="2:13" x14ac:dyDescent="0.25">
      <c r="B116" s="5">
        <v>44613</v>
      </c>
      <c r="C116" t="s">
        <v>177</v>
      </c>
      <c r="D116" s="75">
        <v>2022</v>
      </c>
      <c r="E116" t="s">
        <v>545</v>
      </c>
      <c r="F116" t="s">
        <v>111</v>
      </c>
      <c r="G116" s="15">
        <v>30</v>
      </c>
      <c r="H116" s="15">
        <v>9</v>
      </c>
      <c r="I116" s="15">
        <v>47</v>
      </c>
      <c r="J116" s="15">
        <v>17</v>
      </c>
      <c r="K116" s="76">
        <f t="shared" si="2"/>
        <v>1.5666666666666667</v>
      </c>
      <c r="L116" s="76">
        <f t="shared" si="3"/>
        <v>1.8888888888888888</v>
      </c>
    </row>
    <row r="117" spans="2:13" x14ac:dyDescent="0.25">
      <c r="B117" s="5">
        <v>44614</v>
      </c>
      <c r="C117" t="s">
        <v>177</v>
      </c>
      <c r="D117" s="75">
        <v>2022</v>
      </c>
      <c r="E117" t="s">
        <v>545</v>
      </c>
      <c r="F117" t="s">
        <v>22</v>
      </c>
      <c r="G117" s="15">
        <v>30</v>
      </c>
      <c r="H117" s="15">
        <v>9</v>
      </c>
      <c r="I117" s="15">
        <v>34</v>
      </c>
      <c r="J117" s="15">
        <v>8</v>
      </c>
      <c r="K117" s="76">
        <f t="shared" si="2"/>
        <v>1.1333333333333333</v>
      </c>
      <c r="L117" s="76">
        <f t="shared" si="3"/>
        <v>0.88888888888888884</v>
      </c>
    </row>
    <row r="118" spans="2:13" x14ac:dyDescent="0.25">
      <c r="B118" s="5">
        <v>44614</v>
      </c>
      <c r="C118" t="s">
        <v>177</v>
      </c>
      <c r="D118" s="75">
        <v>2022</v>
      </c>
      <c r="E118" t="s">
        <v>545</v>
      </c>
      <c r="F118" t="s">
        <v>1</v>
      </c>
      <c r="G118" s="15">
        <v>30</v>
      </c>
      <c r="H118" s="15">
        <v>9</v>
      </c>
      <c r="I118" s="15">
        <v>10</v>
      </c>
      <c r="J118" s="15">
        <v>5</v>
      </c>
      <c r="K118" s="76">
        <f t="shared" si="2"/>
        <v>0.33333333333333331</v>
      </c>
      <c r="L118" s="76">
        <f t="shared" si="3"/>
        <v>0.55555555555555558</v>
      </c>
    </row>
    <row r="119" spans="2:13" x14ac:dyDescent="0.25">
      <c r="B119" s="5">
        <v>44614</v>
      </c>
      <c r="C119" t="s">
        <v>177</v>
      </c>
      <c r="D119" s="75">
        <v>2022</v>
      </c>
      <c r="E119" t="s">
        <v>545</v>
      </c>
      <c r="F119" t="s">
        <v>11</v>
      </c>
      <c r="G119" s="15">
        <v>30</v>
      </c>
      <c r="H119" s="15">
        <v>9</v>
      </c>
      <c r="I119" s="15">
        <v>4</v>
      </c>
      <c r="J119" s="15">
        <v>4</v>
      </c>
      <c r="K119" s="76">
        <f t="shared" si="2"/>
        <v>0.13333333333333333</v>
      </c>
      <c r="L119" s="76">
        <f t="shared" si="3"/>
        <v>0.44444444444444442</v>
      </c>
    </row>
    <row r="120" spans="2:13" x14ac:dyDescent="0.25">
      <c r="B120" s="5">
        <v>44614</v>
      </c>
      <c r="C120" t="s">
        <v>177</v>
      </c>
      <c r="D120" s="75">
        <v>2022</v>
      </c>
      <c r="E120" t="s">
        <v>545</v>
      </c>
      <c r="F120" t="s">
        <v>536</v>
      </c>
      <c r="G120" s="15">
        <v>30</v>
      </c>
      <c r="H120" s="15">
        <v>9</v>
      </c>
      <c r="I120" s="15">
        <v>6</v>
      </c>
      <c r="J120" s="15">
        <v>1</v>
      </c>
      <c r="K120" s="76">
        <f t="shared" si="2"/>
        <v>0.2</v>
      </c>
      <c r="L120" s="76">
        <f t="shared" si="3"/>
        <v>0.1111111111111111</v>
      </c>
    </row>
    <row r="121" spans="2:13" x14ac:dyDescent="0.25">
      <c r="B121" s="5">
        <v>44614</v>
      </c>
      <c r="C121" t="s">
        <v>177</v>
      </c>
      <c r="D121" s="75">
        <v>2022</v>
      </c>
      <c r="E121" t="s">
        <v>545</v>
      </c>
      <c r="F121" t="s">
        <v>111</v>
      </c>
      <c r="G121" s="15">
        <v>30</v>
      </c>
      <c r="H121" s="15">
        <v>9</v>
      </c>
      <c r="I121" s="15">
        <v>50</v>
      </c>
      <c r="J121" s="15">
        <v>5</v>
      </c>
      <c r="K121" s="76">
        <f t="shared" si="2"/>
        <v>1.6666666666666667</v>
      </c>
      <c r="L121" s="76">
        <f t="shared" si="3"/>
        <v>0.55555555555555558</v>
      </c>
    </row>
    <row r="122" spans="2:13" x14ac:dyDescent="0.25">
      <c r="B122" s="5">
        <v>44615</v>
      </c>
      <c r="C122" t="s">
        <v>177</v>
      </c>
      <c r="D122" s="75">
        <v>2022</v>
      </c>
      <c r="E122" t="s">
        <v>545</v>
      </c>
      <c r="F122" t="s">
        <v>22</v>
      </c>
      <c r="G122" s="15">
        <v>30</v>
      </c>
      <c r="H122" s="15">
        <v>9</v>
      </c>
      <c r="I122" s="15">
        <v>33</v>
      </c>
      <c r="J122" s="15">
        <v>9</v>
      </c>
      <c r="K122" s="76">
        <f t="shared" si="2"/>
        <v>1.1000000000000001</v>
      </c>
      <c r="L122" s="76">
        <f t="shared" si="3"/>
        <v>1</v>
      </c>
    </row>
    <row r="123" spans="2:13" x14ac:dyDescent="0.25">
      <c r="B123" s="5">
        <v>44615</v>
      </c>
      <c r="C123" t="s">
        <v>177</v>
      </c>
      <c r="D123" s="75">
        <v>2022</v>
      </c>
      <c r="E123" t="s">
        <v>545</v>
      </c>
      <c r="F123" t="s">
        <v>1</v>
      </c>
      <c r="G123" s="15">
        <v>30</v>
      </c>
      <c r="H123" s="15">
        <v>9</v>
      </c>
      <c r="I123" s="15">
        <v>16</v>
      </c>
      <c r="J123" s="15">
        <v>3</v>
      </c>
      <c r="K123" s="76">
        <f t="shared" si="2"/>
        <v>0.53333333333333333</v>
      </c>
      <c r="L123" s="76">
        <f t="shared" si="3"/>
        <v>0.33333333333333331</v>
      </c>
    </row>
    <row r="124" spans="2:13" x14ac:dyDescent="0.25">
      <c r="B124" s="5">
        <v>44615</v>
      </c>
      <c r="C124" t="s">
        <v>177</v>
      </c>
      <c r="D124" s="75">
        <v>2022</v>
      </c>
      <c r="E124" t="s">
        <v>545</v>
      </c>
      <c r="F124" t="s">
        <v>11</v>
      </c>
      <c r="G124" s="15">
        <v>30</v>
      </c>
      <c r="H124" s="15">
        <v>9</v>
      </c>
      <c r="I124" s="15">
        <v>6</v>
      </c>
      <c r="J124" s="15">
        <v>5</v>
      </c>
      <c r="K124" s="76">
        <f t="shared" si="2"/>
        <v>0.2</v>
      </c>
      <c r="L124" s="76">
        <f t="shared" si="3"/>
        <v>0.55555555555555558</v>
      </c>
    </row>
    <row r="125" spans="2:13" x14ac:dyDescent="0.25">
      <c r="B125" s="5">
        <v>44615</v>
      </c>
      <c r="C125" t="s">
        <v>177</v>
      </c>
      <c r="D125" s="75">
        <v>2022</v>
      </c>
      <c r="E125" t="s">
        <v>545</v>
      </c>
      <c r="F125" t="s">
        <v>536</v>
      </c>
      <c r="G125" s="15">
        <v>30</v>
      </c>
      <c r="H125" s="15">
        <v>9</v>
      </c>
      <c r="I125" s="15">
        <v>5</v>
      </c>
      <c r="J125" s="15">
        <v>2</v>
      </c>
      <c r="K125" s="76">
        <f t="shared" si="2"/>
        <v>0.16666666666666666</v>
      </c>
      <c r="L125" s="76">
        <f t="shared" si="3"/>
        <v>0.22222222222222221</v>
      </c>
    </row>
    <row r="126" spans="2:13" x14ac:dyDescent="0.25">
      <c r="B126" s="5">
        <v>44615</v>
      </c>
      <c r="C126" t="s">
        <v>177</v>
      </c>
      <c r="D126" s="75">
        <v>2022</v>
      </c>
      <c r="E126" t="s">
        <v>545</v>
      </c>
      <c r="F126" t="s">
        <v>111</v>
      </c>
      <c r="G126" s="15">
        <v>30</v>
      </c>
      <c r="H126" s="15">
        <v>9</v>
      </c>
      <c r="I126" s="15">
        <v>50</v>
      </c>
      <c r="J126" s="15">
        <v>13</v>
      </c>
      <c r="K126" s="76">
        <f t="shared" si="2"/>
        <v>1.6666666666666667</v>
      </c>
      <c r="L126" s="76">
        <f t="shared" si="3"/>
        <v>1.4444444444444444</v>
      </c>
    </row>
    <row r="127" spans="2:13" x14ac:dyDescent="0.25">
      <c r="B127" s="5">
        <v>44615</v>
      </c>
      <c r="C127" t="s">
        <v>177</v>
      </c>
      <c r="D127" s="75">
        <v>2022</v>
      </c>
      <c r="E127" t="s">
        <v>545</v>
      </c>
      <c r="F127" t="s">
        <v>599</v>
      </c>
      <c r="G127" s="15">
        <v>30</v>
      </c>
      <c r="H127" s="15">
        <v>9</v>
      </c>
      <c r="I127" s="15">
        <v>9</v>
      </c>
      <c r="J127" s="15">
        <v>9</v>
      </c>
      <c r="K127" s="76">
        <f t="shared" si="2"/>
        <v>0.3</v>
      </c>
      <c r="L127" s="76">
        <f t="shared" si="3"/>
        <v>1</v>
      </c>
    </row>
    <row r="128" spans="2:13" x14ac:dyDescent="0.25">
      <c r="B128" s="5">
        <v>44615</v>
      </c>
      <c r="C128" t="s">
        <v>177</v>
      </c>
      <c r="D128" s="75">
        <v>2022</v>
      </c>
      <c r="E128" t="s">
        <v>545</v>
      </c>
      <c r="F128" t="s">
        <v>19</v>
      </c>
      <c r="G128" s="15">
        <v>30</v>
      </c>
      <c r="H128" s="15">
        <v>9</v>
      </c>
      <c r="I128" s="15">
        <v>6</v>
      </c>
      <c r="J128" s="15">
        <v>6</v>
      </c>
      <c r="K128" s="76">
        <f t="shared" ref="K128:K191" si="4">IFERROR(I128/G128,"")</f>
        <v>0.2</v>
      </c>
      <c r="L128" s="76">
        <f t="shared" ref="L128:L191" si="5">IFERROR(J128/H128,"")</f>
        <v>0.66666666666666663</v>
      </c>
    </row>
    <row r="129" spans="2:12" x14ac:dyDescent="0.25">
      <c r="B129" s="5">
        <v>44616</v>
      </c>
      <c r="C129" t="s">
        <v>177</v>
      </c>
      <c r="D129" s="75">
        <v>2022</v>
      </c>
      <c r="E129" t="s">
        <v>545</v>
      </c>
      <c r="F129" t="s">
        <v>22</v>
      </c>
      <c r="G129" s="15">
        <v>30</v>
      </c>
      <c r="H129" s="15">
        <v>9</v>
      </c>
      <c r="I129" s="15">
        <v>27</v>
      </c>
      <c r="J129" s="15">
        <v>7</v>
      </c>
      <c r="K129" s="76">
        <f t="shared" si="4"/>
        <v>0.9</v>
      </c>
      <c r="L129" s="76">
        <f t="shared" si="5"/>
        <v>0.77777777777777779</v>
      </c>
    </row>
    <row r="130" spans="2:12" x14ac:dyDescent="0.25">
      <c r="B130" s="5">
        <v>44616</v>
      </c>
      <c r="C130" t="s">
        <v>177</v>
      </c>
      <c r="D130" s="75">
        <v>2022</v>
      </c>
      <c r="E130" t="s">
        <v>545</v>
      </c>
      <c r="F130" t="s">
        <v>1</v>
      </c>
      <c r="G130" s="15">
        <v>30</v>
      </c>
      <c r="H130" s="15">
        <v>9</v>
      </c>
      <c r="I130" s="15">
        <v>16</v>
      </c>
      <c r="J130" s="15">
        <v>6</v>
      </c>
      <c r="K130" s="76">
        <f t="shared" si="4"/>
        <v>0.53333333333333333</v>
      </c>
      <c r="L130" s="76">
        <f t="shared" si="5"/>
        <v>0.66666666666666663</v>
      </c>
    </row>
    <row r="131" spans="2:12" x14ac:dyDescent="0.25">
      <c r="B131" s="5">
        <v>44616</v>
      </c>
      <c r="C131" t="s">
        <v>177</v>
      </c>
      <c r="D131" s="75">
        <v>2022</v>
      </c>
      <c r="E131" t="s">
        <v>545</v>
      </c>
      <c r="F131" t="s">
        <v>11</v>
      </c>
      <c r="G131" s="15">
        <v>30</v>
      </c>
      <c r="H131" s="15">
        <v>9</v>
      </c>
      <c r="I131" s="15">
        <v>8</v>
      </c>
      <c r="J131" s="15">
        <v>8</v>
      </c>
      <c r="K131" s="76">
        <f t="shared" si="4"/>
        <v>0.26666666666666666</v>
      </c>
      <c r="L131" s="76">
        <f t="shared" si="5"/>
        <v>0.88888888888888884</v>
      </c>
    </row>
    <row r="132" spans="2:12" x14ac:dyDescent="0.25">
      <c r="B132" s="5">
        <v>44616</v>
      </c>
      <c r="C132" t="s">
        <v>177</v>
      </c>
      <c r="D132" s="75">
        <v>2022</v>
      </c>
      <c r="E132" t="s">
        <v>545</v>
      </c>
      <c r="F132" t="s">
        <v>599</v>
      </c>
      <c r="G132" s="15">
        <v>30</v>
      </c>
      <c r="H132" s="15">
        <v>9</v>
      </c>
      <c r="I132" s="15">
        <v>17</v>
      </c>
      <c r="J132" s="15">
        <v>9</v>
      </c>
      <c r="K132" s="76">
        <f t="shared" si="4"/>
        <v>0.56666666666666665</v>
      </c>
      <c r="L132" s="76">
        <f t="shared" si="5"/>
        <v>1</v>
      </c>
    </row>
    <row r="133" spans="2:12" x14ac:dyDescent="0.25">
      <c r="B133" s="5">
        <v>44616</v>
      </c>
      <c r="C133" t="s">
        <v>177</v>
      </c>
      <c r="D133" s="75">
        <v>2022</v>
      </c>
      <c r="E133" t="s">
        <v>545</v>
      </c>
      <c r="F133" t="s">
        <v>111</v>
      </c>
      <c r="G133" s="15">
        <v>30</v>
      </c>
      <c r="H133" s="15">
        <v>9</v>
      </c>
      <c r="I133" s="15">
        <v>43</v>
      </c>
      <c r="J133" s="15">
        <v>6</v>
      </c>
      <c r="K133" s="76">
        <f t="shared" si="4"/>
        <v>1.4333333333333333</v>
      </c>
      <c r="L133" s="76">
        <f t="shared" si="5"/>
        <v>0.66666666666666663</v>
      </c>
    </row>
    <row r="134" spans="2:12" x14ac:dyDescent="0.25">
      <c r="B134" s="5">
        <v>44617</v>
      </c>
      <c r="C134" t="s">
        <v>177</v>
      </c>
      <c r="D134" s="75">
        <v>2022</v>
      </c>
      <c r="E134" t="s">
        <v>545</v>
      </c>
      <c r="F134" s="92" t="s">
        <v>22</v>
      </c>
      <c r="G134" s="15">
        <v>30</v>
      </c>
      <c r="H134" s="15">
        <v>9</v>
      </c>
      <c r="I134" s="15">
        <v>36</v>
      </c>
      <c r="J134" s="15">
        <v>9</v>
      </c>
      <c r="K134" s="76">
        <f t="shared" si="4"/>
        <v>1.2</v>
      </c>
      <c r="L134" s="76">
        <f t="shared" si="5"/>
        <v>1</v>
      </c>
    </row>
    <row r="135" spans="2:12" x14ac:dyDescent="0.25">
      <c r="B135" s="5">
        <v>44617</v>
      </c>
      <c r="C135" t="s">
        <v>177</v>
      </c>
      <c r="D135" s="75">
        <v>2022</v>
      </c>
      <c r="E135" t="s">
        <v>545</v>
      </c>
      <c r="F135" s="92" t="s">
        <v>1</v>
      </c>
      <c r="G135" s="15">
        <v>30</v>
      </c>
      <c r="H135" s="15">
        <v>9</v>
      </c>
      <c r="I135" s="15">
        <v>10</v>
      </c>
      <c r="J135" s="15">
        <v>3</v>
      </c>
      <c r="K135" s="76">
        <f t="shared" si="4"/>
        <v>0.33333333333333331</v>
      </c>
      <c r="L135" s="76">
        <f t="shared" si="5"/>
        <v>0.33333333333333331</v>
      </c>
    </row>
    <row r="136" spans="2:12" x14ac:dyDescent="0.25">
      <c r="B136" s="5">
        <v>44617</v>
      </c>
      <c r="C136" t="s">
        <v>177</v>
      </c>
      <c r="D136" s="75">
        <v>2022</v>
      </c>
      <c r="E136" t="s">
        <v>545</v>
      </c>
      <c r="F136" s="92" t="s">
        <v>599</v>
      </c>
      <c r="G136" s="15">
        <v>30</v>
      </c>
      <c r="H136" s="15">
        <v>9</v>
      </c>
      <c r="I136" s="15">
        <v>22</v>
      </c>
      <c r="J136" s="15">
        <v>8</v>
      </c>
      <c r="K136" s="76">
        <f t="shared" si="4"/>
        <v>0.73333333333333328</v>
      </c>
      <c r="L136" s="76">
        <f t="shared" si="5"/>
        <v>0.88888888888888884</v>
      </c>
    </row>
    <row r="137" spans="2:12" x14ac:dyDescent="0.25">
      <c r="B137" s="5">
        <v>44617</v>
      </c>
      <c r="C137" t="s">
        <v>177</v>
      </c>
      <c r="D137" s="75">
        <v>2022</v>
      </c>
      <c r="E137" t="s">
        <v>545</v>
      </c>
      <c r="F137" s="92" t="s">
        <v>19</v>
      </c>
      <c r="G137" s="15">
        <v>30</v>
      </c>
      <c r="H137" s="15">
        <v>9</v>
      </c>
      <c r="I137" s="15">
        <v>6</v>
      </c>
      <c r="J137" s="15">
        <v>6</v>
      </c>
      <c r="K137" s="76">
        <f t="shared" si="4"/>
        <v>0.2</v>
      </c>
      <c r="L137" s="76">
        <f t="shared" si="5"/>
        <v>0.66666666666666663</v>
      </c>
    </row>
    <row r="138" spans="2:12" x14ac:dyDescent="0.25">
      <c r="B138" s="5">
        <v>44617</v>
      </c>
      <c r="C138" t="s">
        <v>177</v>
      </c>
      <c r="D138" s="75">
        <v>2022</v>
      </c>
      <c r="E138" t="s">
        <v>545</v>
      </c>
      <c r="F138" s="92" t="s">
        <v>11</v>
      </c>
      <c r="G138" s="15">
        <v>30</v>
      </c>
      <c r="H138" s="15">
        <v>9</v>
      </c>
      <c r="I138" s="15">
        <v>6</v>
      </c>
      <c r="J138" s="15">
        <v>6</v>
      </c>
      <c r="K138" s="76">
        <f t="shared" si="4"/>
        <v>0.2</v>
      </c>
      <c r="L138" s="76">
        <f t="shared" si="5"/>
        <v>0.66666666666666663</v>
      </c>
    </row>
    <row r="139" spans="2:12" x14ac:dyDescent="0.25">
      <c r="B139" s="5">
        <v>44617</v>
      </c>
      <c r="C139" t="s">
        <v>177</v>
      </c>
      <c r="D139" s="75">
        <v>2022</v>
      </c>
      <c r="E139" t="s">
        <v>545</v>
      </c>
      <c r="F139" s="92" t="s">
        <v>111</v>
      </c>
      <c r="G139" s="15">
        <v>30</v>
      </c>
      <c r="H139" s="15">
        <v>9</v>
      </c>
      <c r="I139" s="15">
        <v>35</v>
      </c>
      <c r="J139" s="15">
        <v>12</v>
      </c>
      <c r="K139" s="76">
        <f t="shared" si="4"/>
        <v>1.1666666666666667</v>
      </c>
      <c r="L139" s="76">
        <f t="shared" si="5"/>
        <v>1.3333333333333333</v>
      </c>
    </row>
    <row r="140" spans="2:12" x14ac:dyDescent="0.25">
      <c r="B140" s="5">
        <v>44618</v>
      </c>
      <c r="C140" t="s">
        <v>177</v>
      </c>
      <c r="D140" s="75">
        <v>2022</v>
      </c>
      <c r="E140" t="s">
        <v>545</v>
      </c>
      <c r="F140" s="92" t="s">
        <v>22</v>
      </c>
      <c r="G140" s="15">
        <v>30</v>
      </c>
      <c r="H140" s="15">
        <v>9</v>
      </c>
      <c r="I140" s="15">
        <v>28</v>
      </c>
      <c r="J140" s="15">
        <v>8</v>
      </c>
      <c r="K140" s="76">
        <f t="shared" si="4"/>
        <v>0.93333333333333335</v>
      </c>
      <c r="L140" s="76">
        <f t="shared" si="5"/>
        <v>0.88888888888888884</v>
      </c>
    </row>
    <row r="141" spans="2:12" x14ac:dyDescent="0.25">
      <c r="B141" s="5">
        <v>44618</v>
      </c>
      <c r="C141" t="s">
        <v>177</v>
      </c>
      <c r="D141" s="75">
        <v>2022</v>
      </c>
      <c r="E141" t="s">
        <v>545</v>
      </c>
      <c r="F141" s="92" t="s">
        <v>1</v>
      </c>
      <c r="G141" s="15">
        <v>30</v>
      </c>
      <c r="H141" s="15">
        <v>9</v>
      </c>
      <c r="I141" s="15">
        <v>20</v>
      </c>
      <c r="J141" s="15">
        <v>4</v>
      </c>
      <c r="K141" s="76">
        <f t="shared" si="4"/>
        <v>0.66666666666666663</v>
      </c>
      <c r="L141" s="76">
        <f t="shared" si="5"/>
        <v>0.44444444444444442</v>
      </c>
    </row>
    <row r="142" spans="2:12" x14ac:dyDescent="0.25">
      <c r="B142" s="5">
        <v>44618</v>
      </c>
      <c r="C142" t="s">
        <v>177</v>
      </c>
      <c r="D142" s="75">
        <v>2022</v>
      </c>
      <c r="E142" t="s">
        <v>545</v>
      </c>
      <c r="F142" s="92" t="s">
        <v>599</v>
      </c>
      <c r="G142" s="15">
        <v>30</v>
      </c>
      <c r="H142" s="15">
        <v>9</v>
      </c>
      <c r="I142" s="15">
        <v>24</v>
      </c>
      <c r="J142" s="15">
        <v>14</v>
      </c>
      <c r="K142" s="76">
        <f t="shared" si="4"/>
        <v>0.8</v>
      </c>
      <c r="L142" s="76">
        <f t="shared" si="5"/>
        <v>1.5555555555555556</v>
      </c>
    </row>
    <row r="143" spans="2:12" x14ac:dyDescent="0.25">
      <c r="B143" s="5">
        <v>44618</v>
      </c>
      <c r="C143" t="s">
        <v>177</v>
      </c>
      <c r="D143" s="75">
        <v>2022</v>
      </c>
      <c r="E143" t="s">
        <v>545</v>
      </c>
      <c r="F143" s="92" t="s">
        <v>19</v>
      </c>
      <c r="G143" s="15">
        <v>30</v>
      </c>
      <c r="H143" s="15">
        <v>9</v>
      </c>
      <c r="I143" s="15">
        <v>6</v>
      </c>
      <c r="J143" s="15">
        <v>6</v>
      </c>
      <c r="K143" s="76">
        <f t="shared" si="4"/>
        <v>0.2</v>
      </c>
      <c r="L143" s="76">
        <f t="shared" si="5"/>
        <v>0.66666666666666663</v>
      </c>
    </row>
    <row r="144" spans="2:12" x14ac:dyDescent="0.25">
      <c r="B144" s="5">
        <v>44618</v>
      </c>
      <c r="C144" t="s">
        <v>177</v>
      </c>
      <c r="D144" s="75">
        <v>2022</v>
      </c>
      <c r="E144" t="s">
        <v>545</v>
      </c>
      <c r="F144" s="92" t="s">
        <v>111</v>
      </c>
      <c r="G144" s="15">
        <v>30</v>
      </c>
      <c r="H144" s="15">
        <v>9</v>
      </c>
      <c r="I144" s="15">
        <v>16</v>
      </c>
      <c r="J144" s="15">
        <v>5</v>
      </c>
      <c r="K144" s="76">
        <f t="shared" si="4"/>
        <v>0.53333333333333333</v>
      </c>
      <c r="L144" s="76">
        <f t="shared" si="5"/>
        <v>0.55555555555555558</v>
      </c>
    </row>
    <row r="145" spans="2:12" x14ac:dyDescent="0.25">
      <c r="B145" s="5">
        <v>44619</v>
      </c>
      <c r="C145" t="s">
        <v>177</v>
      </c>
      <c r="D145" s="75">
        <v>2022</v>
      </c>
      <c r="E145" t="s">
        <v>545</v>
      </c>
      <c r="F145" t="s">
        <v>22</v>
      </c>
      <c r="G145" s="15">
        <v>30</v>
      </c>
      <c r="H145" s="15">
        <v>9</v>
      </c>
      <c r="I145" s="15">
        <v>1</v>
      </c>
      <c r="J145" s="15">
        <v>1</v>
      </c>
      <c r="K145" s="76">
        <f t="shared" si="4"/>
        <v>3.3333333333333333E-2</v>
      </c>
      <c r="L145" s="76">
        <f t="shared" si="5"/>
        <v>0.1111111111111111</v>
      </c>
    </row>
    <row r="146" spans="2:12" x14ac:dyDescent="0.25">
      <c r="B146" s="5">
        <v>44619</v>
      </c>
      <c r="C146" t="s">
        <v>177</v>
      </c>
      <c r="D146" s="75">
        <v>2022</v>
      </c>
      <c r="E146" t="s">
        <v>545</v>
      </c>
      <c r="F146" t="s">
        <v>11</v>
      </c>
      <c r="G146" s="15">
        <v>30</v>
      </c>
      <c r="H146" s="15">
        <v>9</v>
      </c>
      <c r="I146" s="15">
        <v>4</v>
      </c>
      <c r="J146" s="15">
        <v>4</v>
      </c>
      <c r="K146" s="76">
        <f t="shared" si="4"/>
        <v>0.13333333333333333</v>
      </c>
      <c r="L146" s="76">
        <f t="shared" si="5"/>
        <v>0.44444444444444442</v>
      </c>
    </row>
    <row r="147" spans="2:12" x14ac:dyDescent="0.25">
      <c r="B147" s="5">
        <v>44619</v>
      </c>
      <c r="C147" t="s">
        <v>177</v>
      </c>
      <c r="D147" s="75">
        <v>2022</v>
      </c>
      <c r="E147" t="s">
        <v>545</v>
      </c>
      <c r="F147" t="s">
        <v>111</v>
      </c>
      <c r="G147" s="15">
        <v>30</v>
      </c>
      <c r="H147" s="15">
        <v>9</v>
      </c>
      <c r="I147" s="15">
        <v>1</v>
      </c>
      <c r="J147" s="15">
        <v>1</v>
      </c>
      <c r="K147" s="76">
        <f t="shared" si="4"/>
        <v>3.3333333333333333E-2</v>
      </c>
      <c r="L147" s="76">
        <f t="shared" si="5"/>
        <v>0.1111111111111111</v>
      </c>
    </row>
    <row r="148" spans="2:12" x14ac:dyDescent="0.25">
      <c r="B148" s="5">
        <v>44620</v>
      </c>
      <c r="C148" t="s">
        <v>177</v>
      </c>
      <c r="D148" s="75">
        <v>2022</v>
      </c>
      <c r="E148" t="s">
        <v>771</v>
      </c>
      <c r="F148" s="92" t="s">
        <v>22</v>
      </c>
      <c r="G148" s="15">
        <v>30</v>
      </c>
      <c r="H148" s="15">
        <v>9</v>
      </c>
      <c r="I148" s="15">
        <v>26</v>
      </c>
      <c r="J148" s="15">
        <v>4</v>
      </c>
      <c r="K148" s="76">
        <f t="shared" si="4"/>
        <v>0.8666666666666667</v>
      </c>
      <c r="L148" s="76">
        <f t="shared" si="5"/>
        <v>0.44444444444444442</v>
      </c>
    </row>
    <row r="149" spans="2:12" x14ac:dyDescent="0.25">
      <c r="B149" s="5">
        <v>44620</v>
      </c>
      <c r="C149" t="s">
        <v>177</v>
      </c>
      <c r="D149" s="75">
        <v>2022</v>
      </c>
      <c r="E149" t="s">
        <v>771</v>
      </c>
      <c r="F149" s="92" t="s">
        <v>1</v>
      </c>
      <c r="G149" s="15">
        <v>30</v>
      </c>
      <c r="H149" s="15">
        <v>9</v>
      </c>
      <c r="I149" s="15">
        <v>15</v>
      </c>
      <c r="J149" s="15">
        <v>5</v>
      </c>
      <c r="K149" s="76">
        <f t="shared" si="4"/>
        <v>0.5</v>
      </c>
      <c r="L149" s="76">
        <f t="shared" si="5"/>
        <v>0.55555555555555558</v>
      </c>
    </row>
    <row r="150" spans="2:12" x14ac:dyDescent="0.25">
      <c r="B150" s="5">
        <v>44620</v>
      </c>
      <c r="C150" t="s">
        <v>177</v>
      </c>
      <c r="D150" s="75">
        <v>2022</v>
      </c>
      <c r="E150" t="s">
        <v>771</v>
      </c>
      <c r="F150" s="92" t="s">
        <v>599</v>
      </c>
      <c r="G150" s="15">
        <v>30</v>
      </c>
      <c r="H150" s="15">
        <v>9</v>
      </c>
      <c r="I150" s="15">
        <v>25</v>
      </c>
      <c r="J150" s="15">
        <v>13</v>
      </c>
      <c r="K150" s="76">
        <f t="shared" si="4"/>
        <v>0.83333333333333337</v>
      </c>
      <c r="L150" s="76">
        <f t="shared" si="5"/>
        <v>1.4444444444444444</v>
      </c>
    </row>
    <row r="151" spans="2:12" x14ac:dyDescent="0.25">
      <c r="B151" s="5">
        <v>44620</v>
      </c>
      <c r="C151" t="s">
        <v>177</v>
      </c>
      <c r="D151" s="75">
        <v>2022</v>
      </c>
      <c r="E151" t="s">
        <v>771</v>
      </c>
      <c r="F151" s="92" t="s">
        <v>19</v>
      </c>
      <c r="G151" s="15">
        <v>30</v>
      </c>
      <c r="H151" s="15">
        <v>9</v>
      </c>
      <c r="I151" s="15">
        <v>6</v>
      </c>
      <c r="J151" s="15">
        <v>6</v>
      </c>
      <c r="K151" s="76">
        <f t="shared" si="4"/>
        <v>0.2</v>
      </c>
      <c r="L151" s="76">
        <f t="shared" si="5"/>
        <v>0.66666666666666663</v>
      </c>
    </row>
    <row r="152" spans="2:12" x14ac:dyDescent="0.25">
      <c r="B152" s="5">
        <v>44620</v>
      </c>
      <c r="C152" t="s">
        <v>177</v>
      </c>
      <c r="D152" s="75">
        <v>2022</v>
      </c>
      <c r="E152" t="s">
        <v>771</v>
      </c>
      <c r="F152" s="92" t="s">
        <v>11</v>
      </c>
      <c r="G152" s="15">
        <v>30</v>
      </c>
      <c r="H152" s="15">
        <v>9</v>
      </c>
      <c r="I152" s="15">
        <v>6</v>
      </c>
      <c r="J152" s="15">
        <v>6</v>
      </c>
      <c r="K152" s="76">
        <f t="shared" si="4"/>
        <v>0.2</v>
      </c>
      <c r="L152" s="76">
        <f t="shared" si="5"/>
        <v>0.66666666666666663</v>
      </c>
    </row>
    <row r="153" spans="2:12" x14ac:dyDescent="0.25">
      <c r="B153" s="5">
        <v>44620</v>
      </c>
      <c r="C153" t="s">
        <v>177</v>
      </c>
      <c r="D153" s="75">
        <v>2022</v>
      </c>
      <c r="E153" t="s">
        <v>771</v>
      </c>
      <c r="F153" s="92" t="s">
        <v>111</v>
      </c>
      <c r="G153" s="15">
        <v>30</v>
      </c>
      <c r="H153" s="15">
        <v>9</v>
      </c>
      <c r="I153" s="15">
        <v>40</v>
      </c>
      <c r="J153" s="15">
        <v>7</v>
      </c>
      <c r="K153" s="76">
        <f t="shared" si="4"/>
        <v>1.3333333333333333</v>
      </c>
      <c r="L153" s="76">
        <f t="shared" si="5"/>
        <v>0.77777777777777779</v>
      </c>
    </row>
    <row r="154" spans="2:12" x14ac:dyDescent="0.25">
      <c r="B154" s="5">
        <v>44621</v>
      </c>
      <c r="C154" t="s">
        <v>784</v>
      </c>
      <c r="D154" s="75">
        <v>2022</v>
      </c>
      <c r="E154" t="s">
        <v>771</v>
      </c>
      <c r="F154" s="92" t="s">
        <v>22</v>
      </c>
      <c r="G154" s="15">
        <v>30</v>
      </c>
      <c r="H154" s="15">
        <v>9</v>
      </c>
      <c r="I154" s="15">
        <v>29</v>
      </c>
      <c r="J154" s="15">
        <v>4</v>
      </c>
      <c r="K154" s="76">
        <f t="shared" si="4"/>
        <v>0.96666666666666667</v>
      </c>
      <c r="L154" s="76">
        <f t="shared" si="5"/>
        <v>0.44444444444444442</v>
      </c>
    </row>
    <row r="155" spans="2:12" x14ac:dyDescent="0.25">
      <c r="B155" s="5">
        <v>44621</v>
      </c>
      <c r="C155" t="s">
        <v>784</v>
      </c>
      <c r="D155" s="75">
        <v>2022</v>
      </c>
      <c r="E155" t="s">
        <v>771</v>
      </c>
      <c r="F155" s="92" t="s">
        <v>1</v>
      </c>
      <c r="G155" s="15">
        <v>30</v>
      </c>
      <c r="H155" s="15">
        <v>9</v>
      </c>
      <c r="I155" s="15">
        <v>20</v>
      </c>
      <c r="J155" s="15">
        <v>3</v>
      </c>
      <c r="K155" s="76">
        <f t="shared" si="4"/>
        <v>0.66666666666666663</v>
      </c>
      <c r="L155" s="76">
        <f t="shared" si="5"/>
        <v>0.33333333333333331</v>
      </c>
    </row>
    <row r="156" spans="2:12" x14ac:dyDescent="0.25">
      <c r="B156" s="5">
        <v>44621</v>
      </c>
      <c r="C156" t="s">
        <v>784</v>
      </c>
      <c r="D156" s="75">
        <v>2022</v>
      </c>
      <c r="E156" t="s">
        <v>771</v>
      </c>
      <c r="F156" s="92" t="s">
        <v>599</v>
      </c>
      <c r="G156" s="15">
        <v>30</v>
      </c>
      <c r="H156" s="15">
        <v>9</v>
      </c>
      <c r="I156" s="15">
        <v>29</v>
      </c>
      <c r="J156" s="15">
        <v>10</v>
      </c>
      <c r="K156" s="76">
        <f t="shared" si="4"/>
        <v>0.96666666666666667</v>
      </c>
      <c r="L156" s="76">
        <f t="shared" si="5"/>
        <v>1.1111111111111112</v>
      </c>
    </row>
    <row r="157" spans="2:12" x14ac:dyDescent="0.25">
      <c r="B157" s="5">
        <v>44621</v>
      </c>
      <c r="C157" t="s">
        <v>784</v>
      </c>
      <c r="D157" s="75">
        <v>2022</v>
      </c>
      <c r="E157" t="s">
        <v>771</v>
      </c>
      <c r="F157" s="92" t="s">
        <v>19</v>
      </c>
      <c r="G157" s="15">
        <v>30</v>
      </c>
      <c r="H157" s="15">
        <v>9</v>
      </c>
      <c r="I157" s="15">
        <v>10</v>
      </c>
      <c r="J157" s="15">
        <v>10</v>
      </c>
      <c r="K157" s="76">
        <f t="shared" si="4"/>
        <v>0.33333333333333331</v>
      </c>
      <c r="L157" s="76">
        <f t="shared" si="5"/>
        <v>1.1111111111111112</v>
      </c>
    </row>
    <row r="158" spans="2:12" x14ac:dyDescent="0.25">
      <c r="B158" s="5">
        <v>44621</v>
      </c>
      <c r="C158" t="s">
        <v>784</v>
      </c>
      <c r="D158" s="75">
        <v>2022</v>
      </c>
      <c r="E158" t="s">
        <v>771</v>
      </c>
      <c r="F158" s="92" t="s">
        <v>11</v>
      </c>
      <c r="G158" s="15">
        <v>30</v>
      </c>
      <c r="H158" s="15">
        <v>9</v>
      </c>
      <c r="I158" s="15">
        <v>6</v>
      </c>
      <c r="J158" s="15">
        <v>6</v>
      </c>
      <c r="K158" s="76">
        <f t="shared" si="4"/>
        <v>0.2</v>
      </c>
      <c r="L158" s="76">
        <f t="shared" si="5"/>
        <v>0.66666666666666663</v>
      </c>
    </row>
    <row r="159" spans="2:12" x14ac:dyDescent="0.25">
      <c r="B159" s="5">
        <v>44621</v>
      </c>
      <c r="C159" t="s">
        <v>784</v>
      </c>
      <c r="D159" s="75">
        <v>2022</v>
      </c>
      <c r="E159" t="s">
        <v>771</v>
      </c>
      <c r="F159" s="92" t="s">
        <v>111</v>
      </c>
      <c r="G159" s="15">
        <v>30</v>
      </c>
      <c r="H159" s="15">
        <v>9</v>
      </c>
      <c r="I159" s="15">
        <v>17</v>
      </c>
      <c r="J159" s="15">
        <v>3</v>
      </c>
      <c r="K159" s="76">
        <f t="shared" si="4"/>
        <v>0.56666666666666665</v>
      </c>
      <c r="L159" s="76">
        <f t="shared" si="5"/>
        <v>0.33333333333333331</v>
      </c>
    </row>
    <row r="160" spans="2:12" x14ac:dyDescent="0.25">
      <c r="B160" s="5">
        <v>44622</v>
      </c>
      <c r="C160" t="s">
        <v>784</v>
      </c>
      <c r="D160" s="75">
        <v>2022</v>
      </c>
      <c r="E160" t="s">
        <v>771</v>
      </c>
      <c r="F160" t="s">
        <v>22</v>
      </c>
      <c r="G160" s="15">
        <v>30</v>
      </c>
      <c r="H160" s="15">
        <v>9</v>
      </c>
      <c r="I160" s="15">
        <v>32</v>
      </c>
      <c r="J160" s="15">
        <v>8</v>
      </c>
      <c r="K160" s="76">
        <f t="shared" si="4"/>
        <v>1.0666666666666667</v>
      </c>
      <c r="L160" s="76">
        <f t="shared" si="5"/>
        <v>0.88888888888888884</v>
      </c>
    </row>
    <row r="161" spans="2:12" x14ac:dyDescent="0.25">
      <c r="B161" s="5">
        <v>44622</v>
      </c>
      <c r="C161" t="s">
        <v>784</v>
      </c>
      <c r="D161" s="75">
        <v>2022</v>
      </c>
      <c r="E161" t="s">
        <v>771</v>
      </c>
      <c r="F161" t="s">
        <v>1</v>
      </c>
      <c r="G161" s="15">
        <v>30</v>
      </c>
      <c r="H161" s="15">
        <v>9</v>
      </c>
      <c r="I161" s="15">
        <v>18</v>
      </c>
      <c r="J161" s="15">
        <v>5</v>
      </c>
      <c r="K161" s="76">
        <f t="shared" si="4"/>
        <v>0.6</v>
      </c>
      <c r="L161" s="76">
        <f t="shared" si="5"/>
        <v>0.55555555555555558</v>
      </c>
    </row>
    <row r="162" spans="2:12" x14ac:dyDescent="0.25">
      <c r="B162" s="5">
        <v>44622</v>
      </c>
      <c r="C162" t="s">
        <v>784</v>
      </c>
      <c r="D162" s="75">
        <v>2022</v>
      </c>
      <c r="E162" t="s">
        <v>771</v>
      </c>
      <c r="F162" t="s">
        <v>599</v>
      </c>
      <c r="G162" s="15">
        <v>30</v>
      </c>
      <c r="H162" s="15">
        <v>9</v>
      </c>
      <c r="I162" s="15">
        <v>25</v>
      </c>
      <c r="J162" s="15">
        <v>10</v>
      </c>
      <c r="K162" s="76">
        <f t="shared" si="4"/>
        <v>0.83333333333333337</v>
      </c>
      <c r="L162" s="76">
        <f t="shared" si="5"/>
        <v>1.1111111111111112</v>
      </c>
    </row>
    <row r="163" spans="2:12" x14ac:dyDescent="0.25">
      <c r="B163" s="5">
        <v>44622</v>
      </c>
      <c r="C163" t="s">
        <v>784</v>
      </c>
      <c r="D163" s="75">
        <v>2022</v>
      </c>
      <c r="E163" t="s">
        <v>771</v>
      </c>
      <c r="F163" t="s">
        <v>19</v>
      </c>
      <c r="G163" s="15">
        <v>30</v>
      </c>
      <c r="H163" s="15">
        <v>9</v>
      </c>
      <c r="I163" s="15">
        <v>10</v>
      </c>
      <c r="J163" s="15">
        <v>10</v>
      </c>
      <c r="K163" s="76">
        <f t="shared" si="4"/>
        <v>0.33333333333333331</v>
      </c>
      <c r="L163" s="76">
        <f t="shared" si="5"/>
        <v>1.1111111111111112</v>
      </c>
    </row>
    <row r="164" spans="2:12" x14ac:dyDescent="0.25">
      <c r="B164" s="5">
        <v>44622</v>
      </c>
      <c r="C164" t="s">
        <v>784</v>
      </c>
      <c r="D164" s="75">
        <v>2022</v>
      </c>
      <c r="E164" t="s">
        <v>771</v>
      </c>
      <c r="F164" t="s">
        <v>11</v>
      </c>
      <c r="G164" s="15">
        <v>30</v>
      </c>
      <c r="H164" s="15">
        <v>9</v>
      </c>
      <c r="I164" s="15">
        <v>9</v>
      </c>
      <c r="J164" s="15">
        <v>8</v>
      </c>
      <c r="K164" s="76">
        <f t="shared" si="4"/>
        <v>0.3</v>
      </c>
      <c r="L164" s="76">
        <f t="shared" si="5"/>
        <v>0.88888888888888884</v>
      </c>
    </row>
    <row r="165" spans="2:12" x14ac:dyDescent="0.25">
      <c r="B165" s="5">
        <v>44622</v>
      </c>
      <c r="C165" t="s">
        <v>784</v>
      </c>
      <c r="D165" s="75">
        <v>2022</v>
      </c>
      <c r="E165" t="s">
        <v>771</v>
      </c>
      <c r="F165" t="s">
        <v>111</v>
      </c>
      <c r="G165" s="15">
        <v>30</v>
      </c>
      <c r="H165" s="15">
        <v>9</v>
      </c>
      <c r="I165" s="15">
        <v>28</v>
      </c>
      <c r="J165" s="15">
        <v>7</v>
      </c>
      <c r="K165" s="76">
        <f t="shared" si="4"/>
        <v>0.93333333333333335</v>
      </c>
      <c r="L165" s="76">
        <f t="shared" si="5"/>
        <v>0.77777777777777779</v>
      </c>
    </row>
    <row r="166" spans="2:12" x14ac:dyDescent="0.25">
      <c r="B166" s="5">
        <v>44623</v>
      </c>
      <c r="C166" t="s">
        <v>784</v>
      </c>
      <c r="D166" s="75">
        <v>2022</v>
      </c>
      <c r="E166" t="s">
        <v>771</v>
      </c>
      <c r="F166" t="s">
        <v>22</v>
      </c>
      <c r="G166" s="15">
        <v>30</v>
      </c>
      <c r="H166" s="15">
        <v>9</v>
      </c>
      <c r="I166" s="15">
        <v>34</v>
      </c>
      <c r="J166" s="15">
        <v>5</v>
      </c>
      <c r="K166" s="76">
        <f t="shared" si="4"/>
        <v>1.1333333333333333</v>
      </c>
      <c r="L166" s="76">
        <f t="shared" si="5"/>
        <v>0.55555555555555558</v>
      </c>
    </row>
    <row r="167" spans="2:12" x14ac:dyDescent="0.25">
      <c r="B167" s="5">
        <v>44623</v>
      </c>
      <c r="C167" t="s">
        <v>784</v>
      </c>
      <c r="D167" s="75">
        <v>2022</v>
      </c>
      <c r="E167" t="s">
        <v>771</v>
      </c>
      <c r="F167" t="s">
        <v>1</v>
      </c>
      <c r="G167" s="15">
        <v>30</v>
      </c>
      <c r="H167" s="15">
        <v>9</v>
      </c>
      <c r="I167" s="15">
        <v>14</v>
      </c>
      <c r="J167" s="15">
        <v>4</v>
      </c>
      <c r="K167" s="76">
        <f t="shared" si="4"/>
        <v>0.46666666666666667</v>
      </c>
      <c r="L167" s="76">
        <f t="shared" si="5"/>
        <v>0.44444444444444442</v>
      </c>
    </row>
    <row r="168" spans="2:12" x14ac:dyDescent="0.25">
      <c r="B168" s="5">
        <v>44623</v>
      </c>
      <c r="C168" t="s">
        <v>784</v>
      </c>
      <c r="D168" s="75">
        <v>2022</v>
      </c>
      <c r="E168" t="s">
        <v>771</v>
      </c>
      <c r="F168" t="s">
        <v>599</v>
      </c>
      <c r="G168" s="15">
        <v>30</v>
      </c>
      <c r="H168" s="15">
        <v>9</v>
      </c>
      <c r="I168" s="15">
        <v>32</v>
      </c>
      <c r="J168" s="15">
        <v>11</v>
      </c>
      <c r="K168" s="76">
        <f t="shared" si="4"/>
        <v>1.0666666666666667</v>
      </c>
      <c r="L168" s="76">
        <f t="shared" si="5"/>
        <v>1.2222222222222223</v>
      </c>
    </row>
    <row r="169" spans="2:12" x14ac:dyDescent="0.25">
      <c r="B169" s="5">
        <v>44623</v>
      </c>
      <c r="C169" t="s">
        <v>784</v>
      </c>
      <c r="D169" s="75">
        <v>2022</v>
      </c>
      <c r="E169" t="s">
        <v>771</v>
      </c>
      <c r="F169" t="s">
        <v>19</v>
      </c>
      <c r="G169" s="15">
        <v>30</v>
      </c>
      <c r="H169" s="15">
        <v>9</v>
      </c>
      <c r="I169" s="15">
        <v>9</v>
      </c>
      <c r="J169" s="15">
        <v>9</v>
      </c>
      <c r="K169" s="76">
        <f t="shared" si="4"/>
        <v>0.3</v>
      </c>
      <c r="L169" s="76">
        <f t="shared" si="5"/>
        <v>1</v>
      </c>
    </row>
    <row r="170" spans="2:12" x14ac:dyDescent="0.25">
      <c r="B170" s="5">
        <v>44623</v>
      </c>
      <c r="C170" t="s">
        <v>784</v>
      </c>
      <c r="D170" s="75">
        <v>2022</v>
      </c>
      <c r="E170" t="s">
        <v>771</v>
      </c>
      <c r="F170" t="s">
        <v>11</v>
      </c>
      <c r="G170" s="15">
        <v>30</v>
      </c>
      <c r="H170" s="15">
        <v>9</v>
      </c>
      <c r="I170" s="15">
        <v>6</v>
      </c>
      <c r="J170" s="15">
        <v>5</v>
      </c>
      <c r="K170" s="76">
        <f t="shared" si="4"/>
        <v>0.2</v>
      </c>
      <c r="L170" s="76">
        <f t="shared" si="5"/>
        <v>0.55555555555555558</v>
      </c>
    </row>
    <row r="171" spans="2:12" x14ac:dyDescent="0.25">
      <c r="B171" s="5">
        <v>44623</v>
      </c>
      <c r="C171" t="s">
        <v>784</v>
      </c>
      <c r="D171" s="75">
        <v>2022</v>
      </c>
      <c r="E171" t="s">
        <v>771</v>
      </c>
      <c r="F171" t="s">
        <v>111</v>
      </c>
      <c r="G171" s="15">
        <v>30</v>
      </c>
      <c r="H171" s="15">
        <v>9</v>
      </c>
      <c r="I171" s="15">
        <v>18</v>
      </c>
      <c r="J171" s="15">
        <v>2</v>
      </c>
      <c r="K171" s="76">
        <f t="shared" si="4"/>
        <v>0.6</v>
      </c>
      <c r="L171" s="76">
        <f t="shared" si="5"/>
        <v>0.22222222222222221</v>
      </c>
    </row>
    <row r="172" spans="2:12" x14ac:dyDescent="0.25">
      <c r="B172" s="5">
        <v>44624</v>
      </c>
      <c r="C172" t="s">
        <v>784</v>
      </c>
      <c r="D172" s="75">
        <v>2022</v>
      </c>
      <c r="E172" t="s">
        <v>771</v>
      </c>
      <c r="F172" t="s">
        <v>22</v>
      </c>
      <c r="G172" s="15">
        <v>30</v>
      </c>
      <c r="H172" s="15">
        <v>9</v>
      </c>
      <c r="I172" s="15">
        <v>39</v>
      </c>
      <c r="J172" s="15">
        <v>8</v>
      </c>
      <c r="K172" s="76">
        <f t="shared" si="4"/>
        <v>1.3</v>
      </c>
      <c r="L172" s="76">
        <f t="shared" si="5"/>
        <v>0.88888888888888884</v>
      </c>
    </row>
    <row r="173" spans="2:12" x14ac:dyDescent="0.25">
      <c r="B173" s="5">
        <v>44624</v>
      </c>
      <c r="C173" t="s">
        <v>784</v>
      </c>
      <c r="D173" s="75">
        <v>2022</v>
      </c>
      <c r="E173" t="s">
        <v>771</v>
      </c>
      <c r="F173" t="s">
        <v>1</v>
      </c>
      <c r="G173" s="15">
        <v>30</v>
      </c>
      <c r="H173" s="15">
        <v>9</v>
      </c>
      <c r="I173" s="15">
        <v>14</v>
      </c>
      <c r="J173" s="15">
        <v>3</v>
      </c>
      <c r="K173" s="76">
        <f t="shared" si="4"/>
        <v>0.46666666666666667</v>
      </c>
      <c r="L173" s="76">
        <f t="shared" si="5"/>
        <v>0.33333333333333331</v>
      </c>
    </row>
    <row r="174" spans="2:12" x14ac:dyDescent="0.25">
      <c r="B174" s="5">
        <v>44624</v>
      </c>
      <c r="C174" t="s">
        <v>784</v>
      </c>
      <c r="D174" s="75">
        <v>2022</v>
      </c>
      <c r="E174" t="s">
        <v>771</v>
      </c>
      <c r="F174" t="s">
        <v>599</v>
      </c>
      <c r="G174" s="15">
        <v>30</v>
      </c>
      <c r="H174" s="15">
        <v>9</v>
      </c>
      <c r="I174" s="15">
        <v>28</v>
      </c>
      <c r="J174" s="15">
        <v>9</v>
      </c>
      <c r="K174" s="76">
        <f t="shared" si="4"/>
        <v>0.93333333333333335</v>
      </c>
      <c r="L174" s="76">
        <f t="shared" si="5"/>
        <v>1</v>
      </c>
    </row>
    <row r="175" spans="2:12" x14ac:dyDescent="0.25">
      <c r="B175" s="5">
        <v>44624</v>
      </c>
      <c r="C175" t="s">
        <v>784</v>
      </c>
      <c r="D175" s="75">
        <v>2022</v>
      </c>
      <c r="E175" t="s">
        <v>771</v>
      </c>
      <c r="F175" t="s">
        <v>19</v>
      </c>
      <c r="G175" s="15">
        <v>30</v>
      </c>
      <c r="H175" s="15">
        <v>9</v>
      </c>
      <c r="I175" s="15">
        <v>15</v>
      </c>
      <c r="J175" s="15">
        <v>8</v>
      </c>
      <c r="K175" s="76">
        <f t="shared" si="4"/>
        <v>0.5</v>
      </c>
      <c r="L175" s="76">
        <f t="shared" si="5"/>
        <v>0.88888888888888884</v>
      </c>
    </row>
    <row r="176" spans="2:12" x14ac:dyDescent="0.25">
      <c r="B176" s="5">
        <v>44624</v>
      </c>
      <c r="C176" t="s">
        <v>784</v>
      </c>
      <c r="D176" s="75">
        <v>2022</v>
      </c>
      <c r="E176" t="s">
        <v>771</v>
      </c>
      <c r="F176" t="s">
        <v>11</v>
      </c>
      <c r="G176" s="15">
        <v>30</v>
      </c>
      <c r="H176" s="15">
        <v>9</v>
      </c>
      <c r="I176" s="15">
        <v>8</v>
      </c>
      <c r="J176" s="15">
        <v>4</v>
      </c>
      <c r="K176" s="76">
        <f t="shared" si="4"/>
        <v>0.26666666666666666</v>
      </c>
      <c r="L176" s="76">
        <f t="shared" si="5"/>
        <v>0.44444444444444442</v>
      </c>
    </row>
    <row r="177" spans="2:12" x14ac:dyDescent="0.25">
      <c r="B177" s="5">
        <v>44624</v>
      </c>
      <c r="C177" t="s">
        <v>784</v>
      </c>
      <c r="D177" s="75">
        <v>2022</v>
      </c>
      <c r="E177" t="s">
        <v>771</v>
      </c>
      <c r="F177" t="s">
        <v>111</v>
      </c>
      <c r="G177" s="15">
        <v>30</v>
      </c>
      <c r="H177" s="15">
        <v>9</v>
      </c>
      <c r="I177" s="15">
        <v>25</v>
      </c>
      <c r="J177" s="15">
        <v>2</v>
      </c>
      <c r="K177" s="76">
        <f t="shared" si="4"/>
        <v>0.83333333333333337</v>
      </c>
      <c r="L177" s="76">
        <f t="shared" si="5"/>
        <v>0.22222222222222221</v>
      </c>
    </row>
    <row r="178" spans="2:12" x14ac:dyDescent="0.25">
      <c r="B178" s="5">
        <v>44625</v>
      </c>
      <c r="C178" t="s">
        <v>784</v>
      </c>
      <c r="D178" s="75">
        <v>2022</v>
      </c>
      <c r="E178" t="s">
        <v>771</v>
      </c>
      <c r="F178" s="92" t="s">
        <v>22</v>
      </c>
      <c r="G178" s="15">
        <v>30</v>
      </c>
      <c r="H178" s="15">
        <v>9</v>
      </c>
      <c r="I178" s="15">
        <v>29</v>
      </c>
      <c r="J178" s="15">
        <v>8</v>
      </c>
      <c r="K178" s="76">
        <f t="shared" si="4"/>
        <v>0.96666666666666667</v>
      </c>
      <c r="L178" s="76">
        <f t="shared" si="5"/>
        <v>0.88888888888888884</v>
      </c>
    </row>
    <row r="179" spans="2:12" x14ac:dyDescent="0.25">
      <c r="B179" s="5">
        <v>44625</v>
      </c>
      <c r="C179" t="s">
        <v>784</v>
      </c>
      <c r="D179" s="75">
        <v>2022</v>
      </c>
      <c r="E179" t="s">
        <v>771</v>
      </c>
      <c r="F179" s="92" t="s">
        <v>1</v>
      </c>
      <c r="G179" s="15">
        <v>30</v>
      </c>
      <c r="H179" s="15">
        <v>9</v>
      </c>
      <c r="I179" s="15">
        <v>11</v>
      </c>
      <c r="J179" s="15">
        <v>2</v>
      </c>
      <c r="K179" s="76">
        <f t="shared" si="4"/>
        <v>0.36666666666666664</v>
      </c>
      <c r="L179" s="76">
        <f t="shared" si="5"/>
        <v>0.22222222222222221</v>
      </c>
    </row>
    <row r="180" spans="2:12" x14ac:dyDescent="0.25">
      <c r="B180" s="5">
        <v>44625</v>
      </c>
      <c r="C180" t="s">
        <v>784</v>
      </c>
      <c r="D180" s="75">
        <v>2022</v>
      </c>
      <c r="E180" t="s">
        <v>771</v>
      </c>
      <c r="F180" s="92" t="s">
        <v>599</v>
      </c>
      <c r="G180" s="15">
        <v>30</v>
      </c>
      <c r="H180" s="15">
        <v>9</v>
      </c>
      <c r="I180" s="15">
        <v>24</v>
      </c>
      <c r="J180" s="15">
        <v>9</v>
      </c>
      <c r="K180" s="76">
        <f t="shared" si="4"/>
        <v>0.8</v>
      </c>
      <c r="L180" s="76">
        <f t="shared" si="5"/>
        <v>1</v>
      </c>
    </row>
    <row r="181" spans="2:12" x14ac:dyDescent="0.25">
      <c r="B181" s="5">
        <v>44625</v>
      </c>
      <c r="C181" t="s">
        <v>784</v>
      </c>
      <c r="D181" s="75">
        <v>2022</v>
      </c>
      <c r="E181" t="s">
        <v>771</v>
      </c>
      <c r="F181" s="92" t="s">
        <v>19</v>
      </c>
      <c r="G181" s="15">
        <v>30</v>
      </c>
      <c r="H181" s="15">
        <v>9</v>
      </c>
      <c r="I181" s="15">
        <v>6</v>
      </c>
      <c r="J181" s="15">
        <v>6</v>
      </c>
      <c r="K181" s="76">
        <f t="shared" si="4"/>
        <v>0.2</v>
      </c>
      <c r="L181" s="76">
        <f t="shared" si="5"/>
        <v>0.66666666666666663</v>
      </c>
    </row>
    <row r="182" spans="2:12" x14ac:dyDescent="0.25">
      <c r="B182" s="5">
        <v>44625</v>
      </c>
      <c r="C182" t="s">
        <v>784</v>
      </c>
      <c r="D182" s="75">
        <v>2022</v>
      </c>
      <c r="E182" t="s">
        <v>771</v>
      </c>
      <c r="F182" s="92" t="s">
        <v>111</v>
      </c>
      <c r="G182" s="15">
        <v>30</v>
      </c>
      <c r="H182" s="15">
        <v>9</v>
      </c>
      <c r="I182" s="15">
        <v>28</v>
      </c>
      <c r="J182" s="15">
        <v>3</v>
      </c>
      <c r="K182" s="76">
        <f t="shared" si="4"/>
        <v>0.93333333333333335</v>
      </c>
      <c r="L182" s="76">
        <f t="shared" si="5"/>
        <v>0.33333333333333331</v>
      </c>
    </row>
    <row r="183" spans="2:12" x14ac:dyDescent="0.25">
      <c r="B183" s="5">
        <v>44626</v>
      </c>
      <c r="C183" t="s">
        <v>784</v>
      </c>
      <c r="D183" s="75">
        <v>2022</v>
      </c>
      <c r="E183" t="s">
        <v>771</v>
      </c>
      <c r="F183" t="s">
        <v>11</v>
      </c>
      <c r="G183" s="15">
        <v>30</v>
      </c>
      <c r="H183" s="15">
        <v>9</v>
      </c>
      <c r="I183" s="15">
        <v>7</v>
      </c>
      <c r="J183" s="15">
        <v>6</v>
      </c>
      <c r="K183" s="76">
        <f t="shared" si="4"/>
        <v>0.23333333333333334</v>
      </c>
      <c r="L183" s="76">
        <f t="shared" si="5"/>
        <v>0.66666666666666663</v>
      </c>
    </row>
    <row r="184" spans="2:12" x14ac:dyDescent="0.25">
      <c r="B184" s="5">
        <v>44627</v>
      </c>
      <c r="C184" t="s">
        <v>784</v>
      </c>
      <c r="D184" s="75">
        <v>2022</v>
      </c>
      <c r="E184" t="s">
        <v>940</v>
      </c>
      <c r="F184" s="92" t="s">
        <v>22</v>
      </c>
      <c r="G184" s="15">
        <v>30</v>
      </c>
      <c r="H184" s="15">
        <v>9</v>
      </c>
      <c r="I184" s="15">
        <v>28</v>
      </c>
      <c r="J184" s="15">
        <v>4</v>
      </c>
      <c r="K184" s="76">
        <f t="shared" si="4"/>
        <v>0.93333333333333335</v>
      </c>
      <c r="L184" s="76">
        <f t="shared" si="5"/>
        <v>0.44444444444444442</v>
      </c>
    </row>
    <row r="185" spans="2:12" x14ac:dyDescent="0.25">
      <c r="B185" s="5">
        <v>44627</v>
      </c>
      <c r="C185" t="s">
        <v>784</v>
      </c>
      <c r="D185" s="75">
        <v>2022</v>
      </c>
      <c r="E185" t="s">
        <v>940</v>
      </c>
      <c r="F185" s="92" t="s">
        <v>1</v>
      </c>
      <c r="G185" s="15">
        <v>30</v>
      </c>
      <c r="H185" s="15">
        <v>9</v>
      </c>
      <c r="I185" s="15">
        <v>10</v>
      </c>
      <c r="J185" s="15">
        <v>5</v>
      </c>
      <c r="K185" s="76">
        <f t="shared" si="4"/>
        <v>0.33333333333333331</v>
      </c>
      <c r="L185" s="76">
        <f t="shared" si="5"/>
        <v>0.55555555555555558</v>
      </c>
    </row>
    <row r="186" spans="2:12" x14ac:dyDescent="0.25">
      <c r="B186" s="5">
        <v>44627</v>
      </c>
      <c r="C186" t="s">
        <v>784</v>
      </c>
      <c r="D186" s="75">
        <v>2022</v>
      </c>
      <c r="E186" t="s">
        <v>940</v>
      </c>
      <c r="F186" s="92" t="s">
        <v>599</v>
      </c>
      <c r="G186" s="15">
        <v>30</v>
      </c>
      <c r="H186" s="15">
        <v>9</v>
      </c>
      <c r="I186" s="15">
        <v>25</v>
      </c>
      <c r="J186" s="15">
        <v>5</v>
      </c>
      <c r="K186" s="76">
        <f t="shared" si="4"/>
        <v>0.83333333333333337</v>
      </c>
      <c r="L186" s="76">
        <f t="shared" si="5"/>
        <v>0.55555555555555558</v>
      </c>
    </row>
    <row r="187" spans="2:12" x14ac:dyDescent="0.25">
      <c r="B187" s="5">
        <v>44627</v>
      </c>
      <c r="C187" t="s">
        <v>784</v>
      </c>
      <c r="D187" s="75">
        <v>2022</v>
      </c>
      <c r="E187" t="s">
        <v>940</v>
      </c>
      <c r="F187" s="92" t="s">
        <v>19</v>
      </c>
      <c r="G187" s="15">
        <v>30</v>
      </c>
      <c r="H187" s="15">
        <v>9</v>
      </c>
      <c r="I187" s="15">
        <v>28</v>
      </c>
      <c r="J187" s="15">
        <v>9</v>
      </c>
      <c r="K187" s="76">
        <f t="shared" si="4"/>
        <v>0.93333333333333335</v>
      </c>
      <c r="L187" s="76">
        <f t="shared" si="5"/>
        <v>1</v>
      </c>
    </row>
    <row r="188" spans="2:12" x14ac:dyDescent="0.25">
      <c r="B188" s="5">
        <v>44627</v>
      </c>
      <c r="C188" t="s">
        <v>784</v>
      </c>
      <c r="D188" s="75">
        <v>2022</v>
      </c>
      <c r="E188" t="s">
        <v>940</v>
      </c>
      <c r="F188" s="92" t="s">
        <v>11</v>
      </c>
      <c r="G188" s="15">
        <v>30</v>
      </c>
      <c r="H188" s="15">
        <v>9</v>
      </c>
      <c r="I188" s="15">
        <v>16</v>
      </c>
      <c r="J188" s="15">
        <v>6</v>
      </c>
      <c r="K188" s="76">
        <f t="shared" si="4"/>
        <v>0.53333333333333333</v>
      </c>
      <c r="L188" s="76">
        <f t="shared" si="5"/>
        <v>0.66666666666666663</v>
      </c>
    </row>
    <row r="189" spans="2:12" x14ac:dyDescent="0.25">
      <c r="B189" s="5">
        <v>44627</v>
      </c>
      <c r="C189" t="s">
        <v>784</v>
      </c>
      <c r="D189" s="75">
        <v>2022</v>
      </c>
      <c r="E189" t="s">
        <v>940</v>
      </c>
      <c r="F189" s="92" t="s">
        <v>111</v>
      </c>
      <c r="G189" s="15">
        <v>30</v>
      </c>
      <c r="H189" s="15">
        <v>9</v>
      </c>
      <c r="I189" s="15">
        <v>24</v>
      </c>
      <c r="J189" s="15">
        <v>3</v>
      </c>
      <c r="K189" s="76">
        <f t="shared" si="4"/>
        <v>0.8</v>
      </c>
      <c r="L189" s="76">
        <f t="shared" si="5"/>
        <v>0.33333333333333331</v>
      </c>
    </row>
    <row r="190" spans="2:12" x14ac:dyDescent="0.25">
      <c r="B190" s="5">
        <v>44628</v>
      </c>
      <c r="C190" t="s">
        <v>784</v>
      </c>
      <c r="D190" s="75">
        <v>2022</v>
      </c>
      <c r="E190" t="s">
        <v>940</v>
      </c>
      <c r="F190" t="s">
        <v>22</v>
      </c>
      <c r="G190" s="15">
        <v>30</v>
      </c>
      <c r="H190" s="15">
        <v>9</v>
      </c>
      <c r="I190" s="15">
        <v>34</v>
      </c>
      <c r="J190" s="15">
        <v>3</v>
      </c>
      <c r="K190" s="76">
        <f t="shared" si="4"/>
        <v>1.1333333333333333</v>
      </c>
      <c r="L190" s="76">
        <f t="shared" si="5"/>
        <v>0.33333333333333331</v>
      </c>
    </row>
    <row r="191" spans="2:12" x14ac:dyDescent="0.25">
      <c r="B191" s="5">
        <v>44628</v>
      </c>
      <c r="C191" t="s">
        <v>784</v>
      </c>
      <c r="D191" s="75">
        <v>2022</v>
      </c>
      <c r="E191" t="s">
        <v>940</v>
      </c>
      <c r="F191" t="s">
        <v>1</v>
      </c>
      <c r="G191" s="15">
        <v>30</v>
      </c>
      <c r="H191" s="15">
        <v>9</v>
      </c>
      <c r="I191" s="15">
        <v>31</v>
      </c>
      <c r="J191" s="15">
        <v>5</v>
      </c>
      <c r="K191" s="76">
        <f t="shared" si="4"/>
        <v>1.0333333333333334</v>
      </c>
      <c r="L191" s="76">
        <f t="shared" si="5"/>
        <v>0.55555555555555558</v>
      </c>
    </row>
    <row r="192" spans="2:12" x14ac:dyDescent="0.25">
      <c r="B192" s="5">
        <v>44628</v>
      </c>
      <c r="C192" t="s">
        <v>784</v>
      </c>
      <c r="D192" s="75">
        <v>2022</v>
      </c>
      <c r="E192" t="s">
        <v>940</v>
      </c>
      <c r="F192" t="s">
        <v>599</v>
      </c>
      <c r="G192" s="15">
        <v>30</v>
      </c>
      <c r="H192" s="15">
        <v>9</v>
      </c>
      <c r="I192" s="15">
        <v>29</v>
      </c>
      <c r="J192" s="15">
        <v>8</v>
      </c>
      <c r="K192" s="76">
        <f t="shared" ref="K192:K255" si="6">IFERROR(I192/G192,"")</f>
        <v>0.96666666666666667</v>
      </c>
      <c r="L192" s="76">
        <f t="shared" ref="L192:L255" si="7">IFERROR(J192/H192,"")</f>
        <v>0.88888888888888884</v>
      </c>
    </row>
    <row r="193" spans="2:12" x14ac:dyDescent="0.25">
      <c r="B193" s="5">
        <v>44628</v>
      </c>
      <c r="C193" t="s">
        <v>784</v>
      </c>
      <c r="D193" s="75">
        <v>2022</v>
      </c>
      <c r="E193" t="s">
        <v>940</v>
      </c>
      <c r="F193" t="s">
        <v>19</v>
      </c>
      <c r="G193" s="15">
        <v>30</v>
      </c>
      <c r="H193" s="15">
        <v>9</v>
      </c>
      <c r="I193" s="15">
        <v>32</v>
      </c>
      <c r="J193" s="15">
        <v>5</v>
      </c>
      <c r="K193" s="76">
        <f t="shared" si="6"/>
        <v>1.0666666666666667</v>
      </c>
      <c r="L193" s="76">
        <f t="shared" si="7"/>
        <v>0.55555555555555558</v>
      </c>
    </row>
    <row r="194" spans="2:12" x14ac:dyDescent="0.25">
      <c r="B194" s="5">
        <v>44628</v>
      </c>
      <c r="C194" t="s">
        <v>784</v>
      </c>
      <c r="D194" s="75">
        <v>2022</v>
      </c>
      <c r="E194" t="s">
        <v>940</v>
      </c>
      <c r="F194" t="s">
        <v>11</v>
      </c>
      <c r="G194" s="15">
        <v>30</v>
      </c>
      <c r="H194" s="15">
        <v>9</v>
      </c>
      <c r="I194" s="15">
        <v>26</v>
      </c>
      <c r="J194" s="15">
        <v>6</v>
      </c>
      <c r="K194" s="76">
        <f t="shared" si="6"/>
        <v>0.8666666666666667</v>
      </c>
      <c r="L194" s="76">
        <f t="shared" si="7"/>
        <v>0.66666666666666663</v>
      </c>
    </row>
    <row r="195" spans="2:12" x14ac:dyDescent="0.25">
      <c r="B195" s="5">
        <v>44628</v>
      </c>
      <c r="C195" t="s">
        <v>784</v>
      </c>
      <c r="D195" s="75">
        <v>2022</v>
      </c>
      <c r="E195" t="s">
        <v>940</v>
      </c>
      <c r="F195" t="s">
        <v>111</v>
      </c>
      <c r="G195" s="15">
        <v>30</v>
      </c>
      <c r="H195" s="15">
        <v>9</v>
      </c>
      <c r="I195" s="15">
        <v>30</v>
      </c>
      <c r="J195" s="15">
        <v>4</v>
      </c>
      <c r="K195" s="76">
        <f t="shared" si="6"/>
        <v>1</v>
      </c>
      <c r="L195" s="76">
        <f t="shared" si="7"/>
        <v>0.44444444444444442</v>
      </c>
    </row>
    <row r="196" spans="2:12" x14ac:dyDescent="0.25">
      <c r="B196" s="5">
        <v>44629</v>
      </c>
      <c r="C196" t="s">
        <v>784</v>
      </c>
      <c r="D196" s="75">
        <v>2022</v>
      </c>
      <c r="E196" t="s">
        <v>940</v>
      </c>
      <c r="F196" t="s">
        <v>22</v>
      </c>
      <c r="G196" s="15">
        <v>30</v>
      </c>
      <c r="H196" s="15">
        <v>9</v>
      </c>
      <c r="I196" s="15">
        <v>34</v>
      </c>
      <c r="J196" s="15">
        <v>5</v>
      </c>
      <c r="K196" s="76">
        <f t="shared" si="6"/>
        <v>1.1333333333333333</v>
      </c>
      <c r="L196" s="76">
        <f t="shared" si="7"/>
        <v>0.55555555555555558</v>
      </c>
    </row>
    <row r="197" spans="2:12" x14ac:dyDescent="0.25">
      <c r="B197" s="5">
        <v>44629</v>
      </c>
      <c r="C197" t="s">
        <v>784</v>
      </c>
      <c r="D197" s="75">
        <v>2022</v>
      </c>
      <c r="E197" t="s">
        <v>940</v>
      </c>
      <c r="F197" t="s">
        <v>1</v>
      </c>
      <c r="G197" s="15">
        <v>30</v>
      </c>
      <c r="H197" s="15">
        <v>9</v>
      </c>
      <c r="I197" s="15">
        <v>23</v>
      </c>
      <c r="J197" s="15">
        <v>4</v>
      </c>
      <c r="K197" s="76">
        <f t="shared" si="6"/>
        <v>0.76666666666666672</v>
      </c>
      <c r="L197" s="76">
        <f t="shared" si="7"/>
        <v>0.44444444444444442</v>
      </c>
    </row>
    <row r="198" spans="2:12" x14ac:dyDescent="0.25">
      <c r="B198" s="5">
        <v>44629</v>
      </c>
      <c r="C198" t="s">
        <v>784</v>
      </c>
      <c r="D198" s="75">
        <v>2022</v>
      </c>
      <c r="E198" t="s">
        <v>940</v>
      </c>
      <c r="F198" t="s">
        <v>599</v>
      </c>
      <c r="G198" s="15">
        <v>30</v>
      </c>
      <c r="H198" s="15">
        <v>9</v>
      </c>
      <c r="I198" s="15">
        <v>33</v>
      </c>
      <c r="J198" s="15">
        <v>14</v>
      </c>
      <c r="K198" s="76">
        <f t="shared" si="6"/>
        <v>1.1000000000000001</v>
      </c>
      <c r="L198" s="76">
        <f t="shared" si="7"/>
        <v>1.5555555555555556</v>
      </c>
    </row>
    <row r="199" spans="2:12" x14ac:dyDescent="0.25">
      <c r="B199" s="5">
        <v>44629</v>
      </c>
      <c r="C199" t="s">
        <v>784</v>
      </c>
      <c r="D199" s="75">
        <v>2022</v>
      </c>
      <c r="E199" t="s">
        <v>940</v>
      </c>
      <c r="F199" t="s">
        <v>19</v>
      </c>
      <c r="G199" s="15">
        <v>30</v>
      </c>
      <c r="H199" s="15">
        <v>9</v>
      </c>
      <c r="I199" s="15">
        <v>37</v>
      </c>
      <c r="J199" s="15">
        <v>8</v>
      </c>
      <c r="K199" s="76">
        <f t="shared" si="6"/>
        <v>1.2333333333333334</v>
      </c>
      <c r="L199" s="76">
        <f t="shared" si="7"/>
        <v>0.88888888888888884</v>
      </c>
    </row>
    <row r="200" spans="2:12" x14ac:dyDescent="0.25">
      <c r="B200" s="5">
        <v>44629</v>
      </c>
      <c r="C200" t="s">
        <v>784</v>
      </c>
      <c r="D200" s="75">
        <v>2022</v>
      </c>
      <c r="E200" t="s">
        <v>940</v>
      </c>
      <c r="F200" t="s">
        <v>11</v>
      </c>
      <c r="G200" s="15">
        <v>30</v>
      </c>
      <c r="H200" s="15">
        <v>9</v>
      </c>
      <c r="I200" s="15">
        <v>28</v>
      </c>
      <c r="J200" s="15">
        <v>6</v>
      </c>
      <c r="K200" s="76">
        <f t="shared" si="6"/>
        <v>0.93333333333333335</v>
      </c>
      <c r="L200" s="76">
        <f t="shared" si="7"/>
        <v>0.66666666666666663</v>
      </c>
    </row>
    <row r="201" spans="2:12" x14ac:dyDescent="0.25">
      <c r="B201" s="5">
        <v>44629</v>
      </c>
      <c r="C201" t="s">
        <v>784</v>
      </c>
      <c r="D201" s="75">
        <v>2022</v>
      </c>
      <c r="E201" t="s">
        <v>940</v>
      </c>
      <c r="F201" t="s">
        <v>111</v>
      </c>
      <c r="G201" s="15">
        <v>30</v>
      </c>
      <c r="H201" s="15">
        <v>9</v>
      </c>
      <c r="I201" s="15">
        <v>27</v>
      </c>
      <c r="J201" s="15">
        <v>3</v>
      </c>
      <c r="K201" s="76">
        <f t="shared" si="6"/>
        <v>0.9</v>
      </c>
      <c r="L201" s="76">
        <f t="shared" si="7"/>
        <v>0.33333333333333331</v>
      </c>
    </row>
    <row r="202" spans="2:12" x14ac:dyDescent="0.25">
      <c r="B202" s="5">
        <v>44630</v>
      </c>
      <c r="C202" t="s">
        <v>784</v>
      </c>
      <c r="D202" s="75">
        <v>2022</v>
      </c>
      <c r="E202" t="s">
        <v>940</v>
      </c>
      <c r="F202" t="s">
        <v>22</v>
      </c>
      <c r="G202" s="15">
        <v>30</v>
      </c>
      <c r="H202" s="15">
        <v>9</v>
      </c>
      <c r="I202" s="15">
        <v>29</v>
      </c>
      <c r="J202" s="15">
        <v>5</v>
      </c>
      <c r="K202" s="76">
        <f t="shared" si="6"/>
        <v>0.96666666666666667</v>
      </c>
      <c r="L202" s="76">
        <f t="shared" si="7"/>
        <v>0.55555555555555558</v>
      </c>
    </row>
    <row r="203" spans="2:12" x14ac:dyDescent="0.25">
      <c r="B203" s="5">
        <v>44630</v>
      </c>
      <c r="C203" t="s">
        <v>784</v>
      </c>
      <c r="D203" s="75">
        <v>2022</v>
      </c>
      <c r="E203" t="s">
        <v>940</v>
      </c>
      <c r="F203" t="s">
        <v>1</v>
      </c>
      <c r="G203" s="15">
        <v>30</v>
      </c>
      <c r="H203" s="15">
        <v>9</v>
      </c>
      <c r="I203" s="15">
        <v>21</v>
      </c>
      <c r="J203" s="15">
        <v>4</v>
      </c>
      <c r="K203" s="76">
        <f t="shared" si="6"/>
        <v>0.7</v>
      </c>
      <c r="L203" s="76">
        <f t="shared" si="7"/>
        <v>0.44444444444444442</v>
      </c>
    </row>
    <row r="204" spans="2:12" x14ac:dyDescent="0.25">
      <c r="B204" s="5">
        <v>44630</v>
      </c>
      <c r="C204" t="s">
        <v>784</v>
      </c>
      <c r="D204" s="75">
        <v>2022</v>
      </c>
      <c r="E204" t="s">
        <v>940</v>
      </c>
      <c r="F204" t="s">
        <v>599</v>
      </c>
      <c r="G204" s="15">
        <v>30</v>
      </c>
      <c r="H204" s="15">
        <v>9</v>
      </c>
      <c r="I204" s="15">
        <v>25</v>
      </c>
      <c r="J204" s="15">
        <v>11</v>
      </c>
      <c r="K204" s="76">
        <f t="shared" si="6"/>
        <v>0.83333333333333337</v>
      </c>
      <c r="L204" s="76">
        <f t="shared" si="7"/>
        <v>1.2222222222222223</v>
      </c>
    </row>
    <row r="205" spans="2:12" x14ac:dyDescent="0.25">
      <c r="B205" s="5">
        <v>44630</v>
      </c>
      <c r="C205" t="s">
        <v>784</v>
      </c>
      <c r="D205" s="75">
        <v>2022</v>
      </c>
      <c r="E205" t="s">
        <v>940</v>
      </c>
      <c r="F205" t="s">
        <v>19</v>
      </c>
      <c r="G205" s="15">
        <v>30</v>
      </c>
      <c r="H205" s="15">
        <v>9</v>
      </c>
      <c r="I205" s="15">
        <v>30</v>
      </c>
      <c r="J205" s="15">
        <v>5</v>
      </c>
      <c r="K205" s="76">
        <f t="shared" si="6"/>
        <v>1</v>
      </c>
      <c r="L205" s="76">
        <f t="shared" si="7"/>
        <v>0.55555555555555558</v>
      </c>
    </row>
    <row r="206" spans="2:12" x14ac:dyDescent="0.25">
      <c r="B206" s="5">
        <v>44630</v>
      </c>
      <c r="C206" t="s">
        <v>784</v>
      </c>
      <c r="D206" s="75">
        <v>2022</v>
      </c>
      <c r="E206" t="s">
        <v>940</v>
      </c>
      <c r="F206" t="s">
        <v>11</v>
      </c>
      <c r="G206" s="15">
        <v>30</v>
      </c>
      <c r="H206" s="15">
        <v>9</v>
      </c>
      <c r="I206" s="15">
        <v>26</v>
      </c>
      <c r="J206" s="15">
        <v>4</v>
      </c>
      <c r="K206" s="76">
        <f t="shared" si="6"/>
        <v>0.8666666666666667</v>
      </c>
      <c r="L206" s="76">
        <f t="shared" si="7"/>
        <v>0.44444444444444442</v>
      </c>
    </row>
    <row r="207" spans="2:12" x14ac:dyDescent="0.25">
      <c r="B207" s="5">
        <v>44630</v>
      </c>
      <c r="C207" t="s">
        <v>784</v>
      </c>
      <c r="D207" s="75">
        <v>2022</v>
      </c>
      <c r="E207" t="s">
        <v>940</v>
      </c>
      <c r="F207" t="s">
        <v>111</v>
      </c>
      <c r="G207" s="15">
        <v>30</v>
      </c>
      <c r="H207" s="15">
        <v>9</v>
      </c>
      <c r="I207" s="15">
        <v>30</v>
      </c>
      <c r="J207" s="15">
        <v>4</v>
      </c>
      <c r="K207" s="76">
        <f t="shared" si="6"/>
        <v>1</v>
      </c>
      <c r="L207" s="76">
        <f t="shared" si="7"/>
        <v>0.44444444444444442</v>
      </c>
    </row>
    <row r="208" spans="2:12" x14ac:dyDescent="0.25">
      <c r="B208" s="5">
        <v>44631</v>
      </c>
      <c r="C208" t="s">
        <v>784</v>
      </c>
      <c r="D208" s="75">
        <v>2022</v>
      </c>
      <c r="E208" t="s">
        <v>940</v>
      </c>
      <c r="F208" t="s">
        <v>22</v>
      </c>
      <c r="G208" s="15">
        <v>30</v>
      </c>
      <c r="H208" s="15">
        <v>9</v>
      </c>
      <c r="I208" s="15">
        <v>32</v>
      </c>
      <c r="J208" s="15">
        <v>8</v>
      </c>
      <c r="K208" s="76">
        <f t="shared" si="6"/>
        <v>1.0666666666666667</v>
      </c>
      <c r="L208" s="76">
        <f t="shared" si="7"/>
        <v>0.88888888888888884</v>
      </c>
    </row>
    <row r="209" spans="2:12" x14ac:dyDescent="0.25">
      <c r="B209" s="5">
        <v>44631</v>
      </c>
      <c r="C209" t="s">
        <v>784</v>
      </c>
      <c r="D209" s="75">
        <v>2022</v>
      </c>
      <c r="E209" t="s">
        <v>940</v>
      </c>
      <c r="F209" t="s">
        <v>1</v>
      </c>
      <c r="G209" s="15">
        <v>30</v>
      </c>
      <c r="H209" s="15">
        <v>9</v>
      </c>
      <c r="I209" s="15">
        <v>30</v>
      </c>
      <c r="J209" s="15">
        <v>5</v>
      </c>
      <c r="K209" s="76">
        <f t="shared" si="6"/>
        <v>1</v>
      </c>
      <c r="L209" s="76">
        <f t="shared" si="7"/>
        <v>0.55555555555555558</v>
      </c>
    </row>
    <row r="210" spans="2:12" x14ac:dyDescent="0.25">
      <c r="B210" s="5">
        <v>44631</v>
      </c>
      <c r="C210" t="s">
        <v>784</v>
      </c>
      <c r="D210" s="75">
        <v>2022</v>
      </c>
      <c r="E210" t="s">
        <v>940</v>
      </c>
      <c r="F210" t="s">
        <v>599</v>
      </c>
      <c r="G210" s="15">
        <v>30</v>
      </c>
      <c r="H210" s="15">
        <v>9</v>
      </c>
      <c r="I210" s="15">
        <v>32</v>
      </c>
      <c r="J210" s="15">
        <v>8</v>
      </c>
      <c r="K210" s="76">
        <f t="shared" si="6"/>
        <v>1.0666666666666667</v>
      </c>
      <c r="L210" s="76">
        <f t="shared" si="7"/>
        <v>0.88888888888888884</v>
      </c>
    </row>
    <row r="211" spans="2:12" x14ac:dyDescent="0.25">
      <c r="B211" s="5">
        <v>44631</v>
      </c>
      <c r="C211" t="s">
        <v>784</v>
      </c>
      <c r="D211" s="75">
        <v>2022</v>
      </c>
      <c r="E211" t="s">
        <v>940</v>
      </c>
      <c r="F211" t="s">
        <v>19</v>
      </c>
      <c r="G211" s="15">
        <v>30</v>
      </c>
      <c r="H211" s="15">
        <v>9</v>
      </c>
      <c r="I211" s="15">
        <v>30</v>
      </c>
      <c r="J211" s="15">
        <v>6</v>
      </c>
      <c r="K211" s="76">
        <f t="shared" si="6"/>
        <v>1</v>
      </c>
      <c r="L211" s="76">
        <f t="shared" si="7"/>
        <v>0.66666666666666663</v>
      </c>
    </row>
    <row r="212" spans="2:12" x14ac:dyDescent="0.25">
      <c r="B212" s="5">
        <v>44631</v>
      </c>
      <c r="C212" t="s">
        <v>784</v>
      </c>
      <c r="D212" s="75">
        <v>2022</v>
      </c>
      <c r="E212" t="s">
        <v>940</v>
      </c>
      <c r="F212" t="s">
        <v>11</v>
      </c>
      <c r="G212" s="15">
        <v>30</v>
      </c>
      <c r="H212" s="15">
        <v>9</v>
      </c>
      <c r="I212" s="15">
        <v>26</v>
      </c>
      <c r="J212" s="15">
        <v>4</v>
      </c>
      <c r="K212" s="76">
        <f t="shared" si="6"/>
        <v>0.8666666666666667</v>
      </c>
      <c r="L212" s="76">
        <f t="shared" si="7"/>
        <v>0.44444444444444442</v>
      </c>
    </row>
    <row r="213" spans="2:12" x14ac:dyDescent="0.25">
      <c r="B213" s="5">
        <v>44631</v>
      </c>
      <c r="C213" t="s">
        <v>784</v>
      </c>
      <c r="D213" s="75">
        <v>2022</v>
      </c>
      <c r="E213" t="s">
        <v>940</v>
      </c>
      <c r="F213" t="s">
        <v>111</v>
      </c>
      <c r="G213" s="15">
        <v>30</v>
      </c>
      <c r="H213" s="15">
        <v>9</v>
      </c>
      <c r="I213" s="15">
        <v>30</v>
      </c>
      <c r="J213" s="15">
        <v>3</v>
      </c>
      <c r="K213" s="76">
        <f t="shared" si="6"/>
        <v>1</v>
      </c>
      <c r="L213" s="76">
        <f t="shared" si="7"/>
        <v>0.33333333333333331</v>
      </c>
    </row>
    <row r="214" spans="2:12" x14ac:dyDescent="0.25">
      <c r="B214" s="5">
        <v>44632</v>
      </c>
      <c r="C214" t="s">
        <v>784</v>
      </c>
      <c r="D214" s="75">
        <v>2022</v>
      </c>
      <c r="E214" t="s">
        <v>940</v>
      </c>
      <c r="F214" t="s">
        <v>22</v>
      </c>
      <c r="G214" s="15">
        <v>30</v>
      </c>
      <c r="H214" s="15">
        <v>9</v>
      </c>
      <c r="I214" s="15">
        <v>30</v>
      </c>
      <c r="J214" s="15">
        <v>6</v>
      </c>
      <c r="K214" s="76">
        <f t="shared" si="6"/>
        <v>1</v>
      </c>
      <c r="L214" s="76">
        <f t="shared" si="7"/>
        <v>0.66666666666666663</v>
      </c>
    </row>
    <row r="215" spans="2:12" x14ac:dyDescent="0.25">
      <c r="B215" s="5">
        <v>44632</v>
      </c>
      <c r="C215" t="s">
        <v>784</v>
      </c>
      <c r="D215" s="75">
        <v>2022</v>
      </c>
      <c r="E215" t="s">
        <v>940</v>
      </c>
      <c r="F215" t="s">
        <v>1</v>
      </c>
      <c r="G215" s="15">
        <v>30</v>
      </c>
      <c r="H215" s="15">
        <v>9</v>
      </c>
      <c r="I215" s="15">
        <v>25</v>
      </c>
      <c r="J215" s="15">
        <v>6</v>
      </c>
      <c r="K215" s="76">
        <f t="shared" si="6"/>
        <v>0.83333333333333337</v>
      </c>
      <c r="L215" s="76">
        <f t="shared" si="7"/>
        <v>0.66666666666666663</v>
      </c>
    </row>
    <row r="216" spans="2:12" x14ac:dyDescent="0.25">
      <c r="B216" s="5">
        <v>44632</v>
      </c>
      <c r="C216" t="s">
        <v>784</v>
      </c>
      <c r="D216" s="75">
        <v>2022</v>
      </c>
      <c r="E216" t="s">
        <v>940</v>
      </c>
      <c r="F216" t="s">
        <v>599</v>
      </c>
      <c r="G216" s="15">
        <v>30</v>
      </c>
      <c r="H216" s="15">
        <v>9</v>
      </c>
      <c r="I216" s="15">
        <v>27</v>
      </c>
      <c r="J216" s="15">
        <v>8</v>
      </c>
      <c r="K216" s="76">
        <f t="shared" si="6"/>
        <v>0.9</v>
      </c>
      <c r="L216" s="76">
        <f t="shared" si="7"/>
        <v>0.88888888888888884</v>
      </c>
    </row>
    <row r="217" spans="2:12" x14ac:dyDescent="0.25">
      <c r="B217" s="5">
        <v>44632</v>
      </c>
      <c r="C217" t="s">
        <v>784</v>
      </c>
      <c r="D217" s="75">
        <v>2022</v>
      </c>
      <c r="E217" t="s">
        <v>940</v>
      </c>
      <c r="F217" t="s">
        <v>19</v>
      </c>
      <c r="G217" s="15">
        <v>30</v>
      </c>
      <c r="H217" s="15">
        <v>9</v>
      </c>
      <c r="I217" s="15">
        <v>30</v>
      </c>
      <c r="J217" s="15">
        <v>6</v>
      </c>
      <c r="K217" s="76">
        <f t="shared" si="6"/>
        <v>1</v>
      </c>
      <c r="L217" s="76">
        <f t="shared" si="7"/>
        <v>0.66666666666666663</v>
      </c>
    </row>
    <row r="218" spans="2:12" x14ac:dyDescent="0.25">
      <c r="B218" s="5">
        <v>44632</v>
      </c>
      <c r="C218" t="s">
        <v>784</v>
      </c>
      <c r="D218" s="75">
        <v>2022</v>
      </c>
      <c r="E218" t="s">
        <v>940</v>
      </c>
      <c r="F218" t="s">
        <v>111</v>
      </c>
      <c r="G218" s="15">
        <v>30</v>
      </c>
      <c r="H218" s="15">
        <v>9</v>
      </c>
      <c r="I218" s="15">
        <v>30</v>
      </c>
      <c r="J218" s="15">
        <v>4</v>
      </c>
      <c r="K218" s="76">
        <f t="shared" si="6"/>
        <v>1</v>
      </c>
      <c r="L218" s="76">
        <f t="shared" si="7"/>
        <v>0.44444444444444442</v>
      </c>
    </row>
    <row r="219" spans="2:12" x14ac:dyDescent="0.25">
      <c r="B219" s="5">
        <v>44633</v>
      </c>
      <c r="C219" t="s">
        <v>784</v>
      </c>
      <c r="D219" s="75">
        <v>2022</v>
      </c>
      <c r="E219" t="s">
        <v>940</v>
      </c>
      <c r="F219" t="s">
        <v>11</v>
      </c>
      <c r="G219" s="15">
        <v>30</v>
      </c>
      <c r="H219" s="15">
        <v>9</v>
      </c>
      <c r="I219" s="15">
        <v>17</v>
      </c>
      <c r="J219" s="15">
        <v>4</v>
      </c>
      <c r="K219" s="76">
        <f>IFERROR(I219/G219,"")</f>
        <v>0.56666666666666665</v>
      </c>
      <c r="L219" s="76">
        <f>IFERROR(J219/H219,"")</f>
        <v>0.44444444444444442</v>
      </c>
    </row>
    <row r="220" spans="2:12" x14ac:dyDescent="0.25">
      <c r="B220" s="5">
        <v>44634</v>
      </c>
      <c r="C220" t="s">
        <v>784</v>
      </c>
      <c r="D220" s="75">
        <v>2022</v>
      </c>
      <c r="E220" t="s">
        <v>1080</v>
      </c>
      <c r="F220" t="s">
        <v>22</v>
      </c>
      <c r="G220" s="15">
        <v>30</v>
      </c>
      <c r="H220" s="15">
        <v>9</v>
      </c>
      <c r="I220" s="15">
        <v>35</v>
      </c>
      <c r="J220" s="15">
        <v>6</v>
      </c>
      <c r="K220" s="76">
        <f>IFERROR(I220/G220,"")</f>
        <v>1.1666666666666667</v>
      </c>
      <c r="L220" s="76">
        <f>IFERROR(J220/H220,"")</f>
        <v>0.66666666666666663</v>
      </c>
    </row>
    <row r="221" spans="2:12" x14ac:dyDescent="0.25">
      <c r="B221" s="5">
        <v>44634</v>
      </c>
      <c r="C221" t="s">
        <v>784</v>
      </c>
      <c r="D221" s="75">
        <v>2022</v>
      </c>
      <c r="E221" t="s">
        <v>1080</v>
      </c>
      <c r="F221" t="s">
        <v>1</v>
      </c>
      <c r="G221" s="15">
        <v>30</v>
      </c>
      <c r="H221" s="15">
        <v>9</v>
      </c>
      <c r="I221" s="15">
        <v>30</v>
      </c>
      <c r="J221" s="15">
        <v>4</v>
      </c>
      <c r="K221" s="76">
        <f t="shared" si="6"/>
        <v>1</v>
      </c>
      <c r="L221" s="76">
        <f t="shared" si="7"/>
        <v>0.44444444444444442</v>
      </c>
    </row>
    <row r="222" spans="2:12" x14ac:dyDescent="0.25">
      <c r="B222" s="5">
        <v>44634</v>
      </c>
      <c r="C222" t="s">
        <v>784</v>
      </c>
      <c r="D222" s="75">
        <v>2022</v>
      </c>
      <c r="E222" t="s">
        <v>1080</v>
      </c>
      <c r="F222" t="s">
        <v>599</v>
      </c>
      <c r="G222" s="15">
        <v>30</v>
      </c>
      <c r="H222" s="15">
        <v>9</v>
      </c>
      <c r="I222" s="15">
        <v>33</v>
      </c>
      <c r="J222" s="15">
        <v>14</v>
      </c>
      <c r="K222" s="76">
        <f t="shared" si="6"/>
        <v>1.1000000000000001</v>
      </c>
      <c r="L222" s="76">
        <f t="shared" si="7"/>
        <v>1.5555555555555556</v>
      </c>
    </row>
    <row r="223" spans="2:12" x14ac:dyDescent="0.25">
      <c r="B223" s="5">
        <v>44634</v>
      </c>
      <c r="C223" t="s">
        <v>784</v>
      </c>
      <c r="D223" s="75">
        <v>2022</v>
      </c>
      <c r="E223" t="s">
        <v>1080</v>
      </c>
      <c r="F223" t="s">
        <v>19</v>
      </c>
      <c r="G223" s="15">
        <v>30</v>
      </c>
      <c r="H223" s="15">
        <v>9</v>
      </c>
      <c r="I223" s="15">
        <v>6</v>
      </c>
      <c r="J223" s="15">
        <v>6</v>
      </c>
      <c r="K223" s="76">
        <f t="shared" si="6"/>
        <v>0.2</v>
      </c>
      <c r="L223" s="76">
        <f t="shared" si="7"/>
        <v>0.66666666666666663</v>
      </c>
    </row>
    <row r="224" spans="2:12" x14ac:dyDescent="0.25">
      <c r="B224" s="5">
        <v>44634</v>
      </c>
      <c r="C224" t="s">
        <v>784</v>
      </c>
      <c r="D224" s="75">
        <v>2022</v>
      </c>
      <c r="E224" t="s">
        <v>1080</v>
      </c>
      <c r="F224" t="s">
        <v>11</v>
      </c>
      <c r="G224" s="15">
        <v>30</v>
      </c>
      <c r="H224" s="15">
        <v>9</v>
      </c>
      <c r="I224" s="15">
        <v>23</v>
      </c>
      <c r="J224" s="15">
        <v>6</v>
      </c>
      <c r="K224" s="76">
        <f t="shared" si="6"/>
        <v>0.76666666666666672</v>
      </c>
      <c r="L224" s="76">
        <f t="shared" si="7"/>
        <v>0.66666666666666663</v>
      </c>
    </row>
    <row r="225" spans="2:12" x14ac:dyDescent="0.25">
      <c r="B225" s="5">
        <v>44634</v>
      </c>
      <c r="C225" t="s">
        <v>784</v>
      </c>
      <c r="D225" s="75">
        <v>2022</v>
      </c>
      <c r="E225" t="s">
        <v>1080</v>
      </c>
      <c r="F225" t="s">
        <v>111</v>
      </c>
      <c r="G225" s="15">
        <v>30</v>
      </c>
      <c r="H225" s="15">
        <v>9</v>
      </c>
      <c r="I225" s="15">
        <v>32</v>
      </c>
      <c r="J225" s="15">
        <v>9</v>
      </c>
      <c r="K225" s="76">
        <f t="shared" si="6"/>
        <v>1.0666666666666667</v>
      </c>
      <c r="L225" s="76">
        <f t="shared" si="7"/>
        <v>1</v>
      </c>
    </row>
    <row r="226" spans="2:12" x14ac:dyDescent="0.25">
      <c r="B226" s="5">
        <v>44635</v>
      </c>
      <c r="C226" t="s">
        <v>784</v>
      </c>
      <c r="D226" s="75">
        <v>2022</v>
      </c>
      <c r="G226" s="15">
        <v>30</v>
      </c>
      <c r="H226" s="15">
        <v>9</v>
      </c>
      <c r="I226" s="15"/>
      <c r="J226" s="15"/>
      <c r="K226" s="76">
        <f t="shared" si="6"/>
        <v>0</v>
      </c>
      <c r="L226" s="76">
        <f t="shared" si="7"/>
        <v>0</v>
      </c>
    </row>
    <row r="227" spans="2:12" x14ac:dyDescent="0.25">
      <c r="D227" s="75">
        <v>2022</v>
      </c>
      <c r="G227" s="15">
        <v>30</v>
      </c>
      <c r="H227" s="15">
        <v>9</v>
      </c>
      <c r="I227" s="15"/>
      <c r="J227" s="15"/>
      <c r="K227" s="76">
        <f t="shared" si="6"/>
        <v>0</v>
      </c>
      <c r="L227" s="76">
        <f t="shared" si="7"/>
        <v>0</v>
      </c>
    </row>
    <row r="228" spans="2:12" x14ac:dyDescent="0.25">
      <c r="D228" s="75">
        <v>2022</v>
      </c>
      <c r="G228" s="15">
        <v>30</v>
      </c>
      <c r="H228" s="15">
        <v>9</v>
      </c>
      <c r="I228" s="15"/>
      <c r="J228" s="15"/>
      <c r="K228" s="76">
        <f t="shared" si="6"/>
        <v>0</v>
      </c>
      <c r="L228" s="76">
        <f t="shared" si="7"/>
        <v>0</v>
      </c>
    </row>
    <row r="229" spans="2:12" x14ac:dyDescent="0.25">
      <c r="D229" s="75">
        <v>2022</v>
      </c>
      <c r="G229" s="15">
        <v>30</v>
      </c>
      <c r="H229" s="15">
        <v>9</v>
      </c>
      <c r="I229" s="15"/>
      <c r="J229" s="15"/>
      <c r="K229" s="76">
        <f t="shared" si="6"/>
        <v>0</v>
      </c>
      <c r="L229" s="76">
        <f t="shared" si="7"/>
        <v>0</v>
      </c>
    </row>
    <row r="230" spans="2:12" x14ac:dyDescent="0.25">
      <c r="D230" s="75">
        <v>2022</v>
      </c>
      <c r="G230" s="15">
        <v>30</v>
      </c>
      <c r="H230" s="15">
        <v>9</v>
      </c>
      <c r="I230" s="15"/>
      <c r="J230" s="15"/>
      <c r="K230" s="76">
        <f t="shared" si="6"/>
        <v>0</v>
      </c>
      <c r="L230" s="76">
        <f t="shared" si="7"/>
        <v>0</v>
      </c>
    </row>
    <row r="231" spans="2:12" x14ac:dyDescent="0.25">
      <c r="D231" s="75">
        <v>2022</v>
      </c>
      <c r="G231" s="15">
        <v>30</v>
      </c>
      <c r="H231" s="15">
        <v>9</v>
      </c>
      <c r="I231" s="15"/>
      <c r="J231" s="15"/>
      <c r="K231" s="76">
        <f t="shared" si="6"/>
        <v>0</v>
      </c>
      <c r="L231" s="76">
        <f t="shared" si="7"/>
        <v>0</v>
      </c>
    </row>
    <row r="232" spans="2:12" x14ac:dyDescent="0.25">
      <c r="D232" s="75">
        <v>2022</v>
      </c>
      <c r="G232" s="15">
        <v>30</v>
      </c>
      <c r="H232" s="15">
        <v>9</v>
      </c>
      <c r="I232" s="15"/>
      <c r="J232" s="15"/>
      <c r="K232" s="76">
        <f t="shared" si="6"/>
        <v>0</v>
      </c>
      <c r="L232" s="76">
        <f t="shared" si="7"/>
        <v>0</v>
      </c>
    </row>
    <row r="233" spans="2:12" x14ac:dyDescent="0.25">
      <c r="D233" s="75">
        <v>2022</v>
      </c>
      <c r="G233" s="15">
        <v>30</v>
      </c>
      <c r="H233" s="15">
        <v>9</v>
      </c>
      <c r="I233" s="15"/>
      <c r="J233" s="15"/>
      <c r="K233" s="76">
        <f t="shared" si="6"/>
        <v>0</v>
      </c>
      <c r="L233" s="76">
        <f t="shared" si="7"/>
        <v>0</v>
      </c>
    </row>
    <row r="234" spans="2:12" x14ac:dyDescent="0.25">
      <c r="D234" s="75">
        <v>2022</v>
      </c>
      <c r="G234" s="15">
        <v>30</v>
      </c>
      <c r="H234" s="15">
        <v>9</v>
      </c>
      <c r="I234" s="15"/>
      <c r="J234" s="15"/>
      <c r="K234" s="76">
        <f t="shared" si="6"/>
        <v>0</v>
      </c>
      <c r="L234" s="76">
        <f t="shared" si="7"/>
        <v>0</v>
      </c>
    </row>
    <row r="235" spans="2:12" x14ac:dyDescent="0.25">
      <c r="D235" s="75">
        <v>2022</v>
      </c>
      <c r="G235" s="15">
        <v>30</v>
      </c>
      <c r="H235" s="15">
        <v>9</v>
      </c>
      <c r="I235" s="15"/>
      <c r="J235" s="15"/>
      <c r="K235" s="76">
        <f t="shared" si="6"/>
        <v>0</v>
      </c>
      <c r="L235" s="76">
        <f t="shared" si="7"/>
        <v>0</v>
      </c>
    </row>
    <row r="236" spans="2:12" x14ac:dyDescent="0.25">
      <c r="D236" s="75">
        <v>2022</v>
      </c>
      <c r="G236" s="15">
        <v>30</v>
      </c>
      <c r="H236" s="15">
        <v>9</v>
      </c>
      <c r="I236" s="15"/>
      <c r="J236" s="15"/>
      <c r="K236" s="76">
        <f t="shared" si="6"/>
        <v>0</v>
      </c>
      <c r="L236" s="76">
        <f t="shared" si="7"/>
        <v>0</v>
      </c>
    </row>
    <row r="237" spans="2:12" x14ac:dyDescent="0.25">
      <c r="D237" s="75">
        <v>2022</v>
      </c>
      <c r="G237" s="15">
        <v>30</v>
      </c>
      <c r="H237" s="15">
        <v>9</v>
      </c>
      <c r="I237" s="15"/>
      <c r="J237" s="15"/>
      <c r="K237" s="76">
        <f t="shared" si="6"/>
        <v>0</v>
      </c>
      <c r="L237" s="76">
        <f t="shared" si="7"/>
        <v>0</v>
      </c>
    </row>
    <row r="238" spans="2:12" x14ac:dyDescent="0.25">
      <c r="D238" s="75">
        <v>2022</v>
      </c>
      <c r="G238" s="15">
        <v>30</v>
      </c>
      <c r="H238" s="15">
        <v>9</v>
      </c>
      <c r="I238" s="15"/>
      <c r="J238" s="15"/>
      <c r="K238" s="76">
        <f t="shared" si="6"/>
        <v>0</v>
      </c>
      <c r="L238" s="76">
        <f t="shared" si="7"/>
        <v>0</v>
      </c>
    </row>
    <row r="239" spans="2:12" x14ac:dyDescent="0.25">
      <c r="D239" s="75">
        <v>2022</v>
      </c>
      <c r="G239" s="15">
        <v>30</v>
      </c>
      <c r="H239" s="15">
        <v>9</v>
      </c>
      <c r="I239" s="15"/>
      <c r="J239" s="15"/>
      <c r="K239" s="76">
        <f t="shared" si="6"/>
        <v>0</v>
      </c>
      <c r="L239" s="76">
        <f t="shared" si="7"/>
        <v>0</v>
      </c>
    </row>
    <row r="240" spans="2:12" x14ac:dyDescent="0.25">
      <c r="D240" s="75">
        <v>2022</v>
      </c>
      <c r="G240" s="15">
        <v>30</v>
      </c>
      <c r="H240" s="15">
        <v>9</v>
      </c>
      <c r="I240" s="15"/>
      <c r="J240" s="15"/>
      <c r="K240" s="76">
        <f t="shared" si="6"/>
        <v>0</v>
      </c>
      <c r="L240" s="76">
        <f t="shared" si="7"/>
        <v>0</v>
      </c>
    </row>
    <row r="241" spans="4:12" x14ac:dyDescent="0.25">
      <c r="D241" s="75">
        <v>2022</v>
      </c>
      <c r="G241" s="15">
        <v>30</v>
      </c>
      <c r="H241" s="15">
        <v>9</v>
      </c>
      <c r="I241" s="15"/>
      <c r="J241" s="15"/>
      <c r="K241" s="76">
        <f t="shared" si="6"/>
        <v>0</v>
      </c>
      <c r="L241" s="76">
        <f t="shared" si="7"/>
        <v>0</v>
      </c>
    </row>
    <row r="242" spans="4:12" x14ac:dyDescent="0.25">
      <c r="D242" s="75">
        <v>2022</v>
      </c>
      <c r="G242" s="15">
        <v>30</v>
      </c>
      <c r="H242" s="15">
        <v>9</v>
      </c>
      <c r="I242" s="15"/>
      <c r="J242" s="15"/>
      <c r="K242" s="76">
        <f t="shared" si="6"/>
        <v>0</v>
      </c>
      <c r="L242" s="76">
        <f t="shared" si="7"/>
        <v>0</v>
      </c>
    </row>
    <row r="243" spans="4:12" x14ac:dyDescent="0.25">
      <c r="D243" s="75">
        <v>2022</v>
      </c>
      <c r="G243" s="15">
        <v>30</v>
      </c>
      <c r="H243" s="15">
        <v>9</v>
      </c>
      <c r="I243" s="15"/>
      <c r="J243" s="15"/>
      <c r="K243" s="76">
        <f t="shared" si="6"/>
        <v>0</v>
      </c>
      <c r="L243" s="76">
        <f t="shared" si="7"/>
        <v>0</v>
      </c>
    </row>
    <row r="244" spans="4:12" x14ac:dyDescent="0.25">
      <c r="D244" s="75">
        <v>2022</v>
      </c>
      <c r="G244" s="15">
        <v>30</v>
      </c>
      <c r="H244" s="15">
        <v>9</v>
      </c>
      <c r="I244" s="15"/>
      <c r="J244" s="15"/>
      <c r="K244" s="76">
        <f t="shared" si="6"/>
        <v>0</v>
      </c>
      <c r="L244" s="76">
        <f t="shared" si="7"/>
        <v>0</v>
      </c>
    </row>
    <row r="245" spans="4:12" x14ac:dyDescent="0.25">
      <c r="D245" s="75">
        <v>2022</v>
      </c>
      <c r="G245" s="15">
        <v>30</v>
      </c>
      <c r="H245" s="15">
        <v>9</v>
      </c>
      <c r="I245" s="15"/>
      <c r="J245" s="15"/>
      <c r="K245" s="76">
        <f t="shared" si="6"/>
        <v>0</v>
      </c>
      <c r="L245" s="76">
        <f t="shared" si="7"/>
        <v>0</v>
      </c>
    </row>
    <row r="246" spans="4:12" x14ac:dyDescent="0.25">
      <c r="D246" s="75">
        <v>2022</v>
      </c>
      <c r="G246" s="15">
        <v>30</v>
      </c>
      <c r="H246" s="15">
        <v>9</v>
      </c>
      <c r="I246" s="15"/>
      <c r="J246" s="15"/>
      <c r="K246" s="76">
        <f t="shared" si="6"/>
        <v>0</v>
      </c>
      <c r="L246" s="76">
        <f t="shared" si="7"/>
        <v>0</v>
      </c>
    </row>
    <row r="247" spans="4:12" x14ac:dyDescent="0.25">
      <c r="D247" s="75">
        <v>2022</v>
      </c>
      <c r="G247" s="15">
        <v>30</v>
      </c>
      <c r="H247" s="15">
        <v>9</v>
      </c>
      <c r="I247" s="15"/>
      <c r="J247" s="15"/>
      <c r="K247" s="76">
        <f t="shared" si="6"/>
        <v>0</v>
      </c>
      <c r="L247" s="76">
        <f t="shared" si="7"/>
        <v>0</v>
      </c>
    </row>
    <row r="248" spans="4:12" x14ac:dyDescent="0.25">
      <c r="D248" s="75">
        <v>2022</v>
      </c>
      <c r="G248" s="15">
        <v>30</v>
      </c>
      <c r="H248" s="15">
        <v>9</v>
      </c>
      <c r="I248" s="15"/>
      <c r="J248" s="15"/>
      <c r="K248" s="76">
        <f t="shared" si="6"/>
        <v>0</v>
      </c>
      <c r="L248" s="76">
        <f t="shared" si="7"/>
        <v>0</v>
      </c>
    </row>
    <row r="249" spans="4:12" x14ac:dyDescent="0.25">
      <c r="D249" s="75">
        <v>2022</v>
      </c>
      <c r="G249" s="15">
        <v>30</v>
      </c>
      <c r="H249" s="15">
        <v>9</v>
      </c>
      <c r="I249" s="15"/>
      <c r="J249" s="15"/>
      <c r="K249" s="76">
        <f t="shared" si="6"/>
        <v>0</v>
      </c>
      <c r="L249" s="76">
        <f t="shared" si="7"/>
        <v>0</v>
      </c>
    </row>
    <row r="250" spans="4:12" x14ac:dyDescent="0.25">
      <c r="D250" s="75">
        <v>2022</v>
      </c>
      <c r="G250" s="15">
        <v>30</v>
      </c>
      <c r="H250" s="15">
        <v>9</v>
      </c>
      <c r="I250" s="15"/>
      <c r="J250" s="15"/>
      <c r="K250" s="76">
        <f t="shared" si="6"/>
        <v>0</v>
      </c>
      <c r="L250" s="76">
        <f t="shared" si="7"/>
        <v>0</v>
      </c>
    </row>
    <row r="251" spans="4:12" x14ac:dyDescent="0.25">
      <c r="D251" s="75">
        <v>2022</v>
      </c>
      <c r="G251" s="15">
        <v>30</v>
      </c>
      <c r="H251" s="15">
        <v>9</v>
      </c>
      <c r="I251" s="15"/>
      <c r="J251" s="15"/>
      <c r="K251" s="76">
        <f t="shared" si="6"/>
        <v>0</v>
      </c>
      <c r="L251" s="76">
        <f t="shared" si="7"/>
        <v>0</v>
      </c>
    </row>
    <row r="252" spans="4:12" x14ac:dyDescent="0.25">
      <c r="D252" s="75">
        <v>2022</v>
      </c>
      <c r="G252" s="15">
        <v>30</v>
      </c>
      <c r="H252" s="15">
        <v>9</v>
      </c>
      <c r="I252" s="15"/>
      <c r="J252" s="15"/>
      <c r="K252" s="76">
        <f t="shared" si="6"/>
        <v>0</v>
      </c>
      <c r="L252" s="76">
        <f t="shared" si="7"/>
        <v>0</v>
      </c>
    </row>
    <row r="253" spans="4:12" x14ac:dyDescent="0.25">
      <c r="D253" s="75">
        <v>2022</v>
      </c>
      <c r="G253" s="15">
        <v>30</v>
      </c>
      <c r="H253" s="15">
        <v>9</v>
      </c>
      <c r="I253" s="15"/>
      <c r="J253" s="15"/>
      <c r="K253" s="76">
        <f t="shared" si="6"/>
        <v>0</v>
      </c>
      <c r="L253" s="76">
        <f t="shared" si="7"/>
        <v>0</v>
      </c>
    </row>
    <row r="254" spans="4:12" x14ac:dyDescent="0.25">
      <c r="D254" s="75">
        <v>2022</v>
      </c>
      <c r="G254" s="15">
        <v>30</v>
      </c>
      <c r="H254" s="15">
        <v>9</v>
      </c>
      <c r="I254" s="15"/>
      <c r="J254" s="15"/>
      <c r="K254" s="76">
        <f t="shared" si="6"/>
        <v>0</v>
      </c>
      <c r="L254" s="76">
        <f t="shared" si="7"/>
        <v>0</v>
      </c>
    </row>
    <row r="255" spans="4:12" x14ac:dyDescent="0.25">
      <c r="D255" s="75">
        <v>2022</v>
      </c>
      <c r="G255" s="15">
        <v>30</v>
      </c>
      <c r="H255" s="15">
        <v>9</v>
      </c>
      <c r="I255" s="15"/>
      <c r="J255" s="15"/>
      <c r="K255" s="76">
        <f t="shared" si="6"/>
        <v>0</v>
      </c>
      <c r="L255" s="76">
        <f t="shared" si="7"/>
        <v>0</v>
      </c>
    </row>
    <row r="256" spans="4:12" x14ac:dyDescent="0.25">
      <c r="D256" s="75">
        <v>2022</v>
      </c>
      <c r="G256" s="15">
        <v>30</v>
      </c>
      <c r="H256" s="15">
        <v>9</v>
      </c>
      <c r="I256" s="15"/>
      <c r="J256" s="15"/>
      <c r="K256" s="76">
        <f t="shared" ref="K256:K281" si="8">IFERROR(I256/G256,"")</f>
        <v>0</v>
      </c>
      <c r="L256" s="76">
        <f t="shared" ref="L256:L281" si="9">IFERROR(J256/H256,"")</f>
        <v>0</v>
      </c>
    </row>
    <row r="257" spans="4:12" x14ac:dyDescent="0.25">
      <c r="D257" s="75">
        <v>2022</v>
      </c>
      <c r="G257" s="15">
        <v>30</v>
      </c>
      <c r="H257" s="15">
        <v>9</v>
      </c>
      <c r="I257" s="15"/>
      <c r="J257" s="15"/>
      <c r="K257" s="76">
        <f t="shared" si="8"/>
        <v>0</v>
      </c>
      <c r="L257" s="76">
        <f t="shared" si="9"/>
        <v>0</v>
      </c>
    </row>
    <row r="258" spans="4:12" x14ac:dyDescent="0.25">
      <c r="D258" s="75">
        <v>2022</v>
      </c>
      <c r="G258" s="15">
        <v>30</v>
      </c>
      <c r="H258" s="15">
        <v>9</v>
      </c>
      <c r="I258" s="15"/>
      <c r="J258" s="15"/>
      <c r="K258" s="76">
        <f t="shared" si="8"/>
        <v>0</v>
      </c>
      <c r="L258" s="76">
        <f t="shared" si="9"/>
        <v>0</v>
      </c>
    </row>
    <row r="259" spans="4:12" x14ac:dyDescent="0.25">
      <c r="D259" s="75">
        <v>2022</v>
      </c>
      <c r="G259" s="15">
        <v>30</v>
      </c>
      <c r="H259" s="15">
        <v>9</v>
      </c>
      <c r="I259" s="15"/>
      <c r="J259" s="15"/>
      <c r="K259" s="76">
        <f t="shared" si="8"/>
        <v>0</v>
      </c>
      <c r="L259" s="76">
        <f t="shared" si="9"/>
        <v>0</v>
      </c>
    </row>
    <row r="260" spans="4:12" x14ac:dyDescent="0.25">
      <c r="D260" s="75">
        <v>2022</v>
      </c>
      <c r="G260" s="15">
        <v>30</v>
      </c>
      <c r="H260" s="15">
        <v>9</v>
      </c>
      <c r="I260" s="15"/>
      <c r="J260" s="15"/>
      <c r="K260" s="76">
        <f t="shared" si="8"/>
        <v>0</v>
      </c>
      <c r="L260" s="76">
        <f t="shared" si="9"/>
        <v>0</v>
      </c>
    </row>
    <row r="261" spans="4:12" x14ac:dyDescent="0.25">
      <c r="D261" s="75">
        <v>2022</v>
      </c>
      <c r="G261" s="15">
        <v>30</v>
      </c>
      <c r="H261" s="15">
        <v>9</v>
      </c>
      <c r="I261" s="15"/>
      <c r="J261" s="15"/>
      <c r="K261" s="76">
        <f t="shared" si="8"/>
        <v>0</v>
      </c>
      <c r="L261" s="76">
        <f t="shared" si="9"/>
        <v>0</v>
      </c>
    </row>
    <row r="262" spans="4:12" x14ac:dyDescent="0.25">
      <c r="D262" s="75">
        <v>2022</v>
      </c>
      <c r="G262" s="15">
        <v>30</v>
      </c>
      <c r="H262" s="15">
        <v>9</v>
      </c>
      <c r="I262" s="15"/>
      <c r="J262" s="15"/>
      <c r="K262" s="76">
        <f t="shared" si="8"/>
        <v>0</v>
      </c>
      <c r="L262" s="76">
        <f t="shared" si="9"/>
        <v>0</v>
      </c>
    </row>
    <row r="263" spans="4:12" x14ac:dyDescent="0.25">
      <c r="D263" s="75">
        <v>2022</v>
      </c>
      <c r="G263" s="15">
        <v>30</v>
      </c>
      <c r="H263" s="15">
        <v>9</v>
      </c>
      <c r="I263" s="15"/>
      <c r="J263" s="15"/>
      <c r="K263" s="76">
        <f t="shared" si="8"/>
        <v>0</v>
      </c>
      <c r="L263" s="76">
        <f t="shared" si="9"/>
        <v>0</v>
      </c>
    </row>
    <row r="264" spans="4:12" x14ac:dyDescent="0.25">
      <c r="D264" s="75">
        <v>2022</v>
      </c>
      <c r="G264" s="15">
        <v>30</v>
      </c>
      <c r="H264" s="15">
        <v>9</v>
      </c>
      <c r="I264" s="15"/>
      <c r="J264" s="15"/>
      <c r="K264" s="76">
        <f t="shared" si="8"/>
        <v>0</v>
      </c>
      <c r="L264" s="76">
        <f t="shared" si="9"/>
        <v>0</v>
      </c>
    </row>
    <row r="265" spans="4:12" x14ac:dyDescent="0.25">
      <c r="D265" s="75">
        <v>2022</v>
      </c>
      <c r="G265" s="15">
        <v>30</v>
      </c>
      <c r="H265" s="15">
        <v>9</v>
      </c>
      <c r="I265" s="15"/>
      <c r="J265" s="15"/>
      <c r="K265" s="76">
        <f t="shared" si="8"/>
        <v>0</v>
      </c>
      <c r="L265" s="76">
        <f t="shared" si="9"/>
        <v>0</v>
      </c>
    </row>
    <row r="266" spans="4:12" x14ac:dyDescent="0.25">
      <c r="D266" s="75">
        <v>2022</v>
      </c>
      <c r="G266" s="15">
        <v>30</v>
      </c>
      <c r="H266" s="15">
        <v>9</v>
      </c>
      <c r="I266" s="15"/>
      <c r="J266" s="15"/>
      <c r="K266" s="76">
        <f t="shared" si="8"/>
        <v>0</v>
      </c>
      <c r="L266" s="76">
        <f t="shared" si="9"/>
        <v>0</v>
      </c>
    </row>
    <row r="267" spans="4:12" x14ac:dyDescent="0.25">
      <c r="D267" s="75">
        <v>2022</v>
      </c>
      <c r="G267" s="15">
        <v>30</v>
      </c>
      <c r="H267" s="15">
        <v>9</v>
      </c>
      <c r="I267" s="15"/>
      <c r="J267" s="15"/>
      <c r="K267" s="76">
        <f t="shared" si="8"/>
        <v>0</v>
      </c>
      <c r="L267" s="76">
        <f t="shared" si="9"/>
        <v>0</v>
      </c>
    </row>
    <row r="268" spans="4:12" x14ac:dyDescent="0.25">
      <c r="D268" s="75">
        <v>2022</v>
      </c>
      <c r="G268" s="15">
        <v>30</v>
      </c>
      <c r="H268" s="15">
        <v>9</v>
      </c>
      <c r="I268" s="15"/>
      <c r="J268" s="15"/>
      <c r="K268" s="76">
        <f t="shared" si="8"/>
        <v>0</v>
      </c>
      <c r="L268" s="76">
        <f t="shared" si="9"/>
        <v>0</v>
      </c>
    </row>
    <row r="269" spans="4:12" x14ac:dyDescent="0.25">
      <c r="D269" s="75">
        <v>2022</v>
      </c>
      <c r="G269" s="15">
        <v>30</v>
      </c>
      <c r="H269" s="15">
        <v>9</v>
      </c>
      <c r="I269" s="15"/>
      <c r="J269" s="15"/>
      <c r="K269" s="76">
        <f t="shared" si="8"/>
        <v>0</v>
      </c>
      <c r="L269" s="76">
        <f t="shared" si="9"/>
        <v>0</v>
      </c>
    </row>
    <row r="270" spans="4:12" x14ac:dyDescent="0.25">
      <c r="D270" s="75">
        <v>2022</v>
      </c>
      <c r="G270" s="15">
        <v>30</v>
      </c>
      <c r="H270" s="15">
        <v>9</v>
      </c>
      <c r="I270" s="15"/>
      <c r="J270" s="15"/>
      <c r="K270" s="76">
        <f t="shared" si="8"/>
        <v>0</v>
      </c>
      <c r="L270" s="76">
        <f t="shared" si="9"/>
        <v>0</v>
      </c>
    </row>
    <row r="271" spans="4:12" x14ac:dyDescent="0.25">
      <c r="D271" s="75">
        <v>2022</v>
      </c>
      <c r="G271" s="15">
        <v>30</v>
      </c>
      <c r="H271" s="15">
        <v>9</v>
      </c>
      <c r="I271" s="15"/>
      <c r="J271" s="15"/>
      <c r="K271" s="76">
        <f t="shared" si="8"/>
        <v>0</v>
      </c>
      <c r="L271" s="76">
        <f t="shared" si="9"/>
        <v>0</v>
      </c>
    </row>
    <row r="272" spans="4:12" x14ac:dyDescent="0.25">
      <c r="D272" s="75">
        <v>2022</v>
      </c>
      <c r="G272" s="15">
        <v>30</v>
      </c>
      <c r="H272" s="15">
        <v>9</v>
      </c>
      <c r="I272" s="15"/>
      <c r="J272" s="15"/>
      <c r="K272" s="76">
        <f t="shared" si="8"/>
        <v>0</v>
      </c>
      <c r="L272" s="76">
        <f t="shared" si="9"/>
        <v>0</v>
      </c>
    </row>
    <row r="273" spans="4:12" x14ac:dyDescent="0.25">
      <c r="D273" s="75">
        <v>2022</v>
      </c>
      <c r="G273" s="15">
        <v>30</v>
      </c>
      <c r="H273" s="15">
        <v>9</v>
      </c>
      <c r="I273" s="15"/>
      <c r="J273" s="15"/>
      <c r="K273" s="76">
        <f t="shared" si="8"/>
        <v>0</v>
      </c>
      <c r="L273" s="76">
        <f t="shared" si="9"/>
        <v>0</v>
      </c>
    </row>
    <row r="274" spans="4:12" x14ac:dyDescent="0.25">
      <c r="D274" s="75">
        <v>2022</v>
      </c>
      <c r="G274" s="15">
        <v>30</v>
      </c>
      <c r="H274" s="15">
        <v>9</v>
      </c>
      <c r="I274" s="15"/>
      <c r="J274" s="15"/>
      <c r="K274" s="76">
        <f t="shared" si="8"/>
        <v>0</v>
      </c>
      <c r="L274" s="76">
        <f t="shared" si="9"/>
        <v>0</v>
      </c>
    </row>
    <row r="275" spans="4:12" x14ac:dyDescent="0.25">
      <c r="D275" s="75">
        <v>2022</v>
      </c>
      <c r="G275" s="15">
        <v>30</v>
      </c>
      <c r="H275" s="15">
        <v>9</v>
      </c>
      <c r="I275" s="15"/>
      <c r="J275" s="15"/>
      <c r="K275" s="76">
        <f t="shared" si="8"/>
        <v>0</v>
      </c>
      <c r="L275" s="76">
        <f t="shared" si="9"/>
        <v>0</v>
      </c>
    </row>
    <row r="276" spans="4:12" x14ac:dyDescent="0.25">
      <c r="D276" s="75">
        <v>2022</v>
      </c>
      <c r="G276" s="15">
        <v>30</v>
      </c>
      <c r="H276" s="15">
        <v>9</v>
      </c>
      <c r="I276" s="15"/>
      <c r="J276" s="15"/>
      <c r="K276" s="76">
        <f t="shared" si="8"/>
        <v>0</v>
      </c>
      <c r="L276" s="76">
        <f t="shared" si="9"/>
        <v>0</v>
      </c>
    </row>
    <row r="277" spans="4:12" x14ac:dyDescent="0.25">
      <c r="D277" s="75">
        <v>2022</v>
      </c>
      <c r="G277" s="15">
        <v>30</v>
      </c>
      <c r="H277" s="15">
        <v>9</v>
      </c>
      <c r="I277" s="15"/>
      <c r="J277" s="15"/>
      <c r="K277" s="76">
        <f t="shared" si="8"/>
        <v>0</v>
      </c>
      <c r="L277" s="76">
        <f t="shared" si="9"/>
        <v>0</v>
      </c>
    </row>
    <row r="278" spans="4:12" x14ac:dyDescent="0.25">
      <c r="D278" s="75">
        <v>2022</v>
      </c>
      <c r="G278" s="15">
        <v>30</v>
      </c>
      <c r="H278" s="15">
        <v>9</v>
      </c>
      <c r="I278" s="15"/>
      <c r="J278" s="15"/>
      <c r="K278" s="76">
        <f t="shared" si="8"/>
        <v>0</v>
      </c>
      <c r="L278" s="76">
        <f t="shared" si="9"/>
        <v>0</v>
      </c>
    </row>
    <row r="279" spans="4:12" x14ac:dyDescent="0.25">
      <c r="D279" s="75">
        <v>2022</v>
      </c>
      <c r="G279" s="15">
        <v>30</v>
      </c>
      <c r="H279" s="15">
        <v>9</v>
      </c>
      <c r="I279" s="15"/>
      <c r="J279" s="15"/>
      <c r="K279" s="76">
        <f t="shared" si="8"/>
        <v>0</v>
      </c>
      <c r="L279" s="76">
        <f t="shared" si="9"/>
        <v>0</v>
      </c>
    </row>
    <row r="280" spans="4:12" x14ac:dyDescent="0.25">
      <c r="D280" s="75">
        <v>2022</v>
      </c>
      <c r="G280" s="15">
        <v>30</v>
      </c>
      <c r="H280" s="15">
        <v>9</v>
      </c>
      <c r="I280" s="15"/>
      <c r="J280" s="15"/>
      <c r="K280" s="76">
        <f t="shared" si="8"/>
        <v>0</v>
      </c>
      <c r="L280" s="76">
        <f t="shared" si="9"/>
        <v>0</v>
      </c>
    </row>
    <row r="281" spans="4:12" x14ac:dyDescent="0.25">
      <c r="D281" s="75">
        <v>2022</v>
      </c>
      <c r="G281" s="15">
        <v>30</v>
      </c>
      <c r="H281" s="15">
        <v>9</v>
      </c>
      <c r="I281" s="15"/>
      <c r="J281" s="15"/>
      <c r="K281" s="76">
        <f t="shared" si="8"/>
        <v>0</v>
      </c>
      <c r="L281" s="76">
        <f t="shared" si="9"/>
        <v>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10"/>
  <sheetViews>
    <sheetView workbookViewId="0">
      <selection activeCell="A6" sqref="A6"/>
    </sheetView>
  </sheetViews>
  <sheetFormatPr defaultRowHeight="15" x14ac:dyDescent="0.25"/>
  <cols>
    <col min="1" max="1" width="16.85546875" bestFit="1" customWidth="1"/>
    <col min="2" max="2" width="28.140625" bestFit="1" customWidth="1"/>
  </cols>
  <sheetData>
    <row r="1" spans="1:2" x14ac:dyDescent="0.25">
      <c r="A1" s="91" t="s">
        <v>42</v>
      </c>
      <c r="B1" t="s" vm="6">
        <v>1095</v>
      </c>
    </row>
    <row r="3" spans="1:2" x14ac:dyDescent="0.25">
      <c r="A3" s="91" t="s">
        <v>541</v>
      </c>
      <c r="B3" t="s">
        <v>489</v>
      </c>
    </row>
    <row r="4" spans="1:2" x14ac:dyDescent="0.25">
      <c r="A4" s="92" t="s">
        <v>22</v>
      </c>
      <c r="B4" s="102">
        <v>6</v>
      </c>
    </row>
    <row r="5" spans="1:2" x14ac:dyDescent="0.25">
      <c r="A5" s="92" t="s">
        <v>1</v>
      </c>
      <c r="B5" s="102">
        <v>4</v>
      </c>
    </row>
    <row r="6" spans="1:2" x14ac:dyDescent="0.25">
      <c r="A6" s="92" t="s">
        <v>599</v>
      </c>
      <c r="B6" s="102">
        <v>14</v>
      </c>
    </row>
    <row r="7" spans="1:2" x14ac:dyDescent="0.25">
      <c r="A7" s="92" t="s">
        <v>19</v>
      </c>
      <c r="B7" s="102">
        <v>6</v>
      </c>
    </row>
    <row r="8" spans="1:2" x14ac:dyDescent="0.25">
      <c r="A8" s="92" t="s">
        <v>11</v>
      </c>
      <c r="B8" s="102">
        <v>6</v>
      </c>
    </row>
    <row r="9" spans="1:2" x14ac:dyDescent="0.25">
      <c r="A9" s="92" t="s">
        <v>111</v>
      </c>
      <c r="B9" s="102">
        <v>9</v>
      </c>
    </row>
    <row r="10" spans="1:2" x14ac:dyDescent="0.25">
      <c r="A10" s="92" t="s">
        <v>407</v>
      </c>
      <c r="B10" s="102">
        <v>45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23"/>
  <sheetViews>
    <sheetView topLeftCell="A7" workbookViewId="0">
      <selection activeCell="O1" sqref="O1"/>
    </sheetView>
  </sheetViews>
  <sheetFormatPr defaultRowHeight="15" x14ac:dyDescent="0.25"/>
  <cols>
    <col min="1" max="1" width="18" bestFit="1" customWidth="1"/>
    <col min="2" max="2" width="16" bestFit="1" customWidth="1"/>
    <col min="4" max="4" width="12.85546875" customWidth="1"/>
    <col min="5" max="5" width="12.140625" bestFit="1" customWidth="1"/>
  </cols>
  <sheetData>
    <row r="1" spans="1:11" x14ac:dyDescent="0.25">
      <c r="A1" t="s">
        <v>109</v>
      </c>
    </row>
    <row r="2" spans="1:11" x14ac:dyDescent="0.25">
      <c r="A2" s="4" t="s">
        <v>110</v>
      </c>
      <c r="B2" s="4" t="s">
        <v>116</v>
      </c>
      <c r="C2" s="4" t="s">
        <v>113</v>
      </c>
      <c r="D2" s="4" t="s">
        <v>114</v>
      </c>
      <c r="E2" s="4" t="s">
        <v>115</v>
      </c>
      <c r="F2" s="4" t="s">
        <v>70</v>
      </c>
      <c r="G2" s="4" t="s">
        <v>80</v>
      </c>
      <c r="H2" s="4" t="s">
        <v>71</v>
      </c>
      <c r="I2" s="4" t="s">
        <v>72</v>
      </c>
      <c r="J2" s="4" t="s">
        <v>81</v>
      </c>
      <c r="K2" s="4" t="s">
        <v>112</v>
      </c>
    </row>
    <row r="3" spans="1:11" x14ac:dyDescent="0.25">
      <c r="A3" t="s">
        <v>22</v>
      </c>
      <c r="B3" s="15">
        <v>5</v>
      </c>
      <c r="C3" s="15">
        <f ca="1">Table1456[[#This Row],[Days worked]]*$C$20</f>
        <v>3750</v>
      </c>
      <c r="D3" s="15">
        <f ca="1">Table1456[[#This Row],[Days worked]]*$C$21</f>
        <v>750</v>
      </c>
      <c r="E3" s="7">
        <f ca="1">$C$22*Table1456[[#This Row],[Days worked]]</f>
        <v>300</v>
      </c>
      <c r="F3" s="19"/>
      <c r="G3" s="7"/>
      <c r="H3" s="7"/>
      <c r="I3" s="7"/>
      <c r="J3" s="7"/>
      <c r="K3" s="7"/>
    </row>
    <row r="4" spans="1:11" x14ac:dyDescent="0.25">
      <c r="A4" t="s">
        <v>1</v>
      </c>
      <c r="B4" s="15">
        <v>5</v>
      </c>
      <c r="C4" s="15">
        <f ca="1">Table1456[[#This Row],[Days worked]]*$C$20</f>
        <v>750</v>
      </c>
      <c r="D4" s="15">
        <f ca="1">Table1456[[#This Row],[Days worked]]*$C$21</f>
        <v>750</v>
      </c>
      <c r="E4" s="7">
        <f ca="1">$C$22*Table1456[[#This Row],[Days worked]]</f>
        <v>300</v>
      </c>
      <c r="F4" s="19">
        <v>5</v>
      </c>
      <c r="G4" s="7"/>
      <c r="H4" s="7"/>
      <c r="I4" s="7"/>
      <c r="J4" s="8"/>
      <c r="K4" s="7"/>
    </row>
    <row r="5" spans="1:11" x14ac:dyDescent="0.25">
      <c r="A5" t="s">
        <v>15</v>
      </c>
      <c r="B5" s="15">
        <v>3</v>
      </c>
      <c r="C5" s="15">
        <f ca="1">Table1456[[#This Row],[Days worked]]*$C$20</f>
        <v>450</v>
      </c>
      <c r="D5" s="15">
        <f ca="1">Table1456[[#This Row],[Days worked]]*$C$21</f>
        <v>450</v>
      </c>
      <c r="E5" s="7">
        <f ca="1">$C$22*Table1456[[#This Row],[Days worked]]</f>
        <v>180</v>
      </c>
      <c r="F5" s="19"/>
      <c r="G5" s="7"/>
      <c r="H5" s="7"/>
      <c r="I5" s="6"/>
      <c r="J5" s="6"/>
      <c r="K5" s="7"/>
    </row>
    <row r="6" spans="1:11" x14ac:dyDescent="0.25">
      <c r="A6" t="s">
        <v>19</v>
      </c>
      <c r="B6" s="15">
        <v>5</v>
      </c>
      <c r="C6" s="15">
        <f ca="1">Table1456[[#This Row],[Days worked]]*$C$20</f>
        <v>750</v>
      </c>
      <c r="D6" s="15">
        <f ca="1">Table1456[[#This Row],[Days worked]]*$C$21</f>
        <v>750</v>
      </c>
      <c r="E6" s="7">
        <f ca="1">$C$22*Table1456[[#This Row],[Days worked]]</f>
        <v>300</v>
      </c>
      <c r="F6" s="19">
        <v>2</v>
      </c>
      <c r="G6" s="7"/>
      <c r="H6" s="7"/>
      <c r="I6" s="18"/>
      <c r="J6" s="14"/>
      <c r="K6" s="7"/>
    </row>
    <row r="7" spans="1:11" x14ac:dyDescent="0.25">
      <c r="A7" t="s">
        <v>11</v>
      </c>
      <c r="B7" s="15">
        <v>5</v>
      </c>
      <c r="C7" s="15">
        <f ca="1">Table1456[[#This Row],[Days worked]]*$C$20</f>
        <v>750</v>
      </c>
      <c r="D7" s="15">
        <f ca="1">Table1456[[#This Row],[Days worked]]*$C$21</f>
        <v>750</v>
      </c>
      <c r="E7" s="7">
        <f ca="1">$C$22*Table1456[[#This Row],[Days worked]]</f>
        <v>300</v>
      </c>
      <c r="F7" s="19">
        <v>2</v>
      </c>
      <c r="G7" s="7"/>
      <c r="H7" s="7"/>
      <c r="I7" s="9"/>
      <c r="J7" s="14"/>
      <c r="K7" s="7"/>
    </row>
    <row r="8" spans="1:11" x14ac:dyDescent="0.25">
      <c r="A8" t="s">
        <v>16</v>
      </c>
      <c r="B8" s="15">
        <v>5</v>
      </c>
      <c r="C8" s="15">
        <f ca="1">Table1456[[#This Row],[Days worked]]*$C$20</f>
        <v>750</v>
      </c>
      <c r="D8" s="15">
        <f ca="1">Table1456[[#This Row],[Days worked]]*$C$21</f>
        <v>750</v>
      </c>
      <c r="E8" s="7">
        <f ca="1">$C$22*Table1456[[#This Row],[Days worked]]</f>
        <v>300</v>
      </c>
      <c r="F8" s="19">
        <v>1</v>
      </c>
      <c r="G8" s="7"/>
      <c r="H8" s="7"/>
      <c r="I8" s="9"/>
      <c r="J8" s="14"/>
      <c r="K8" s="7"/>
    </row>
    <row r="9" spans="1:11" x14ac:dyDescent="0.25">
      <c r="A9" t="s">
        <v>111</v>
      </c>
      <c r="B9" s="19">
        <v>2</v>
      </c>
      <c r="C9" s="15">
        <f ca="1">Table1456[[#This Row],[Days worked]]*$C$20</f>
        <v>300</v>
      </c>
      <c r="D9" s="15">
        <f ca="1">Table1456[[#This Row],[Days worked]]*$C$21</f>
        <v>300</v>
      </c>
      <c r="E9" s="7">
        <f ca="1">$C$22*Table1456[[#This Row],[Days worked]]</f>
        <v>120</v>
      </c>
      <c r="F9" s="19"/>
      <c r="G9" s="7"/>
      <c r="H9" s="7"/>
      <c r="I9" s="9"/>
      <c r="J9" s="9"/>
      <c r="K9" s="7"/>
    </row>
    <row r="10" spans="1:11" x14ac:dyDescent="0.25">
      <c r="B10" s="16">
        <f>SUBTOTAL(101,Table1456[Days worked])</f>
        <v>4.2857142857142856</v>
      </c>
      <c r="C10" s="17">
        <f ca="1">SUBTOTAL(109,Table1456[Target Reach])</f>
        <v>7500</v>
      </c>
      <c r="D10" s="17">
        <f ca="1">SUBTOTAL(109,Table1456[Target Conversion])</f>
        <v>4500</v>
      </c>
      <c r="E10" s="11">
        <f ca="1">SUBTOTAL(109,Table1456[Target Order])</f>
        <v>1800</v>
      </c>
      <c r="F10" s="17">
        <f>SUBTOTAL(109,Table1456[Outlets Visited])</f>
        <v>10</v>
      </c>
      <c r="G10" s="12">
        <f>SUBTOTAL(109,Table1456[Outlets with Order])</f>
        <v>0</v>
      </c>
      <c r="H10" s="12">
        <f>SUBTOTAL(109,Table1456[Order])</f>
        <v>0</v>
      </c>
      <c r="I10" s="12">
        <f>SUBTOTAL(109,Table1456[Delivery])</f>
        <v>0</v>
      </c>
      <c r="J10" s="12">
        <f>SUBTOTAL(109,Table1456[Non- Delivered])</f>
        <v>0</v>
      </c>
      <c r="K10" s="13"/>
    </row>
    <row r="11" spans="1:11" x14ac:dyDescent="0.25">
      <c r="B11" t="s">
        <v>117</v>
      </c>
      <c r="C11" s="19">
        <v>30</v>
      </c>
    </row>
    <row r="12" spans="1:11" x14ac:dyDescent="0.25">
      <c r="B12" t="s">
        <v>118</v>
      </c>
      <c r="C12" s="19">
        <v>9</v>
      </c>
      <c r="F12" s="10"/>
    </row>
    <row r="13" spans="1:11" x14ac:dyDescent="0.25">
      <c r="B13" t="s">
        <v>119</v>
      </c>
      <c r="C13" s="20">
        <v>38350</v>
      </c>
      <c r="F13" s="10"/>
    </row>
    <row r="14" spans="1:11" x14ac:dyDescent="0.25">
      <c r="A14" t="s">
        <v>75</v>
      </c>
    </row>
    <row r="15" spans="1:11" x14ac:dyDescent="0.25">
      <c r="A15" s="4" t="s">
        <v>110</v>
      </c>
      <c r="B15" s="4" t="s">
        <v>116</v>
      </c>
      <c r="C15" s="4" t="s">
        <v>113</v>
      </c>
      <c r="D15" s="4" t="s">
        <v>114</v>
      </c>
      <c r="E15" s="4" t="s">
        <v>115</v>
      </c>
      <c r="F15" s="4" t="s">
        <v>70</v>
      </c>
      <c r="G15" s="4" t="s">
        <v>80</v>
      </c>
      <c r="H15" s="4" t="s">
        <v>71</v>
      </c>
      <c r="I15" s="4" t="s">
        <v>72</v>
      </c>
      <c r="J15" s="4" t="s">
        <v>81</v>
      </c>
      <c r="K15" s="4" t="s">
        <v>112</v>
      </c>
    </row>
    <row r="16" spans="1:11" x14ac:dyDescent="0.25">
      <c r="A16" t="s">
        <v>22</v>
      </c>
      <c r="B16" s="15">
        <v>5</v>
      </c>
      <c r="C16" s="15">
        <f ca="1">Table145[[#This Row],[Days worked]]*$C$20</f>
        <v>750</v>
      </c>
      <c r="D16" s="15">
        <f ca="1">Table145[[#This Row],[Days worked]]*$C$21</f>
        <v>3750</v>
      </c>
      <c r="E16" s="7">
        <f ca="1">$C$22*Table145[[#This Row],[Days worked]]</f>
        <v>1500</v>
      </c>
      <c r="F16" s="19"/>
      <c r="G16" s="7"/>
      <c r="H16" s="7"/>
      <c r="I16" s="7"/>
      <c r="J16" s="7"/>
      <c r="K16" s="7"/>
    </row>
    <row r="17" spans="1:11" x14ac:dyDescent="0.25">
      <c r="A17" t="s">
        <v>1</v>
      </c>
      <c r="B17" s="15">
        <v>5</v>
      </c>
      <c r="C17" s="15">
        <f ca="1">Table145[[#This Row],[Days worked]]*$C$20</f>
        <v>750</v>
      </c>
      <c r="D17" s="15">
        <f ca="1">Table145[[#This Row],[Days worked]]*$C$21</f>
        <v>750</v>
      </c>
      <c r="E17" s="7">
        <f ca="1">$C$22*Table145[[#This Row],[Days worked]]</f>
        <v>300</v>
      </c>
      <c r="F17" s="19">
        <v>5</v>
      </c>
      <c r="G17" s="7"/>
      <c r="H17" s="7"/>
      <c r="I17" s="7"/>
      <c r="J17" s="8"/>
      <c r="K17" s="7"/>
    </row>
    <row r="18" spans="1:11" x14ac:dyDescent="0.25">
      <c r="A18" t="s">
        <v>15</v>
      </c>
      <c r="B18" s="15">
        <v>3</v>
      </c>
      <c r="C18" s="15">
        <f ca="1">Table145[[#This Row],[Days worked]]*$C$20</f>
        <v>450</v>
      </c>
      <c r="D18" s="15">
        <f ca="1">Table145[[#This Row],[Days worked]]*$C$21</f>
        <v>450</v>
      </c>
      <c r="E18" s="7">
        <f ca="1">$C$22*Table145[[#This Row],[Days worked]]</f>
        <v>180</v>
      </c>
      <c r="F18" s="19"/>
      <c r="G18" s="7"/>
      <c r="H18" s="7"/>
      <c r="I18" s="6"/>
      <c r="J18" s="6"/>
      <c r="K18" s="7"/>
    </row>
    <row r="19" spans="1:11" x14ac:dyDescent="0.25">
      <c r="A19" t="s">
        <v>19</v>
      </c>
      <c r="B19" s="15">
        <v>5</v>
      </c>
      <c r="C19" s="15">
        <f ca="1">Table145[[#This Row],[Days worked]]*$C$20</f>
        <v>750</v>
      </c>
      <c r="D19" s="15">
        <f ca="1">Table145[[#This Row],[Days worked]]*$C$21</f>
        <v>750</v>
      </c>
      <c r="E19" s="7">
        <f ca="1">$C$22*Table145[[#This Row],[Days worked]]</f>
        <v>300</v>
      </c>
      <c r="F19" s="19">
        <v>2</v>
      </c>
      <c r="G19" s="7"/>
      <c r="H19" s="7"/>
      <c r="I19" s="18"/>
      <c r="J19" s="14"/>
      <c r="K19" s="7"/>
    </row>
    <row r="20" spans="1:11" x14ac:dyDescent="0.25">
      <c r="A20" t="s">
        <v>11</v>
      </c>
      <c r="B20" s="15">
        <v>5</v>
      </c>
      <c r="C20" s="15">
        <f ca="1">Table145[[#This Row],[Days worked]]*$C$20</f>
        <v>750</v>
      </c>
      <c r="D20" s="15">
        <f ca="1">Table145[[#This Row],[Days worked]]*$C$21</f>
        <v>750</v>
      </c>
      <c r="E20" s="7">
        <f ca="1">$C$22*Table145[[#This Row],[Days worked]]</f>
        <v>300</v>
      </c>
      <c r="F20" s="19">
        <v>2</v>
      </c>
      <c r="G20" s="7"/>
      <c r="H20" s="7"/>
      <c r="I20" s="9"/>
      <c r="J20" s="14"/>
      <c r="K20" s="7"/>
    </row>
    <row r="21" spans="1:11" x14ac:dyDescent="0.25">
      <c r="A21" t="s">
        <v>16</v>
      </c>
      <c r="B21" s="15">
        <v>5</v>
      </c>
      <c r="C21" s="15">
        <f ca="1">Table145[[#This Row],[Days worked]]*$C$20</f>
        <v>750</v>
      </c>
      <c r="D21" s="15">
        <f ca="1">Table145[[#This Row],[Days worked]]*$C$21</f>
        <v>750</v>
      </c>
      <c r="E21" s="7">
        <f ca="1">$C$22*Table145[[#This Row],[Days worked]]</f>
        <v>300</v>
      </c>
      <c r="F21" s="19">
        <v>1</v>
      </c>
      <c r="G21" s="7"/>
      <c r="H21" s="7"/>
      <c r="I21" s="9"/>
      <c r="J21" s="14"/>
      <c r="K21" s="7"/>
    </row>
    <row r="22" spans="1:11" x14ac:dyDescent="0.25">
      <c r="A22" t="s">
        <v>111</v>
      </c>
      <c r="B22" s="19">
        <v>2</v>
      </c>
      <c r="C22" s="15">
        <f ca="1">Table145[[#This Row],[Days worked]]*$C$20</f>
        <v>300</v>
      </c>
      <c r="D22" s="15">
        <f ca="1">Table145[[#This Row],[Days worked]]*$C$21</f>
        <v>300</v>
      </c>
      <c r="E22" s="7">
        <f ca="1">$C$22*Table145[[#This Row],[Days worked]]</f>
        <v>120</v>
      </c>
      <c r="F22" s="19"/>
      <c r="G22" s="7"/>
      <c r="H22" s="7"/>
      <c r="I22" s="9"/>
      <c r="J22" s="9"/>
      <c r="K22" s="7"/>
    </row>
    <row r="23" spans="1:11" x14ac:dyDescent="0.25">
      <c r="B23" s="16">
        <f>SUBTOTAL(101,Table145[Days worked])</f>
        <v>4.2857142857142856</v>
      </c>
      <c r="C23" s="17">
        <f ca="1">SUBTOTAL(109,Table145[Target Reach])</f>
        <v>3900</v>
      </c>
      <c r="D23" s="17">
        <f ca="1">SUBTOTAL(109,Table145[Target Conversion])</f>
        <v>7500</v>
      </c>
      <c r="E23" s="11">
        <f ca="1">SUBTOTAL(109,Table145[Target Order])</f>
        <v>3000</v>
      </c>
      <c r="F23" s="17">
        <f>SUBTOTAL(109,Table145[Outlets Visited])</f>
        <v>10</v>
      </c>
      <c r="G23" s="12">
        <f>SUBTOTAL(109,Table145[Outlets with Order])</f>
        <v>0</v>
      </c>
      <c r="H23" s="12">
        <f>SUBTOTAL(109,Table145[Order])</f>
        <v>0</v>
      </c>
      <c r="I23" s="12">
        <f>SUBTOTAL(109,Table145[Delivery])</f>
        <v>0</v>
      </c>
      <c r="J23" s="12">
        <f>SUBTOTAL(109,Table145[Non- Delivered])</f>
        <v>0</v>
      </c>
      <c r="K23" s="13"/>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I17"/>
  <sheetViews>
    <sheetView zoomScale="80" zoomScaleNormal="80" workbookViewId="0">
      <selection activeCell="G8" sqref="G8"/>
    </sheetView>
  </sheetViews>
  <sheetFormatPr defaultRowHeight="15" x14ac:dyDescent="0.25"/>
  <cols>
    <col min="5" max="5" width="13.28515625" bestFit="1" customWidth="1"/>
    <col min="6" max="6" width="11.28515625" bestFit="1" customWidth="1"/>
    <col min="7" max="7" width="11.5703125" bestFit="1" customWidth="1"/>
    <col min="9" max="9" width="13.28515625" bestFit="1" customWidth="1"/>
  </cols>
  <sheetData>
    <row r="1" spans="2:9" x14ac:dyDescent="0.25">
      <c r="B1" s="162" t="s">
        <v>909</v>
      </c>
    </row>
    <row r="2" spans="2:9" x14ac:dyDescent="0.25">
      <c r="B2" t="s">
        <v>179</v>
      </c>
      <c r="C2">
        <v>2022</v>
      </c>
    </row>
    <row r="4" spans="2:9" x14ac:dyDescent="0.25">
      <c r="B4" t="s">
        <v>178</v>
      </c>
      <c r="C4" t="s">
        <v>179</v>
      </c>
      <c r="D4" t="s">
        <v>871</v>
      </c>
      <c r="E4" t="s">
        <v>296</v>
      </c>
    </row>
    <row r="5" spans="2:9" x14ac:dyDescent="0.25">
      <c r="B5" t="s">
        <v>862</v>
      </c>
      <c r="C5">
        <f>$C$2</f>
        <v>2022</v>
      </c>
      <c r="D5">
        <v>26</v>
      </c>
      <c r="E5" s="46">
        <v>0</v>
      </c>
    </row>
    <row r="6" spans="2:9" x14ac:dyDescent="0.25">
      <c r="B6" t="s">
        <v>177</v>
      </c>
      <c r="C6">
        <f t="shared" ref="C6:C16" si="0">$C$2</f>
        <v>2022</v>
      </c>
      <c r="D6">
        <v>28</v>
      </c>
      <c r="E6" s="46">
        <v>6000000</v>
      </c>
      <c r="F6" s="113"/>
      <c r="G6" s="153"/>
    </row>
    <row r="7" spans="2:9" x14ac:dyDescent="0.25">
      <c r="B7" t="s">
        <v>784</v>
      </c>
      <c r="C7">
        <f t="shared" si="0"/>
        <v>2022</v>
      </c>
      <c r="D7">
        <v>26</v>
      </c>
      <c r="E7" s="46">
        <v>6604000</v>
      </c>
      <c r="I7" s="45"/>
    </row>
    <row r="8" spans="2:9" x14ac:dyDescent="0.25">
      <c r="B8" t="s">
        <v>863</v>
      </c>
      <c r="C8">
        <f t="shared" si="0"/>
        <v>2022</v>
      </c>
      <c r="E8" s="46"/>
    </row>
    <row r="9" spans="2:9" x14ac:dyDescent="0.25">
      <c r="B9" t="s">
        <v>861</v>
      </c>
      <c r="C9">
        <f t="shared" si="0"/>
        <v>2022</v>
      </c>
      <c r="E9" s="46"/>
    </row>
    <row r="10" spans="2:9" x14ac:dyDescent="0.25">
      <c r="B10" t="s">
        <v>864</v>
      </c>
      <c r="C10">
        <f t="shared" si="0"/>
        <v>2022</v>
      </c>
      <c r="E10" s="46"/>
    </row>
    <row r="11" spans="2:9" x14ac:dyDescent="0.25">
      <c r="B11" t="s">
        <v>865</v>
      </c>
      <c r="C11">
        <f t="shared" si="0"/>
        <v>2022</v>
      </c>
      <c r="E11" s="46"/>
    </row>
    <row r="12" spans="2:9" x14ac:dyDescent="0.25">
      <c r="B12" t="s">
        <v>866</v>
      </c>
      <c r="C12">
        <f t="shared" si="0"/>
        <v>2022</v>
      </c>
      <c r="E12" s="46"/>
    </row>
    <row r="13" spans="2:9" x14ac:dyDescent="0.25">
      <c r="B13" t="s">
        <v>867</v>
      </c>
      <c r="C13">
        <f t="shared" si="0"/>
        <v>2022</v>
      </c>
      <c r="E13" s="46"/>
    </row>
    <row r="14" spans="2:9" x14ac:dyDescent="0.25">
      <c r="B14" t="s">
        <v>868</v>
      </c>
      <c r="C14">
        <f t="shared" si="0"/>
        <v>2022</v>
      </c>
      <c r="E14" s="46"/>
    </row>
    <row r="15" spans="2:9" x14ac:dyDescent="0.25">
      <c r="B15" t="s">
        <v>869</v>
      </c>
      <c r="C15">
        <f t="shared" si="0"/>
        <v>2022</v>
      </c>
      <c r="E15" s="46"/>
    </row>
    <row r="16" spans="2:9" x14ac:dyDescent="0.25">
      <c r="B16" t="s">
        <v>870</v>
      </c>
      <c r="C16">
        <f t="shared" si="0"/>
        <v>2022</v>
      </c>
      <c r="E16" s="46"/>
    </row>
    <row r="17" spans="2:5" x14ac:dyDescent="0.25">
      <c r="B17" s="244" t="s">
        <v>572</v>
      </c>
      <c r="C17" s="244"/>
      <c r="D17" s="155"/>
      <c r="E17" s="156">
        <f>SUM(E5:E16)</f>
        <v>12604000</v>
      </c>
    </row>
  </sheetData>
  <mergeCells count="1">
    <mergeCell ref="B17:C17"/>
  </mergeCells>
  <dataValidations count="1">
    <dataValidation type="list" allowBlank="1" showInputMessage="1" showErrorMessage="1" sqref="C2">
      <formula1>"2022,2023,2024,2025"</formula1>
    </dataValidation>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O42"/>
  <sheetViews>
    <sheetView zoomScale="75" zoomScaleNormal="75" workbookViewId="0">
      <pane xSplit="1" ySplit="14" topLeftCell="B24" activePane="bottomRight" state="frozen"/>
      <selection pane="topRight" activeCell="B1" sqref="B1"/>
      <selection pane="bottomLeft" activeCell="A15" sqref="A15"/>
      <selection pane="bottomRight" activeCell="E29" sqref="E29"/>
    </sheetView>
  </sheetViews>
  <sheetFormatPr defaultRowHeight="15" x14ac:dyDescent="0.25"/>
  <cols>
    <col min="1" max="1" width="17.7109375" bestFit="1" customWidth="1"/>
    <col min="2" max="2" width="14.42578125" bestFit="1" customWidth="1"/>
    <col min="3" max="3" width="19.5703125" bestFit="1" customWidth="1"/>
    <col min="4" max="4" width="14.42578125" bestFit="1" customWidth="1"/>
    <col min="5" max="6" width="13" bestFit="1" customWidth="1"/>
    <col min="7" max="7" width="14.42578125" bestFit="1" customWidth="1"/>
    <col min="8" max="8" width="17.85546875" bestFit="1" customWidth="1"/>
    <col min="9" max="9" width="14" bestFit="1" customWidth="1"/>
    <col min="10" max="10" width="12.42578125" bestFit="1" customWidth="1"/>
    <col min="11" max="11" width="14.42578125" bestFit="1" customWidth="1"/>
    <col min="12" max="12" width="11.5703125" bestFit="1" customWidth="1"/>
    <col min="13" max="13" width="17.85546875" bestFit="1" customWidth="1"/>
    <col min="14" max="14" width="16.28515625" bestFit="1" customWidth="1"/>
  </cols>
  <sheetData>
    <row r="3" spans="1:15" x14ac:dyDescent="0.25">
      <c r="G3" s="237" t="s">
        <v>224</v>
      </c>
      <c r="H3" s="237"/>
      <c r="I3" s="237"/>
      <c r="J3" s="237"/>
      <c r="K3" s="237"/>
      <c r="L3" s="237"/>
    </row>
    <row r="4" spans="1:15" ht="21" x14ac:dyDescent="0.35">
      <c r="A4" s="248" t="str">
        <f>Dashboard!$A$7</f>
        <v>Week 7</v>
      </c>
      <c r="B4" s="248"/>
      <c r="C4" s="248"/>
      <c r="D4" s="248"/>
      <c r="F4" s="249" t="str">
        <f>A5</f>
        <v>KPIs</v>
      </c>
      <c r="G4" s="239" t="s">
        <v>226</v>
      </c>
      <c r="H4" s="239"/>
      <c r="I4" s="239"/>
      <c r="J4" s="240" t="s">
        <v>227</v>
      </c>
      <c r="K4" s="240"/>
      <c r="L4" s="240"/>
    </row>
    <row r="5" spans="1:15" x14ac:dyDescent="0.25">
      <c r="A5" s="42" t="str">
        <f>Dashboard!A8</f>
        <v>KPIs</v>
      </c>
      <c r="B5" s="43" t="s">
        <v>160</v>
      </c>
      <c r="C5" s="43" t="s">
        <v>161</v>
      </c>
      <c r="D5" s="43" t="s">
        <v>162</v>
      </c>
      <c r="F5" s="249"/>
      <c r="G5" s="43" t="s">
        <v>160</v>
      </c>
      <c r="H5" s="43" t="s">
        <v>161</v>
      </c>
      <c r="I5" s="43" t="s">
        <v>162</v>
      </c>
      <c r="J5" s="59" t="s">
        <v>160</v>
      </c>
      <c r="K5" s="59" t="s">
        <v>161</v>
      </c>
      <c r="L5" s="59" t="s">
        <v>162</v>
      </c>
    </row>
    <row r="6" spans="1:15" x14ac:dyDescent="0.25">
      <c r="A6" s="2" t="s">
        <v>533</v>
      </c>
      <c r="B6" s="36">
        <f>Dashboard!B9</f>
        <v>1524000</v>
      </c>
      <c r="C6" s="36">
        <f>Dashboard!C9</f>
        <v>233951</v>
      </c>
      <c r="D6" s="38">
        <f>Dashboard!D9</f>
        <v>0.15351115485564304</v>
      </c>
      <c r="F6" s="64" t="s">
        <v>71</v>
      </c>
      <c r="G6" s="61">
        <f>B6*4</f>
        <v>6096000</v>
      </c>
      <c r="H6" s="61">
        <f>SUMIFS(Data!$J:$J,Data!$C:$C,Dashboard!$D$6,Data!$D:$D,Dashboard!$B$6)</f>
        <v>1089674</v>
      </c>
      <c r="I6" s="62">
        <f>IFERROR(H6/G6,"")</f>
        <v>0.17875229658792652</v>
      </c>
      <c r="J6" s="85">
        <f>G6*12</f>
        <v>73152000</v>
      </c>
      <c r="K6" s="63">
        <f>SUMIF(Data!$D:$D,Dashboard!$B$6,Data!$J:$J)</f>
        <v>4556151</v>
      </c>
      <c r="L6" s="86">
        <f>IFERROR(K6/J6,"")</f>
        <v>6.2283341535433072E-2</v>
      </c>
    </row>
    <row r="7" spans="1:15" x14ac:dyDescent="0.25">
      <c r="A7" s="2" t="s">
        <v>164</v>
      </c>
      <c r="B7" s="36">
        <f>Dashboard!B10</f>
        <v>1080</v>
      </c>
      <c r="C7" s="36">
        <f>Dashboard!C10</f>
        <v>159</v>
      </c>
      <c r="D7" s="38">
        <f>Dashboard!D10</f>
        <v>0.14722222222222223</v>
      </c>
      <c r="F7" s="64" t="s">
        <v>228</v>
      </c>
      <c r="G7" s="61">
        <f>B7*4</f>
        <v>4320</v>
      </c>
      <c r="H7" s="60">
        <f>Dashboard!H10</f>
        <v>1734</v>
      </c>
      <c r="I7" s="62">
        <f t="shared" ref="I7:I8" si="0">IFERROR(H7/G7,"")</f>
        <v>0.40138888888888891</v>
      </c>
      <c r="J7" s="85">
        <f>G7*12</f>
        <v>51840</v>
      </c>
      <c r="K7" s="63">
        <f>Dashboard!K10</f>
        <v>4249</v>
      </c>
      <c r="L7" s="86">
        <f t="shared" ref="L7:L8" si="1">IFERROR(K7/J7,"")</f>
        <v>8.1963734567901236E-2</v>
      </c>
    </row>
    <row r="8" spans="1:15" x14ac:dyDescent="0.25">
      <c r="A8" s="2" t="s">
        <v>225</v>
      </c>
      <c r="B8" s="36">
        <f>Dashboard!B11</f>
        <v>324</v>
      </c>
      <c r="C8" s="36">
        <f>Dashboard!C11</f>
        <v>45</v>
      </c>
      <c r="D8" s="38">
        <f>Dashboard!D11</f>
        <v>0.1388888888888889</v>
      </c>
      <c r="F8" s="64" t="s">
        <v>225</v>
      </c>
      <c r="G8" s="61">
        <f>B8*4</f>
        <v>1296</v>
      </c>
      <c r="H8" s="60">
        <f>Dashboard!H11</f>
        <v>437</v>
      </c>
      <c r="I8" s="62">
        <f t="shared" si="0"/>
        <v>0.33719135802469136</v>
      </c>
      <c r="J8" s="85">
        <f>G8*12</f>
        <v>15552</v>
      </c>
      <c r="K8" s="63">
        <f>Dashboard!K11</f>
        <v>1220</v>
      </c>
      <c r="L8" s="86">
        <f t="shared" si="1"/>
        <v>7.8446502057613166E-2</v>
      </c>
    </row>
    <row r="9" spans="1:15" x14ac:dyDescent="0.25">
      <c r="A9" s="2" t="s">
        <v>534</v>
      </c>
      <c r="B9" s="36">
        <f>Dashboard!B12</f>
        <v>233951</v>
      </c>
      <c r="C9" s="36">
        <f>Dashboard!C12</f>
        <v>0</v>
      </c>
      <c r="D9" s="38">
        <f>Dashboard!D12</f>
        <v>0</v>
      </c>
      <c r="N9" s="46"/>
      <c r="O9" s="10"/>
    </row>
    <row r="13" spans="1:15" ht="21" x14ac:dyDescent="0.35">
      <c r="B13" s="248" t="str">
        <f>$A$4</f>
        <v>Week 7</v>
      </c>
      <c r="C13" s="248"/>
      <c r="D13" s="248"/>
      <c r="E13" s="248"/>
      <c r="G13" s="237" t="s">
        <v>540</v>
      </c>
      <c r="H13" s="237"/>
      <c r="I13" s="237"/>
      <c r="J13" s="237"/>
      <c r="L13" s="237" t="s">
        <v>539</v>
      </c>
      <c r="M13" s="237"/>
      <c r="N13" s="237"/>
      <c r="O13" s="237"/>
    </row>
    <row r="14" spans="1:15" x14ac:dyDescent="0.25">
      <c r="A14" s="108" t="s">
        <v>174</v>
      </c>
      <c r="B14" s="2" t="s">
        <v>163</v>
      </c>
      <c r="C14" s="2" t="s">
        <v>537</v>
      </c>
      <c r="D14" s="2" t="s">
        <v>77</v>
      </c>
      <c r="E14" s="2" t="s">
        <v>538</v>
      </c>
      <c r="G14" s="2" t="s">
        <v>163</v>
      </c>
      <c r="H14" s="2" t="s">
        <v>537</v>
      </c>
      <c r="I14" s="2" t="s">
        <v>77</v>
      </c>
      <c r="J14" s="2" t="s">
        <v>538</v>
      </c>
      <c r="L14" s="2" t="s">
        <v>163</v>
      </c>
      <c r="M14" s="2" t="s">
        <v>537</v>
      </c>
      <c r="N14" s="2" t="s">
        <v>77</v>
      </c>
      <c r="O14" s="2" t="s">
        <v>538</v>
      </c>
    </row>
    <row r="15" spans="1:15" x14ac:dyDescent="0.25">
      <c r="A15" t="s">
        <v>22</v>
      </c>
      <c r="B15" s="1">
        <f>SUMIFS('Reach Data'!$I:$I,'Reach Data'!$F:$F,REPORT!A15,'Reach Data'!$C:$C,Dashboard!$D$6,'Reach Data'!$D:$D,Dashboard!$B$6,'Reach Data'!$E:$E,Dashboard!$A$7)</f>
        <v>35</v>
      </c>
      <c r="C15" s="46">
        <f>SUMIFS('Productive Outlets'!$B$5:B11,'Productive Outlets'!$A$5:A11,REPORT!A15)</f>
        <v>23</v>
      </c>
      <c r="D15" s="46">
        <f>SUMIFS(Data!$J:$J,Data!$E:$E,REPORT!A15,Data!$D:$D,Dashboard!$B$6,Data!$K:$K,Dashboard!$A$7)</f>
        <v>55568</v>
      </c>
      <c r="G15">
        <f>SUMIFS('Reach Data'!$I:$I,'Reach Data'!$F:$F,REPORT!A15,'Reach Data'!$C:$C,Dashboard!$D$6,'Reach Data'!$D:$D,Dashboard!$B$6)</f>
        <v>385</v>
      </c>
      <c r="H15">
        <f>SUMIFS('Productive Outlets'!$E$5:E12,'Productive Outlets'!$D$5:D12,REPORT!A15)</f>
        <v>36</v>
      </c>
      <c r="I15" s="46">
        <f>SUMIFS(Data!$J:$J,Data!$E:$E,REPORT!A15,Data!$C:$C,Dashboard!$D$6,Data!$D:$D,Dashboard!$B$6)</f>
        <v>206813</v>
      </c>
      <c r="L15">
        <f>SUMIFS('Reach Data'!$I:$I,'Reach Data'!$F:$F,REPORT!A15,'Reach Data'!$D:$D,Dashboard!$B$6)</f>
        <v>1054</v>
      </c>
      <c r="M15">
        <f>SUMIFS('Productive Outlets'!$H$5:H12,'Productive Outlets'!$G$5:G12,REPORT!A15)</f>
        <v>0.12222222222222222</v>
      </c>
      <c r="N15" s="46">
        <f>SUMIFS(Data!$J:$J,Data!$E:$E,REPORT!A15,Data!$D:$D,Dashboard!$B$6)</f>
        <v>1067623</v>
      </c>
    </row>
    <row r="16" spans="1:15" x14ac:dyDescent="0.25">
      <c r="A16" t="s">
        <v>1</v>
      </c>
      <c r="B16" s="1">
        <f>SUMIFS('Reach Data'!$I:$I,'Reach Data'!$F:$F,REPORT!A16,'Reach Data'!$C:$C,Dashboard!$D$6,'Reach Data'!$D:$D,Dashboard!$B$6,'Reach Data'!$E:$E,Dashboard!$A$7)</f>
        <v>30</v>
      </c>
      <c r="C16" s="46">
        <f>SUMIFS('Productive Outlets'!$B$5:B12,'Productive Outlets'!$A$5:A12,REPORT!A16)</f>
        <v>17</v>
      </c>
      <c r="D16" s="46">
        <f>SUMIFS(Data!$J:$J,Data!$E:$E,REPORT!A16,Data!$D:$D,Dashboard!$B$6,Data!$K:$K,Dashboard!$A$7)</f>
        <v>37655</v>
      </c>
      <c r="G16">
        <f>SUMIFS('Reach Data'!$I:$I,'Reach Data'!$F:$F,REPORT!A16,'Reach Data'!$C:$C,Dashboard!$D$6,'Reach Data'!$D:$D,Dashboard!$B$6)</f>
        <v>247</v>
      </c>
      <c r="H16">
        <f>SUMIFS('Productive Outlets'!$E$5:E13,'Productive Outlets'!$D$5:D13,REPORT!A16)</f>
        <v>28</v>
      </c>
      <c r="I16" s="46">
        <f>SUMIFS(Data!$J:$J,Data!$E:$E,REPORT!A16,Data!$C:$C,Dashboard!$D$6,Data!$D:$D,Dashboard!$B$6)</f>
        <v>234505</v>
      </c>
      <c r="L16">
        <f>SUMIFS('Reach Data'!$I:$I,'Reach Data'!$F:$F,REPORT!A16,'Reach Data'!$D:$D,Dashboard!$B$6)</f>
        <v>509</v>
      </c>
      <c r="M16">
        <f>SUMIFS('Productive Outlets'!$H$5:H13,'Productive Outlets'!$G$5:G13,REPORT!A16)</f>
        <v>0.10740740740740741</v>
      </c>
      <c r="N16" s="46">
        <f>SUMIFS(Data!$J:$J,Data!$E:$E,REPORT!A16,Data!$D:$D,Dashboard!$B$6)</f>
        <v>1371073</v>
      </c>
    </row>
    <row r="17" spans="1:15" x14ac:dyDescent="0.25">
      <c r="A17" t="s">
        <v>19</v>
      </c>
      <c r="B17" s="1">
        <f>SUMIFS('Reach Data'!$I:$I,'Reach Data'!$F:$F,REPORT!A17,'Reach Data'!$C:$C,Dashboard!$D$6,'Reach Data'!$D:$D,Dashboard!$B$6,'Reach Data'!$E:$E,Dashboard!$A$7)</f>
        <v>6</v>
      </c>
      <c r="C17" s="46">
        <f>SUMIFS('Productive Outlets'!$B$5:B13,'Productive Outlets'!$A$5:A13,REPORT!A17)</f>
        <v>40</v>
      </c>
      <c r="D17" s="46">
        <f>SUMIFS(Data!$J:$J,Data!$E:$E,REPORT!A17,Data!$D:$D,Dashboard!$B$6,Data!$K:$K,Dashboard!$A$7)</f>
        <v>30578</v>
      </c>
      <c r="G17">
        <f>SUMIFS('Reach Data'!$I:$I,'Reach Data'!$F:$F,REPORT!A17,'Reach Data'!$C:$C,Dashboard!$D$6,'Reach Data'!$D:$D,Dashboard!$B$6)</f>
        <v>243</v>
      </c>
      <c r="H17">
        <f>SUMIFS('Productive Outlets'!$E$5:E14,'Productive Outlets'!$D$5:D14,REPORT!A17)</f>
        <v>61</v>
      </c>
      <c r="I17" s="46">
        <f>SUMIFS(Data!$J:$J,Data!$E:$E,REPORT!A17,Data!$C:$C,Dashboard!$D$6,Data!$D:$D,Dashboard!$B$6)</f>
        <v>162211</v>
      </c>
      <c r="L17">
        <f>SUMIFS('Reach Data'!$I:$I,'Reach Data'!$F:$F,REPORT!A17,'Reach Data'!$D:$D,Dashboard!$B$6)</f>
        <v>849</v>
      </c>
      <c r="M17">
        <f>SUMIFS('Productive Outlets'!$H$5:H14,'Productive Outlets'!$G$5:G14,REPORT!A17)</f>
        <v>0.17037037037037037</v>
      </c>
      <c r="N17" s="46">
        <f>SUMIFS(Data!$J:$J,Data!$E:$E,REPORT!A17,Data!$D:$D,Dashboard!$B$6)</f>
        <v>489406</v>
      </c>
    </row>
    <row r="18" spans="1:15" x14ac:dyDescent="0.25">
      <c r="A18" t="s">
        <v>11</v>
      </c>
      <c r="B18" s="1">
        <f>SUMIFS('Reach Data'!$I:$I,'Reach Data'!$F:$F,REPORT!A18,'Reach Data'!$C:$C,Dashboard!$D$6,'Reach Data'!$D:$D,Dashboard!$B$6,'Reach Data'!$E:$E,Dashboard!$A$7)</f>
        <v>23</v>
      </c>
      <c r="C18" s="46">
        <f>SUMIFS('Productive Outlets'!$B$5:B14,'Productive Outlets'!$A$5:A14,REPORT!A18)</f>
        <v>24</v>
      </c>
      <c r="D18" s="46">
        <f>SUMIFS(Data!$J:$J,Data!$E:$E,REPORT!A18,Data!$D:$D,Dashboard!$B$6,Data!$K:$K,Dashboard!$A$7)</f>
        <v>33285</v>
      </c>
      <c r="G18">
        <f>SUMIFS('Reach Data'!$I:$I,'Reach Data'!$F:$F,REPORT!A18,'Reach Data'!$C:$C,Dashboard!$D$6,'Reach Data'!$D:$D,Dashboard!$B$6)</f>
        <v>198</v>
      </c>
      <c r="H18">
        <f>SUMIFS('Productive Outlets'!$E$5:E15,'Productive Outlets'!$D$5:D15,REPORT!A18)</f>
        <v>39</v>
      </c>
      <c r="I18" s="46">
        <f>SUMIFS(Data!$J:$J,Data!$E:$E,REPORT!A18,Data!$C:$C,Dashboard!$D$6,Data!$D:$D,Dashboard!$B$6)</f>
        <v>141580</v>
      </c>
      <c r="L18">
        <f>SUMIFS('Reach Data'!$I:$I,'Reach Data'!$F:$F,REPORT!A18,'Reach Data'!$D:$D,Dashboard!$B$6)</f>
        <v>370</v>
      </c>
      <c r="M18">
        <f>SUMIFS('Productive Outlets'!$H$5:H15,'Productive Outlets'!$G$5:G15,REPORT!A18)</f>
        <v>0.21111111111111111</v>
      </c>
      <c r="N18" s="46">
        <f>SUMIFS(Data!$J:$J,Data!$E:$E,REPORT!A18,Data!$D:$D,Dashboard!$B$6)</f>
        <v>474570</v>
      </c>
    </row>
    <row r="19" spans="1:15" x14ac:dyDescent="0.25">
      <c r="A19" t="s">
        <v>16</v>
      </c>
      <c r="B19" s="1">
        <f>SUMIFS('Reach Data'!$I:$I,'Reach Data'!$F:$F,REPORT!A19,'Reach Data'!$C:$C,Dashboard!$D$6,'Reach Data'!$D:$D,Dashboard!$B$6,'Reach Data'!$E:$E,Dashboard!$A$7)</f>
        <v>0</v>
      </c>
      <c r="C19" s="46">
        <f>SUMIFS('Productive Outlets'!$B$5:B15,'Productive Outlets'!$A$5:A15,REPORT!A19)</f>
        <v>0</v>
      </c>
      <c r="D19" s="46">
        <f>SUMIFS(Data!$J:$J,Data!$E:$E,REPORT!A19,Data!$D:$D,Dashboard!$B$6,Data!$K:$K,Dashboard!$A$7)</f>
        <v>0</v>
      </c>
      <c r="G19">
        <f>SUMIFS('Reach Data'!$I:$I,'Reach Data'!$F:$F,REPORT!A19,'Reach Data'!$C:$C,Dashboard!$D$6,'Reach Data'!$D:$D,Dashboard!$B$6)</f>
        <v>0</v>
      </c>
      <c r="H19">
        <f>SUMIFS('Productive Outlets'!$E$5:E16,'Productive Outlets'!$D$5:D16,REPORT!A19)</f>
        <v>0</v>
      </c>
      <c r="I19" s="46">
        <f>SUMIFS(Data!$J:$J,Data!$E:$E,REPORT!A19,Data!$C:$C,Dashboard!$D$6,Data!$D:$D,Dashboard!$B$6)</f>
        <v>0</v>
      </c>
      <c r="L19">
        <f>SUMIFS('Reach Data'!$I:$I,'Reach Data'!$F:$F,REPORT!A19,'Reach Data'!$D:$D,Dashboard!$B$6)</f>
        <v>76</v>
      </c>
      <c r="M19">
        <f>SUMIFS('Productive Outlets'!$H$5:H16,'Productive Outlets'!$G$5:G16,REPORT!A19)</f>
        <v>7.5925925925925924E-2</v>
      </c>
      <c r="N19" s="46">
        <f>SUMIFS(Data!$J:$J,Data!$E:$E,REPORT!A19,Data!$D:$D,Dashboard!$B$6)</f>
        <v>248740</v>
      </c>
    </row>
    <row r="20" spans="1:15" x14ac:dyDescent="0.25">
      <c r="A20" t="s">
        <v>111</v>
      </c>
      <c r="B20" s="1">
        <f>SUMIFS('Reach Data'!$I:$I,'Reach Data'!$F:$F,REPORT!A20,'Reach Data'!$C:$C,Dashboard!$D$6,'Reach Data'!$D:$D,Dashboard!$B$6,'Reach Data'!$E:$E,Dashboard!$A$7)</f>
        <v>32</v>
      </c>
      <c r="C20" s="46">
        <f>SUMIFS('Productive Outlets'!$B$5:B16,'Productive Outlets'!$A$5:A16,REPORT!A20)</f>
        <v>21</v>
      </c>
      <c r="D20" s="46">
        <f>SUMIFS(Data!$J:$J,Data!$E:$E,REPORT!A20,Data!$D:$D,Dashboard!$B$6,Data!$K:$K,Dashboard!$A$7)</f>
        <v>28730</v>
      </c>
      <c r="G20">
        <f>SUMIFS('Reach Data'!$I:$I,'Reach Data'!$F:$F,REPORT!A20,'Reach Data'!$C:$C,Dashboard!$D$6,'Reach Data'!$D:$D,Dashboard!$B$6)</f>
        <v>319</v>
      </c>
      <c r="H20">
        <f>SUMIFS('Productive Outlets'!$E$5:E17,'Productive Outlets'!$D$5:D17,REPORT!A20)</f>
        <v>31</v>
      </c>
      <c r="I20" s="46">
        <f>SUMIFS(Data!$J:$J,Data!$E:$E,REPORT!A20,Data!$C:$C,Dashboard!$D$6,Data!$D:$D,Dashboard!$B$6)</f>
        <v>126665</v>
      </c>
      <c r="L20">
        <f>SUMIFS('Reach Data'!$I:$I,'Reach Data'!$F:$F,REPORT!A20,'Reach Data'!$D:$D,Dashboard!$B$6)</f>
        <v>874</v>
      </c>
      <c r="M20">
        <f>SUMIFS('Productive Outlets'!$H$5:H17,'Productive Outlets'!$G$5:G17,REPORT!A20)</f>
        <v>0.17407407407407408</v>
      </c>
      <c r="N20" s="46">
        <f>SUMIFS(Data!$J:$J,Data!$E:$E,REPORT!A20,Data!$D:$D,Dashboard!$B$6)</f>
        <v>545745</v>
      </c>
    </row>
    <row r="21" spans="1:15" x14ac:dyDescent="0.25">
      <c r="A21" t="s">
        <v>536</v>
      </c>
      <c r="B21" s="1">
        <f>SUMIFS('Reach Data'!$I:$I,'Reach Data'!$F:$F,REPORT!A21,'Reach Data'!$C:$C,Dashboard!$D$6,'Reach Data'!$D:$D,Dashboard!$B$6,'Reach Data'!$E:$E,Dashboard!$A$7)</f>
        <v>0</v>
      </c>
      <c r="C21" s="46">
        <f>SUMIFS('Productive Outlets'!$B$5:B17,'Productive Outlets'!$A$5:A17,REPORT!A21)</f>
        <v>0</v>
      </c>
      <c r="D21" s="46">
        <f>SUMIFS(Data!$J:$J,Data!$E:$E,REPORT!A21,Data!$D:$D,Dashboard!$B$6,Data!$K:$K,Dashboard!$A$7)</f>
        <v>0</v>
      </c>
      <c r="G21">
        <f>SUMIFS('Reach Data'!$I:$I,'Reach Data'!$F:$F,REPORT!A21,'Reach Data'!$C:$C,Dashboard!$D$6,'Reach Data'!$D:$D,Dashboard!$B$6)</f>
        <v>0</v>
      </c>
      <c r="H21">
        <f>SUMIFS('Productive Outlets'!$E$5:E18,'Productive Outlets'!$D$5:D18,REPORT!A21)</f>
        <v>0</v>
      </c>
      <c r="I21" s="46">
        <f>SUMIFS(Data!$J:$J,Data!$E:$E,REPORT!A21,Data!$C:$C,Dashboard!$D$6,Data!$D:$D,Dashboard!$B$6)</f>
        <v>0</v>
      </c>
      <c r="L21">
        <f>SUMIFS('Reach Data'!$I:$I,'Reach Data'!$F:$F,REPORT!A21,'Reach Data'!$D:$D,Dashboard!$B$6)</f>
        <v>15</v>
      </c>
      <c r="M21">
        <f>SUMIFS('Productive Outlets'!$H$5:H18,'Productive Outlets'!$G$5:G18,REPORT!A21)</f>
        <v>5.5555555555555558E-3</v>
      </c>
      <c r="N21" s="46">
        <f>SUMIFS(Data!$J:$J,Data!$E:$E,REPORT!A21,Data!$D:$D,Dashboard!$B$6)</f>
        <v>7620</v>
      </c>
    </row>
    <row r="22" spans="1:15" x14ac:dyDescent="0.25">
      <c r="A22" t="s">
        <v>599</v>
      </c>
      <c r="B22" s="1">
        <f>SUMIFS('Reach Data'!$I:$I,'Reach Data'!$F:$F,REPORT!A22,'Reach Data'!$C:$C,Dashboard!$D$6,'Reach Data'!$D:$D,Dashboard!$B$6,'Reach Data'!$E:$E,Dashboard!$A$7)</f>
        <v>33</v>
      </c>
      <c r="C22" s="46">
        <f>SUMIFS('Productive Outlets'!$B$5:B18,'Productive Outlets'!$A$5:A18,REPORT!A22)</f>
        <v>0</v>
      </c>
      <c r="D22" s="46">
        <f>SUMIFS(Data!$J:$J,Data!$E:$E,REPORT!A22,Data!$D:$D,Dashboard!$B$6,Data!$K:$K,Dashboard!$A$7)</f>
        <v>48135</v>
      </c>
      <c r="G22">
        <f>SUMIFS('Reach Data'!$I:$I,'Reach Data'!$F:$F,REPORT!A22,'Reach Data'!$C:$C,Dashboard!$D$6,'Reach Data'!$D:$D,Dashboard!$B$6)</f>
        <v>342</v>
      </c>
      <c r="H22">
        <f>SUMIFS('Productive Outlets'!$E$5:E19,'Productive Outlets'!$D$5:D19,REPORT!A22)</f>
        <v>0</v>
      </c>
      <c r="I22" s="46">
        <f>SUMIFS(Data!$J:$J,Data!$E:$E,REPORT!A22,Data!$C:$C,Dashboard!$D$6,Data!$D:$D,Dashboard!$B$6)</f>
        <v>217900</v>
      </c>
      <c r="L22">
        <f>SUMIFS('Reach Data'!$I:$I,'Reach Data'!$F:$F,REPORT!A22,'Reach Data'!$D:$D,Dashboard!$B$6)</f>
        <v>439</v>
      </c>
      <c r="M22">
        <f>SUMIFS('Productive Outlets'!$H$5:H19,'Productive Outlets'!$G$5:G19,REPORT!A22)</f>
        <v>0.17592592592592593</v>
      </c>
      <c r="N22" s="46">
        <f>SUMIFS(Data!$J:$J,Data!$E:$E,REPORT!A22,Data!$D:$D,Dashboard!$B$6)</f>
        <v>344389</v>
      </c>
    </row>
    <row r="23" spans="1:15" x14ac:dyDescent="0.25">
      <c r="A23" s="2" t="s">
        <v>543</v>
      </c>
      <c r="B23" s="3">
        <f>SUM(B15:B22)</f>
        <v>159</v>
      </c>
      <c r="C23" s="3">
        <f t="shared" ref="C23:O23" si="2">SUM(C15:C22)</f>
        <v>125</v>
      </c>
      <c r="D23" s="73">
        <f t="shared" si="2"/>
        <v>233951</v>
      </c>
      <c r="E23" s="3">
        <f t="shared" si="2"/>
        <v>0</v>
      </c>
      <c r="F23" s="3"/>
      <c r="G23" s="3">
        <f t="shared" si="2"/>
        <v>1734</v>
      </c>
      <c r="H23" s="3">
        <f t="shared" si="2"/>
        <v>195</v>
      </c>
      <c r="I23" s="73">
        <f t="shared" si="2"/>
        <v>1089674</v>
      </c>
      <c r="J23" s="3">
        <f t="shared" si="2"/>
        <v>0</v>
      </c>
      <c r="K23" s="3"/>
      <c r="L23" s="3">
        <f t="shared" si="2"/>
        <v>4186</v>
      </c>
      <c r="M23" s="3">
        <f t="shared" si="2"/>
        <v>1.0425925925925927</v>
      </c>
      <c r="N23" s="73">
        <f t="shared" si="2"/>
        <v>4549166</v>
      </c>
      <c r="O23" s="3">
        <f t="shared" si="2"/>
        <v>0</v>
      </c>
    </row>
    <row r="26" spans="1:15" x14ac:dyDescent="0.25">
      <c r="B26" s="246" t="str">
        <f>REPORT!$A$5</f>
        <v>KPIs</v>
      </c>
      <c r="C26" s="246"/>
      <c r="D26" s="247" t="s">
        <v>546</v>
      </c>
      <c r="E26" s="247"/>
    </row>
    <row r="27" spans="1:15" x14ac:dyDescent="0.25">
      <c r="A27" s="72" t="s">
        <v>544</v>
      </c>
      <c r="B27" s="72" t="s">
        <v>77</v>
      </c>
      <c r="C27" s="72" t="s">
        <v>607</v>
      </c>
      <c r="D27" s="72" t="s">
        <v>608</v>
      </c>
      <c r="E27" s="72" t="s">
        <v>610</v>
      </c>
      <c r="F27" s="130" t="s">
        <v>491</v>
      </c>
      <c r="G27" s="130" t="s">
        <v>611</v>
      </c>
    </row>
    <row r="28" spans="1:15" x14ac:dyDescent="0.25">
      <c r="A28" s="92" t="s">
        <v>75</v>
      </c>
      <c r="B28" s="46">
        <f>SUMIFS(Data!$J:$J,Data!$K:$K,REPORT!A28,Data!$C:$C,Dashboard!$D$6,Data!$D:$D,Dashboard!$B$6)</f>
        <v>0</v>
      </c>
      <c r="C28" s="46">
        <f>SUMIFS('Delivery '!$F$3:$F$33,'Delivery '!$B$3:$B$33,Dashboard!$D$6,'Delivery '!$C$3:$C$33,REPORT!A28,'Delivery '!$D$3:$D$33,Dashboard!$B$6)</f>
        <v>0</v>
      </c>
      <c r="D28" s="46">
        <f>B28-C28</f>
        <v>0</v>
      </c>
      <c r="E28" s="10" t="e">
        <f>D28/B28</f>
        <v>#DIV/0!</v>
      </c>
      <c r="F28" s="46"/>
      <c r="G28" s="46">
        <f>SUMIFS('Returns Data'!$J:$J,'Returns Data'!$F:$F,REPORT!A28,'Returns Data'!$E:$E,Dashboard!$D$6)</f>
        <v>0</v>
      </c>
      <c r="J28" s="2"/>
      <c r="K28" s="2" t="s">
        <v>77</v>
      </c>
      <c r="L28" s="2" t="s">
        <v>490</v>
      </c>
      <c r="M28" s="2" t="s">
        <v>741</v>
      </c>
    </row>
    <row r="29" spans="1:15" x14ac:dyDescent="0.25">
      <c r="A29" s="92" t="s">
        <v>222</v>
      </c>
      <c r="B29" s="46">
        <f>SUMIFS(Data!$J:$J,Data!$K:$K,REPORT!A29,Data!$C:$C,Dashboard!$D$6,Data!$D:$D,Dashboard!$B$6)</f>
        <v>0</v>
      </c>
      <c r="C29" s="46">
        <f>SUMIFS('Delivery '!$F$3:$F$33,'Delivery '!$B$3:$B$33,Dashboard!$D$6,'Delivery '!$C$3:$C$33,REPORT!A29,'Delivery '!$D$3:$D$33,Dashboard!$B$6)</f>
        <v>0</v>
      </c>
      <c r="D29" s="46">
        <f t="shared" ref="D29:D31" si="3">B29-C29</f>
        <v>0</v>
      </c>
      <c r="E29" s="10" t="e">
        <f t="shared" ref="E29:E31" si="4">D29/B29</f>
        <v>#DIV/0!</v>
      </c>
      <c r="F29" s="46"/>
      <c r="G29" s="46">
        <f>SUMIFS('Returns Data'!$J:$J,'Returns Data'!$F:$F,REPORT!A29,'Returns Data'!$E:$E,Dashboard!$D$6)</f>
        <v>0</v>
      </c>
      <c r="J29" t="s">
        <v>75</v>
      </c>
      <c r="K29" s="113">
        <f>B28</f>
        <v>0</v>
      </c>
      <c r="L29" s="138">
        <v>296640</v>
      </c>
      <c r="M29" s="113">
        <f>K29-L29</f>
        <v>-296640</v>
      </c>
    </row>
    <row r="30" spans="1:15" x14ac:dyDescent="0.25">
      <c r="A30" s="92" t="s">
        <v>397</v>
      </c>
      <c r="B30" s="46">
        <f>SUMIFS(Data!$J:$J,Data!$K:$K,REPORT!A30,Data!$C:$C,Dashboard!$D$6,Data!$D:$D,Dashboard!$B$6)</f>
        <v>0</v>
      </c>
      <c r="C30" s="46">
        <f>SUMIFS('Delivery '!$F$3:$F$33,'Delivery '!$B$3:$B$33,Dashboard!$D$6,'Delivery '!$C$3:$C$33,REPORT!A30,'Delivery '!$D$3:$D$33,Dashboard!$B$6)</f>
        <v>0</v>
      </c>
      <c r="D30" s="46">
        <f t="shared" si="3"/>
        <v>0</v>
      </c>
      <c r="E30" s="10" t="e">
        <f t="shared" si="4"/>
        <v>#DIV/0!</v>
      </c>
      <c r="F30" s="46"/>
      <c r="G30" s="46">
        <f>SUMIFS('Returns Data'!$J:$J,'Returns Data'!$F:$F,REPORT!A30,'Returns Data'!$E:$E,Dashboard!$D$6)</f>
        <v>0</v>
      </c>
      <c r="J30" t="s">
        <v>222</v>
      </c>
      <c r="K30" s="113">
        <f t="shared" ref="K30:K32" si="5">B29</f>
        <v>0</v>
      </c>
      <c r="L30" s="113">
        <v>720322</v>
      </c>
      <c r="M30" s="113">
        <f t="shared" ref="M30:M32" si="6">K30-L30</f>
        <v>-720322</v>
      </c>
    </row>
    <row r="31" spans="1:15" x14ac:dyDescent="0.25">
      <c r="A31" s="92" t="s">
        <v>545</v>
      </c>
      <c r="B31" s="46">
        <f>SUMIFS(Data!$J:$J,Data!$K:$K,REPORT!A31,Data!$C:$C,Dashboard!$D$6,Data!$D:$D,Dashboard!$B$6)</f>
        <v>0</v>
      </c>
      <c r="C31" s="46">
        <f>SUMIFS('Delivery '!$F$3:$F$33,'Delivery '!$B$3:$B$33,Dashboard!$D$6,'Delivery '!$C$3:$C$33,REPORT!A31,'Delivery '!$D$3:$D$33,Dashboard!$B$6)</f>
        <v>0</v>
      </c>
      <c r="D31" s="46">
        <f t="shared" si="3"/>
        <v>0</v>
      </c>
      <c r="E31" s="10" t="e">
        <f t="shared" si="4"/>
        <v>#DIV/0!</v>
      </c>
      <c r="F31" s="46"/>
      <c r="G31" s="46">
        <f>SUMIFS('Returns Data'!$J:$J,'Returns Data'!$F:$F,REPORT!A31,'Returns Data'!$E:$E,Dashboard!$D$6)</f>
        <v>0</v>
      </c>
      <c r="J31" t="s">
        <v>397</v>
      </c>
      <c r="K31" s="113">
        <f t="shared" si="5"/>
        <v>0</v>
      </c>
      <c r="L31" s="113">
        <f t="shared" ref="L31:L32" si="7">C30</f>
        <v>0</v>
      </c>
      <c r="M31" s="113">
        <f t="shared" si="6"/>
        <v>0</v>
      </c>
    </row>
    <row r="32" spans="1:15" x14ac:dyDescent="0.25">
      <c r="A32" s="2" t="s">
        <v>543</v>
      </c>
      <c r="B32" s="73">
        <f>SUM(B28:B31)</f>
        <v>0</v>
      </c>
      <c r="C32" s="73">
        <f t="shared" ref="C32:D32" si="8">SUM(C28:C31)</f>
        <v>0</v>
      </c>
      <c r="D32" s="73">
        <f t="shared" si="8"/>
        <v>0</v>
      </c>
      <c r="E32" s="118"/>
      <c r="F32" s="73">
        <f>SUM(F28:F31)</f>
        <v>0</v>
      </c>
      <c r="G32" s="73">
        <f>SUM(G28:G31)</f>
        <v>0</v>
      </c>
      <c r="J32" t="s">
        <v>545</v>
      </c>
      <c r="K32" s="113">
        <f t="shared" si="5"/>
        <v>0</v>
      </c>
      <c r="L32" s="113">
        <f t="shared" si="7"/>
        <v>0</v>
      </c>
      <c r="M32" s="113">
        <f t="shared" si="6"/>
        <v>0</v>
      </c>
    </row>
    <row r="33" spans="9:14" x14ac:dyDescent="0.25">
      <c r="J33" s="2" t="s">
        <v>543</v>
      </c>
      <c r="K33" s="129">
        <f>SUM(K29:K32)</f>
        <v>0</v>
      </c>
      <c r="L33" s="129">
        <f>SUM(L29:L32)</f>
        <v>1016962</v>
      </c>
      <c r="M33" s="129">
        <f>SUM(M29:M32)</f>
        <v>-1016962</v>
      </c>
    </row>
    <row r="37" spans="9:14" x14ac:dyDescent="0.25">
      <c r="I37" s="135" t="s">
        <v>757</v>
      </c>
      <c r="J37" s="135" t="s">
        <v>223</v>
      </c>
      <c r="K37" s="135" t="s">
        <v>77</v>
      </c>
      <c r="L37" s="135" t="s">
        <v>490</v>
      </c>
      <c r="M37" s="135" t="s">
        <v>741</v>
      </c>
      <c r="N37" s="135" t="s">
        <v>752</v>
      </c>
    </row>
    <row r="38" spans="9:14" x14ac:dyDescent="0.25">
      <c r="I38" t="s">
        <v>753</v>
      </c>
      <c r="J38" s="75" t="s">
        <v>750</v>
      </c>
      <c r="K38" s="67">
        <f>B28</f>
        <v>0</v>
      </c>
      <c r="L38" s="67">
        <f t="shared" ref="L38:L41" si="9">L29</f>
        <v>296640</v>
      </c>
      <c r="M38" s="67">
        <f>Table1415[[#This Row],[Orders]]-Table1415[[#This Row],[Processed]]</f>
        <v>-296640</v>
      </c>
      <c r="N38" s="76" t="e">
        <f>Table1415[[#This Row],[Non Processed]]/Table1415[[#This Row],[Orders]]</f>
        <v>#DIV/0!</v>
      </c>
    </row>
    <row r="39" spans="9:14" x14ac:dyDescent="0.25">
      <c r="I39" t="s">
        <v>754</v>
      </c>
      <c r="J39" s="75" t="s">
        <v>751</v>
      </c>
      <c r="K39" s="67">
        <f t="shared" ref="K39:K41" si="10">B29</f>
        <v>0</v>
      </c>
      <c r="L39" s="67">
        <f t="shared" si="9"/>
        <v>720322</v>
      </c>
      <c r="M39" s="67">
        <f>Table1415[[#This Row],[Orders]]-Table1415[[#This Row],[Processed]]</f>
        <v>-720322</v>
      </c>
      <c r="N39" s="76" t="e">
        <f>Table1415[[#This Row],[Non Processed]]/Table1415[[#This Row],[Orders]]</f>
        <v>#DIV/0!</v>
      </c>
    </row>
    <row r="40" spans="9:14" x14ac:dyDescent="0.25">
      <c r="I40" t="s">
        <v>755</v>
      </c>
      <c r="J40" s="75" t="s">
        <v>397</v>
      </c>
      <c r="K40" s="67">
        <f t="shared" si="10"/>
        <v>0</v>
      </c>
      <c r="L40" s="67">
        <f>L31</f>
        <v>0</v>
      </c>
      <c r="M40" s="67">
        <f>Table1415[[#This Row],[Orders]]-Table1415[[#This Row],[Processed]]</f>
        <v>0</v>
      </c>
      <c r="N40" s="76" t="e">
        <f>Table1415[[#This Row],[Non Processed]]/Table1415[[#This Row],[Orders]]</f>
        <v>#DIV/0!</v>
      </c>
    </row>
    <row r="41" spans="9:14" x14ac:dyDescent="0.25">
      <c r="I41" t="s">
        <v>756</v>
      </c>
      <c r="J41" s="75" t="s">
        <v>545</v>
      </c>
      <c r="K41" s="67">
        <f t="shared" si="10"/>
        <v>0</v>
      </c>
      <c r="L41" s="67">
        <f t="shared" si="9"/>
        <v>0</v>
      </c>
      <c r="M41" s="67">
        <f>Table1415[[#This Row],[Orders]]-Table1415[[#This Row],[Processed]]</f>
        <v>0</v>
      </c>
      <c r="N41" s="76" t="e">
        <f>Table1415[[#This Row],[Non Processed]]/Table1415[[#This Row],[Orders]]</f>
        <v>#DIV/0!</v>
      </c>
    </row>
    <row r="42" spans="9:14" x14ac:dyDescent="0.25">
      <c r="I42" s="245" t="s">
        <v>543</v>
      </c>
      <c r="J42" s="245"/>
      <c r="K42" s="65">
        <f>SUBTOTAL(109,Table1415[Orders])</f>
        <v>0</v>
      </c>
      <c r="L42" s="65">
        <f>SUBTOTAL(109,Table1415[Processed])</f>
        <v>1016962</v>
      </c>
      <c r="M42" s="65">
        <f>SUBTOTAL(109,Table1415[Non Processed])</f>
        <v>-1016962</v>
      </c>
      <c r="N42" s="140" t="e">
        <f>SUBTOTAL(101,Table1415[% Non Processed])</f>
        <v>#DIV/0!</v>
      </c>
    </row>
  </sheetData>
  <mergeCells count="11">
    <mergeCell ref="I42:J42"/>
    <mergeCell ref="B26:C26"/>
    <mergeCell ref="D26:E26"/>
    <mergeCell ref="A4:D4"/>
    <mergeCell ref="G3:L3"/>
    <mergeCell ref="G4:I4"/>
    <mergeCell ref="J4:L4"/>
    <mergeCell ref="B13:E13"/>
    <mergeCell ref="G13:J13"/>
    <mergeCell ref="L13:O13"/>
    <mergeCell ref="F4:F5"/>
  </mergeCells>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9"/>
  <sheetViews>
    <sheetView showGridLines="0" zoomScale="74" zoomScaleNormal="74" workbookViewId="0">
      <selection activeCell="G36" sqref="G36"/>
    </sheetView>
  </sheetViews>
  <sheetFormatPr defaultRowHeight="15" x14ac:dyDescent="0.25"/>
  <cols>
    <col min="1" max="2" width="9.140625" style="180"/>
    <col min="3" max="3" width="14.42578125" style="180" customWidth="1"/>
    <col min="4" max="4" width="12.85546875" style="180" customWidth="1"/>
    <col min="5" max="5" width="12.28515625" style="180" customWidth="1"/>
    <col min="6" max="6" width="18.140625" style="180" customWidth="1"/>
    <col min="7" max="7" width="24.140625" style="180" customWidth="1"/>
    <col min="8" max="8" width="13" style="180" customWidth="1"/>
    <col min="9" max="9" width="13.28515625" style="180" customWidth="1"/>
    <col min="10" max="10" width="12.140625" style="180" customWidth="1"/>
    <col min="11" max="11" width="12.42578125" style="180" bestFit="1" customWidth="1"/>
    <col min="12" max="12" width="12.140625" style="180" customWidth="1"/>
    <col min="13" max="13" width="13.5703125" style="180" customWidth="1"/>
    <col min="14" max="14" width="9.140625" style="180"/>
    <col min="15" max="16" width="12.42578125" style="180" bestFit="1" customWidth="1"/>
    <col min="17" max="17" width="11.140625" style="180" bestFit="1" customWidth="1"/>
    <col min="18" max="18" width="9.140625" style="180"/>
    <col min="19" max="19" width="11.7109375" style="180" bestFit="1" customWidth="1"/>
    <col min="20" max="20" width="12.42578125" style="180" bestFit="1" customWidth="1"/>
    <col min="21" max="16384" width="9.140625" style="180"/>
  </cols>
  <sheetData>
    <row r="1" spans="1:20" customFormat="1" x14ac:dyDescent="0.25"/>
    <row r="2" spans="1:20" customFormat="1" x14ac:dyDescent="0.25">
      <c r="A2" s="180"/>
      <c r="B2" s="180"/>
      <c r="C2" s="180"/>
      <c r="D2" s="180"/>
      <c r="E2" s="180"/>
      <c r="F2" s="180"/>
      <c r="G2" s="180"/>
      <c r="H2" s="180"/>
      <c r="I2" s="180"/>
      <c r="J2" s="180"/>
      <c r="K2" s="180"/>
      <c r="L2" s="180"/>
      <c r="M2" s="180"/>
      <c r="O2" s="237" t="s">
        <v>224</v>
      </c>
      <c r="P2" s="237"/>
      <c r="Q2" s="237"/>
      <c r="R2" s="237"/>
      <c r="S2" s="237"/>
      <c r="T2" s="237"/>
    </row>
    <row r="3" spans="1:20" customFormat="1" x14ac:dyDescent="0.25">
      <c r="A3" s="180"/>
      <c r="B3" s="181" t="s">
        <v>933</v>
      </c>
      <c r="C3" s="180"/>
      <c r="D3" s="180"/>
      <c r="E3" s="180"/>
      <c r="F3" s="180"/>
      <c r="G3" s="180"/>
      <c r="H3" s="180"/>
      <c r="I3" s="180"/>
      <c r="J3" s="180"/>
      <c r="K3" s="180"/>
      <c r="L3" s="180"/>
      <c r="M3" s="180"/>
      <c r="O3" s="239" t="s">
        <v>226</v>
      </c>
      <c r="P3" s="239"/>
      <c r="Q3" s="239"/>
      <c r="R3" s="240" t="s">
        <v>227</v>
      </c>
      <c r="S3" s="240"/>
      <c r="T3" s="240"/>
    </row>
    <row r="4" spans="1:20" customFormat="1" x14ac:dyDescent="0.25">
      <c r="A4" s="180"/>
      <c r="B4" s="180"/>
      <c r="C4" s="180"/>
      <c r="D4" s="180"/>
      <c r="E4" s="180"/>
      <c r="F4" s="180"/>
      <c r="G4" s="180"/>
      <c r="H4" s="180"/>
      <c r="I4" s="180"/>
      <c r="J4" s="180"/>
      <c r="K4" s="180"/>
      <c r="L4" s="180"/>
      <c r="M4" s="180"/>
      <c r="N4" s="64"/>
      <c r="O4" s="43" t="s">
        <v>160</v>
      </c>
      <c r="P4" s="43" t="s">
        <v>161</v>
      </c>
      <c r="Q4" s="43" t="s">
        <v>162</v>
      </c>
      <c r="R4" s="59" t="s">
        <v>160</v>
      </c>
      <c r="S4" s="59" t="s">
        <v>161</v>
      </c>
      <c r="T4" s="59" t="s">
        <v>162</v>
      </c>
    </row>
    <row r="5" spans="1:20" customFormat="1" x14ac:dyDescent="0.25">
      <c r="A5" s="180"/>
      <c r="B5" s="43" t="s">
        <v>934</v>
      </c>
      <c r="C5" s="43" t="s">
        <v>160</v>
      </c>
      <c r="D5" s="43" t="s">
        <v>161</v>
      </c>
      <c r="E5" s="43" t="s">
        <v>162</v>
      </c>
      <c r="F5" s="180"/>
      <c r="G5" s="180"/>
      <c r="H5" s="180"/>
      <c r="I5" s="180"/>
      <c r="J5" s="180"/>
      <c r="K5" s="180"/>
      <c r="L5" s="180"/>
      <c r="M5" s="180"/>
      <c r="N5" s="64" t="s">
        <v>71</v>
      </c>
      <c r="O5" s="61">
        <f>IF(INDEX(Targets!$C$5:$C$16,MATCH(Dashboard!$D$6,Targets!$B$5:$B$16,0))=Dashboard!$B$6,INDEX(Targets!$E$5:$E$16,MATCH(Dashboard!$D$6,Targets!$B$5:$B$16,0)),"***")</f>
        <v>6604000</v>
      </c>
      <c r="P5" s="61">
        <f>SUMIFS(Data!$J:$J,Data!$C:$C,Dashboard!$D$6,Data!$D:$D,Dashboard!$B$6)</f>
        <v>1089674</v>
      </c>
      <c r="Q5" s="62">
        <f>IFERROR(P5/O5,"")</f>
        <v>0.16500211992731678</v>
      </c>
      <c r="R5" s="85">
        <f>$G$9*12</f>
        <v>0</v>
      </c>
      <c r="S5" s="63">
        <f>SUMIF(Data!$D:$D,Dashboard!$B$6,Data!$J:$J)</f>
        <v>4556151</v>
      </c>
      <c r="T5" s="86" t="str">
        <f>IFERROR(S5/R5,"")</f>
        <v/>
      </c>
    </row>
    <row r="6" spans="1:20" customFormat="1" x14ac:dyDescent="0.25">
      <c r="A6" s="180"/>
      <c r="B6" s="53" t="s">
        <v>533</v>
      </c>
      <c r="C6" s="182">
        <f>Dashboard!$B$5*6</f>
        <v>1524000</v>
      </c>
      <c r="D6" s="183">
        <f>SUMIFS(Data!$J:$J,Data!$D:$D,Dashboard!$B$6,Data!$K:$K,Dashboard!$A$7)</f>
        <v>233951</v>
      </c>
      <c r="E6" s="184">
        <f>IFERROR(D6/C6,"")</f>
        <v>0.15351115485564304</v>
      </c>
      <c r="F6" s="180"/>
      <c r="G6" s="180"/>
      <c r="H6" s="180"/>
      <c r="I6" s="180"/>
      <c r="J6" s="180"/>
      <c r="K6" s="180"/>
      <c r="L6" s="180"/>
      <c r="M6" s="180"/>
      <c r="N6" s="64" t="s">
        <v>228</v>
      </c>
      <c r="O6" s="84">
        <f>$C$7*4</f>
        <v>4320</v>
      </c>
      <c r="P6" s="61">
        <f>SUMIFS('Reach Data'!$I:$I,'Reach Data'!$C:$C,Dashboard!$D$6,'Reach Data'!$D:$D,Dashboard!$B$6)</f>
        <v>1734</v>
      </c>
      <c r="Q6" s="62">
        <f>IFERROR(P6/O6,"")</f>
        <v>0.40138888888888891</v>
      </c>
      <c r="R6" s="85">
        <f>O6*12</f>
        <v>51840</v>
      </c>
      <c r="S6" s="63">
        <f>SUMIFS('Reach Data'!$I:$I,'Reach Data'!$D:$D,Dashboard!$B$6)</f>
        <v>4249</v>
      </c>
      <c r="T6" s="86">
        <f t="shared" ref="T6:T7" si="0">IFERROR(S6/R6,"")</f>
        <v>8.1963734567901236E-2</v>
      </c>
    </row>
    <row r="7" spans="1:20" customFormat="1" x14ac:dyDescent="0.25">
      <c r="A7" s="180"/>
      <c r="B7" s="53" t="s">
        <v>164</v>
      </c>
      <c r="C7" s="182">
        <f>Table11011[[#Totals],[Reach Target]]</f>
        <v>1080</v>
      </c>
      <c r="D7" s="183">
        <f>SUMIFS('Reach Data'!$I:$I,'Reach Data'!$E:$E,Dashboard!$A$7,'Reach Data'!$D:$D,Dashboard!$B$6)</f>
        <v>159</v>
      </c>
      <c r="E7" s="184">
        <f t="shared" ref="E7:E8" si="1">IFERROR(D7/C7,"")</f>
        <v>0.14722222222222223</v>
      </c>
      <c r="F7" s="180"/>
      <c r="G7" s="180"/>
      <c r="H7" s="180"/>
      <c r="I7" s="180"/>
      <c r="J7" s="180"/>
      <c r="K7" s="180"/>
      <c r="L7" s="180"/>
      <c r="M7" s="180"/>
      <c r="N7" s="64" t="s">
        <v>225</v>
      </c>
      <c r="O7" s="84">
        <f>$C$8*4</f>
        <v>1296</v>
      </c>
      <c r="P7" s="61">
        <f>SUMIFS('Reach Data'!$J:$J,'Reach Data'!$C:$C,Dashboard!$D$6,'Reach Data'!$D:$D,Dashboard!$B$6)</f>
        <v>437</v>
      </c>
      <c r="Q7" s="62">
        <f>IFERROR(P7/O7,"")</f>
        <v>0.33719135802469136</v>
      </c>
      <c r="R7" s="85">
        <f>O7*12</f>
        <v>15552</v>
      </c>
      <c r="S7" s="63">
        <f>SUMIFS('Reach Data'!$J:$J,'Reach Data'!$D:$D,Dashboard!$B$6)</f>
        <v>1220</v>
      </c>
      <c r="T7" s="86">
        <f t="shared" si="0"/>
        <v>7.8446502057613166E-2</v>
      </c>
    </row>
    <row r="8" spans="1:20" customFormat="1" x14ac:dyDescent="0.25">
      <c r="A8" s="180"/>
      <c r="B8" s="53" t="s">
        <v>225</v>
      </c>
      <c r="C8" s="182">
        <f>Table11011[[#Totals],[Conversion Target2]]</f>
        <v>324</v>
      </c>
      <c r="D8" s="183">
        <f>SUMIFS('Reach Data'!$J:$J,'Reach Data'!$D:$D,Dashboard!$B$6,'Reach Data'!$E:$E,Dashboard!$A$7)</f>
        <v>45</v>
      </c>
      <c r="E8" s="184">
        <f t="shared" si="1"/>
        <v>0.1388888888888889</v>
      </c>
      <c r="F8" s="180"/>
      <c r="G8" s="180"/>
      <c r="H8" s="180"/>
      <c r="I8" s="180"/>
      <c r="J8" s="180"/>
      <c r="K8" s="180"/>
      <c r="L8" s="180"/>
      <c r="M8" s="180"/>
    </row>
    <row r="9" spans="1:20" customFormat="1" x14ac:dyDescent="0.25">
      <c r="A9" s="180"/>
      <c r="B9" s="180"/>
      <c r="C9" s="180"/>
      <c r="D9" s="180"/>
      <c r="E9" s="180"/>
      <c r="F9" s="180"/>
      <c r="G9" s="180"/>
      <c r="H9" s="180"/>
      <c r="I9" s="180"/>
      <c r="J9" s="180"/>
      <c r="K9" s="180"/>
      <c r="L9" s="180"/>
      <c r="M9" s="180"/>
    </row>
  </sheetData>
  <mergeCells count="3">
    <mergeCell ref="O2:T2"/>
    <mergeCell ref="O3:Q3"/>
    <mergeCell ref="R3:T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Y163"/>
  <sheetViews>
    <sheetView showGridLines="0" topLeftCell="C1" zoomScale="73" zoomScaleNormal="73" workbookViewId="0">
      <selection activeCell="Y2" sqref="Y2"/>
    </sheetView>
  </sheetViews>
  <sheetFormatPr defaultRowHeight="15" x14ac:dyDescent="0.25"/>
  <cols>
    <col min="1" max="1" width="9.140625" customWidth="1"/>
    <col min="2" max="2" width="20.42578125" customWidth="1"/>
    <col min="3" max="3" width="16" customWidth="1"/>
    <col min="4" max="6" width="11.85546875" customWidth="1"/>
    <col min="7" max="7" width="14" bestFit="1" customWidth="1"/>
    <col min="8" max="8" width="9.5703125" bestFit="1" customWidth="1"/>
    <col min="10" max="10" width="11.28515625" customWidth="1"/>
    <col min="11" max="11" width="19.28515625" customWidth="1"/>
    <col min="12" max="14" width="11.85546875" customWidth="1"/>
    <col min="15" max="15" width="12.42578125" customWidth="1"/>
  </cols>
  <sheetData>
    <row r="1" spans="1:25" ht="18.75" x14ac:dyDescent="0.3">
      <c r="B1" s="211" t="s">
        <v>1075</v>
      </c>
      <c r="T1" s="215" t="s">
        <v>1076</v>
      </c>
    </row>
    <row r="2" spans="1:25" ht="18.75" x14ac:dyDescent="0.3">
      <c r="A2" s="212" t="s">
        <v>1059</v>
      </c>
      <c r="B2" s="213" t="s">
        <v>957</v>
      </c>
      <c r="C2" s="2"/>
      <c r="Y2" s="215" t="s">
        <v>1163</v>
      </c>
    </row>
    <row r="3" spans="1:25" x14ac:dyDescent="0.25">
      <c r="B3" s="188" t="s">
        <v>955</v>
      </c>
      <c r="C3" s="190" t="s">
        <v>954</v>
      </c>
      <c r="D3" s="190" t="s">
        <v>956</v>
      </c>
    </row>
    <row r="4" spans="1:25" x14ac:dyDescent="0.25">
      <c r="B4" s="250">
        <v>6604000</v>
      </c>
      <c r="C4" s="113">
        <f>G12</f>
        <v>1222189</v>
      </c>
      <c r="D4" s="189">
        <v>16</v>
      </c>
    </row>
    <row r="5" spans="1:25" ht="19.5" x14ac:dyDescent="0.35">
      <c r="B5" s="250"/>
      <c r="C5" s="76">
        <f>C4/B4</f>
        <v>0.18506798909751665</v>
      </c>
      <c r="D5" s="76">
        <f>D4/26</f>
        <v>0.61538461538461542</v>
      </c>
      <c r="E5" s="192">
        <f>C5-D5</f>
        <v>-0.43031662628709877</v>
      </c>
    </row>
    <row r="6" spans="1:25" x14ac:dyDescent="0.25">
      <c r="B6" s="250"/>
      <c r="E6" s="191"/>
    </row>
    <row r="10" spans="1:25" x14ac:dyDescent="0.25">
      <c r="C10" s="40" t="s">
        <v>949</v>
      </c>
      <c r="D10" s="40" t="s">
        <v>950</v>
      </c>
      <c r="E10" s="40" t="s">
        <v>951</v>
      </c>
      <c r="F10" s="40" t="s">
        <v>952</v>
      </c>
      <c r="G10" s="40" t="s">
        <v>954</v>
      </c>
      <c r="J10" s="46"/>
    </row>
    <row r="11" spans="1:25" x14ac:dyDescent="0.25">
      <c r="B11" s="2" t="s">
        <v>947</v>
      </c>
      <c r="C11" s="46">
        <v>440018</v>
      </c>
      <c r="D11" s="46">
        <v>984820</v>
      </c>
      <c r="E11" s="46">
        <v>929660</v>
      </c>
      <c r="F11" s="46" t="s">
        <v>1061</v>
      </c>
      <c r="G11" s="73">
        <f>SUM(C11:F11)</f>
        <v>2354498</v>
      </c>
    </row>
    <row r="12" spans="1:25" x14ac:dyDescent="0.25">
      <c r="B12" s="2" t="s">
        <v>948</v>
      </c>
      <c r="C12" s="46">
        <v>637408</v>
      </c>
      <c r="D12" s="46">
        <v>350830</v>
      </c>
      <c r="E12" s="46">
        <v>233951</v>
      </c>
      <c r="F12" s="46"/>
      <c r="G12" s="73">
        <f>SUM(C12:F12)</f>
        <v>1222189</v>
      </c>
    </row>
    <row r="13" spans="1:25" x14ac:dyDescent="0.25">
      <c r="B13" s="2" t="s">
        <v>953</v>
      </c>
      <c r="C13" s="205">
        <f>IFERROR((C12-C11)/C12,"")</f>
        <v>0.30967606305537426</v>
      </c>
      <c r="D13" s="205">
        <f>IFERROR((D12-D11)/D12,"")</f>
        <v>-1.8071145569079041</v>
      </c>
      <c r="E13" s="205">
        <f t="shared" ref="E13:G13" si="0">IFERROR((E12-E11)/E12,"")</f>
        <v>-2.9737380904548387</v>
      </c>
      <c r="F13" s="205" t="str">
        <f t="shared" si="0"/>
        <v/>
      </c>
      <c r="G13" s="206">
        <f t="shared" si="0"/>
        <v>-0.9264598192259953</v>
      </c>
    </row>
    <row r="14" spans="1:25" x14ac:dyDescent="0.25">
      <c r="B14" s="2"/>
      <c r="C14" s="207"/>
      <c r="D14" s="207"/>
      <c r="E14" s="207"/>
      <c r="F14" s="207"/>
      <c r="G14" s="208"/>
    </row>
    <row r="15" spans="1:25" x14ac:dyDescent="0.25">
      <c r="B15" s="2"/>
      <c r="C15" s="207"/>
      <c r="D15" s="207"/>
      <c r="E15" s="207"/>
      <c r="F15" s="207"/>
      <c r="G15" s="208"/>
    </row>
    <row r="16" spans="1:25" x14ac:dyDescent="0.25">
      <c r="B16" s="2"/>
      <c r="C16" s="207"/>
      <c r="D16" s="207"/>
      <c r="E16" s="207"/>
      <c r="F16" s="207"/>
      <c r="G16" s="208"/>
    </row>
    <row r="17" spans="2:7" x14ac:dyDescent="0.25">
      <c r="B17" s="203" t="s">
        <v>1060</v>
      </c>
      <c r="C17" s="40" t="s">
        <v>177</v>
      </c>
      <c r="D17" s="40" t="s">
        <v>784</v>
      </c>
      <c r="E17" s="40" t="s">
        <v>407</v>
      </c>
      <c r="F17" s="40" t="s">
        <v>962</v>
      </c>
      <c r="G17" s="40"/>
    </row>
    <row r="18" spans="2:7" x14ac:dyDescent="0.25">
      <c r="B18" s="92" t="s">
        <v>968</v>
      </c>
      <c r="C18" s="113">
        <v>783395</v>
      </c>
      <c r="D18" s="113">
        <v>21510</v>
      </c>
      <c r="E18" s="113">
        <v>804905</v>
      </c>
      <c r="F18" s="187">
        <f>IFERROR((D18-C18)/D18,"")</f>
        <v>-35.420037192003718</v>
      </c>
      <c r="G18" s="208"/>
    </row>
    <row r="19" spans="2:7" x14ac:dyDescent="0.25">
      <c r="B19" s="92" t="s">
        <v>965</v>
      </c>
      <c r="C19" s="113">
        <v>249770</v>
      </c>
      <c r="D19" s="113">
        <v>315353</v>
      </c>
      <c r="E19" s="113">
        <v>565123</v>
      </c>
      <c r="F19" s="187">
        <f>IFERROR((D19-C19)/D19,"")</f>
        <v>0.20796694497911863</v>
      </c>
      <c r="G19" s="208"/>
    </row>
    <row r="20" spans="2:7" x14ac:dyDescent="0.25">
      <c r="B20" s="92" t="s">
        <v>969</v>
      </c>
      <c r="C20" s="113">
        <v>375675</v>
      </c>
      <c r="D20" s="113">
        <v>162210</v>
      </c>
      <c r="E20" s="113">
        <v>537885</v>
      </c>
      <c r="F20" s="187">
        <f t="shared" ref="F20:F40" si="1">IFERROR((D20-C20)/D20,"")</f>
        <v>-1.3159792861105974</v>
      </c>
      <c r="G20" s="208"/>
    </row>
    <row r="21" spans="2:7" x14ac:dyDescent="0.25">
      <c r="B21" s="92" t="s">
        <v>966</v>
      </c>
      <c r="C21" s="113">
        <v>253240</v>
      </c>
      <c r="D21" s="113">
        <v>181945</v>
      </c>
      <c r="E21" s="113">
        <v>435185</v>
      </c>
      <c r="F21" s="187">
        <f t="shared" si="1"/>
        <v>-0.39184918519332768</v>
      </c>
      <c r="G21" s="208"/>
    </row>
    <row r="22" spans="2:7" x14ac:dyDescent="0.25">
      <c r="B22" s="92" t="s">
        <v>967</v>
      </c>
      <c r="C22" s="113">
        <v>306700</v>
      </c>
      <c r="D22" s="113">
        <v>83850</v>
      </c>
      <c r="E22" s="113">
        <v>390550</v>
      </c>
      <c r="F22" s="187">
        <f t="shared" si="1"/>
        <v>-2.6577221228384018</v>
      </c>
      <c r="G22" s="208"/>
    </row>
    <row r="23" spans="2:7" x14ac:dyDescent="0.25">
      <c r="B23" s="92" t="s">
        <v>976</v>
      </c>
      <c r="C23" s="113">
        <v>194180</v>
      </c>
      <c r="D23" s="113">
        <v>112240</v>
      </c>
      <c r="E23" s="113">
        <v>306420</v>
      </c>
      <c r="F23" s="187">
        <f t="shared" si="1"/>
        <v>-0.73004276550249469</v>
      </c>
      <c r="G23" s="208"/>
    </row>
    <row r="24" spans="2:7" x14ac:dyDescent="0.25">
      <c r="B24" s="92" t="s">
        <v>977</v>
      </c>
      <c r="C24" s="113">
        <v>171700</v>
      </c>
      <c r="D24" s="113">
        <v>50820</v>
      </c>
      <c r="E24" s="113">
        <v>222520</v>
      </c>
      <c r="F24" s="187">
        <f t="shared" si="1"/>
        <v>-2.3785911058638329</v>
      </c>
      <c r="G24" s="208"/>
    </row>
    <row r="25" spans="2:7" x14ac:dyDescent="0.25">
      <c r="B25" s="92" t="s">
        <v>972</v>
      </c>
      <c r="C25" s="113">
        <v>61845</v>
      </c>
      <c r="D25" s="113">
        <v>43680</v>
      </c>
      <c r="E25" s="113">
        <v>105525</v>
      </c>
      <c r="F25" s="187">
        <f>IFERROR((D25-C25)/D25,"")</f>
        <v>-0.41586538461538464</v>
      </c>
      <c r="G25" s="208"/>
    </row>
    <row r="26" spans="2:7" x14ac:dyDescent="0.25">
      <c r="B26" s="92" t="s">
        <v>983</v>
      </c>
      <c r="C26" s="113">
        <v>10925</v>
      </c>
      <c r="D26" s="113">
        <v>42170</v>
      </c>
      <c r="E26" s="113">
        <v>53095</v>
      </c>
      <c r="F26" s="187">
        <f t="shared" si="1"/>
        <v>0.74092957078491817</v>
      </c>
      <c r="G26" s="208"/>
    </row>
    <row r="27" spans="2:7" x14ac:dyDescent="0.25">
      <c r="B27" s="92" t="s">
        <v>1054</v>
      </c>
      <c r="C27" s="113"/>
      <c r="D27" s="113">
        <v>38035</v>
      </c>
      <c r="E27" s="113">
        <v>38035</v>
      </c>
      <c r="F27" s="187">
        <f t="shared" si="1"/>
        <v>1</v>
      </c>
      <c r="G27" s="208"/>
    </row>
    <row r="28" spans="2:7" x14ac:dyDescent="0.25">
      <c r="B28" s="92" t="s">
        <v>971</v>
      </c>
      <c r="C28" s="113">
        <v>10180</v>
      </c>
      <c r="D28" s="113">
        <v>10710</v>
      </c>
      <c r="E28" s="113">
        <v>20890</v>
      </c>
      <c r="F28" s="187">
        <f t="shared" si="1"/>
        <v>4.9486461251167131E-2</v>
      </c>
      <c r="G28" s="208"/>
    </row>
    <row r="29" spans="2:7" x14ac:dyDescent="0.25">
      <c r="B29" s="92" t="s">
        <v>984</v>
      </c>
      <c r="C29" s="113">
        <v>19960</v>
      </c>
      <c r="D29" s="113"/>
      <c r="E29" s="113">
        <v>19960</v>
      </c>
      <c r="F29" s="187" t="str">
        <f t="shared" si="1"/>
        <v/>
      </c>
      <c r="G29" s="208"/>
    </row>
    <row r="30" spans="2:7" x14ac:dyDescent="0.25">
      <c r="B30" s="92" t="s">
        <v>973</v>
      </c>
      <c r="C30" s="113">
        <v>9880</v>
      </c>
      <c r="D30" s="113">
        <v>8840</v>
      </c>
      <c r="E30" s="113">
        <v>18720</v>
      </c>
      <c r="F30" s="187">
        <f t="shared" si="1"/>
        <v>-0.11764705882352941</v>
      </c>
      <c r="G30" s="208"/>
    </row>
    <row r="31" spans="2:7" x14ac:dyDescent="0.25">
      <c r="B31" s="92" t="s">
        <v>978</v>
      </c>
      <c r="C31" s="113">
        <v>15510</v>
      </c>
      <c r="D31" s="113"/>
      <c r="E31" s="113">
        <v>15510</v>
      </c>
      <c r="F31" s="187" t="str">
        <f t="shared" si="1"/>
        <v/>
      </c>
      <c r="G31" s="208"/>
    </row>
    <row r="32" spans="2:7" x14ac:dyDescent="0.25">
      <c r="B32" s="92" t="s">
        <v>982</v>
      </c>
      <c r="C32" s="113">
        <v>10380</v>
      </c>
      <c r="D32" s="113">
        <v>2795</v>
      </c>
      <c r="E32" s="113">
        <v>13175</v>
      </c>
      <c r="F32" s="187">
        <f t="shared" si="1"/>
        <v>-2.7137745974955276</v>
      </c>
      <c r="G32" s="208"/>
    </row>
    <row r="33" spans="1:7" x14ac:dyDescent="0.25">
      <c r="B33" s="92" t="s">
        <v>980</v>
      </c>
      <c r="C33" s="113">
        <v>3148</v>
      </c>
      <c r="D33" s="113">
        <v>6530</v>
      </c>
      <c r="E33" s="113">
        <v>9678</v>
      </c>
      <c r="F33" s="187">
        <f t="shared" si="1"/>
        <v>0.51791730474732001</v>
      </c>
      <c r="G33" s="208"/>
    </row>
    <row r="34" spans="1:7" x14ac:dyDescent="0.25">
      <c r="B34" s="92" t="s">
        <v>981</v>
      </c>
      <c r="C34" s="113">
        <v>3720</v>
      </c>
      <c r="D34" s="113">
        <v>5890</v>
      </c>
      <c r="E34" s="113">
        <v>9610</v>
      </c>
      <c r="F34" s="187">
        <f t="shared" si="1"/>
        <v>0.36842105263157893</v>
      </c>
      <c r="G34" s="208"/>
    </row>
    <row r="35" spans="1:7" x14ac:dyDescent="0.25">
      <c r="B35" s="92" t="s">
        <v>974</v>
      </c>
      <c r="C35" s="113">
        <v>1560</v>
      </c>
      <c r="D35" s="113">
        <v>2790</v>
      </c>
      <c r="E35" s="113">
        <v>4350</v>
      </c>
      <c r="F35" s="187"/>
      <c r="G35" s="208"/>
    </row>
    <row r="36" spans="1:7" x14ac:dyDescent="0.25">
      <c r="B36" s="92" t="s">
        <v>975</v>
      </c>
      <c r="C36" s="113">
        <v>1760</v>
      </c>
      <c r="D36" s="113">
        <v>2516</v>
      </c>
      <c r="E36" s="113">
        <v>4276</v>
      </c>
      <c r="F36" s="187"/>
      <c r="G36" s="208"/>
    </row>
    <row r="37" spans="1:7" x14ac:dyDescent="0.25">
      <c r="B37" s="92" t="s">
        <v>970</v>
      </c>
      <c r="C37" s="113">
        <v>2425</v>
      </c>
      <c r="D37" s="113"/>
      <c r="E37" s="113">
        <v>2425</v>
      </c>
      <c r="F37" s="187"/>
      <c r="G37" s="208"/>
    </row>
    <row r="38" spans="1:7" x14ac:dyDescent="0.25">
      <c r="B38" s="92" t="s">
        <v>985</v>
      </c>
      <c r="C38" s="113">
        <v>2295</v>
      </c>
      <c r="D38" s="113"/>
      <c r="E38" s="113">
        <v>2295</v>
      </c>
      <c r="F38" s="187"/>
      <c r="G38" s="208"/>
    </row>
    <row r="39" spans="1:7" x14ac:dyDescent="0.25">
      <c r="B39" s="92" t="s">
        <v>979</v>
      </c>
      <c r="C39" s="113">
        <v>1055</v>
      </c>
      <c r="D39" s="113">
        <v>320</v>
      </c>
      <c r="E39" s="113">
        <v>1375</v>
      </c>
      <c r="F39" s="187">
        <f>IFERROR((D39-C39)/D39,"")</f>
        <v>-2.296875</v>
      </c>
      <c r="G39" s="208"/>
    </row>
    <row r="40" spans="1:7" x14ac:dyDescent="0.25">
      <c r="B40" s="92" t="s">
        <v>892</v>
      </c>
      <c r="C40" s="113">
        <v>260</v>
      </c>
      <c r="D40" s="113"/>
      <c r="E40" s="113">
        <v>260</v>
      </c>
      <c r="F40" s="187" t="str">
        <f t="shared" si="1"/>
        <v/>
      </c>
      <c r="G40" s="208"/>
    </row>
    <row r="41" spans="1:7" x14ac:dyDescent="0.25">
      <c r="B41" s="209" t="s">
        <v>407</v>
      </c>
      <c r="C41" s="156">
        <v>2489563</v>
      </c>
      <c r="D41" s="156">
        <f>SUM(D18:D40)</f>
        <v>1092204</v>
      </c>
      <c r="E41" s="156">
        <f>SUM(C41:D41)</f>
        <v>3581767</v>
      </c>
      <c r="F41" s="206">
        <f>IFERROR((D41-C41)/D41,"")</f>
        <v>-1.2793937762542529</v>
      </c>
      <c r="G41" s="208"/>
    </row>
    <row r="42" spans="1:7" x14ac:dyDescent="0.25">
      <c r="B42" s="2"/>
      <c r="C42" s="207"/>
      <c r="D42" s="207"/>
      <c r="E42" s="207"/>
      <c r="F42" s="207"/>
      <c r="G42" s="208"/>
    </row>
    <row r="43" spans="1:7" x14ac:dyDescent="0.25">
      <c r="B43" s="2"/>
      <c r="C43" s="207"/>
      <c r="D43" s="207"/>
      <c r="E43" s="207"/>
      <c r="F43" s="207"/>
      <c r="G43" s="208"/>
    </row>
    <row r="46" spans="1:7" ht="18.75" x14ac:dyDescent="0.3">
      <c r="A46" s="212" t="s">
        <v>1058</v>
      </c>
      <c r="B46" s="213" t="s">
        <v>958</v>
      </c>
    </row>
    <row r="47" spans="1:7" x14ac:dyDescent="0.25">
      <c r="B47" s="188" t="s">
        <v>955</v>
      </c>
      <c r="C47" s="190" t="s">
        <v>954</v>
      </c>
      <c r="D47" s="190" t="s">
        <v>956</v>
      </c>
    </row>
    <row r="48" spans="1:7" x14ac:dyDescent="0.25">
      <c r="B48" s="251">
        <v>4320</v>
      </c>
      <c r="C48" s="20">
        <f>G55</f>
        <v>1693</v>
      </c>
      <c r="D48" s="75">
        <f>D4</f>
        <v>16</v>
      </c>
    </row>
    <row r="49" spans="2:24" ht="19.5" x14ac:dyDescent="0.35">
      <c r="B49" s="251"/>
      <c r="C49" s="76">
        <f>C48/B48</f>
        <v>0.39189814814814816</v>
      </c>
      <c r="D49" s="76">
        <f>D48/26</f>
        <v>0.61538461538461542</v>
      </c>
      <c r="E49" s="192">
        <f>C49-D49</f>
        <v>-0.22348646723646726</v>
      </c>
    </row>
    <row r="53" spans="2:24" x14ac:dyDescent="0.25">
      <c r="C53" s="40" t="s">
        <v>949</v>
      </c>
      <c r="D53" s="40" t="s">
        <v>950</v>
      </c>
      <c r="E53" s="40" t="s">
        <v>951</v>
      </c>
      <c r="F53" s="40" t="s">
        <v>952</v>
      </c>
      <c r="G53" s="40" t="s">
        <v>954</v>
      </c>
    </row>
    <row r="54" spans="2:24" x14ac:dyDescent="0.25">
      <c r="B54" s="2" t="s">
        <v>947</v>
      </c>
      <c r="C54" s="46">
        <v>443</v>
      </c>
      <c r="D54" s="46">
        <v>496</v>
      </c>
      <c r="E54" s="46" t="s">
        <v>1164</v>
      </c>
      <c r="F54" s="46" t="s">
        <v>1165</v>
      </c>
      <c r="G54" s="73">
        <f>SUM(C54:F54)</f>
        <v>939</v>
      </c>
    </row>
    <row r="55" spans="2:24" x14ac:dyDescent="0.25">
      <c r="B55" s="2" t="s">
        <v>948</v>
      </c>
      <c r="C55" s="46">
        <v>698</v>
      </c>
      <c r="D55" s="46">
        <v>995</v>
      </c>
      <c r="E55" s="46"/>
      <c r="F55" s="46"/>
      <c r="G55" s="73">
        <f>SUM(C55:F55)</f>
        <v>1693</v>
      </c>
    </row>
    <row r="56" spans="2:24" x14ac:dyDescent="0.25">
      <c r="B56" s="204" t="s">
        <v>953</v>
      </c>
      <c r="C56" s="205">
        <f>IFERROR((C55-C54)/C55,"")</f>
        <v>0.3653295128939828</v>
      </c>
      <c r="D56" s="205">
        <f>IFERROR((D55-D54)/D55,"")</f>
        <v>0.50150753768844225</v>
      </c>
      <c r="E56" s="205" t="str">
        <f t="shared" ref="E56:G56" si="2">IFERROR((E55-E54)/E55,"")</f>
        <v/>
      </c>
      <c r="F56" s="205" t="str">
        <f t="shared" si="2"/>
        <v/>
      </c>
      <c r="G56" s="206">
        <f t="shared" si="2"/>
        <v>0.44536326048434732</v>
      </c>
    </row>
    <row r="57" spans="2:24" x14ac:dyDescent="0.25">
      <c r="B57" s="210"/>
      <c r="C57" s="207"/>
      <c r="D57" s="207"/>
      <c r="E57" s="207"/>
      <c r="F57" s="207"/>
      <c r="G57" s="208"/>
    </row>
    <row r="58" spans="2:24" x14ac:dyDescent="0.25">
      <c r="D58" s="207"/>
      <c r="E58" s="207"/>
      <c r="F58" s="207"/>
      <c r="G58" s="208"/>
    </row>
    <row r="59" spans="2:24" x14ac:dyDescent="0.25">
      <c r="B59" s="214" t="s">
        <v>1069</v>
      </c>
      <c r="C59" s="207"/>
      <c r="D59" s="207"/>
      <c r="E59" s="207"/>
      <c r="F59" s="207"/>
      <c r="G59" s="208"/>
    </row>
    <row r="60" spans="2:24" x14ac:dyDescent="0.25">
      <c r="B60" s="91" t="s">
        <v>1068</v>
      </c>
      <c r="C60" t="s">
        <v>1064</v>
      </c>
      <c r="D60" t="s">
        <v>1063</v>
      </c>
      <c r="E60" t="s">
        <v>1062</v>
      </c>
      <c r="F60" s="207"/>
      <c r="G60" s="208"/>
      <c r="K60" s="10"/>
    </row>
    <row r="61" spans="2:24" x14ac:dyDescent="0.25">
      <c r="B61" s="92" t="s">
        <v>137</v>
      </c>
      <c r="C61" s="102">
        <v>35</v>
      </c>
      <c r="D61" s="113">
        <v>146730</v>
      </c>
      <c r="E61" s="102">
        <v>22</v>
      </c>
      <c r="F61" s="207"/>
      <c r="G61" s="208"/>
    </row>
    <row r="62" spans="2:24" x14ac:dyDescent="0.25">
      <c r="B62" s="92" t="s">
        <v>236</v>
      </c>
      <c r="C62" s="102">
        <v>29</v>
      </c>
      <c r="D62" s="113">
        <v>171315</v>
      </c>
      <c r="E62" s="102">
        <v>18</v>
      </c>
      <c r="F62" s="207"/>
      <c r="G62" s="208"/>
    </row>
    <row r="63" spans="2:24" x14ac:dyDescent="0.25">
      <c r="B63" s="92" t="s">
        <v>208</v>
      </c>
      <c r="C63" s="102">
        <v>24</v>
      </c>
      <c r="D63" s="113">
        <v>196835</v>
      </c>
      <c r="E63" s="102">
        <v>16</v>
      </c>
      <c r="F63" s="207"/>
      <c r="G63" s="208"/>
    </row>
    <row r="64" spans="2:24" x14ac:dyDescent="0.25">
      <c r="B64" s="92" t="s">
        <v>44</v>
      </c>
      <c r="C64" s="102">
        <v>25</v>
      </c>
      <c r="D64" s="113">
        <v>27685</v>
      </c>
      <c r="E64" s="102">
        <v>14</v>
      </c>
      <c r="F64" s="207"/>
      <c r="G64" s="208"/>
      <c r="X64" s="10"/>
    </row>
    <row r="65" spans="1:24" x14ac:dyDescent="0.25">
      <c r="B65" s="92" t="s">
        <v>131</v>
      </c>
      <c r="C65" s="102">
        <v>28</v>
      </c>
      <c r="D65" s="113">
        <v>97060</v>
      </c>
      <c r="E65" s="102">
        <v>14</v>
      </c>
      <c r="F65" s="207"/>
      <c r="G65" s="208"/>
      <c r="V65" s="10"/>
      <c r="X65" s="178"/>
    </row>
    <row r="66" spans="1:24" x14ac:dyDescent="0.25">
      <c r="B66" s="92" t="s">
        <v>138</v>
      </c>
      <c r="C66" s="102">
        <v>19</v>
      </c>
      <c r="D66" s="113">
        <v>112580</v>
      </c>
      <c r="E66" s="102">
        <v>11</v>
      </c>
      <c r="F66" s="207"/>
      <c r="G66" s="208"/>
      <c r="U66" s="10"/>
    </row>
    <row r="67" spans="1:24" x14ac:dyDescent="0.25">
      <c r="B67" s="92" t="s">
        <v>1123</v>
      </c>
      <c r="C67" s="102">
        <v>18</v>
      </c>
      <c r="D67" s="113">
        <v>45240</v>
      </c>
      <c r="E67" s="102">
        <v>11</v>
      </c>
      <c r="F67" s="207"/>
      <c r="G67" s="208"/>
    </row>
    <row r="68" spans="1:24" x14ac:dyDescent="0.25">
      <c r="B68" s="92" t="s">
        <v>132</v>
      </c>
      <c r="C68" s="102">
        <v>18</v>
      </c>
      <c r="D68" s="113">
        <v>31485</v>
      </c>
      <c r="E68" s="102">
        <v>10</v>
      </c>
      <c r="F68" s="207"/>
      <c r="G68" s="208"/>
    </row>
    <row r="69" spans="1:24" x14ac:dyDescent="0.25">
      <c r="B69" s="92" t="s">
        <v>260</v>
      </c>
      <c r="C69" s="102">
        <v>18</v>
      </c>
      <c r="D69" s="113">
        <v>14660</v>
      </c>
      <c r="E69" s="102">
        <v>9</v>
      </c>
      <c r="F69" s="207"/>
      <c r="G69" s="208"/>
    </row>
    <row r="70" spans="1:24" x14ac:dyDescent="0.25">
      <c r="B70" s="92" t="s">
        <v>346</v>
      </c>
      <c r="C70" s="102">
        <v>19</v>
      </c>
      <c r="D70" s="113">
        <v>34870</v>
      </c>
      <c r="E70" s="102">
        <v>9</v>
      </c>
      <c r="F70" s="207"/>
      <c r="G70" s="208"/>
    </row>
    <row r="71" spans="1:24" x14ac:dyDescent="0.25">
      <c r="B71" s="92" t="s">
        <v>407</v>
      </c>
      <c r="C71" s="102">
        <v>233</v>
      </c>
      <c r="D71" s="113">
        <v>878460</v>
      </c>
      <c r="E71" s="102">
        <v>40</v>
      </c>
      <c r="F71" s="207"/>
      <c r="G71" s="208"/>
    </row>
    <row r="72" spans="1:24" x14ac:dyDescent="0.25">
      <c r="B72" s="92"/>
      <c r="C72" s="102"/>
      <c r="D72" s="113"/>
      <c r="E72" s="102"/>
      <c r="F72" s="207"/>
      <c r="G72" s="208"/>
    </row>
    <row r="73" spans="1:24" x14ac:dyDescent="0.25">
      <c r="B73" s="92"/>
      <c r="C73" s="102"/>
      <c r="D73" s="113"/>
      <c r="E73" s="102"/>
      <c r="F73" s="207"/>
      <c r="G73" s="208"/>
    </row>
    <row r="74" spans="1:24" x14ac:dyDescent="0.25">
      <c r="B74" s="92"/>
      <c r="C74" s="102"/>
      <c r="D74" s="113"/>
      <c r="E74" s="102"/>
      <c r="F74" s="207"/>
      <c r="G74" s="208"/>
    </row>
    <row r="76" spans="1:24" ht="18.75" x14ac:dyDescent="0.3">
      <c r="A76" s="212" t="s">
        <v>1057</v>
      </c>
      <c r="B76" s="213" t="s">
        <v>1056</v>
      </c>
    </row>
    <row r="77" spans="1:24" x14ac:dyDescent="0.25">
      <c r="B77" s="188" t="s">
        <v>955</v>
      </c>
      <c r="C77" s="190" t="s">
        <v>954</v>
      </c>
      <c r="D77" s="190" t="s">
        <v>956</v>
      </c>
    </row>
    <row r="78" spans="1:24" x14ac:dyDescent="0.25">
      <c r="B78" s="250">
        <v>1296</v>
      </c>
      <c r="C78" s="20">
        <f>G85</f>
        <v>433</v>
      </c>
      <c r="D78" s="75">
        <f>D4</f>
        <v>16</v>
      </c>
    </row>
    <row r="79" spans="1:24" ht="19.5" x14ac:dyDescent="0.35">
      <c r="B79" s="250"/>
      <c r="C79" s="76">
        <f>C78/B78</f>
        <v>0.33410493827160492</v>
      </c>
      <c r="D79" s="76">
        <f>D78/26</f>
        <v>0.61538461538461542</v>
      </c>
      <c r="E79" s="192">
        <f>C79-D79</f>
        <v>-0.2812796771130105</v>
      </c>
    </row>
    <row r="80" spans="1:24" x14ac:dyDescent="0.25">
      <c r="V80" s="10"/>
    </row>
    <row r="83" spans="2:7" x14ac:dyDescent="0.25">
      <c r="C83" s="40" t="s">
        <v>949</v>
      </c>
      <c r="D83" s="40" t="s">
        <v>950</v>
      </c>
      <c r="E83" s="40" t="s">
        <v>951</v>
      </c>
      <c r="F83" s="40" t="s">
        <v>952</v>
      </c>
      <c r="G83" s="40" t="s">
        <v>954</v>
      </c>
    </row>
    <row r="84" spans="2:7" x14ac:dyDescent="0.25">
      <c r="B84" s="2" t="s">
        <v>947</v>
      </c>
      <c r="C84" s="46">
        <v>96</v>
      </c>
      <c r="D84" s="46">
        <v>191</v>
      </c>
      <c r="E84" s="46">
        <v>230</v>
      </c>
      <c r="F84" s="46">
        <v>225</v>
      </c>
      <c r="G84" s="73">
        <f>SUM(C84:F84)</f>
        <v>742</v>
      </c>
    </row>
    <row r="85" spans="2:7" x14ac:dyDescent="0.25">
      <c r="B85" s="2" t="s">
        <v>948</v>
      </c>
      <c r="C85" s="46">
        <v>229</v>
      </c>
      <c r="D85" s="46">
        <v>204</v>
      </c>
      <c r="E85" s="46"/>
      <c r="F85" s="46"/>
      <c r="G85" s="73">
        <f>SUM(C85:F85)</f>
        <v>433</v>
      </c>
    </row>
    <row r="86" spans="2:7" x14ac:dyDescent="0.25">
      <c r="B86" s="204" t="s">
        <v>953</v>
      </c>
      <c r="C86" s="205">
        <f>IFERROR((C85-C84)/C85,"")</f>
        <v>0.58078602620087338</v>
      </c>
      <c r="D86" s="205">
        <f>IFERROR((D85-D84)/D85,"")</f>
        <v>6.3725490196078427E-2</v>
      </c>
      <c r="E86" s="205" t="str">
        <f t="shared" ref="E86" si="3">IFERROR((E85-E84)/E85,"")</f>
        <v/>
      </c>
      <c r="F86" s="205" t="str">
        <f>IFERROR((F85-F84)/F85,"")</f>
        <v/>
      </c>
      <c r="G86" s="206">
        <f>IFERROR((G85-G84)/G85,"")</f>
        <v>-0.71362586605080836</v>
      </c>
    </row>
    <row r="104" spans="2:7" x14ac:dyDescent="0.25">
      <c r="B104" s="2"/>
      <c r="C104" s="207"/>
      <c r="D104" s="207"/>
      <c r="E104" s="207"/>
      <c r="F104" s="207"/>
      <c r="G104" s="208"/>
    </row>
    <row r="105" spans="2:7" ht="15.75" x14ac:dyDescent="0.25">
      <c r="B105" s="221" t="s">
        <v>1124</v>
      </c>
      <c r="G105" s="208"/>
    </row>
    <row r="106" spans="2:7" x14ac:dyDescent="0.25">
      <c r="G106" s="208"/>
    </row>
    <row r="107" spans="2:7" x14ac:dyDescent="0.25">
      <c r="B107" s="2" t="s">
        <v>1125</v>
      </c>
      <c r="G107" s="208"/>
    </row>
    <row r="108" spans="2:7" x14ac:dyDescent="0.25">
      <c r="B108" s="91" t="s">
        <v>223</v>
      </c>
      <c r="C108" t="s" vm="7">
        <v>1079</v>
      </c>
    </row>
    <row r="110" spans="2:7" x14ac:dyDescent="0.25">
      <c r="B110" s="91" t="s">
        <v>759</v>
      </c>
      <c r="D110" s="91" t="s">
        <v>178</v>
      </c>
    </row>
    <row r="111" spans="2:7" x14ac:dyDescent="0.25">
      <c r="B111" s="91" t="s">
        <v>964</v>
      </c>
      <c r="C111" s="91" t="s">
        <v>14</v>
      </c>
      <c r="D111" t="s">
        <v>177</v>
      </c>
      <c r="E111" t="s">
        <v>784</v>
      </c>
      <c r="F111" t="s">
        <v>407</v>
      </c>
    </row>
    <row r="112" spans="2:7" x14ac:dyDescent="0.25">
      <c r="B112" t="s">
        <v>968</v>
      </c>
      <c r="D112" s="113">
        <v>783395</v>
      </c>
      <c r="E112" s="113">
        <v>21510</v>
      </c>
      <c r="F112" s="113">
        <v>804905</v>
      </c>
      <c r="G112" s="187">
        <f>IFERROR((E112-D112)/E112,"")</f>
        <v>-35.420037192003718</v>
      </c>
    </row>
    <row r="113" spans="2:7" x14ac:dyDescent="0.25">
      <c r="B113" t="s">
        <v>965</v>
      </c>
      <c r="D113" s="113">
        <v>249770</v>
      </c>
      <c r="E113" s="113">
        <v>315353</v>
      </c>
      <c r="F113" s="113">
        <v>565123</v>
      </c>
      <c r="G113" s="187">
        <f t="shared" ref="G113:G134" si="4">IFERROR((E113-D113)/E113,"")</f>
        <v>0.20796694497911863</v>
      </c>
    </row>
    <row r="114" spans="2:7" x14ac:dyDescent="0.25">
      <c r="B114" t="s">
        <v>969</v>
      </c>
      <c r="D114" s="113">
        <v>375675</v>
      </c>
      <c r="E114" s="113">
        <v>162210</v>
      </c>
      <c r="F114" s="113">
        <v>537885</v>
      </c>
      <c r="G114" s="187">
        <f t="shared" si="4"/>
        <v>-1.3159792861105974</v>
      </c>
    </row>
    <row r="115" spans="2:7" x14ac:dyDescent="0.25">
      <c r="B115" t="s">
        <v>966</v>
      </c>
      <c r="D115" s="113">
        <v>253240</v>
      </c>
      <c r="E115" s="113">
        <v>181945</v>
      </c>
      <c r="F115" s="113">
        <v>435185</v>
      </c>
      <c r="G115" s="187">
        <f>IFERROR((E115-D115)/E115,"")</f>
        <v>-0.39184918519332768</v>
      </c>
    </row>
    <row r="116" spans="2:7" x14ac:dyDescent="0.25">
      <c r="B116" t="s">
        <v>967</v>
      </c>
      <c r="D116" s="113">
        <v>306700</v>
      </c>
      <c r="E116" s="113">
        <v>83850</v>
      </c>
      <c r="F116" s="113">
        <v>390550</v>
      </c>
      <c r="G116" s="187">
        <f>IFERROR((E116-D116)/E116,"")</f>
        <v>-2.6577221228384018</v>
      </c>
    </row>
    <row r="117" spans="2:7" x14ac:dyDescent="0.25">
      <c r="B117" t="s">
        <v>976</v>
      </c>
      <c r="D117" s="113">
        <v>194180</v>
      </c>
      <c r="E117" s="113">
        <v>112240</v>
      </c>
      <c r="F117" s="113">
        <v>306420</v>
      </c>
      <c r="G117" s="187">
        <f t="shared" si="4"/>
        <v>-0.73004276550249469</v>
      </c>
    </row>
    <row r="118" spans="2:7" x14ac:dyDescent="0.25">
      <c r="B118" t="s">
        <v>977</v>
      </c>
      <c r="D118" s="113">
        <v>171700</v>
      </c>
      <c r="E118" s="113">
        <v>50820</v>
      </c>
      <c r="F118" s="113">
        <v>222520</v>
      </c>
      <c r="G118" s="187">
        <f t="shared" si="4"/>
        <v>-2.3785911058638329</v>
      </c>
    </row>
    <row r="119" spans="2:7" x14ac:dyDescent="0.25">
      <c r="B119" t="s">
        <v>972</v>
      </c>
      <c r="D119" s="113">
        <v>61845</v>
      </c>
      <c r="E119" s="113">
        <v>43680</v>
      </c>
      <c r="F119" s="113">
        <v>105525</v>
      </c>
      <c r="G119" s="187">
        <f t="shared" si="4"/>
        <v>-0.41586538461538464</v>
      </c>
    </row>
    <row r="120" spans="2:7" x14ac:dyDescent="0.25">
      <c r="B120" t="s">
        <v>983</v>
      </c>
      <c r="D120" s="113">
        <v>10925</v>
      </c>
      <c r="E120" s="113">
        <v>42170</v>
      </c>
      <c r="F120" s="113">
        <v>53095</v>
      </c>
      <c r="G120" s="187">
        <f t="shared" si="4"/>
        <v>0.74092957078491817</v>
      </c>
    </row>
    <row r="121" spans="2:7" x14ac:dyDescent="0.25">
      <c r="B121" t="s">
        <v>1054</v>
      </c>
      <c r="D121" s="113"/>
      <c r="E121" s="113">
        <v>38035</v>
      </c>
      <c r="F121" s="113">
        <v>38035</v>
      </c>
      <c r="G121" s="187">
        <f t="shared" si="4"/>
        <v>1</v>
      </c>
    </row>
    <row r="122" spans="2:7" x14ac:dyDescent="0.25">
      <c r="B122" t="s">
        <v>971</v>
      </c>
      <c r="D122" s="113">
        <v>10180</v>
      </c>
      <c r="E122" s="113">
        <v>10710</v>
      </c>
      <c r="F122" s="113">
        <v>20890</v>
      </c>
      <c r="G122" s="187">
        <f t="shared" si="4"/>
        <v>4.9486461251167131E-2</v>
      </c>
    </row>
    <row r="123" spans="2:7" x14ac:dyDescent="0.25">
      <c r="B123" t="s">
        <v>984</v>
      </c>
      <c r="D123" s="113">
        <v>19960</v>
      </c>
      <c r="E123" s="113"/>
      <c r="F123" s="113">
        <v>19960</v>
      </c>
      <c r="G123" s="187" t="str">
        <f t="shared" si="4"/>
        <v/>
      </c>
    </row>
    <row r="124" spans="2:7" x14ac:dyDescent="0.25">
      <c r="B124" t="s">
        <v>973</v>
      </c>
      <c r="D124" s="113">
        <v>9880</v>
      </c>
      <c r="E124" s="113">
        <v>8840</v>
      </c>
      <c r="F124" s="113">
        <v>18720</v>
      </c>
      <c r="G124" s="187">
        <f t="shared" si="4"/>
        <v>-0.11764705882352941</v>
      </c>
    </row>
    <row r="125" spans="2:7" x14ac:dyDescent="0.25">
      <c r="B125" t="s">
        <v>978</v>
      </c>
      <c r="D125" s="113">
        <v>15510</v>
      </c>
      <c r="E125" s="113"/>
      <c r="F125" s="113">
        <v>15510</v>
      </c>
      <c r="G125" s="187" t="str">
        <f t="shared" si="4"/>
        <v/>
      </c>
    </row>
    <row r="126" spans="2:7" x14ac:dyDescent="0.25">
      <c r="B126" t="s">
        <v>982</v>
      </c>
      <c r="D126" s="113">
        <v>10380</v>
      </c>
      <c r="E126" s="113">
        <v>2795</v>
      </c>
      <c r="F126" s="113">
        <v>13175</v>
      </c>
      <c r="G126" s="187">
        <f t="shared" si="4"/>
        <v>-2.7137745974955276</v>
      </c>
    </row>
    <row r="127" spans="2:7" x14ac:dyDescent="0.25">
      <c r="B127" t="s">
        <v>980</v>
      </c>
      <c r="D127" s="113">
        <v>3148</v>
      </c>
      <c r="E127" s="113">
        <v>6530</v>
      </c>
      <c r="F127" s="113">
        <v>9678</v>
      </c>
      <c r="G127" s="187">
        <f t="shared" si="4"/>
        <v>0.51791730474732001</v>
      </c>
    </row>
    <row r="128" spans="2:7" x14ac:dyDescent="0.25">
      <c r="B128" t="s">
        <v>981</v>
      </c>
      <c r="D128" s="113">
        <v>3720</v>
      </c>
      <c r="E128" s="113">
        <v>5890</v>
      </c>
      <c r="F128" s="113">
        <v>9610</v>
      </c>
      <c r="G128" s="187">
        <f t="shared" si="4"/>
        <v>0.36842105263157893</v>
      </c>
    </row>
    <row r="129" spans="2:7" x14ac:dyDescent="0.25">
      <c r="B129" t="s">
        <v>974</v>
      </c>
      <c r="D129" s="113">
        <v>1560</v>
      </c>
      <c r="E129" s="113">
        <v>2790</v>
      </c>
      <c r="F129" s="113">
        <v>4350</v>
      </c>
      <c r="G129" s="187">
        <f t="shared" si="4"/>
        <v>0.44086021505376344</v>
      </c>
    </row>
    <row r="130" spans="2:7" ht="19.5" customHeight="1" x14ac:dyDescent="0.25">
      <c r="B130" t="s">
        <v>975</v>
      </c>
      <c r="D130" s="113">
        <v>1760</v>
      </c>
      <c r="E130" s="113">
        <v>2516</v>
      </c>
      <c r="F130" s="113">
        <v>4276</v>
      </c>
      <c r="G130" s="187">
        <f t="shared" si="4"/>
        <v>0.30047694753577109</v>
      </c>
    </row>
    <row r="131" spans="2:7" x14ac:dyDescent="0.25">
      <c r="B131" t="s">
        <v>970</v>
      </c>
      <c r="D131" s="113">
        <v>2425</v>
      </c>
      <c r="E131" s="113"/>
      <c r="F131" s="113">
        <v>2425</v>
      </c>
      <c r="G131" s="187" t="str">
        <f t="shared" si="4"/>
        <v/>
      </c>
    </row>
    <row r="132" spans="2:7" x14ac:dyDescent="0.25">
      <c r="B132" t="s">
        <v>985</v>
      </c>
      <c r="D132" s="113">
        <v>2295</v>
      </c>
      <c r="E132" s="113"/>
      <c r="F132" s="113">
        <v>2295</v>
      </c>
      <c r="G132" s="187" t="str">
        <f t="shared" si="4"/>
        <v/>
      </c>
    </row>
    <row r="133" spans="2:7" x14ac:dyDescent="0.25">
      <c r="B133" t="s">
        <v>979</v>
      </c>
      <c r="D133" s="113">
        <v>1055</v>
      </c>
      <c r="E133" s="113">
        <v>320</v>
      </c>
      <c r="F133" s="113">
        <v>1375</v>
      </c>
      <c r="G133" s="187">
        <f t="shared" si="4"/>
        <v>-2.296875</v>
      </c>
    </row>
    <row r="134" spans="2:7" x14ac:dyDescent="0.25">
      <c r="B134" t="s">
        <v>892</v>
      </c>
      <c r="D134" s="113">
        <v>260</v>
      </c>
      <c r="E134" s="113"/>
      <c r="F134" s="113">
        <v>260</v>
      </c>
      <c r="G134" s="187" t="str">
        <f t="shared" si="4"/>
        <v/>
      </c>
    </row>
    <row r="135" spans="2:7" x14ac:dyDescent="0.25">
      <c r="B135" t="s">
        <v>407</v>
      </c>
      <c r="D135" s="113">
        <v>2489563</v>
      </c>
      <c r="E135" s="113">
        <v>1092204</v>
      </c>
      <c r="F135" s="113">
        <v>3581767</v>
      </c>
    </row>
    <row r="138" spans="2:7" x14ac:dyDescent="0.25">
      <c r="B138" t="s">
        <v>1128</v>
      </c>
    </row>
    <row r="140" spans="2:7" x14ac:dyDescent="0.25">
      <c r="B140" s="216" t="s">
        <v>1060</v>
      </c>
      <c r="C140" s="216" t="s">
        <v>1126</v>
      </c>
      <c r="D140" s="216" t="s">
        <v>1127</v>
      </c>
      <c r="E140" s="216" t="s">
        <v>962</v>
      </c>
    </row>
    <row r="141" spans="2:7" x14ac:dyDescent="0.25">
      <c r="B141" s="92" t="s">
        <v>968</v>
      </c>
      <c r="C141" s="39">
        <f>C18/$C$41</f>
        <v>0.31467169137716139</v>
      </c>
      <c r="D141" s="39">
        <f>D18/$D$41</f>
        <v>1.9694123075908895E-2</v>
      </c>
      <c r="E141" s="187">
        <f>IFERROR((D141-C141)/D141,"")</f>
        <v>-14.977948861408702</v>
      </c>
    </row>
    <row r="142" spans="2:7" x14ac:dyDescent="0.25">
      <c r="B142" s="92" t="s">
        <v>965</v>
      </c>
      <c r="C142" s="39">
        <f t="shared" ref="C142:C163" si="5">C19/$C$41</f>
        <v>0.10032684451046228</v>
      </c>
      <c r="D142" s="39">
        <f t="shared" ref="D142:D163" si="6">D19/$D$41</f>
        <v>0.28873085980274749</v>
      </c>
      <c r="E142" s="187">
        <f t="shared" ref="E142:E163" si="7">IFERROR((D142-C142)/D142,"")</f>
        <v>0.65252469175271854</v>
      </c>
    </row>
    <row r="143" spans="2:7" x14ac:dyDescent="0.25">
      <c r="B143" s="92" t="s">
        <v>969</v>
      </c>
      <c r="C143" s="39">
        <f t="shared" si="5"/>
        <v>0.1508999772249186</v>
      </c>
      <c r="D143" s="39">
        <f t="shared" si="6"/>
        <v>0.14851621125723766</v>
      </c>
      <c r="E143" s="187">
        <f t="shared" si="7"/>
        <v>-1.6050543893502245E-2</v>
      </c>
    </row>
    <row r="144" spans="2:7" x14ac:dyDescent="0.25">
      <c r="B144" s="92" t="s">
        <v>966</v>
      </c>
      <c r="C144" s="39">
        <f t="shared" si="5"/>
        <v>0.10172066342566949</v>
      </c>
      <c r="D144" s="39">
        <f t="shared" si="6"/>
        <v>0.1665851800579379</v>
      </c>
      <c r="E144" s="187">
        <f t="shared" si="7"/>
        <v>0.3893774740928857</v>
      </c>
    </row>
    <row r="145" spans="2:5" x14ac:dyDescent="0.25">
      <c r="B145" s="92" t="s">
        <v>967</v>
      </c>
      <c r="C145" s="39">
        <f t="shared" si="5"/>
        <v>0.12319431161211827</v>
      </c>
      <c r="D145" s="39">
        <f t="shared" si="6"/>
        <v>7.6771372380983777E-2</v>
      </c>
      <c r="E145" s="187">
        <f t="shared" si="7"/>
        <v>-0.60469075635065017</v>
      </c>
    </row>
    <row r="146" spans="2:5" x14ac:dyDescent="0.25">
      <c r="B146" s="92" t="s">
        <v>976</v>
      </c>
      <c r="C146" s="39">
        <f t="shared" si="5"/>
        <v>7.7997624482690334E-2</v>
      </c>
      <c r="D146" s="39">
        <f t="shared" si="6"/>
        <v>0.10276468498558877</v>
      </c>
      <c r="E146" s="187">
        <f t="shared" si="7"/>
        <v>0.2410075066777235</v>
      </c>
    </row>
    <row r="147" spans="2:5" x14ac:dyDescent="0.25">
      <c r="B147" s="92" t="s">
        <v>977</v>
      </c>
      <c r="C147" s="39">
        <f t="shared" si="5"/>
        <v>6.8967927302904158E-2</v>
      </c>
      <c r="D147" s="39">
        <f t="shared" si="6"/>
        <v>4.6529769164002331E-2</v>
      </c>
      <c r="E147" s="187">
        <f t="shared" si="7"/>
        <v>-0.48223231152973495</v>
      </c>
    </row>
    <row r="148" spans="2:5" x14ac:dyDescent="0.25">
      <c r="B148" s="92" t="s">
        <v>972</v>
      </c>
      <c r="C148" s="39">
        <f t="shared" si="5"/>
        <v>2.4841709167432197E-2</v>
      </c>
      <c r="D148" s="39">
        <f t="shared" si="6"/>
        <v>3.9992528868233408E-2</v>
      </c>
      <c r="E148" s="187">
        <f t="shared" si="7"/>
        <v>0.37884125184280876</v>
      </c>
    </row>
    <row r="149" spans="2:5" x14ac:dyDescent="0.25">
      <c r="B149" s="92" t="s">
        <v>983</v>
      </c>
      <c r="C149" s="39">
        <f t="shared" si="5"/>
        <v>4.3883203598382523E-3</v>
      </c>
      <c r="D149" s="39">
        <f t="shared" si="6"/>
        <v>3.861000325946435E-2</v>
      </c>
      <c r="E149" s="187">
        <f t="shared" si="7"/>
        <v>0.88634239861757702</v>
      </c>
    </row>
    <row r="150" spans="2:5" x14ac:dyDescent="0.25">
      <c r="B150" s="92" t="s">
        <v>1054</v>
      </c>
      <c r="C150" s="39">
        <f t="shared" si="5"/>
        <v>0</v>
      </c>
      <c r="D150" s="39">
        <f t="shared" si="6"/>
        <v>3.4824080483133187E-2</v>
      </c>
      <c r="E150" s="187">
        <f t="shared" si="7"/>
        <v>1</v>
      </c>
    </row>
    <row r="151" spans="2:5" x14ac:dyDescent="0.25">
      <c r="B151" s="92" t="s">
        <v>971</v>
      </c>
      <c r="C151" s="39">
        <f t="shared" si="5"/>
        <v>4.0890710538355529E-3</v>
      </c>
      <c r="D151" s="39">
        <f t="shared" si="6"/>
        <v>9.8058604436533827E-3</v>
      </c>
      <c r="E151" s="187">
        <f t="shared" si="7"/>
        <v>0.58299722116868291</v>
      </c>
    </row>
    <row r="152" spans="2:5" x14ac:dyDescent="0.25">
      <c r="B152" s="92" t="s">
        <v>984</v>
      </c>
      <c r="C152" s="39">
        <f t="shared" si="5"/>
        <v>8.0174713393475084E-3</v>
      </c>
      <c r="D152" s="39">
        <f t="shared" si="6"/>
        <v>0</v>
      </c>
      <c r="E152" s="187" t="str">
        <f t="shared" si="7"/>
        <v/>
      </c>
    </row>
    <row r="153" spans="2:5" x14ac:dyDescent="0.25">
      <c r="B153" s="92" t="s">
        <v>973</v>
      </c>
      <c r="C153" s="39">
        <f t="shared" si="5"/>
        <v>3.9685679775928549E-3</v>
      </c>
      <c r="D153" s="39">
        <f t="shared" si="6"/>
        <v>8.093726080475809E-3</v>
      </c>
      <c r="E153" s="187">
        <f t="shared" si="7"/>
        <v>0.50967354984176172</v>
      </c>
    </row>
    <row r="154" spans="2:5" x14ac:dyDescent="0.25">
      <c r="B154" s="92" t="s">
        <v>978</v>
      </c>
      <c r="C154" s="39">
        <f t="shared" si="5"/>
        <v>6.2300090417474873E-3</v>
      </c>
      <c r="D154" s="39">
        <f t="shared" si="6"/>
        <v>0</v>
      </c>
      <c r="E154" s="187" t="str">
        <f t="shared" si="7"/>
        <v/>
      </c>
    </row>
    <row r="155" spans="2:5" x14ac:dyDescent="0.25">
      <c r="B155" s="92" t="s">
        <v>982</v>
      </c>
      <c r="C155" s="39">
        <f t="shared" si="5"/>
        <v>4.1694064379973516E-3</v>
      </c>
      <c r="D155" s="39">
        <f t="shared" si="6"/>
        <v>2.5590457460327922E-3</v>
      </c>
      <c r="E155" s="187">
        <f t="shared" si="7"/>
        <v>-0.62928171349068329</v>
      </c>
    </row>
    <row r="156" spans="2:5" x14ac:dyDescent="0.25">
      <c r="B156" s="92" t="s">
        <v>980</v>
      </c>
      <c r="C156" s="39">
        <f t="shared" si="5"/>
        <v>1.2644789467067112E-3</v>
      </c>
      <c r="D156" s="39">
        <f t="shared" si="6"/>
        <v>5.9787365730211576E-3</v>
      </c>
      <c r="E156" s="187">
        <f t="shared" si="7"/>
        <v>0.78850398721150727</v>
      </c>
    </row>
    <row r="157" spans="2:5" x14ac:dyDescent="0.25">
      <c r="B157" s="92" t="s">
        <v>981</v>
      </c>
      <c r="C157" s="39">
        <f t="shared" si="5"/>
        <v>1.4942381454094555E-3</v>
      </c>
      <c r="D157" s="39">
        <f t="shared" si="6"/>
        <v>5.3927654540726821E-3</v>
      </c>
      <c r="E157" s="187">
        <f t="shared" si="7"/>
        <v>0.72291801708509529</v>
      </c>
    </row>
    <row r="158" spans="2:5" x14ac:dyDescent="0.25">
      <c r="B158" s="92" t="s">
        <v>974</v>
      </c>
      <c r="C158" s="39">
        <f t="shared" si="5"/>
        <v>6.2661599646202971E-4</v>
      </c>
      <c r="D158" s="39">
        <f t="shared" si="6"/>
        <v>2.5544678466660076E-3</v>
      </c>
      <c r="E158" s="187">
        <f t="shared" si="7"/>
        <v>0.75469802946243203</v>
      </c>
    </row>
    <row r="159" spans="2:5" x14ac:dyDescent="0.25">
      <c r="B159" s="92" t="s">
        <v>975</v>
      </c>
      <c r="C159" s="39">
        <f t="shared" si="5"/>
        <v>7.069513806238284E-4</v>
      </c>
      <c r="D159" s="39">
        <f t="shared" si="6"/>
        <v>2.3035989613661915E-3</v>
      </c>
      <c r="E159" s="187">
        <f t="shared" si="7"/>
        <v>0.69311004542016375</v>
      </c>
    </row>
    <row r="160" spans="2:5" x14ac:dyDescent="0.25">
      <c r="B160" s="92" t="s">
        <v>970</v>
      </c>
      <c r="C160" s="39">
        <f t="shared" si="5"/>
        <v>9.7406653296180901E-4</v>
      </c>
      <c r="D160" s="39">
        <f t="shared" si="6"/>
        <v>0</v>
      </c>
      <c r="E160" s="187" t="str">
        <f t="shared" si="7"/>
        <v/>
      </c>
    </row>
    <row r="161" spans="2:5" x14ac:dyDescent="0.25">
      <c r="B161" s="92" t="s">
        <v>985</v>
      </c>
      <c r="C161" s="39">
        <f t="shared" si="5"/>
        <v>9.2184853325663987E-4</v>
      </c>
      <c r="D161" s="39">
        <f t="shared" si="6"/>
        <v>0</v>
      </c>
      <c r="E161" s="187" t="str">
        <f t="shared" si="7"/>
        <v/>
      </c>
    </row>
    <row r="162" spans="2:5" x14ac:dyDescent="0.25">
      <c r="B162" s="92" t="s">
        <v>979</v>
      </c>
      <c r="C162" s="39">
        <f t="shared" si="5"/>
        <v>4.2376915145348804E-4</v>
      </c>
      <c r="D162" s="39">
        <f t="shared" si="6"/>
        <v>2.9298555947423739E-4</v>
      </c>
      <c r="E162" s="187">
        <f t="shared" si="7"/>
        <v>-0.44638238216907966</v>
      </c>
    </row>
    <row r="163" spans="2:5" x14ac:dyDescent="0.25">
      <c r="B163" s="92" t="s">
        <v>892</v>
      </c>
      <c r="C163" s="39">
        <f t="shared" si="5"/>
        <v>1.0443599941033829E-4</v>
      </c>
      <c r="D163" s="39">
        <f t="shared" si="6"/>
        <v>0</v>
      </c>
      <c r="E163" s="187" t="str">
        <f t="shared" si="7"/>
        <v/>
      </c>
    </row>
  </sheetData>
  <mergeCells count="3">
    <mergeCell ref="B4:B6"/>
    <mergeCell ref="B48:B49"/>
    <mergeCell ref="B78:B79"/>
  </mergeCells>
  <hyperlinks>
    <hyperlink ref="T1" location="'FEB ORDERvsPRO'!A1" display="ORDERS vs PROCESSED"/>
    <hyperlink ref="Y2" location="'Gap Analysis'!A1" display="gap"/>
  </hyperlink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8"/>
  <sheetViews>
    <sheetView zoomScale="78" zoomScaleNormal="78" workbookViewId="0">
      <pane ySplit="3" topLeftCell="A4" activePane="bottomLeft" state="frozen"/>
      <selection pane="bottomLeft" activeCell="I2" sqref="I2"/>
    </sheetView>
  </sheetViews>
  <sheetFormatPr defaultColWidth="10" defaultRowHeight="15" x14ac:dyDescent="0.25"/>
  <cols>
    <col min="1" max="1" width="10" style="222"/>
    <col min="2" max="2" width="22.85546875" style="222" bestFit="1" customWidth="1"/>
    <col min="3" max="4" width="19.28515625" style="222" bestFit="1" customWidth="1"/>
    <col min="5" max="5" width="16.140625" style="222" customWidth="1"/>
    <col min="6" max="6" width="29.7109375" style="222" bestFit="1" customWidth="1"/>
    <col min="7" max="7" width="32.140625" style="222" bestFit="1" customWidth="1"/>
    <col min="8" max="8" width="13.5703125" style="222" customWidth="1"/>
    <col min="9" max="9" width="53.28515625" style="222" customWidth="1"/>
    <col min="10" max="10" width="7.140625" style="222" bestFit="1" customWidth="1"/>
    <col min="11" max="16384" width="10" style="222"/>
  </cols>
  <sheetData>
    <row r="1" spans="2:10" ht="23.25" x14ac:dyDescent="0.35">
      <c r="B1" s="252" t="s">
        <v>1130</v>
      </c>
      <c r="C1" s="252"/>
      <c r="D1" s="252"/>
      <c r="E1" s="252"/>
      <c r="F1" s="252"/>
      <c r="G1" s="252"/>
      <c r="H1" s="252"/>
      <c r="I1" s="252"/>
    </row>
    <row r="2" spans="2:10" x14ac:dyDescent="0.25">
      <c r="H2" s="265" t="s">
        <v>1166</v>
      </c>
      <c r="I2" s="215" t="s">
        <v>1124</v>
      </c>
    </row>
    <row r="3" spans="2:10" x14ac:dyDescent="0.25">
      <c r="B3" s="223" t="s">
        <v>1157</v>
      </c>
      <c r="C3" s="223" t="s">
        <v>1158</v>
      </c>
      <c r="D3" s="223" t="s">
        <v>1160</v>
      </c>
      <c r="E3" s="223" t="s">
        <v>1161</v>
      </c>
      <c r="F3" s="223"/>
      <c r="G3" s="223"/>
      <c r="H3" s="223"/>
      <c r="I3" s="223"/>
      <c r="J3" s="224"/>
    </row>
    <row r="4" spans="2:10" x14ac:dyDescent="0.25">
      <c r="B4" s="225" t="s">
        <v>1131</v>
      </c>
      <c r="C4" s="222" t="s">
        <v>1159</v>
      </c>
      <c r="D4" s="231">
        <v>1410</v>
      </c>
      <c r="E4" s="231">
        <v>1365</v>
      </c>
    </row>
    <row r="5" spans="2:10" x14ac:dyDescent="0.25">
      <c r="B5" s="222" t="s">
        <v>1132</v>
      </c>
      <c r="C5" s="222" t="s">
        <v>1159</v>
      </c>
      <c r="D5" s="231">
        <v>1390</v>
      </c>
      <c r="E5" s="231">
        <v>1345</v>
      </c>
    </row>
    <row r="6" spans="2:10" x14ac:dyDescent="0.25">
      <c r="B6" s="226" t="s">
        <v>1133</v>
      </c>
      <c r="C6" s="222" t="s">
        <v>1134</v>
      </c>
      <c r="D6" s="231"/>
      <c r="E6" s="231">
        <v>1364</v>
      </c>
    </row>
    <row r="7" spans="2:10" x14ac:dyDescent="0.25">
      <c r="B7" s="227" t="s">
        <v>1135</v>
      </c>
      <c r="C7" s="222" t="s">
        <v>1134</v>
      </c>
      <c r="D7" s="231"/>
      <c r="E7" s="231">
        <v>1344</v>
      </c>
    </row>
    <row r="8" spans="2:10" x14ac:dyDescent="0.25">
      <c r="B8" s="227" t="s">
        <v>1136</v>
      </c>
      <c r="C8" s="222" t="s">
        <v>1162</v>
      </c>
      <c r="D8" s="231"/>
      <c r="E8" s="231">
        <v>1220</v>
      </c>
    </row>
    <row r="9" spans="2:10" x14ac:dyDescent="0.25">
      <c r="B9" s="227" t="s">
        <v>1137</v>
      </c>
      <c r="C9" s="222" t="s">
        <v>1162</v>
      </c>
      <c r="D9" s="231"/>
      <c r="E9" s="231">
        <v>1200</v>
      </c>
    </row>
    <row r="10" spans="2:10" x14ac:dyDescent="0.25">
      <c r="B10" s="227" t="s">
        <v>1138</v>
      </c>
      <c r="C10" s="222" t="s">
        <v>1159</v>
      </c>
      <c r="D10" s="231">
        <v>1830</v>
      </c>
      <c r="E10" s="231">
        <v>1756</v>
      </c>
    </row>
    <row r="11" spans="2:10" x14ac:dyDescent="0.25">
      <c r="B11" s="227" t="s">
        <v>1139</v>
      </c>
      <c r="C11" s="222" t="s">
        <v>1159</v>
      </c>
      <c r="D11" s="232">
        <v>1810</v>
      </c>
      <c r="E11" s="231">
        <v>1776</v>
      </c>
      <c r="F11" s="228"/>
      <c r="G11" s="229"/>
      <c r="I11" s="227"/>
    </row>
    <row r="12" spans="2:10" x14ac:dyDescent="0.25">
      <c r="B12" s="222" t="s">
        <v>1140</v>
      </c>
      <c r="C12" s="227" t="s">
        <v>1134</v>
      </c>
      <c r="D12" s="233"/>
      <c r="E12" s="231">
        <v>1940</v>
      </c>
    </row>
    <row r="13" spans="2:10" x14ac:dyDescent="0.25">
      <c r="B13" s="222" t="s">
        <v>1141</v>
      </c>
      <c r="C13" s="227" t="s">
        <v>1134</v>
      </c>
      <c r="D13" s="233"/>
      <c r="E13" s="231">
        <v>1920</v>
      </c>
    </row>
    <row r="14" spans="2:10" x14ac:dyDescent="0.25">
      <c r="B14" s="222" t="s">
        <v>1142</v>
      </c>
      <c r="C14" s="222" t="s">
        <v>1162</v>
      </c>
      <c r="D14" s="233"/>
      <c r="E14" s="231">
        <v>1720</v>
      </c>
    </row>
    <row r="15" spans="2:10" x14ac:dyDescent="0.25">
      <c r="B15" s="222" t="s">
        <v>1143</v>
      </c>
      <c r="C15" s="222" t="s">
        <v>1162</v>
      </c>
      <c r="D15" s="233"/>
      <c r="E15" s="231">
        <v>1700</v>
      </c>
    </row>
    <row r="16" spans="2:10" x14ac:dyDescent="0.25">
      <c r="B16" s="222" t="s">
        <v>1144</v>
      </c>
      <c r="C16" s="222" t="s">
        <v>1162</v>
      </c>
      <c r="D16" s="233"/>
      <c r="E16" s="231">
        <v>1680</v>
      </c>
    </row>
    <row r="17" spans="2:5" x14ac:dyDescent="0.25">
      <c r="B17" s="222" t="s">
        <v>1145</v>
      </c>
      <c r="C17" s="222" t="s">
        <v>1162</v>
      </c>
      <c r="D17" s="233"/>
      <c r="E17" s="231">
        <v>1660</v>
      </c>
    </row>
    <row r="18" spans="2:5" x14ac:dyDescent="0.25">
      <c r="B18" s="222" t="s">
        <v>1146</v>
      </c>
      <c r="C18" s="222" t="s">
        <v>1162</v>
      </c>
      <c r="D18" s="233"/>
      <c r="E18" s="231">
        <v>1680</v>
      </c>
    </row>
    <row r="19" spans="2:5" x14ac:dyDescent="0.25">
      <c r="B19" s="222" t="s">
        <v>1147</v>
      </c>
      <c r="C19" s="222" t="s">
        <v>1162</v>
      </c>
      <c r="D19" s="233"/>
      <c r="E19" s="231">
        <v>1660</v>
      </c>
    </row>
    <row r="20" spans="2:5" x14ac:dyDescent="0.25">
      <c r="B20" s="222" t="s">
        <v>1148</v>
      </c>
      <c r="C20" s="227" t="s">
        <v>1134</v>
      </c>
      <c r="D20" s="233"/>
      <c r="E20" s="231">
        <v>2400</v>
      </c>
    </row>
    <row r="21" spans="2:5" x14ac:dyDescent="0.25">
      <c r="B21" s="222" t="s">
        <v>1149</v>
      </c>
      <c r="C21" s="227" t="s">
        <v>1134</v>
      </c>
      <c r="D21" s="233"/>
      <c r="E21" s="231">
        <v>2350</v>
      </c>
    </row>
    <row r="22" spans="2:5" x14ac:dyDescent="0.25">
      <c r="B22" s="222" t="s">
        <v>1150</v>
      </c>
      <c r="C22" s="222" t="s">
        <v>1162</v>
      </c>
      <c r="D22" s="233"/>
      <c r="E22" s="231">
        <v>2350</v>
      </c>
    </row>
    <row r="23" spans="2:5" x14ac:dyDescent="0.25">
      <c r="B23" s="222" t="s">
        <v>1151</v>
      </c>
      <c r="C23" s="222" t="s">
        <v>1159</v>
      </c>
      <c r="D23" s="231"/>
      <c r="E23" s="231">
        <v>2500</v>
      </c>
    </row>
    <row r="24" spans="2:5" x14ac:dyDescent="0.25">
      <c r="B24" s="222" t="s">
        <v>1152</v>
      </c>
      <c r="C24" s="222" t="s">
        <v>1159</v>
      </c>
      <c r="D24" s="231">
        <v>5550</v>
      </c>
      <c r="E24" s="231">
        <v>5450</v>
      </c>
    </row>
    <row r="25" spans="2:5" x14ac:dyDescent="0.25">
      <c r="B25" s="222" t="s">
        <v>1153</v>
      </c>
      <c r="C25" s="227" t="s">
        <v>1134</v>
      </c>
      <c r="D25" s="233"/>
      <c r="E25" s="231">
        <v>5700</v>
      </c>
    </row>
    <row r="26" spans="2:5" x14ac:dyDescent="0.25">
      <c r="B26" s="222" t="s">
        <v>1154</v>
      </c>
      <c r="C26" s="227" t="s">
        <v>1134</v>
      </c>
      <c r="D26" s="233"/>
      <c r="E26" s="231">
        <v>2850</v>
      </c>
    </row>
    <row r="48" ht="17.25" customHeight="1" x14ac:dyDescent="0.25"/>
  </sheetData>
  <mergeCells count="1">
    <mergeCell ref="B1:I1"/>
  </mergeCells>
  <hyperlinks>
    <hyperlink ref="I2" location="'Gap Analysis'!A1" display="GAP ANALYSI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185"/>
  <sheetViews>
    <sheetView showGridLines="0" tabSelected="1" zoomScale="75" zoomScaleNormal="75" workbookViewId="0"/>
  </sheetViews>
  <sheetFormatPr defaultRowHeight="15" x14ac:dyDescent="0.25"/>
  <cols>
    <col min="2" max="2" width="22.5703125" customWidth="1"/>
    <col min="3" max="3" width="18.85546875" customWidth="1"/>
    <col min="4" max="5" width="11.5703125" customWidth="1"/>
    <col min="6" max="6" width="11.5703125" bestFit="1" customWidth="1"/>
    <col min="7" max="7" width="11.7109375" customWidth="1"/>
    <col min="8" max="8" width="11.5703125" customWidth="1"/>
    <col min="16" max="16" width="27.42578125" customWidth="1"/>
    <col min="17" max="18" width="10.42578125" customWidth="1"/>
    <col min="19" max="20" width="11.42578125" customWidth="1"/>
    <col min="21" max="22" width="18.85546875" customWidth="1"/>
    <col min="23" max="23" width="27.42578125" customWidth="1"/>
    <col min="24" max="25" width="10.42578125" customWidth="1"/>
    <col min="26" max="26" width="17.85546875" customWidth="1"/>
    <col min="27" max="27" width="11.140625" customWidth="1"/>
    <col min="28" max="28" width="10.42578125" customWidth="1"/>
    <col min="29" max="29" width="11.42578125" customWidth="1"/>
    <col min="30" max="30" width="17.85546875" customWidth="1"/>
    <col min="31" max="32" width="10.42578125" customWidth="1"/>
    <col min="33" max="33" width="11.42578125" customWidth="1"/>
    <col min="34" max="34" width="27.42578125" customWidth="1"/>
    <col min="35" max="35" width="32.28515625" customWidth="1"/>
    <col min="36" max="36" width="22.85546875" customWidth="1"/>
    <col min="37" max="37" width="18.85546875" customWidth="1"/>
    <col min="38" max="38" width="9.28515625" customWidth="1"/>
    <col min="39" max="41" width="11.140625" customWidth="1"/>
    <col min="42" max="42" width="11.140625" bestFit="1" customWidth="1"/>
    <col min="43" max="43" width="9.7109375" customWidth="1"/>
    <col min="44" max="44" width="11.42578125" bestFit="1" customWidth="1"/>
    <col min="45" max="55" width="11.140625" bestFit="1" customWidth="1"/>
    <col min="56" max="56" width="11.140625" customWidth="1"/>
    <col min="57" max="57" width="9.7109375" customWidth="1"/>
    <col min="58" max="58" width="11.42578125" customWidth="1"/>
    <col min="59" max="59" width="11.42578125" bestFit="1" customWidth="1"/>
  </cols>
  <sheetData>
    <row r="1" spans="2:20" ht="21" x14ac:dyDescent="0.35">
      <c r="B1" s="230" t="s">
        <v>1124</v>
      </c>
    </row>
    <row r="2" spans="2:20" x14ac:dyDescent="0.25">
      <c r="S2" s="264" t="s">
        <v>1166</v>
      </c>
      <c r="T2" s="215" t="s">
        <v>1130</v>
      </c>
    </row>
    <row r="4" spans="2:20" x14ac:dyDescent="0.25">
      <c r="T4" s="215"/>
    </row>
    <row r="19" spans="2:26" x14ac:dyDescent="0.25">
      <c r="B19" t="s">
        <v>1128</v>
      </c>
    </row>
    <row r="21" spans="2:26" x14ac:dyDescent="0.25">
      <c r="B21" s="216" t="s">
        <v>1060</v>
      </c>
      <c r="C21" s="216" t="s">
        <v>1126</v>
      </c>
      <c r="D21" s="216" t="s">
        <v>1127</v>
      </c>
      <c r="E21" s="216" t="s">
        <v>962</v>
      </c>
      <c r="F21" s="216"/>
      <c r="W21" s="91" t="s">
        <v>223</v>
      </c>
      <c r="X21" t="s" vm="2">
        <v>777</v>
      </c>
    </row>
    <row r="22" spans="2:26" x14ac:dyDescent="0.25">
      <c r="B22" s="92" t="s">
        <v>968</v>
      </c>
      <c r="C22" s="39">
        <f>'Final Report'!C18/'Final Report'!$C$41</f>
        <v>0.31467169137716139</v>
      </c>
      <c r="D22" s="39">
        <f>'Final Report'!D18/'Final Report'!$D$41</f>
        <v>1.9694123075908895E-2</v>
      </c>
      <c r="E22" s="187">
        <f>IFERROR(('Final Report'!D18-'Final Report'!C18)/'Final Report'!D18,"")</f>
        <v>-35.420037192003718</v>
      </c>
    </row>
    <row r="23" spans="2:26" x14ac:dyDescent="0.25">
      <c r="B23" s="92" t="s">
        <v>965</v>
      </c>
      <c r="C23" s="39">
        <f>'Final Report'!C19/'Final Report'!$C$41</f>
        <v>0.10032684451046228</v>
      </c>
      <c r="D23" s="39">
        <f>'Final Report'!D19/'Final Report'!$D$41</f>
        <v>0.28873085980274749</v>
      </c>
      <c r="E23" s="187">
        <f>IFERROR(('Final Report'!D19-'Final Report'!C19)/'Final Report'!D19,"")</f>
        <v>0.20796694497911863</v>
      </c>
      <c r="W23" s="91" t="s">
        <v>1129</v>
      </c>
      <c r="X23" s="91" t="s">
        <v>178</v>
      </c>
    </row>
    <row r="24" spans="2:26" x14ac:dyDescent="0.25">
      <c r="B24" s="92" t="s">
        <v>969</v>
      </c>
      <c r="C24" s="39">
        <f>'Final Report'!C20/'Final Report'!$C$41</f>
        <v>0.1508999772249186</v>
      </c>
      <c r="D24" s="39">
        <f>'Final Report'!D20/'Final Report'!$D$41</f>
        <v>0.14851621125723766</v>
      </c>
      <c r="E24" s="187">
        <f>IFERROR(('Final Report'!D20-'Final Report'!C20)/'Final Report'!D20,"")</f>
        <v>-1.3159792861105974</v>
      </c>
      <c r="W24" s="91" t="s">
        <v>964</v>
      </c>
      <c r="X24" t="s">
        <v>177</v>
      </c>
      <c r="Y24" t="s">
        <v>784</v>
      </c>
      <c r="Z24" t="s">
        <v>407</v>
      </c>
    </row>
    <row r="25" spans="2:26" x14ac:dyDescent="0.25">
      <c r="B25" s="92" t="s">
        <v>966</v>
      </c>
      <c r="C25" s="39">
        <f>'Final Report'!C21/'Final Report'!$C$41</f>
        <v>0.10172066342566949</v>
      </c>
      <c r="D25" s="39">
        <f>'Final Report'!D21/'Final Report'!$D$41</f>
        <v>0.1665851800579379</v>
      </c>
      <c r="E25" s="187">
        <f>IFERROR(('Final Report'!D21-'Final Report'!C21)/'Final Report'!D21,"")</f>
        <v>-0.39184918519332768</v>
      </c>
      <c r="W25" t="s">
        <v>977</v>
      </c>
      <c r="X25" s="178">
        <v>0.375</v>
      </c>
      <c r="Y25" s="178">
        <v>0.125</v>
      </c>
      <c r="Z25" s="178">
        <v>0.41666666666666669</v>
      </c>
    </row>
    <row r="26" spans="2:26" x14ac:dyDescent="0.25">
      <c r="B26" s="92" t="s">
        <v>967</v>
      </c>
      <c r="C26" s="39">
        <f>'Final Report'!C22/'Final Report'!$C$41</f>
        <v>0.12319431161211827</v>
      </c>
      <c r="D26" s="39">
        <f>'Final Report'!D22/'Final Report'!$D$41</f>
        <v>7.6771372380983777E-2</v>
      </c>
      <c r="E26" s="187">
        <f>IFERROR(('Final Report'!D22-'Final Report'!C22)/'Final Report'!D22,"")</f>
        <v>-2.6577221228384018</v>
      </c>
      <c r="W26" t="s">
        <v>968</v>
      </c>
      <c r="X26" s="178">
        <v>0.18055555555555555</v>
      </c>
      <c r="Y26" s="178">
        <v>5.5555555555555552E-2</v>
      </c>
      <c r="Z26" s="178">
        <v>0.22222222222222221</v>
      </c>
    </row>
    <row r="27" spans="2:26" x14ac:dyDescent="0.25">
      <c r="B27" s="92" t="s">
        <v>976</v>
      </c>
      <c r="C27" s="39">
        <f>'Final Report'!C23/'Final Report'!$C$41</f>
        <v>7.7997624482690334E-2</v>
      </c>
      <c r="D27" s="39">
        <f>'Final Report'!D23/'Final Report'!$D$41</f>
        <v>0.10276468498558877</v>
      </c>
      <c r="E27" s="187">
        <f>IFERROR(('Final Report'!D23-'Final Report'!C23)/'Final Report'!D23,"")</f>
        <v>-0.73004276550249469</v>
      </c>
      <c r="R27" s="10"/>
      <c r="W27" t="s">
        <v>966</v>
      </c>
      <c r="X27" s="178">
        <v>8.3333333333333329E-2</v>
      </c>
      <c r="Y27" s="178">
        <v>6.9444444444444448E-2</v>
      </c>
      <c r="Z27" s="178">
        <v>0.125</v>
      </c>
    </row>
    <row r="28" spans="2:26" x14ac:dyDescent="0.25">
      <c r="B28" s="92" t="s">
        <v>977</v>
      </c>
      <c r="C28" s="39">
        <f>'Final Report'!C24/'Final Report'!$C$41</f>
        <v>6.8967927302904158E-2</v>
      </c>
      <c r="D28" s="39">
        <f>'Final Report'!D24/'Final Report'!$D$41</f>
        <v>4.6529769164002331E-2</v>
      </c>
      <c r="E28" s="187">
        <f>IFERROR(('Final Report'!D24-'Final Report'!C24)/'Final Report'!D24,"")</f>
        <v>-2.3785911058638329</v>
      </c>
      <c r="W28" t="s">
        <v>967</v>
      </c>
      <c r="X28" s="178">
        <v>6.9444444444444448E-2</v>
      </c>
      <c r="Y28" s="178">
        <v>4.1666666666666664E-2</v>
      </c>
      <c r="Z28" s="178">
        <v>9.7222222222222224E-2</v>
      </c>
    </row>
    <row r="29" spans="2:26" x14ac:dyDescent="0.25">
      <c r="B29" s="92" t="s">
        <v>972</v>
      </c>
      <c r="C29" s="39">
        <f>'Final Report'!C25/'Final Report'!$C$41</f>
        <v>2.4841709167432197E-2</v>
      </c>
      <c r="D29" s="39">
        <f>'Final Report'!D25/'Final Report'!$D$41</f>
        <v>3.9992528868233408E-2</v>
      </c>
      <c r="E29" s="187">
        <f>IFERROR(('Final Report'!D25-'Final Report'!C25)/'Final Report'!D25,"")</f>
        <v>-0.41586538461538464</v>
      </c>
      <c r="W29" t="s">
        <v>976</v>
      </c>
      <c r="X29" s="178">
        <v>6.9444444444444448E-2</v>
      </c>
      <c r="Y29" s="178">
        <v>4.1666666666666664E-2</v>
      </c>
      <c r="Z29" s="178">
        <v>6.9444444444444448E-2</v>
      </c>
    </row>
    <row r="30" spans="2:26" x14ac:dyDescent="0.25">
      <c r="B30" s="92" t="s">
        <v>983</v>
      </c>
      <c r="C30" s="39">
        <f>'Final Report'!C26/'Final Report'!$C$41</f>
        <v>4.3883203598382523E-3</v>
      </c>
      <c r="D30" s="39">
        <f>'Final Report'!D26/'Final Report'!$D$41</f>
        <v>3.861000325946435E-2</v>
      </c>
      <c r="E30" s="187">
        <f>IFERROR(('Final Report'!D26-'Final Report'!C26)/'Final Report'!D26,"")</f>
        <v>0.74092957078491817</v>
      </c>
      <c r="W30" t="s">
        <v>965</v>
      </c>
      <c r="X30" s="178">
        <v>5.5555555555555552E-2</v>
      </c>
      <c r="Y30" s="178">
        <v>6.9444444444444448E-2</v>
      </c>
      <c r="Z30" s="178">
        <v>6.9444444444444448E-2</v>
      </c>
    </row>
    <row r="31" spans="2:26" x14ac:dyDescent="0.25">
      <c r="B31" s="92" t="s">
        <v>1054</v>
      </c>
      <c r="C31" s="39">
        <f>'Final Report'!C27/'Final Report'!$C$41</f>
        <v>0</v>
      </c>
      <c r="D31" s="39">
        <f>'Final Report'!D27/'Final Report'!$D$41</f>
        <v>3.4824080483133187E-2</v>
      </c>
      <c r="E31" s="187">
        <f>IFERROR(('Final Report'!D27-'Final Report'!C27)/'Final Report'!D27,"")</f>
        <v>1</v>
      </c>
      <c r="W31" t="s">
        <v>407</v>
      </c>
      <c r="X31" s="220">
        <v>0.83333333333333337</v>
      </c>
      <c r="Y31" s="220">
        <v>0.40277777777777779</v>
      </c>
      <c r="Z31" s="220">
        <v>1</v>
      </c>
    </row>
    <row r="32" spans="2:26" x14ac:dyDescent="0.25">
      <c r="B32" s="92" t="s">
        <v>971</v>
      </c>
      <c r="C32" s="39">
        <f>'Final Report'!C28/'Final Report'!$C$41</f>
        <v>4.0890710538355529E-3</v>
      </c>
      <c r="D32" s="39">
        <f>'Final Report'!D28/'Final Report'!$D$41</f>
        <v>9.8058604436533827E-3</v>
      </c>
      <c r="E32" s="187">
        <f>IFERROR(('Final Report'!D28-'Final Report'!C28)/'Final Report'!D28,"")</f>
        <v>4.9486461251167131E-2</v>
      </c>
    </row>
    <row r="33" spans="2:33" x14ac:dyDescent="0.25">
      <c r="B33" s="92" t="s">
        <v>984</v>
      </c>
      <c r="C33" s="39">
        <f>'Final Report'!C29/'Final Report'!$C$41</f>
        <v>8.0174713393475084E-3</v>
      </c>
      <c r="D33" s="39">
        <f>'Final Report'!D29/'Final Report'!$D$41</f>
        <v>0</v>
      </c>
      <c r="E33" s="187" t="str">
        <f>IFERROR(('Final Report'!D29-'Final Report'!C29)/'Final Report'!D29,"")</f>
        <v/>
      </c>
    </row>
    <row r="34" spans="2:33" x14ac:dyDescent="0.25">
      <c r="B34" s="92" t="s">
        <v>973</v>
      </c>
      <c r="C34" s="39">
        <f>'Final Report'!C30/'Final Report'!$C$41</f>
        <v>3.9685679775928549E-3</v>
      </c>
      <c r="D34" s="39">
        <f>'Final Report'!D30/'Final Report'!$D$41</f>
        <v>8.093726080475809E-3</v>
      </c>
      <c r="E34" s="187">
        <f>IFERROR(('Final Report'!D30-'Final Report'!C30)/'Final Report'!D30,"")</f>
        <v>-0.11764705882352941</v>
      </c>
    </row>
    <row r="35" spans="2:33" x14ac:dyDescent="0.25">
      <c r="B35" s="92" t="s">
        <v>978</v>
      </c>
      <c r="C35" s="39">
        <f>'Final Report'!C31/'Final Report'!$C$41</f>
        <v>6.2300090417474873E-3</v>
      </c>
      <c r="D35" s="39">
        <f>'Final Report'!D31/'Final Report'!$D$41</f>
        <v>0</v>
      </c>
      <c r="E35" s="187" t="str">
        <f>IFERROR(('Final Report'!D31-'Final Report'!C31)/'Final Report'!D31,"")</f>
        <v/>
      </c>
    </row>
    <row r="36" spans="2:33" x14ac:dyDescent="0.25">
      <c r="B36" s="92" t="s">
        <v>982</v>
      </c>
      <c r="C36" s="39">
        <f>'Final Report'!C32/'Final Report'!$C$41</f>
        <v>4.1694064379973516E-3</v>
      </c>
      <c r="D36" s="39">
        <f>'Final Report'!D32/'Final Report'!$D$41</f>
        <v>2.5590457460327922E-3</v>
      </c>
      <c r="E36" s="187">
        <f>IFERROR(('Final Report'!D32-'Final Report'!C32)/'Final Report'!D32,"")</f>
        <v>-2.7137745974955276</v>
      </c>
      <c r="Z36" s="91" t="s">
        <v>223</v>
      </c>
      <c r="AA36" t="s">
        <v>1129</v>
      </c>
      <c r="AD36" s="91" t="s">
        <v>223</v>
      </c>
      <c r="AE36" t="s" vm="2">
        <v>777</v>
      </c>
    </row>
    <row r="37" spans="2:33" x14ac:dyDescent="0.25">
      <c r="B37" s="92" t="s">
        <v>980</v>
      </c>
      <c r="C37" s="39">
        <f>'Final Report'!C33/'Final Report'!$C$41</f>
        <v>1.2644789467067112E-3</v>
      </c>
      <c r="D37" s="39">
        <f>'Final Report'!D33/'Final Report'!$D$41</f>
        <v>5.9787365730211576E-3</v>
      </c>
      <c r="E37" s="187">
        <f>IFERROR(('Final Report'!D33-'Final Report'!C33)/'Final Report'!D33,"")</f>
        <v>0.51791730474732001</v>
      </c>
      <c r="Z37" t="s">
        <v>892</v>
      </c>
      <c r="AA37" s="113">
        <v>1</v>
      </c>
    </row>
    <row r="38" spans="2:33" x14ac:dyDescent="0.25">
      <c r="B38" s="92" t="s">
        <v>981</v>
      </c>
      <c r="C38" s="39">
        <f>'Final Report'!C34/'Final Report'!$C$41</f>
        <v>1.4942381454094555E-3</v>
      </c>
      <c r="D38" s="39">
        <f>'Final Report'!D34/'Final Report'!$D$41</f>
        <v>5.3927654540726821E-3</v>
      </c>
      <c r="E38" s="187">
        <f>IFERROR(('Final Report'!D34-'Final Report'!C34)/'Final Report'!D34,"")</f>
        <v>0.36842105263157893</v>
      </c>
      <c r="Z38" t="s">
        <v>75</v>
      </c>
      <c r="AA38" s="113">
        <v>40</v>
      </c>
      <c r="AD38" s="91" t="s">
        <v>759</v>
      </c>
      <c r="AE38" s="91" t="s">
        <v>178</v>
      </c>
    </row>
    <row r="39" spans="2:33" x14ac:dyDescent="0.25">
      <c r="B39" s="92" t="s">
        <v>974</v>
      </c>
      <c r="C39" s="39">
        <f>'Final Report'!C35/'Final Report'!$C$41</f>
        <v>6.2661599646202971E-4</v>
      </c>
      <c r="D39" s="39">
        <f>'Final Report'!D35/'Final Report'!$D$41</f>
        <v>2.5544678466660076E-3</v>
      </c>
      <c r="E39" s="187">
        <f>IFERROR(('Final Report'!D35-'Final Report'!C35)/'Final Report'!D35,"")</f>
        <v>0.44086021505376344</v>
      </c>
      <c r="Z39" t="s">
        <v>222</v>
      </c>
      <c r="AA39" s="113">
        <v>53</v>
      </c>
      <c r="AD39" s="91" t="s">
        <v>964</v>
      </c>
      <c r="AE39" t="s">
        <v>177</v>
      </c>
      <c r="AF39" t="s">
        <v>784</v>
      </c>
      <c r="AG39" t="s">
        <v>407</v>
      </c>
    </row>
    <row r="40" spans="2:33" x14ac:dyDescent="0.25">
      <c r="B40" s="92" t="s">
        <v>975</v>
      </c>
      <c r="C40" s="39">
        <f>'Final Report'!C36/'Final Report'!$C$41</f>
        <v>7.069513806238284E-4</v>
      </c>
      <c r="D40" s="39">
        <f>'Final Report'!D36/'Final Report'!$D$41</f>
        <v>2.3035989613661915E-3</v>
      </c>
      <c r="E40" s="187">
        <f>IFERROR(('Final Report'!D36-'Final Report'!C36)/'Final Report'!D36,"")</f>
        <v>0.30047694753577109</v>
      </c>
      <c r="Z40" t="s">
        <v>397</v>
      </c>
      <c r="AA40" s="113">
        <v>46</v>
      </c>
      <c r="AD40" t="s">
        <v>968</v>
      </c>
      <c r="AE40" s="178">
        <v>0.31329280654231834</v>
      </c>
      <c r="AF40" s="178">
        <v>5.1326617683272536E-3</v>
      </c>
      <c r="AG40" s="178">
        <v>0.31842546831064561</v>
      </c>
    </row>
    <row r="41" spans="2:33" x14ac:dyDescent="0.25">
      <c r="B41" s="92" t="s">
        <v>970</v>
      </c>
      <c r="C41" s="39">
        <f>'Final Report'!C37/'Final Report'!$C$41</f>
        <v>9.7406653296180901E-4</v>
      </c>
      <c r="D41" s="39">
        <f>'Final Report'!D37/'Final Report'!$D$41</f>
        <v>0</v>
      </c>
      <c r="E41" s="187" t="str">
        <f>IFERROR(('Final Report'!D37-'Final Report'!C37)/'Final Report'!D37,"")</f>
        <v/>
      </c>
      <c r="Z41" t="s">
        <v>545</v>
      </c>
      <c r="AA41" s="113">
        <v>62</v>
      </c>
      <c r="AD41" t="s">
        <v>965</v>
      </c>
      <c r="AE41" s="178">
        <v>7.6679723814596132E-2</v>
      </c>
      <c r="AF41" s="178">
        <v>7.5248734850176857E-2</v>
      </c>
      <c r="AG41" s="178">
        <v>0.151928458664773</v>
      </c>
    </row>
    <row r="42" spans="2:33" x14ac:dyDescent="0.25">
      <c r="B42" s="92" t="s">
        <v>985</v>
      </c>
      <c r="C42" s="39">
        <f>'Final Report'!C38/'Final Report'!$C$41</f>
        <v>9.2184853325663987E-4</v>
      </c>
      <c r="D42" s="39">
        <f>'Final Report'!D38/'Final Report'!$D$41</f>
        <v>0</v>
      </c>
      <c r="E42" s="187" t="str">
        <f>IFERROR(('Final Report'!D38-'Final Report'!C38)/'Final Report'!D38,"")</f>
        <v/>
      </c>
      <c r="Z42" t="s">
        <v>771</v>
      </c>
      <c r="AA42" s="113">
        <v>46</v>
      </c>
      <c r="AD42" t="s">
        <v>969</v>
      </c>
      <c r="AE42" s="178">
        <v>0.10516945658211972</v>
      </c>
      <c r="AF42" s="178">
        <v>3.8706139722936482E-2</v>
      </c>
      <c r="AG42" s="178">
        <v>0.1438755963050562</v>
      </c>
    </row>
    <row r="43" spans="2:33" x14ac:dyDescent="0.25">
      <c r="B43" s="92" t="s">
        <v>979</v>
      </c>
      <c r="C43" s="39">
        <f>'Final Report'!C39/'Final Report'!$C$41</f>
        <v>4.2376915145348804E-4</v>
      </c>
      <c r="D43" s="39">
        <f>'Final Report'!D39/'Final Report'!$D$41</f>
        <v>2.9298555947423739E-4</v>
      </c>
      <c r="E43" s="187">
        <f>IFERROR(('Final Report'!D39-'Final Report'!C39)/'Final Report'!D39,"")</f>
        <v>-2.296875</v>
      </c>
      <c r="Z43" t="s">
        <v>940</v>
      </c>
      <c r="AA43" s="113">
        <v>35</v>
      </c>
      <c r="AD43" t="s">
        <v>966</v>
      </c>
      <c r="AE43" s="178">
        <v>7.5407892702314211E-2</v>
      </c>
      <c r="AF43" s="178">
        <v>4.3415255482952213E-2</v>
      </c>
      <c r="AG43" s="178">
        <v>0.11882314818526642</v>
      </c>
    </row>
    <row r="44" spans="2:33" x14ac:dyDescent="0.25">
      <c r="B44" s="92" t="s">
        <v>892</v>
      </c>
      <c r="C44" s="39">
        <f>'Final Report'!C40/'Final Report'!$C$41</f>
        <v>1.0443599941033829E-4</v>
      </c>
      <c r="D44" s="39">
        <f>'Final Report'!D40/'Final Report'!$D$41</f>
        <v>0</v>
      </c>
      <c r="E44" s="187" t="str">
        <f>IFERROR(('Final Report'!D40-'Final Report'!C40)/'Final Report'!D40,"")</f>
        <v/>
      </c>
      <c r="Z44" t="s">
        <v>1080</v>
      </c>
      <c r="AA44" s="113">
        <v>31</v>
      </c>
      <c r="AD44" t="s">
        <v>967</v>
      </c>
      <c r="AE44" s="178">
        <v>8.4709201662304737E-2</v>
      </c>
      <c r="AF44" s="178">
        <v>2.0008074815166907E-2</v>
      </c>
      <c r="AG44" s="178">
        <v>0.10471727647747164</v>
      </c>
    </row>
    <row r="45" spans="2:33" x14ac:dyDescent="0.25">
      <c r="Z45" t="s">
        <v>407</v>
      </c>
      <c r="AA45" s="113">
        <v>130</v>
      </c>
      <c r="AD45" t="s">
        <v>976</v>
      </c>
      <c r="AE45" s="178">
        <v>6.4656982615285644E-2</v>
      </c>
      <c r="AF45" s="178">
        <v>2.6782424773456576E-2</v>
      </c>
      <c r="AG45" s="178">
        <v>9.1439407388742219E-2</v>
      </c>
    </row>
    <row r="46" spans="2:33" x14ac:dyDescent="0.25">
      <c r="AD46" t="s">
        <v>977</v>
      </c>
      <c r="AE46" s="178">
        <v>5.866410486951442E-2</v>
      </c>
      <c r="AF46" s="178">
        <v>1.2126539798530497E-2</v>
      </c>
      <c r="AG46" s="178">
        <v>7.0790644668044925E-2</v>
      </c>
    </row>
    <row r="47" spans="2:33" x14ac:dyDescent="0.25">
      <c r="AD47" t="s">
        <v>407</v>
      </c>
      <c r="AE47" s="220">
        <v>0.77858016878845315</v>
      </c>
      <c r="AF47" s="220">
        <v>0.22141983121154679</v>
      </c>
      <c r="AG47" s="220">
        <v>1</v>
      </c>
    </row>
    <row r="49" spans="2:29" x14ac:dyDescent="0.25">
      <c r="B49" s="2" t="s">
        <v>1125</v>
      </c>
      <c r="G49" s="208"/>
      <c r="Z49" s="91" t="s">
        <v>759</v>
      </c>
      <c r="AA49" s="91" t="s">
        <v>178</v>
      </c>
    </row>
    <row r="50" spans="2:29" x14ac:dyDescent="0.25">
      <c r="B50" s="91" t="s">
        <v>223</v>
      </c>
      <c r="C50" t="s" vm="7">
        <v>1079</v>
      </c>
      <c r="Z50" s="91" t="s">
        <v>0</v>
      </c>
      <c r="AA50" t="s">
        <v>177</v>
      </c>
      <c r="AB50" t="s">
        <v>784</v>
      </c>
      <c r="AC50" t="s">
        <v>407</v>
      </c>
    </row>
    <row r="51" spans="2:29" x14ac:dyDescent="0.25">
      <c r="Z51" t="s">
        <v>22</v>
      </c>
      <c r="AA51" s="113">
        <v>860810</v>
      </c>
      <c r="AB51" s="113">
        <v>209343</v>
      </c>
      <c r="AC51" s="113">
        <v>1070153</v>
      </c>
    </row>
    <row r="52" spans="2:29" x14ac:dyDescent="0.25">
      <c r="B52" s="91" t="s">
        <v>759</v>
      </c>
      <c r="D52" s="91" t="s">
        <v>178</v>
      </c>
      <c r="G52" s="216"/>
      <c r="H52" s="216"/>
      <c r="Z52" t="s">
        <v>1</v>
      </c>
      <c r="AA52" s="113">
        <v>1136568</v>
      </c>
      <c r="AB52" s="113">
        <v>234505</v>
      </c>
      <c r="AC52" s="113">
        <v>1371073</v>
      </c>
    </row>
    <row r="53" spans="2:29" x14ac:dyDescent="0.25">
      <c r="B53" s="91" t="s">
        <v>964</v>
      </c>
      <c r="C53" s="91" t="s">
        <v>14</v>
      </c>
      <c r="D53" t="s">
        <v>177</v>
      </c>
      <c r="E53" t="s">
        <v>784</v>
      </c>
      <c r="F53" t="s">
        <v>407</v>
      </c>
      <c r="G53" s="216" t="s">
        <v>1155</v>
      </c>
      <c r="H53" s="216" t="s">
        <v>1156</v>
      </c>
      <c r="Z53" t="s">
        <v>599</v>
      </c>
      <c r="AA53" s="113">
        <v>126489</v>
      </c>
      <c r="AB53" s="113">
        <v>217900</v>
      </c>
      <c r="AC53" s="113">
        <v>344389</v>
      </c>
    </row>
    <row r="54" spans="2:29" x14ac:dyDescent="0.25">
      <c r="B54" t="s">
        <v>968</v>
      </c>
      <c r="D54" s="113">
        <v>783395</v>
      </c>
      <c r="E54" s="113">
        <v>21510</v>
      </c>
      <c r="F54" s="113">
        <v>804905</v>
      </c>
      <c r="G54" s="187">
        <f>IFERROR((E54-D54)/E54,"")</f>
        <v>-35.420037192003718</v>
      </c>
      <c r="H54" s="113">
        <f>D54-E54</f>
        <v>761885</v>
      </c>
      <c r="Z54" t="s">
        <v>19</v>
      </c>
      <c r="AA54" s="113">
        <v>327195</v>
      </c>
      <c r="AB54" s="113">
        <v>162211</v>
      </c>
      <c r="AC54" s="113">
        <v>489406</v>
      </c>
    </row>
    <row r="55" spans="2:29" x14ac:dyDescent="0.25">
      <c r="B55" t="s">
        <v>965</v>
      </c>
      <c r="D55" s="113">
        <v>249770</v>
      </c>
      <c r="E55" s="113">
        <v>315353</v>
      </c>
      <c r="F55" s="113">
        <v>565123</v>
      </c>
      <c r="G55" s="187">
        <f t="shared" ref="G55:G118" si="0">IFERROR((E55-D55)/E55,"")</f>
        <v>0.20796694497911863</v>
      </c>
      <c r="H55" s="113">
        <f t="shared" ref="H55:H118" si="1">D55-E55</f>
        <v>-65583</v>
      </c>
      <c r="Z55" t="s">
        <v>11</v>
      </c>
      <c r="AA55" s="113">
        <v>332990</v>
      </c>
      <c r="AB55" s="113">
        <v>141580</v>
      </c>
      <c r="AC55" s="113">
        <v>474570</v>
      </c>
    </row>
    <row r="56" spans="2:29" x14ac:dyDescent="0.25">
      <c r="B56" t="s">
        <v>969</v>
      </c>
      <c r="D56" s="113">
        <v>375675</v>
      </c>
      <c r="E56" s="113">
        <v>162210</v>
      </c>
      <c r="F56" s="113">
        <v>537885</v>
      </c>
      <c r="G56" s="187">
        <f t="shared" si="0"/>
        <v>-1.3159792861105974</v>
      </c>
      <c r="H56" s="113">
        <f t="shared" si="1"/>
        <v>213465</v>
      </c>
      <c r="Z56" t="s">
        <v>111</v>
      </c>
      <c r="AA56" s="113">
        <v>419080</v>
      </c>
      <c r="AB56" s="113">
        <v>126665</v>
      </c>
      <c r="AC56" s="113">
        <v>545745</v>
      </c>
    </row>
    <row r="57" spans="2:29" x14ac:dyDescent="0.25">
      <c r="B57" t="s">
        <v>966</v>
      </c>
      <c r="D57" s="113">
        <v>253240</v>
      </c>
      <c r="E57" s="113">
        <v>181945</v>
      </c>
      <c r="F57" s="113">
        <v>435185</v>
      </c>
      <c r="G57" s="187">
        <f t="shared" si="0"/>
        <v>-0.39184918519332768</v>
      </c>
      <c r="H57" s="113">
        <f t="shared" si="1"/>
        <v>71295</v>
      </c>
      <c r="Z57" t="s">
        <v>407</v>
      </c>
      <c r="AA57" s="102">
        <v>3203132</v>
      </c>
      <c r="AB57" s="102">
        <v>1092204</v>
      </c>
      <c r="AC57" s="102">
        <v>4295336</v>
      </c>
    </row>
    <row r="58" spans="2:29" x14ac:dyDescent="0.25">
      <c r="B58" t="s">
        <v>967</v>
      </c>
      <c r="D58" s="113">
        <v>306700</v>
      </c>
      <c r="E58" s="113">
        <v>83850</v>
      </c>
      <c r="F58" s="113">
        <v>390550</v>
      </c>
      <c r="G58" s="187">
        <f t="shared" si="0"/>
        <v>-2.6577221228384018</v>
      </c>
      <c r="H58" s="113">
        <f t="shared" si="1"/>
        <v>222850</v>
      </c>
    </row>
    <row r="59" spans="2:29" x14ac:dyDescent="0.25">
      <c r="B59" t="s">
        <v>976</v>
      </c>
      <c r="D59" s="113">
        <v>194180</v>
      </c>
      <c r="E59" s="113">
        <v>112240</v>
      </c>
      <c r="F59" s="113">
        <v>306420</v>
      </c>
      <c r="G59" s="187">
        <f t="shared" si="0"/>
        <v>-0.73004276550249469</v>
      </c>
      <c r="H59" s="113">
        <f t="shared" si="1"/>
        <v>81940</v>
      </c>
    </row>
    <row r="60" spans="2:29" x14ac:dyDescent="0.25">
      <c r="B60" t="s">
        <v>977</v>
      </c>
      <c r="D60" s="113">
        <v>171700</v>
      </c>
      <c r="E60" s="113">
        <v>50820</v>
      </c>
      <c r="F60" s="113">
        <v>222520</v>
      </c>
      <c r="G60" s="187">
        <f t="shared" si="0"/>
        <v>-2.3785911058638329</v>
      </c>
      <c r="H60" s="113">
        <f t="shared" si="1"/>
        <v>120880</v>
      </c>
    </row>
    <row r="61" spans="2:29" x14ac:dyDescent="0.25">
      <c r="B61" t="s">
        <v>972</v>
      </c>
      <c r="D61" s="113">
        <v>61845</v>
      </c>
      <c r="E61" s="113">
        <v>43680</v>
      </c>
      <c r="F61" s="113">
        <v>105525</v>
      </c>
      <c r="G61" s="187">
        <f t="shared" si="0"/>
        <v>-0.41586538461538464</v>
      </c>
      <c r="H61" s="113">
        <f t="shared" si="1"/>
        <v>18165</v>
      </c>
    </row>
    <row r="62" spans="2:29" x14ac:dyDescent="0.25">
      <c r="B62" t="s">
        <v>983</v>
      </c>
      <c r="D62" s="113">
        <v>10925</v>
      </c>
      <c r="E62" s="113">
        <v>42170</v>
      </c>
      <c r="F62" s="113">
        <v>53095</v>
      </c>
      <c r="G62" s="187">
        <f t="shared" si="0"/>
        <v>0.74092957078491817</v>
      </c>
      <c r="H62" s="113">
        <f t="shared" si="1"/>
        <v>-31245</v>
      </c>
    </row>
    <row r="63" spans="2:29" x14ac:dyDescent="0.25">
      <c r="B63" t="s">
        <v>1054</v>
      </c>
      <c r="D63" s="113"/>
      <c r="E63" s="113">
        <v>38035</v>
      </c>
      <c r="F63" s="113">
        <v>38035</v>
      </c>
      <c r="G63" s="187">
        <f t="shared" si="0"/>
        <v>1</v>
      </c>
      <c r="H63" s="113">
        <f t="shared" si="1"/>
        <v>-38035</v>
      </c>
    </row>
    <row r="64" spans="2:29" x14ac:dyDescent="0.25">
      <c r="B64" t="s">
        <v>971</v>
      </c>
      <c r="D64" s="113">
        <v>10180</v>
      </c>
      <c r="E64" s="113">
        <v>10710</v>
      </c>
      <c r="F64" s="113">
        <v>20890</v>
      </c>
      <c r="G64" s="187">
        <f t="shared" si="0"/>
        <v>4.9486461251167131E-2</v>
      </c>
      <c r="H64" s="113">
        <f t="shared" si="1"/>
        <v>-530</v>
      </c>
    </row>
    <row r="65" spans="2:8" x14ac:dyDescent="0.25">
      <c r="B65" t="s">
        <v>984</v>
      </c>
      <c r="D65" s="113">
        <v>19960</v>
      </c>
      <c r="E65" s="113"/>
      <c r="F65" s="113">
        <v>19960</v>
      </c>
      <c r="G65" s="187" t="str">
        <f t="shared" si="0"/>
        <v/>
      </c>
      <c r="H65" s="113">
        <f t="shared" si="1"/>
        <v>19960</v>
      </c>
    </row>
    <row r="66" spans="2:8" x14ac:dyDescent="0.25">
      <c r="B66" t="s">
        <v>973</v>
      </c>
      <c r="D66" s="113">
        <v>9880</v>
      </c>
      <c r="E66" s="113">
        <v>8840</v>
      </c>
      <c r="F66" s="113">
        <v>18720</v>
      </c>
      <c r="G66" s="187">
        <f t="shared" si="0"/>
        <v>-0.11764705882352941</v>
      </c>
      <c r="H66" s="113">
        <f t="shared" si="1"/>
        <v>1040</v>
      </c>
    </row>
    <row r="67" spans="2:8" x14ac:dyDescent="0.25">
      <c r="B67" t="s">
        <v>978</v>
      </c>
      <c r="D67" s="113">
        <v>15510</v>
      </c>
      <c r="E67" s="113"/>
      <c r="F67" s="113">
        <v>15510</v>
      </c>
      <c r="G67" s="187" t="str">
        <f t="shared" si="0"/>
        <v/>
      </c>
      <c r="H67" s="113">
        <f t="shared" si="1"/>
        <v>15510</v>
      </c>
    </row>
    <row r="68" spans="2:8" x14ac:dyDescent="0.25">
      <c r="B68" t="s">
        <v>982</v>
      </c>
      <c r="D68" s="113">
        <v>10380</v>
      </c>
      <c r="E68" s="113">
        <v>2795</v>
      </c>
      <c r="F68" s="113">
        <v>13175</v>
      </c>
      <c r="G68" s="187">
        <f t="shared" si="0"/>
        <v>-2.7137745974955276</v>
      </c>
      <c r="H68" s="113">
        <f t="shared" si="1"/>
        <v>7585</v>
      </c>
    </row>
    <row r="69" spans="2:8" x14ac:dyDescent="0.25">
      <c r="B69" t="s">
        <v>980</v>
      </c>
      <c r="D69" s="113">
        <v>3148</v>
      </c>
      <c r="E69" s="113">
        <v>6530</v>
      </c>
      <c r="F69" s="113">
        <v>9678</v>
      </c>
      <c r="G69" s="187">
        <f t="shared" si="0"/>
        <v>0.51791730474732001</v>
      </c>
      <c r="H69" s="113">
        <f t="shared" si="1"/>
        <v>-3382</v>
      </c>
    </row>
    <row r="70" spans="2:8" x14ac:dyDescent="0.25">
      <c r="B70" t="s">
        <v>981</v>
      </c>
      <c r="D70" s="113">
        <v>3720</v>
      </c>
      <c r="E70" s="113">
        <v>5890</v>
      </c>
      <c r="F70" s="113">
        <v>9610</v>
      </c>
      <c r="G70" s="187">
        <f t="shared" si="0"/>
        <v>0.36842105263157893</v>
      </c>
      <c r="H70" s="113">
        <f t="shared" si="1"/>
        <v>-2170</v>
      </c>
    </row>
    <row r="71" spans="2:8" x14ac:dyDescent="0.25">
      <c r="B71" t="s">
        <v>974</v>
      </c>
      <c r="D71" s="113">
        <v>1560</v>
      </c>
      <c r="E71" s="113">
        <v>2790</v>
      </c>
      <c r="F71" s="113">
        <v>4350</v>
      </c>
      <c r="G71" s="187">
        <f t="shared" si="0"/>
        <v>0.44086021505376344</v>
      </c>
      <c r="H71" s="113">
        <f t="shared" si="1"/>
        <v>-1230</v>
      </c>
    </row>
    <row r="72" spans="2:8" x14ac:dyDescent="0.25">
      <c r="B72" t="s">
        <v>975</v>
      </c>
      <c r="D72" s="113">
        <v>1760</v>
      </c>
      <c r="E72" s="113">
        <v>2516</v>
      </c>
      <c r="F72" s="113">
        <v>4276</v>
      </c>
      <c r="G72" s="187">
        <f t="shared" si="0"/>
        <v>0.30047694753577109</v>
      </c>
      <c r="H72" s="113">
        <f t="shared" si="1"/>
        <v>-756</v>
      </c>
    </row>
    <row r="73" spans="2:8" x14ac:dyDescent="0.25">
      <c r="B73" t="s">
        <v>970</v>
      </c>
      <c r="D73" s="113">
        <v>2425</v>
      </c>
      <c r="E73" s="113"/>
      <c r="F73" s="113">
        <v>2425</v>
      </c>
      <c r="G73" s="187" t="str">
        <f t="shared" si="0"/>
        <v/>
      </c>
      <c r="H73" s="113">
        <f t="shared" si="1"/>
        <v>2425</v>
      </c>
    </row>
    <row r="74" spans="2:8" x14ac:dyDescent="0.25">
      <c r="B74" t="s">
        <v>985</v>
      </c>
      <c r="D74" s="113">
        <v>2295</v>
      </c>
      <c r="E74" s="113"/>
      <c r="F74" s="113">
        <v>2295</v>
      </c>
      <c r="G74" s="187" t="str">
        <f t="shared" si="0"/>
        <v/>
      </c>
      <c r="H74" s="113">
        <f t="shared" si="1"/>
        <v>2295</v>
      </c>
    </row>
    <row r="75" spans="2:8" x14ac:dyDescent="0.25">
      <c r="B75" t="s">
        <v>979</v>
      </c>
      <c r="D75" s="113">
        <v>1055</v>
      </c>
      <c r="E75" s="113">
        <v>320</v>
      </c>
      <c r="F75" s="113">
        <v>1375</v>
      </c>
      <c r="G75" s="187">
        <f t="shared" si="0"/>
        <v>-2.296875</v>
      </c>
      <c r="H75" s="113">
        <f t="shared" si="1"/>
        <v>735</v>
      </c>
    </row>
    <row r="76" spans="2:8" x14ac:dyDescent="0.25">
      <c r="B76" t="s">
        <v>892</v>
      </c>
      <c r="D76" s="113">
        <v>260</v>
      </c>
      <c r="E76" s="113"/>
      <c r="F76" s="113">
        <v>260</v>
      </c>
      <c r="G76" s="187" t="str">
        <f t="shared" si="0"/>
        <v/>
      </c>
      <c r="H76" s="113">
        <f t="shared" si="1"/>
        <v>260</v>
      </c>
    </row>
    <row r="77" spans="2:8" x14ac:dyDescent="0.25">
      <c r="B77" t="s">
        <v>407</v>
      </c>
      <c r="D77" s="113">
        <v>2489563</v>
      </c>
      <c r="E77" s="113">
        <v>1092204</v>
      </c>
      <c r="F77" s="113">
        <v>3581767</v>
      </c>
      <c r="G77" s="187">
        <f t="shared" si="0"/>
        <v>-1.2793937762542529</v>
      </c>
      <c r="H77" s="113">
        <f t="shared" si="1"/>
        <v>1397359</v>
      </c>
    </row>
    <row r="78" spans="2:8" x14ac:dyDescent="0.25">
      <c r="G78" s="187" t="str">
        <f t="shared" si="0"/>
        <v/>
      </c>
      <c r="H78" s="113">
        <f t="shared" si="1"/>
        <v>0</v>
      </c>
    </row>
    <row r="79" spans="2:8" x14ac:dyDescent="0.25">
      <c r="G79" s="187" t="str">
        <f t="shared" si="0"/>
        <v/>
      </c>
      <c r="H79" s="113">
        <f t="shared" si="1"/>
        <v>0</v>
      </c>
    </row>
    <row r="80" spans="2:8" x14ac:dyDescent="0.25">
      <c r="G80" s="187" t="str">
        <f t="shared" si="0"/>
        <v/>
      </c>
      <c r="H80" s="113">
        <f t="shared" si="1"/>
        <v>0</v>
      </c>
    </row>
    <row r="81" spans="7:8" x14ac:dyDescent="0.25">
      <c r="G81" s="187" t="str">
        <f t="shared" si="0"/>
        <v/>
      </c>
      <c r="H81" s="113">
        <f t="shared" si="1"/>
        <v>0</v>
      </c>
    </row>
    <row r="82" spans="7:8" x14ac:dyDescent="0.25">
      <c r="G82" s="187" t="str">
        <f t="shared" si="0"/>
        <v/>
      </c>
      <c r="H82" s="113">
        <f t="shared" si="1"/>
        <v>0</v>
      </c>
    </row>
    <row r="83" spans="7:8" x14ac:dyDescent="0.25">
      <c r="G83" s="187" t="str">
        <f t="shared" si="0"/>
        <v/>
      </c>
      <c r="H83" s="113">
        <f t="shared" si="1"/>
        <v>0</v>
      </c>
    </row>
    <row r="84" spans="7:8" x14ac:dyDescent="0.25">
      <c r="G84" s="187" t="str">
        <f t="shared" si="0"/>
        <v/>
      </c>
      <c r="H84" s="113">
        <f t="shared" si="1"/>
        <v>0</v>
      </c>
    </row>
    <row r="85" spans="7:8" x14ac:dyDescent="0.25">
      <c r="G85" s="187" t="str">
        <f t="shared" si="0"/>
        <v/>
      </c>
      <c r="H85" s="113">
        <f t="shared" si="1"/>
        <v>0</v>
      </c>
    </row>
    <row r="86" spans="7:8" x14ac:dyDescent="0.25">
      <c r="G86" s="187" t="str">
        <f t="shared" si="0"/>
        <v/>
      </c>
      <c r="H86" s="113">
        <f t="shared" si="1"/>
        <v>0</v>
      </c>
    </row>
    <row r="87" spans="7:8" x14ac:dyDescent="0.25">
      <c r="G87" s="187" t="str">
        <f t="shared" si="0"/>
        <v/>
      </c>
      <c r="H87" s="113">
        <f t="shared" si="1"/>
        <v>0</v>
      </c>
    </row>
    <row r="88" spans="7:8" x14ac:dyDescent="0.25">
      <c r="G88" s="187" t="str">
        <f t="shared" si="0"/>
        <v/>
      </c>
      <c r="H88" s="113">
        <f t="shared" si="1"/>
        <v>0</v>
      </c>
    </row>
    <row r="89" spans="7:8" x14ac:dyDescent="0.25">
      <c r="G89" s="187" t="str">
        <f t="shared" si="0"/>
        <v/>
      </c>
      <c r="H89" s="113">
        <f t="shared" si="1"/>
        <v>0</v>
      </c>
    </row>
    <row r="90" spans="7:8" x14ac:dyDescent="0.25">
      <c r="G90" s="187" t="str">
        <f t="shared" si="0"/>
        <v/>
      </c>
      <c r="H90" s="113">
        <f t="shared" si="1"/>
        <v>0</v>
      </c>
    </row>
    <row r="91" spans="7:8" x14ac:dyDescent="0.25">
      <c r="G91" s="187" t="str">
        <f t="shared" si="0"/>
        <v/>
      </c>
      <c r="H91" s="113">
        <f t="shared" si="1"/>
        <v>0</v>
      </c>
    </row>
    <row r="92" spans="7:8" x14ac:dyDescent="0.25">
      <c r="G92" s="187" t="str">
        <f t="shared" si="0"/>
        <v/>
      </c>
      <c r="H92" s="113">
        <f t="shared" si="1"/>
        <v>0</v>
      </c>
    </row>
    <row r="93" spans="7:8" x14ac:dyDescent="0.25">
      <c r="G93" s="187" t="str">
        <f t="shared" si="0"/>
        <v/>
      </c>
      <c r="H93" s="113">
        <f t="shared" si="1"/>
        <v>0</v>
      </c>
    </row>
    <row r="94" spans="7:8" x14ac:dyDescent="0.25">
      <c r="G94" s="187" t="str">
        <f t="shared" si="0"/>
        <v/>
      </c>
      <c r="H94" s="113">
        <f t="shared" si="1"/>
        <v>0</v>
      </c>
    </row>
    <row r="95" spans="7:8" x14ac:dyDescent="0.25">
      <c r="G95" s="187" t="str">
        <f t="shared" si="0"/>
        <v/>
      </c>
      <c r="H95" s="113">
        <f t="shared" si="1"/>
        <v>0</v>
      </c>
    </row>
    <row r="96" spans="7:8" x14ac:dyDescent="0.25">
      <c r="G96" s="187" t="str">
        <f t="shared" si="0"/>
        <v/>
      </c>
      <c r="H96" s="113">
        <f t="shared" si="1"/>
        <v>0</v>
      </c>
    </row>
    <row r="97" spans="7:8" x14ac:dyDescent="0.25">
      <c r="G97" s="187" t="str">
        <f t="shared" si="0"/>
        <v/>
      </c>
      <c r="H97" s="113">
        <f t="shared" si="1"/>
        <v>0</v>
      </c>
    </row>
    <row r="98" spans="7:8" x14ac:dyDescent="0.25">
      <c r="G98" s="187" t="str">
        <f t="shared" si="0"/>
        <v/>
      </c>
      <c r="H98" s="113">
        <f t="shared" si="1"/>
        <v>0</v>
      </c>
    </row>
    <row r="99" spans="7:8" x14ac:dyDescent="0.25">
      <c r="G99" s="187" t="str">
        <f t="shared" si="0"/>
        <v/>
      </c>
      <c r="H99" s="113">
        <f t="shared" si="1"/>
        <v>0</v>
      </c>
    </row>
    <row r="100" spans="7:8" x14ac:dyDescent="0.25">
      <c r="G100" s="187" t="str">
        <f t="shared" si="0"/>
        <v/>
      </c>
      <c r="H100" s="113">
        <f t="shared" si="1"/>
        <v>0</v>
      </c>
    </row>
    <row r="101" spans="7:8" x14ac:dyDescent="0.25">
      <c r="G101" s="187" t="str">
        <f t="shared" si="0"/>
        <v/>
      </c>
      <c r="H101" s="113">
        <f t="shared" si="1"/>
        <v>0</v>
      </c>
    </row>
    <row r="102" spans="7:8" x14ac:dyDescent="0.25">
      <c r="G102" s="187" t="str">
        <f t="shared" si="0"/>
        <v/>
      </c>
      <c r="H102" s="113">
        <f t="shared" si="1"/>
        <v>0</v>
      </c>
    </row>
    <row r="103" spans="7:8" x14ac:dyDescent="0.25">
      <c r="G103" s="187" t="str">
        <f t="shared" si="0"/>
        <v/>
      </c>
      <c r="H103" s="113">
        <f t="shared" si="1"/>
        <v>0</v>
      </c>
    </row>
    <row r="104" spans="7:8" x14ac:dyDescent="0.25">
      <c r="G104" s="187" t="str">
        <f t="shared" si="0"/>
        <v/>
      </c>
      <c r="H104" s="113">
        <f t="shared" si="1"/>
        <v>0</v>
      </c>
    </row>
    <row r="105" spans="7:8" x14ac:dyDescent="0.25">
      <c r="G105" s="187" t="str">
        <f t="shared" si="0"/>
        <v/>
      </c>
      <c r="H105" s="113">
        <f t="shared" si="1"/>
        <v>0</v>
      </c>
    </row>
    <row r="106" spans="7:8" x14ac:dyDescent="0.25">
      <c r="G106" s="187" t="str">
        <f t="shared" si="0"/>
        <v/>
      </c>
      <c r="H106" s="113">
        <f t="shared" si="1"/>
        <v>0</v>
      </c>
    </row>
    <row r="107" spans="7:8" x14ac:dyDescent="0.25">
      <c r="G107" s="187" t="str">
        <f t="shared" si="0"/>
        <v/>
      </c>
      <c r="H107" s="113">
        <f t="shared" si="1"/>
        <v>0</v>
      </c>
    </row>
    <row r="108" spans="7:8" x14ac:dyDescent="0.25">
      <c r="G108" s="187" t="str">
        <f t="shared" si="0"/>
        <v/>
      </c>
      <c r="H108" s="113">
        <f t="shared" si="1"/>
        <v>0</v>
      </c>
    </row>
    <row r="109" spans="7:8" x14ac:dyDescent="0.25">
      <c r="G109" s="187" t="str">
        <f t="shared" si="0"/>
        <v/>
      </c>
      <c r="H109" s="113">
        <f t="shared" si="1"/>
        <v>0</v>
      </c>
    </row>
    <row r="110" spans="7:8" x14ac:dyDescent="0.25">
      <c r="G110" s="187" t="str">
        <f t="shared" si="0"/>
        <v/>
      </c>
      <c r="H110" s="113">
        <f t="shared" si="1"/>
        <v>0</v>
      </c>
    </row>
    <row r="111" spans="7:8" x14ac:dyDescent="0.25">
      <c r="G111" s="187" t="str">
        <f t="shared" si="0"/>
        <v/>
      </c>
      <c r="H111" s="113">
        <f t="shared" si="1"/>
        <v>0</v>
      </c>
    </row>
    <row r="112" spans="7:8" x14ac:dyDescent="0.25">
      <c r="G112" s="187" t="str">
        <f t="shared" si="0"/>
        <v/>
      </c>
      <c r="H112" s="113">
        <f t="shared" si="1"/>
        <v>0</v>
      </c>
    </row>
    <row r="113" spans="7:8" x14ac:dyDescent="0.25">
      <c r="G113" s="187" t="str">
        <f t="shared" si="0"/>
        <v/>
      </c>
      <c r="H113" s="113">
        <f t="shared" si="1"/>
        <v>0</v>
      </c>
    </row>
    <row r="114" spans="7:8" x14ac:dyDescent="0.25">
      <c r="G114" s="187" t="str">
        <f t="shared" si="0"/>
        <v/>
      </c>
      <c r="H114" s="113">
        <f t="shared" si="1"/>
        <v>0</v>
      </c>
    </row>
    <row r="115" spans="7:8" x14ac:dyDescent="0.25">
      <c r="G115" s="187" t="str">
        <f t="shared" si="0"/>
        <v/>
      </c>
      <c r="H115" s="113">
        <f t="shared" si="1"/>
        <v>0</v>
      </c>
    </row>
    <row r="116" spans="7:8" x14ac:dyDescent="0.25">
      <c r="G116" s="187" t="str">
        <f t="shared" si="0"/>
        <v/>
      </c>
      <c r="H116" s="113">
        <f t="shared" si="1"/>
        <v>0</v>
      </c>
    </row>
    <row r="117" spans="7:8" x14ac:dyDescent="0.25">
      <c r="G117" s="187" t="str">
        <f t="shared" si="0"/>
        <v/>
      </c>
      <c r="H117" s="113">
        <f t="shared" si="1"/>
        <v>0</v>
      </c>
    </row>
    <row r="118" spans="7:8" x14ac:dyDescent="0.25">
      <c r="G118" s="187" t="str">
        <f t="shared" si="0"/>
        <v/>
      </c>
      <c r="H118" s="113">
        <f t="shared" si="1"/>
        <v>0</v>
      </c>
    </row>
    <row r="119" spans="7:8" x14ac:dyDescent="0.25">
      <c r="G119" s="187" t="str">
        <f t="shared" ref="G119:G182" si="2">IFERROR((E119-D119)/E119,"")</f>
        <v/>
      </c>
      <c r="H119" s="113">
        <f t="shared" ref="H119:H182" si="3">D119-E119</f>
        <v>0</v>
      </c>
    </row>
    <row r="120" spans="7:8" x14ac:dyDescent="0.25">
      <c r="G120" s="187" t="str">
        <f t="shared" si="2"/>
        <v/>
      </c>
      <c r="H120" s="113">
        <f t="shared" si="3"/>
        <v>0</v>
      </c>
    </row>
    <row r="121" spans="7:8" x14ac:dyDescent="0.25">
      <c r="G121" s="187" t="str">
        <f t="shared" si="2"/>
        <v/>
      </c>
      <c r="H121" s="113">
        <f t="shared" si="3"/>
        <v>0</v>
      </c>
    </row>
    <row r="122" spans="7:8" x14ac:dyDescent="0.25">
      <c r="G122" s="187" t="str">
        <f t="shared" si="2"/>
        <v/>
      </c>
      <c r="H122" s="113">
        <f t="shared" si="3"/>
        <v>0</v>
      </c>
    </row>
    <row r="123" spans="7:8" x14ac:dyDescent="0.25">
      <c r="G123" s="187" t="str">
        <f t="shared" si="2"/>
        <v/>
      </c>
      <c r="H123" s="113">
        <f t="shared" si="3"/>
        <v>0</v>
      </c>
    </row>
    <row r="124" spans="7:8" x14ac:dyDescent="0.25">
      <c r="G124" s="187" t="str">
        <f t="shared" si="2"/>
        <v/>
      </c>
      <c r="H124" s="113">
        <f t="shared" si="3"/>
        <v>0</v>
      </c>
    </row>
    <row r="125" spans="7:8" x14ac:dyDescent="0.25">
      <c r="G125" s="187" t="str">
        <f t="shared" si="2"/>
        <v/>
      </c>
      <c r="H125" s="113">
        <f t="shared" si="3"/>
        <v>0</v>
      </c>
    </row>
    <row r="126" spans="7:8" x14ac:dyDescent="0.25">
      <c r="G126" s="187" t="str">
        <f t="shared" si="2"/>
        <v/>
      </c>
      <c r="H126" s="113">
        <f t="shared" si="3"/>
        <v>0</v>
      </c>
    </row>
    <row r="127" spans="7:8" x14ac:dyDescent="0.25">
      <c r="G127" s="187" t="str">
        <f t="shared" si="2"/>
        <v/>
      </c>
      <c r="H127" s="113">
        <f t="shared" si="3"/>
        <v>0</v>
      </c>
    </row>
    <row r="128" spans="7:8" x14ac:dyDescent="0.25">
      <c r="G128" s="187" t="str">
        <f t="shared" si="2"/>
        <v/>
      </c>
      <c r="H128" s="113">
        <f t="shared" si="3"/>
        <v>0</v>
      </c>
    </row>
    <row r="129" spans="7:8" x14ac:dyDescent="0.25">
      <c r="G129" s="187" t="str">
        <f t="shared" si="2"/>
        <v/>
      </c>
      <c r="H129" s="113">
        <f t="shared" si="3"/>
        <v>0</v>
      </c>
    </row>
    <row r="130" spans="7:8" x14ac:dyDescent="0.25">
      <c r="G130" s="187" t="str">
        <f t="shared" si="2"/>
        <v/>
      </c>
      <c r="H130" s="113">
        <f t="shared" si="3"/>
        <v>0</v>
      </c>
    </row>
    <row r="131" spans="7:8" x14ac:dyDescent="0.25">
      <c r="G131" s="187" t="str">
        <f t="shared" si="2"/>
        <v/>
      </c>
      <c r="H131" s="113">
        <f t="shared" si="3"/>
        <v>0</v>
      </c>
    </row>
    <row r="132" spans="7:8" x14ac:dyDescent="0.25">
      <c r="G132" s="187" t="str">
        <f t="shared" si="2"/>
        <v/>
      </c>
      <c r="H132" s="113">
        <f t="shared" si="3"/>
        <v>0</v>
      </c>
    </row>
    <row r="133" spans="7:8" x14ac:dyDescent="0.25">
      <c r="G133" s="187" t="str">
        <f t="shared" si="2"/>
        <v/>
      </c>
      <c r="H133" s="113">
        <f t="shared" si="3"/>
        <v>0</v>
      </c>
    </row>
    <row r="134" spans="7:8" x14ac:dyDescent="0.25">
      <c r="G134" s="187" t="str">
        <f t="shared" si="2"/>
        <v/>
      </c>
      <c r="H134" s="113">
        <f t="shared" si="3"/>
        <v>0</v>
      </c>
    </row>
    <row r="135" spans="7:8" x14ac:dyDescent="0.25">
      <c r="G135" s="187" t="str">
        <f t="shared" si="2"/>
        <v/>
      </c>
      <c r="H135" s="113">
        <f t="shared" si="3"/>
        <v>0</v>
      </c>
    </row>
    <row r="136" spans="7:8" x14ac:dyDescent="0.25">
      <c r="G136" s="187" t="str">
        <f t="shared" si="2"/>
        <v/>
      </c>
      <c r="H136" s="113">
        <f t="shared" si="3"/>
        <v>0</v>
      </c>
    </row>
    <row r="137" spans="7:8" x14ac:dyDescent="0.25">
      <c r="G137" s="187" t="str">
        <f t="shared" si="2"/>
        <v/>
      </c>
      <c r="H137" s="113">
        <f t="shared" si="3"/>
        <v>0</v>
      </c>
    </row>
    <row r="138" spans="7:8" x14ac:dyDescent="0.25">
      <c r="G138" s="187" t="str">
        <f t="shared" si="2"/>
        <v/>
      </c>
      <c r="H138" s="113">
        <f t="shared" si="3"/>
        <v>0</v>
      </c>
    </row>
    <row r="139" spans="7:8" x14ac:dyDescent="0.25">
      <c r="G139" s="187" t="str">
        <f t="shared" si="2"/>
        <v/>
      </c>
      <c r="H139" s="113">
        <f t="shared" si="3"/>
        <v>0</v>
      </c>
    </row>
    <row r="140" spans="7:8" x14ac:dyDescent="0.25">
      <c r="G140" s="187" t="str">
        <f t="shared" si="2"/>
        <v/>
      </c>
      <c r="H140" s="113">
        <f t="shared" si="3"/>
        <v>0</v>
      </c>
    </row>
    <row r="141" spans="7:8" x14ac:dyDescent="0.25">
      <c r="G141" s="187" t="str">
        <f t="shared" si="2"/>
        <v/>
      </c>
      <c r="H141" s="113">
        <f t="shared" si="3"/>
        <v>0</v>
      </c>
    </row>
    <row r="142" spans="7:8" x14ac:dyDescent="0.25">
      <c r="G142" s="187" t="str">
        <f t="shared" si="2"/>
        <v/>
      </c>
      <c r="H142" s="113">
        <f t="shared" si="3"/>
        <v>0</v>
      </c>
    </row>
    <row r="143" spans="7:8" x14ac:dyDescent="0.25">
      <c r="G143" s="187" t="str">
        <f t="shared" si="2"/>
        <v/>
      </c>
      <c r="H143" s="113">
        <f t="shared" si="3"/>
        <v>0</v>
      </c>
    </row>
    <row r="144" spans="7:8" x14ac:dyDescent="0.25">
      <c r="G144" s="187" t="str">
        <f t="shared" si="2"/>
        <v/>
      </c>
      <c r="H144" s="113">
        <f t="shared" si="3"/>
        <v>0</v>
      </c>
    </row>
    <row r="145" spans="7:8" x14ac:dyDescent="0.25">
      <c r="G145" s="187" t="str">
        <f t="shared" si="2"/>
        <v/>
      </c>
      <c r="H145" s="113">
        <f t="shared" si="3"/>
        <v>0</v>
      </c>
    </row>
    <row r="146" spans="7:8" x14ac:dyDescent="0.25">
      <c r="G146" s="187" t="str">
        <f t="shared" si="2"/>
        <v/>
      </c>
      <c r="H146" s="113">
        <f t="shared" si="3"/>
        <v>0</v>
      </c>
    </row>
    <row r="147" spans="7:8" x14ac:dyDescent="0.25">
      <c r="G147" s="187" t="str">
        <f t="shared" si="2"/>
        <v/>
      </c>
      <c r="H147" s="113">
        <f t="shared" si="3"/>
        <v>0</v>
      </c>
    </row>
    <row r="148" spans="7:8" x14ac:dyDescent="0.25">
      <c r="G148" s="187" t="str">
        <f t="shared" si="2"/>
        <v/>
      </c>
      <c r="H148" s="113">
        <f t="shared" si="3"/>
        <v>0</v>
      </c>
    </row>
    <row r="149" spans="7:8" x14ac:dyDescent="0.25">
      <c r="G149" s="187" t="str">
        <f t="shared" si="2"/>
        <v/>
      </c>
      <c r="H149" s="113">
        <f t="shared" si="3"/>
        <v>0</v>
      </c>
    </row>
    <row r="150" spans="7:8" x14ac:dyDescent="0.25">
      <c r="G150" s="187" t="str">
        <f t="shared" si="2"/>
        <v/>
      </c>
      <c r="H150" s="113">
        <f t="shared" si="3"/>
        <v>0</v>
      </c>
    </row>
    <row r="151" spans="7:8" x14ac:dyDescent="0.25">
      <c r="G151" s="187" t="str">
        <f t="shared" si="2"/>
        <v/>
      </c>
      <c r="H151" s="113">
        <f t="shared" si="3"/>
        <v>0</v>
      </c>
    </row>
    <row r="152" spans="7:8" x14ac:dyDescent="0.25">
      <c r="G152" s="187" t="str">
        <f t="shared" si="2"/>
        <v/>
      </c>
      <c r="H152" s="113">
        <f t="shared" si="3"/>
        <v>0</v>
      </c>
    </row>
    <row r="153" spans="7:8" x14ac:dyDescent="0.25">
      <c r="G153" s="187" t="str">
        <f t="shared" si="2"/>
        <v/>
      </c>
      <c r="H153" s="113">
        <f t="shared" si="3"/>
        <v>0</v>
      </c>
    </row>
    <row r="154" spans="7:8" x14ac:dyDescent="0.25">
      <c r="G154" s="187" t="str">
        <f t="shared" si="2"/>
        <v/>
      </c>
      <c r="H154" s="113">
        <f t="shared" si="3"/>
        <v>0</v>
      </c>
    </row>
    <row r="155" spans="7:8" x14ac:dyDescent="0.25">
      <c r="G155" s="187" t="str">
        <f t="shared" si="2"/>
        <v/>
      </c>
      <c r="H155" s="113">
        <f t="shared" si="3"/>
        <v>0</v>
      </c>
    </row>
    <row r="156" spans="7:8" x14ac:dyDescent="0.25">
      <c r="G156" s="187" t="str">
        <f t="shared" si="2"/>
        <v/>
      </c>
      <c r="H156" s="113">
        <f t="shared" si="3"/>
        <v>0</v>
      </c>
    </row>
    <row r="157" spans="7:8" x14ac:dyDescent="0.25">
      <c r="G157" s="187" t="str">
        <f t="shared" si="2"/>
        <v/>
      </c>
      <c r="H157" s="113">
        <f t="shared" si="3"/>
        <v>0</v>
      </c>
    </row>
    <row r="158" spans="7:8" x14ac:dyDescent="0.25">
      <c r="G158" s="187" t="str">
        <f t="shared" si="2"/>
        <v/>
      </c>
      <c r="H158" s="113">
        <f t="shared" si="3"/>
        <v>0</v>
      </c>
    </row>
    <row r="159" spans="7:8" x14ac:dyDescent="0.25">
      <c r="G159" s="187" t="str">
        <f t="shared" si="2"/>
        <v/>
      </c>
      <c r="H159" s="113">
        <f t="shared" si="3"/>
        <v>0</v>
      </c>
    </row>
    <row r="160" spans="7:8" x14ac:dyDescent="0.25">
      <c r="G160" s="187" t="str">
        <f t="shared" si="2"/>
        <v/>
      </c>
      <c r="H160" s="113">
        <f t="shared" si="3"/>
        <v>0</v>
      </c>
    </row>
    <row r="161" spans="7:21" x14ac:dyDescent="0.25">
      <c r="G161" s="187" t="str">
        <f t="shared" si="2"/>
        <v/>
      </c>
      <c r="H161" s="113">
        <f t="shared" si="3"/>
        <v>0</v>
      </c>
    </row>
    <row r="162" spans="7:21" x14ac:dyDescent="0.25">
      <c r="G162" s="187" t="str">
        <f t="shared" si="2"/>
        <v/>
      </c>
      <c r="H162" s="113">
        <f t="shared" si="3"/>
        <v>0</v>
      </c>
    </row>
    <row r="163" spans="7:21" x14ac:dyDescent="0.25">
      <c r="G163" s="187" t="str">
        <f t="shared" si="2"/>
        <v/>
      </c>
      <c r="H163" s="113">
        <f t="shared" si="3"/>
        <v>0</v>
      </c>
    </row>
    <row r="164" spans="7:21" x14ac:dyDescent="0.25">
      <c r="G164" s="187" t="str">
        <f t="shared" si="2"/>
        <v/>
      </c>
      <c r="H164" s="113">
        <f t="shared" si="3"/>
        <v>0</v>
      </c>
    </row>
    <row r="165" spans="7:21" x14ac:dyDescent="0.25">
      <c r="G165" s="187" t="str">
        <f t="shared" si="2"/>
        <v/>
      </c>
      <c r="H165" s="113">
        <f t="shared" si="3"/>
        <v>0</v>
      </c>
      <c r="U165" s="187" t="str">
        <f t="shared" ref="U165:U182" si="4">IFERROR((S165-R165)/S165,"")</f>
        <v/>
      </c>
    </row>
    <row r="166" spans="7:21" x14ac:dyDescent="0.25">
      <c r="G166" s="187" t="str">
        <f t="shared" si="2"/>
        <v/>
      </c>
      <c r="H166" s="113">
        <f t="shared" si="3"/>
        <v>0</v>
      </c>
      <c r="U166" s="187" t="str">
        <f t="shared" si="4"/>
        <v/>
      </c>
    </row>
    <row r="167" spans="7:21" x14ac:dyDescent="0.25">
      <c r="G167" s="187" t="str">
        <f t="shared" si="2"/>
        <v/>
      </c>
      <c r="H167" s="113">
        <f t="shared" si="3"/>
        <v>0</v>
      </c>
      <c r="U167" s="187" t="str">
        <f t="shared" si="4"/>
        <v/>
      </c>
    </row>
    <row r="168" spans="7:21" x14ac:dyDescent="0.25">
      <c r="G168" s="187" t="str">
        <f t="shared" si="2"/>
        <v/>
      </c>
      <c r="H168" s="113">
        <f t="shared" si="3"/>
        <v>0</v>
      </c>
      <c r="U168" s="187" t="str">
        <f t="shared" si="4"/>
        <v/>
      </c>
    </row>
    <row r="169" spans="7:21" x14ac:dyDescent="0.25">
      <c r="G169" s="187" t="str">
        <f t="shared" si="2"/>
        <v/>
      </c>
      <c r="H169" s="113">
        <f t="shared" si="3"/>
        <v>0</v>
      </c>
      <c r="U169" s="187" t="str">
        <f t="shared" si="4"/>
        <v/>
      </c>
    </row>
    <row r="170" spans="7:21" x14ac:dyDescent="0.25">
      <c r="G170" s="187" t="str">
        <f t="shared" si="2"/>
        <v/>
      </c>
      <c r="H170" s="113">
        <f t="shared" si="3"/>
        <v>0</v>
      </c>
      <c r="U170" s="187" t="str">
        <f t="shared" si="4"/>
        <v/>
      </c>
    </row>
    <row r="171" spans="7:21" x14ac:dyDescent="0.25">
      <c r="G171" s="187" t="str">
        <f t="shared" si="2"/>
        <v/>
      </c>
      <c r="H171" s="113">
        <f t="shared" si="3"/>
        <v>0</v>
      </c>
      <c r="U171" s="187" t="str">
        <f t="shared" si="4"/>
        <v/>
      </c>
    </row>
    <row r="172" spans="7:21" x14ac:dyDescent="0.25">
      <c r="G172" s="187" t="str">
        <f t="shared" si="2"/>
        <v/>
      </c>
      <c r="H172" s="113">
        <f t="shared" si="3"/>
        <v>0</v>
      </c>
      <c r="U172" s="187" t="str">
        <f t="shared" si="4"/>
        <v/>
      </c>
    </row>
    <row r="173" spans="7:21" x14ac:dyDescent="0.25">
      <c r="G173" s="187" t="str">
        <f t="shared" si="2"/>
        <v/>
      </c>
      <c r="H173" s="113">
        <f t="shared" si="3"/>
        <v>0</v>
      </c>
      <c r="U173" s="187" t="str">
        <f t="shared" si="4"/>
        <v/>
      </c>
    </row>
    <row r="174" spans="7:21" x14ac:dyDescent="0.25">
      <c r="G174" s="187" t="str">
        <f t="shared" si="2"/>
        <v/>
      </c>
      <c r="H174" s="113">
        <f t="shared" si="3"/>
        <v>0</v>
      </c>
      <c r="U174" s="187" t="str">
        <f t="shared" si="4"/>
        <v/>
      </c>
    </row>
    <row r="175" spans="7:21" x14ac:dyDescent="0.25">
      <c r="G175" s="187" t="str">
        <f t="shared" si="2"/>
        <v/>
      </c>
      <c r="H175" s="113">
        <f t="shared" si="3"/>
        <v>0</v>
      </c>
      <c r="U175" s="187" t="str">
        <f t="shared" si="4"/>
        <v/>
      </c>
    </row>
    <row r="176" spans="7:21" x14ac:dyDescent="0.25">
      <c r="G176" s="187" t="str">
        <f t="shared" si="2"/>
        <v/>
      </c>
      <c r="H176" s="113">
        <f t="shared" si="3"/>
        <v>0</v>
      </c>
      <c r="U176" s="187" t="str">
        <f t="shared" si="4"/>
        <v/>
      </c>
    </row>
    <row r="177" spans="7:21" x14ac:dyDescent="0.25">
      <c r="G177" s="187" t="str">
        <f t="shared" si="2"/>
        <v/>
      </c>
      <c r="H177" s="113">
        <f t="shared" si="3"/>
        <v>0</v>
      </c>
      <c r="U177" s="187" t="str">
        <f t="shared" si="4"/>
        <v/>
      </c>
    </row>
    <row r="178" spans="7:21" x14ac:dyDescent="0.25">
      <c r="G178" s="187" t="str">
        <f t="shared" si="2"/>
        <v/>
      </c>
      <c r="H178" s="113">
        <f t="shared" si="3"/>
        <v>0</v>
      </c>
      <c r="U178" s="187" t="str">
        <f t="shared" si="4"/>
        <v/>
      </c>
    </row>
    <row r="179" spans="7:21" x14ac:dyDescent="0.25">
      <c r="G179" s="187" t="str">
        <f t="shared" si="2"/>
        <v/>
      </c>
      <c r="H179" s="113">
        <f t="shared" si="3"/>
        <v>0</v>
      </c>
      <c r="U179" s="187" t="str">
        <f t="shared" si="4"/>
        <v/>
      </c>
    </row>
    <row r="180" spans="7:21" x14ac:dyDescent="0.25">
      <c r="G180" s="187" t="str">
        <f t="shared" si="2"/>
        <v/>
      </c>
      <c r="H180" s="113">
        <f t="shared" si="3"/>
        <v>0</v>
      </c>
      <c r="U180" s="187" t="str">
        <f t="shared" si="4"/>
        <v/>
      </c>
    </row>
    <row r="181" spans="7:21" x14ac:dyDescent="0.25">
      <c r="G181" s="187" t="str">
        <f t="shared" si="2"/>
        <v/>
      </c>
      <c r="H181" s="113">
        <f t="shared" si="3"/>
        <v>0</v>
      </c>
      <c r="U181" s="187" t="str">
        <f t="shared" si="4"/>
        <v/>
      </c>
    </row>
    <row r="182" spans="7:21" x14ac:dyDescent="0.25">
      <c r="G182" s="187" t="str">
        <f t="shared" si="2"/>
        <v/>
      </c>
      <c r="H182" s="113">
        <f t="shared" si="3"/>
        <v>0</v>
      </c>
      <c r="U182" s="187" t="str">
        <f t="shared" si="4"/>
        <v/>
      </c>
    </row>
    <row r="183" spans="7:21" x14ac:dyDescent="0.25">
      <c r="G183" s="187" t="str">
        <f t="shared" ref="G183:G185" si="5">IFERROR((E183-D183)/E183,"")</f>
        <v/>
      </c>
      <c r="H183" s="113">
        <f t="shared" ref="H183:H185" si="6">D183-E183</f>
        <v>0</v>
      </c>
      <c r="U183" s="187" t="str">
        <f t="shared" ref="U183:U185" si="7">IFERROR((S183-R183)/S183,"")</f>
        <v/>
      </c>
    </row>
    <row r="184" spans="7:21" x14ac:dyDescent="0.25">
      <c r="G184" s="187" t="str">
        <f t="shared" si="5"/>
        <v/>
      </c>
      <c r="H184" s="113">
        <f t="shared" si="6"/>
        <v>0</v>
      </c>
      <c r="U184" s="187" t="str">
        <f t="shared" si="7"/>
        <v/>
      </c>
    </row>
    <row r="185" spans="7:21" x14ac:dyDescent="0.25">
      <c r="G185" s="187" t="str">
        <f t="shared" si="5"/>
        <v/>
      </c>
      <c r="H185" s="113">
        <f t="shared" si="6"/>
        <v>0</v>
      </c>
      <c r="U185" s="187" t="str">
        <f t="shared" si="7"/>
        <v/>
      </c>
    </row>
  </sheetData>
  <hyperlinks>
    <hyperlink ref="T2" location="'February 2022'!A1" display="DEMAND ANALYSIS REPORT AND PRICING"/>
  </hyperlinks>
  <pageMargins left="0.7" right="0.7" top="0.75" bottom="0.75" header="0.3" footer="0.3"/>
  <pageSetup paperSize="9" orientation="portrait" horizontalDpi="0" verticalDpi="0" r:id="rId6"/>
  <drawing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zoomScale="80" zoomScaleNormal="80" workbookViewId="0">
      <selection activeCell="E12" sqref="E12"/>
    </sheetView>
  </sheetViews>
  <sheetFormatPr defaultRowHeight="15" x14ac:dyDescent="0.25"/>
  <cols>
    <col min="1" max="1" width="24.42578125" bestFit="1" customWidth="1"/>
    <col min="2" max="2" width="16.7109375" bestFit="1" customWidth="1"/>
    <col min="3" max="3" width="6.7109375" customWidth="1"/>
    <col min="4" max="4" width="11.5703125" bestFit="1" customWidth="1"/>
    <col min="5" max="5" width="10.28515625" bestFit="1" customWidth="1"/>
  </cols>
  <sheetData>
    <row r="3" spans="1:5" x14ac:dyDescent="0.25">
      <c r="A3" s="91" t="s">
        <v>939</v>
      </c>
      <c r="B3" s="91" t="s">
        <v>961</v>
      </c>
    </row>
    <row r="4" spans="1:5" x14ac:dyDescent="0.25">
      <c r="A4" s="91" t="s">
        <v>541</v>
      </c>
      <c r="B4" t="s">
        <v>177</v>
      </c>
      <c r="C4" t="s">
        <v>784</v>
      </c>
      <c r="D4" t="s">
        <v>407</v>
      </c>
    </row>
    <row r="5" spans="1:5" x14ac:dyDescent="0.25">
      <c r="A5" s="92" t="s">
        <v>968</v>
      </c>
      <c r="B5" s="102">
        <v>51400</v>
      </c>
      <c r="C5" s="102">
        <v>3340</v>
      </c>
      <c r="D5" s="102">
        <v>54740</v>
      </c>
      <c r="E5" s="187">
        <f>IFERROR((C5-B5)/C5,"")</f>
        <v>-14.389221556886227</v>
      </c>
    </row>
    <row r="6" spans="1:5" x14ac:dyDescent="0.25">
      <c r="A6" s="92" t="s">
        <v>976</v>
      </c>
      <c r="B6" s="102">
        <v>43400</v>
      </c>
      <c r="C6" s="102">
        <v>3580</v>
      </c>
      <c r="D6" s="102">
        <v>46980</v>
      </c>
      <c r="E6" s="187">
        <f t="shared" ref="E6:E20" si="0">IFERROR((C6-B6)/C6,"")</f>
        <v>-11.12290502793296</v>
      </c>
    </row>
    <row r="7" spans="1:5" x14ac:dyDescent="0.25">
      <c r="A7" s="92" t="s">
        <v>966</v>
      </c>
      <c r="B7" s="102">
        <v>13920</v>
      </c>
      <c r="C7" s="102">
        <v>15250</v>
      </c>
      <c r="D7" s="102">
        <v>29170</v>
      </c>
      <c r="E7" s="187">
        <f t="shared" si="0"/>
        <v>8.7213114754098361E-2</v>
      </c>
    </row>
    <row r="8" spans="1:5" x14ac:dyDescent="0.25">
      <c r="A8" s="92" t="s">
        <v>977</v>
      </c>
      <c r="B8" s="102">
        <v>14350</v>
      </c>
      <c r="C8" s="102">
        <v>3630</v>
      </c>
      <c r="D8" s="102">
        <v>17980</v>
      </c>
      <c r="E8" s="187">
        <f t="shared" si="0"/>
        <v>-2.9531680440771351</v>
      </c>
    </row>
    <row r="9" spans="1:5" x14ac:dyDescent="0.25">
      <c r="A9" s="92" t="s">
        <v>965</v>
      </c>
      <c r="B9" s="102"/>
      <c r="C9" s="102">
        <v>16680</v>
      </c>
      <c r="D9" s="102">
        <v>16680</v>
      </c>
      <c r="E9" s="187">
        <f t="shared" si="0"/>
        <v>1</v>
      </c>
    </row>
    <row r="10" spans="1:5" x14ac:dyDescent="0.25">
      <c r="A10" s="92" t="s">
        <v>967</v>
      </c>
      <c r="B10" s="102">
        <v>13800</v>
      </c>
      <c r="C10" s="102">
        <v>2550</v>
      </c>
      <c r="D10" s="102">
        <v>16350</v>
      </c>
      <c r="E10" s="187">
        <f t="shared" si="0"/>
        <v>-4.4117647058823533</v>
      </c>
    </row>
    <row r="11" spans="1:5" x14ac:dyDescent="0.25">
      <c r="A11" s="92" t="s">
        <v>969</v>
      </c>
      <c r="B11" s="102"/>
      <c r="C11" s="102">
        <v>15800</v>
      </c>
      <c r="D11" s="102">
        <v>15800</v>
      </c>
      <c r="E11" s="187">
        <f>IFERROR((C11-B11)/C11,"")</f>
        <v>1</v>
      </c>
    </row>
    <row r="12" spans="1:5" x14ac:dyDescent="0.25">
      <c r="A12" s="92" t="s">
        <v>978</v>
      </c>
      <c r="B12" s="102">
        <v>2760</v>
      </c>
      <c r="C12" s="102"/>
      <c r="D12" s="102">
        <v>2760</v>
      </c>
      <c r="E12" s="187" t="str">
        <f t="shared" si="0"/>
        <v/>
      </c>
    </row>
    <row r="13" spans="1:5" x14ac:dyDescent="0.25">
      <c r="A13" s="92" t="s">
        <v>973</v>
      </c>
      <c r="B13" s="102"/>
      <c r="C13" s="102">
        <v>1300</v>
      </c>
      <c r="D13" s="102">
        <v>1300</v>
      </c>
      <c r="E13" s="187">
        <f t="shared" si="0"/>
        <v>1</v>
      </c>
    </row>
    <row r="14" spans="1:5" x14ac:dyDescent="0.25">
      <c r="A14" s="92" t="s">
        <v>974</v>
      </c>
      <c r="B14" s="102"/>
      <c r="C14" s="102">
        <v>1140</v>
      </c>
      <c r="D14" s="102">
        <v>1140</v>
      </c>
      <c r="E14" s="187">
        <f t="shared" si="0"/>
        <v>1</v>
      </c>
    </row>
    <row r="15" spans="1:5" x14ac:dyDescent="0.25">
      <c r="A15" s="92" t="s">
        <v>981</v>
      </c>
      <c r="B15" s="102">
        <v>310</v>
      </c>
      <c r="C15" s="102">
        <v>620</v>
      </c>
      <c r="D15" s="102">
        <v>930</v>
      </c>
      <c r="E15" s="187">
        <f t="shared" si="0"/>
        <v>0.5</v>
      </c>
    </row>
    <row r="16" spans="1:5" x14ac:dyDescent="0.25">
      <c r="A16" s="92" t="s">
        <v>982</v>
      </c>
      <c r="B16" s="102"/>
      <c r="C16" s="102">
        <v>920</v>
      </c>
      <c r="D16" s="102">
        <v>920</v>
      </c>
      <c r="E16" s="187">
        <f t="shared" si="0"/>
        <v>1</v>
      </c>
    </row>
    <row r="17" spans="1:5" x14ac:dyDescent="0.25">
      <c r="A17" s="92" t="s">
        <v>980</v>
      </c>
      <c r="B17" s="102">
        <v>630</v>
      </c>
      <c r="C17" s="102"/>
      <c r="D17" s="102">
        <v>630</v>
      </c>
      <c r="E17" s="187" t="str">
        <f t="shared" si="0"/>
        <v/>
      </c>
    </row>
    <row r="18" spans="1:5" x14ac:dyDescent="0.25">
      <c r="A18" s="92" t="s">
        <v>972</v>
      </c>
      <c r="B18" s="102"/>
      <c r="C18" s="102">
        <v>600</v>
      </c>
      <c r="D18" s="102">
        <v>600</v>
      </c>
      <c r="E18" s="187">
        <f t="shared" si="0"/>
        <v>1</v>
      </c>
    </row>
    <row r="19" spans="1:5" x14ac:dyDescent="0.25">
      <c r="A19" s="92" t="s">
        <v>892</v>
      </c>
      <c r="B19" s="102">
        <v>260</v>
      </c>
      <c r="C19" s="102"/>
      <c r="D19" s="102">
        <v>260</v>
      </c>
      <c r="E19" s="187" t="str">
        <f t="shared" si="0"/>
        <v/>
      </c>
    </row>
    <row r="20" spans="1:5" x14ac:dyDescent="0.25">
      <c r="A20" s="92" t="s">
        <v>407</v>
      </c>
      <c r="B20" s="102">
        <v>140830</v>
      </c>
      <c r="C20" s="102">
        <v>65410</v>
      </c>
      <c r="D20" s="102">
        <v>206240</v>
      </c>
      <c r="E20" s="187">
        <f t="shared" si="0"/>
        <v>-1.1530347041736737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Summary</vt:lpstr>
      <vt:lpstr>Dashboard</vt:lpstr>
      <vt:lpstr>Targets</vt:lpstr>
      <vt:lpstr>REPORT</vt:lpstr>
      <vt:lpstr>REPORT DB</vt:lpstr>
      <vt:lpstr>Final Report</vt:lpstr>
      <vt:lpstr>February 2022</vt:lpstr>
      <vt:lpstr>Gap Analysis</vt:lpstr>
      <vt:lpstr>Sheet1</vt:lpstr>
      <vt:lpstr>TEAM</vt:lpstr>
      <vt:lpstr>FEB ORDERvsPRO</vt:lpstr>
      <vt:lpstr>Products Pivot</vt:lpstr>
      <vt:lpstr>Productive Outlets</vt:lpstr>
      <vt:lpstr>Delivery </vt:lpstr>
      <vt:lpstr>Return pv</vt:lpstr>
      <vt:lpstr>Returns Data</vt:lpstr>
      <vt:lpstr>NON Dispatch Pivot</vt:lpstr>
      <vt:lpstr>Data</vt:lpstr>
      <vt:lpstr>FSAs</vt:lpstr>
      <vt:lpstr>Reach Data</vt:lpstr>
      <vt:lpstr>RC</vt:lpstr>
      <vt:lpstr>Sheet2</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Byrone Elijah</dc:creator>
  <cp:lastModifiedBy>Julius</cp:lastModifiedBy>
  <dcterms:created xsi:type="dcterms:W3CDTF">2022-02-01T13:24:08Z</dcterms:created>
  <dcterms:modified xsi:type="dcterms:W3CDTF">2022-03-18T13:08:29Z</dcterms:modified>
</cp:coreProperties>
</file>