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bildaniel\Desktop\"/>
    </mc:Choice>
  </mc:AlternateContent>
  <xr:revisionPtr revIDLastSave="0" documentId="13_ncr:1_{1A4E37E8-F931-451C-811C-CC0767C51ED8}" xr6:coauthVersionLast="47" xr6:coauthVersionMax="47" xr10:uidLastSave="{00000000-0000-0000-0000-000000000000}"/>
  <bookViews>
    <workbookView xWindow="-110" yWindow="-110" windowWidth="19420" windowHeight="10420" activeTab="1" xr2:uid="{D45ECFA9-0EF8-446D-AF0B-F9EF2BA9B9A2}"/>
  </bookViews>
  <sheets>
    <sheet name="Loan Manangement System" sheetId="1" r:id="rId1"/>
    <sheet name="Total Loan Interes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8" i="1" l="1"/>
  <c r="P33" i="1"/>
  <c r="P36" i="1"/>
  <c r="P41" i="1"/>
  <c r="P44" i="1"/>
  <c r="P47" i="1"/>
  <c r="P49" i="1"/>
  <c r="J5" i="1"/>
  <c r="J23" i="1" s="1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8" i="2"/>
  <c r="M38" i="2"/>
  <c r="M11" i="2"/>
  <c r="M10" i="2"/>
  <c r="M9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B29" i="2"/>
  <c r="I29" i="2" s="1"/>
  <c r="M12" i="2" s="1"/>
  <c r="M13" i="2" s="1"/>
  <c r="C29" i="2"/>
  <c r="D29" i="2"/>
  <c r="E29" i="2"/>
  <c r="F29" i="2"/>
  <c r="G29" i="2"/>
  <c r="H29" i="2"/>
  <c r="O26" i="1"/>
  <c r="Q26" i="1" s="1"/>
  <c r="H3" i="1"/>
  <c r="N1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B28" i="1"/>
  <c r="P4" i="2"/>
  <c r="C27" i="1"/>
  <c r="F23" i="1"/>
  <c r="O14" i="1"/>
  <c r="O15" i="1"/>
  <c r="S15" i="1" s="1"/>
  <c r="O16" i="1"/>
  <c r="S16" i="1" s="1"/>
  <c r="O17" i="1"/>
  <c r="S17" i="1" s="1"/>
  <c r="O18" i="1"/>
  <c r="S18" i="1" s="1"/>
  <c r="O19" i="1"/>
  <c r="S19" i="1" s="1"/>
  <c r="O13" i="1"/>
  <c r="R14" i="1"/>
  <c r="R15" i="1"/>
  <c r="R16" i="1"/>
  <c r="R17" i="1"/>
  <c r="R18" i="1"/>
  <c r="R19" i="1"/>
  <c r="R13" i="1"/>
  <c r="P6" i="1"/>
  <c r="Q17" i="1"/>
  <c r="P5" i="1"/>
  <c r="Q16" i="1"/>
  <c r="P4" i="1"/>
  <c r="Q13" i="1"/>
  <c r="P3" i="1"/>
  <c r="Q14" i="1"/>
  <c r="N14" i="1"/>
  <c r="N15" i="1"/>
  <c r="N16" i="1"/>
  <c r="N17" i="1"/>
  <c r="N18" i="1"/>
  <c r="N19" i="1"/>
  <c r="S14" i="1"/>
  <c r="P26" i="1" s="1"/>
  <c r="P30" i="1" s="1"/>
  <c r="Q15" i="1"/>
  <c r="Q19" i="1"/>
  <c r="Q18" i="1"/>
  <c r="E3" i="1"/>
  <c r="G3" i="1"/>
  <c r="E5" i="1"/>
  <c r="G5" i="1"/>
  <c r="H5" i="1"/>
  <c r="E7" i="1"/>
  <c r="G7" i="1"/>
  <c r="H7" i="1"/>
  <c r="E9" i="1"/>
  <c r="G9" i="1"/>
  <c r="H9" i="1"/>
  <c r="E11" i="1"/>
  <c r="G11" i="1"/>
  <c r="H11" i="1"/>
  <c r="E13" i="1"/>
  <c r="G13" i="1"/>
  <c r="H13" i="1"/>
  <c r="E15" i="1"/>
  <c r="G15" i="1"/>
  <c r="H15" i="1"/>
  <c r="E17" i="1"/>
  <c r="G17" i="1"/>
  <c r="H17" i="1"/>
  <c r="E19" i="1"/>
  <c r="G19" i="1"/>
  <c r="H19" i="1"/>
  <c r="E21" i="1"/>
  <c r="G21" i="1"/>
  <c r="H21" i="1"/>
  <c r="E22" i="1"/>
  <c r="G22" i="1"/>
  <c r="H22" i="1"/>
  <c r="E4" i="1"/>
  <c r="G4" i="1"/>
  <c r="H4" i="1"/>
  <c r="E6" i="1"/>
  <c r="G6" i="1"/>
  <c r="H6" i="1"/>
  <c r="E8" i="1"/>
  <c r="G8" i="1"/>
  <c r="H8" i="1"/>
  <c r="E10" i="1"/>
  <c r="G10" i="1"/>
  <c r="H10" i="1"/>
  <c r="E12" i="1"/>
  <c r="G12" i="1"/>
  <c r="H12" i="1"/>
  <c r="E14" i="1"/>
  <c r="G14" i="1"/>
  <c r="H14" i="1"/>
  <c r="E16" i="1"/>
  <c r="G16" i="1"/>
  <c r="H16" i="1"/>
  <c r="E18" i="1"/>
  <c r="G18" i="1"/>
  <c r="H18" i="1"/>
  <c r="E20" i="1"/>
  <c r="G20" i="1"/>
  <c r="H20" i="1"/>
  <c r="H23" i="1"/>
  <c r="G23" i="1"/>
  <c r="O20" i="2" l="1"/>
  <c r="O28" i="2"/>
  <c r="O36" i="2"/>
  <c r="O19" i="2"/>
  <c r="O21" i="2"/>
  <c r="O29" i="2"/>
  <c r="O37" i="2"/>
  <c r="O27" i="2"/>
  <c r="O35" i="2"/>
  <c r="O22" i="2"/>
  <c r="O30" i="2"/>
  <c r="O18" i="2"/>
  <c r="O25" i="2"/>
  <c r="O26" i="2"/>
  <c r="O34" i="2"/>
  <c r="O23" i="2"/>
  <c r="O31" i="2"/>
  <c r="O24" i="2"/>
  <c r="O32" i="2"/>
  <c r="O33" i="2"/>
  <c r="P45" i="1"/>
  <c r="P37" i="1"/>
  <c r="P29" i="1"/>
  <c r="P48" i="1"/>
  <c r="P32" i="1"/>
  <c r="P43" i="1"/>
  <c r="P35" i="1"/>
  <c r="P39" i="1"/>
  <c r="P31" i="1"/>
  <c r="P42" i="1"/>
  <c r="P34" i="1"/>
  <c r="P40" i="1"/>
  <c r="P46" i="1"/>
  <c r="P38" i="1"/>
  <c r="P27" i="1"/>
  <c r="S13" i="1"/>
  <c r="R26" i="1"/>
  <c r="S26" i="1" s="1"/>
  <c r="O38" i="2" l="1"/>
  <c r="O27" i="1"/>
  <c r="Q27" i="1" l="1"/>
  <c r="R27" i="1" s="1"/>
  <c r="S27" i="1" s="1"/>
  <c r="O28" i="1" s="1"/>
  <c r="Q28" i="1" l="1"/>
  <c r="R28" i="1" s="1"/>
  <c r="S28" i="1" s="1"/>
  <c r="O29" i="1" s="1"/>
  <c r="Q29" i="1" l="1"/>
  <c r="R29" i="1" s="1"/>
  <c r="S29" i="1" s="1"/>
  <c r="O30" i="1" s="1"/>
  <c r="Q30" i="1" l="1"/>
  <c r="R30" i="1" l="1"/>
  <c r="S30" i="1" s="1"/>
  <c r="O31" i="1" s="1"/>
  <c r="Q31" i="1" l="1"/>
  <c r="R31" i="1" l="1"/>
  <c r="S31" i="1" s="1"/>
  <c r="O32" i="1" s="1"/>
  <c r="Q32" i="1" l="1"/>
  <c r="R32" i="1" l="1"/>
  <c r="S32" i="1" s="1"/>
  <c r="O33" i="1" s="1"/>
  <c r="Q33" i="1" l="1"/>
  <c r="R33" i="1" l="1"/>
  <c r="S33" i="1" s="1"/>
  <c r="O34" i="1" s="1"/>
  <c r="Q34" i="1" l="1"/>
  <c r="R34" i="1" s="1"/>
  <c r="S34" i="1" s="1"/>
  <c r="O35" i="1" s="1"/>
  <c r="Q35" i="1" l="1"/>
  <c r="R35" i="1" s="1"/>
  <c r="S35" i="1" s="1"/>
  <c r="O36" i="1" s="1"/>
  <c r="Q36" i="1" l="1"/>
  <c r="R36" i="1" s="1"/>
  <c r="S36" i="1" s="1"/>
  <c r="O37" i="1" s="1"/>
  <c r="Q37" i="1" l="1"/>
  <c r="R37" i="1" s="1"/>
  <c r="S37" i="1" s="1"/>
  <c r="O38" i="1" s="1"/>
  <c r="Q38" i="1" l="1"/>
  <c r="R38" i="1" s="1"/>
  <c r="S38" i="1" s="1"/>
  <c r="O39" i="1" s="1"/>
  <c r="Q39" i="1" l="1"/>
  <c r="R39" i="1" s="1"/>
  <c r="S39" i="1" s="1"/>
  <c r="O40" i="1" s="1"/>
  <c r="Q40" i="1" l="1"/>
  <c r="R40" i="1" s="1"/>
  <c r="S40" i="1" s="1"/>
  <c r="O41" i="1" s="1"/>
  <c r="Q41" i="1" l="1"/>
  <c r="R41" i="1" s="1"/>
  <c r="S41" i="1" s="1"/>
  <c r="O42" i="1" s="1"/>
  <c r="Q42" i="1" l="1"/>
  <c r="R42" i="1" s="1"/>
  <c r="S42" i="1" s="1"/>
  <c r="O43" i="1" s="1"/>
  <c r="Q43" i="1" l="1"/>
  <c r="R43" i="1" s="1"/>
  <c r="S43" i="1" s="1"/>
  <c r="O44" i="1" s="1"/>
  <c r="Q44" i="1" l="1"/>
  <c r="R44" i="1" s="1"/>
  <c r="S44" i="1" s="1"/>
  <c r="O45" i="1" s="1"/>
  <c r="Q45" i="1" l="1"/>
  <c r="R45" i="1" s="1"/>
  <c r="S45" i="1" s="1"/>
  <c r="O46" i="1" s="1"/>
  <c r="Q46" i="1" l="1"/>
  <c r="R46" i="1" s="1"/>
  <c r="S46" i="1" s="1"/>
  <c r="O47" i="1" s="1"/>
  <c r="Q47" i="1" l="1"/>
  <c r="R47" i="1" s="1"/>
  <c r="S47" i="1" s="1"/>
  <c r="O48" i="1" s="1"/>
  <c r="Q48" i="1" l="1"/>
  <c r="R48" i="1" s="1"/>
  <c r="S48" i="1" s="1"/>
  <c r="O49" i="1" s="1"/>
  <c r="Q49" i="1" l="1"/>
  <c r="R49" i="1" l="1"/>
  <c r="S49" i="1" s="1"/>
  <c r="Q50" i="1"/>
</calcChain>
</file>

<file path=xl/sharedStrings.xml><?xml version="1.0" encoding="utf-8"?>
<sst xmlns="http://schemas.openxmlformats.org/spreadsheetml/2006/main" count="179" uniqueCount="100">
  <si>
    <t>MemberID</t>
  </si>
  <si>
    <t>Registration Date</t>
  </si>
  <si>
    <t>Weekly Contribution</t>
  </si>
  <si>
    <t>Total Contribution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</si>
  <si>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</si>
  <si>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</si>
  <si>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</si>
  <si>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</si>
  <si>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</si>
  <si>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</si>
  <si>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</si>
  <si>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</si>
  <si>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</si>
  <si>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</si>
  <si>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</si>
  <si>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</si>
  <si>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</si>
  <si>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</si>
  <si>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</si>
  <si>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</si>
  <si>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</si>
  <si>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</si>
  <si>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</si>
  <si>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</si>
  <si>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Repayment period(Months)</t>
  </si>
  <si>
    <t>L01</t>
  </si>
  <si>
    <t>L02</t>
  </si>
  <si>
    <t>L03</t>
  </si>
  <si>
    <t>L04</t>
  </si>
  <si>
    <t>Interest Rate(P.A)</t>
  </si>
  <si>
    <t>LOAN PRODUCTS</t>
  </si>
  <si>
    <t>Personal loan</t>
  </si>
  <si>
    <t>Emergency loan</t>
  </si>
  <si>
    <t>Business loan</t>
  </si>
  <si>
    <t>Educationl loan</t>
  </si>
  <si>
    <t>UNGANA SACCO</t>
  </si>
  <si>
    <t>Allan  Ramos</t>
  </si>
  <si>
    <t>Andrew  Meyer</t>
  </si>
  <si>
    <t>Arturo  Francis</t>
  </si>
  <si>
    <t>Austin  Reynolds</t>
  </si>
  <si>
    <t>Ben  Perez</t>
  </si>
  <si>
    <t>Bernadette  Page</t>
  </si>
  <si>
    <t>Beth  Tucker</t>
  </si>
  <si>
    <t>Bethany  Pena</t>
  </si>
  <si>
    <t>Billie  Chandler</t>
  </si>
  <si>
    <t>Blake  Bridges</t>
  </si>
  <si>
    <t>Bobbie  Ryan</t>
  </si>
  <si>
    <t>Brooke  Horton</t>
  </si>
  <si>
    <t>Carla  Mccormick</t>
  </si>
  <si>
    <t>Cassandra  Franklin</t>
  </si>
  <si>
    <t>Cecilia  Manning</t>
  </si>
  <si>
    <t>Charlie  Wood</t>
  </si>
  <si>
    <t>Christina  Fuller</t>
  </si>
  <si>
    <t>Christy  Olson</t>
  </si>
  <si>
    <t>Dan  Peterson</t>
  </si>
  <si>
    <t>Della  Jensen</t>
  </si>
  <si>
    <t>LoanID</t>
  </si>
  <si>
    <t>N/A</t>
  </si>
  <si>
    <t>No of weeks</t>
  </si>
  <si>
    <t>DEFAULTERS TABLE</t>
  </si>
  <si>
    <t>No of mothns</t>
  </si>
  <si>
    <t>Today's Date</t>
  </si>
  <si>
    <r>
      <rPr>
        <b/>
        <sz val="11"/>
        <color theme="1"/>
        <rFont val="Calibri"/>
        <family val="2"/>
        <scheme val="minor"/>
      </rPr>
      <t>Registration fees</t>
    </r>
    <r>
      <rPr>
        <sz val="11"/>
        <color theme="1"/>
        <rFont val="Calibri"/>
        <family val="2"/>
        <scheme val="minor"/>
      </rPr>
      <t xml:space="preserve"> </t>
    </r>
  </si>
  <si>
    <t>Loan Amount</t>
  </si>
  <si>
    <t>Interest Rate(P.M)</t>
  </si>
  <si>
    <t>No Loan Taken</t>
  </si>
  <si>
    <t>Type of Loan</t>
  </si>
  <si>
    <t>Repayment Period(Months)</t>
  </si>
  <si>
    <t>Opening balance</t>
  </si>
  <si>
    <t>Instalments</t>
  </si>
  <si>
    <t>Interest</t>
  </si>
  <si>
    <t>Principal</t>
  </si>
  <si>
    <t>Closing balance</t>
  </si>
  <si>
    <t>Period</t>
  </si>
  <si>
    <t>Total loan Taken</t>
  </si>
  <si>
    <t>Installment</t>
  </si>
  <si>
    <t>TOTAL</t>
  </si>
  <si>
    <t>Total</t>
  </si>
  <si>
    <t>LOAN AMOUTIZATION TABLE</t>
  </si>
  <si>
    <t>LOANS TAKEN</t>
  </si>
  <si>
    <t>Eligible Loan Amount(1.5X TC)</t>
  </si>
  <si>
    <t>Names</t>
  </si>
  <si>
    <t>Default Month</t>
  </si>
  <si>
    <t xml:space="preserve">penalty </t>
  </si>
  <si>
    <t>penalty rate</t>
  </si>
  <si>
    <t>Outstanding Amount</t>
  </si>
  <si>
    <t>Date to use</t>
  </si>
  <si>
    <t>Months</t>
  </si>
  <si>
    <r>
      <t xml:space="preserve">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MONTHLY INTERESTS</t>
    </r>
  </si>
  <si>
    <t xml:space="preserve">                                                            </t>
  </si>
  <si>
    <t>Source</t>
  </si>
  <si>
    <t>Amount</t>
  </si>
  <si>
    <t>TOTAL REVENUE</t>
  </si>
  <si>
    <t>Registration fees</t>
  </si>
  <si>
    <t>Penalties</t>
  </si>
  <si>
    <t>Interests</t>
  </si>
  <si>
    <t>Total Revenue</t>
  </si>
  <si>
    <t>Dividend Rate</t>
  </si>
  <si>
    <t>Dividend Amount</t>
  </si>
  <si>
    <t>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</si>
</sst>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10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/>
    <xf numFmtId="2" fontId="0" fillId="0" borderId="0" xfId="0" applyNumberFormat="1"/>
    <xf numFmtId="0" fontId="1" fillId="4" borderId="0" xfId="0" applyFont="1" applyFill="1"/>
    <xf numFmtId="0" fontId="0" fillId="4" borderId="0" xfId="0" applyFill="1"/>
    <xf numFmtId="0" fontId="0" fillId="3" borderId="0" xfId="0" applyFill="1"/>
    <xf numFmtId="0" fontId="0" fillId="6" borderId="0" xfId="0" applyFill="1" applyAlignment="1">
      <alignment horizontal="center"/>
    </xf>
    <xf numFmtId="0" fontId="1" fillId="7" borderId="0" xfId="0" applyFont="1" applyFill="1"/>
    <xf numFmtId="0" fontId="0" fillId="5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10" fontId="0" fillId="10" borderId="0" xfId="0" applyNumberFormat="1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5" borderId="0" xfId="0" applyFill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AF8D1-B484-497E-9163-B0A68CAA0D33}">
  <dimension ref="A1:Z50"/>
  <sheetViews>
    <sheetView topLeftCell="K29" zoomScale="92" zoomScaleNormal="80" workbookViewId="0">
      <selection activeCell="Q26" sqref="Q26:Q49"/>
    </sheetView>
  </sheetViews>
  <sheetFormatPr defaultRowHeight="14.5" x14ac:dyDescent="0.35"/>
  <cols>
    <col min="1" max="1" width="16.54296875" bestFit="1" customWidth="1"/>
    <col min="2" max="2" width="18.1796875" bestFit="1" customWidth="1"/>
    <col min="3" max="3" width="16.36328125" bestFit="1" customWidth="1"/>
    <col min="4" max="5" width="16.36328125" customWidth="1"/>
    <col min="6" max="6" width="19.7265625" bestFit="1" customWidth="1"/>
    <col min="7" max="7" width="17.453125" bestFit="1" customWidth="1"/>
    <col min="8" max="8" width="26.36328125" bestFit="1" customWidth="1"/>
    <col min="9" max="9" width="10.6328125" customWidth="1"/>
    <col min="10" max="10" width="19.08984375" bestFit="1" customWidth="1"/>
    <col min="12" max="12" width="10.36328125" bestFit="1" customWidth="1"/>
    <col min="13" max="13" width="26.08984375" bestFit="1" customWidth="1"/>
    <col min="14" max="15" width="19" bestFit="1" customWidth="1"/>
    <col min="16" max="16" width="16.90625" bestFit="1" customWidth="1"/>
    <col min="17" max="18" width="26.26953125" bestFit="1" customWidth="1"/>
    <col min="19" max="19" width="14.81640625" bestFit="1" customWidth="1"/>
    <col min="20" max="20" width="16.54296875" bestFit="1" customWidth="1"/>
    <col min="21" max="21" width="15.1796875" bestFit="1" customWidth="1"/>
    <col min="22" max="22" width="11" customWidth="1"/>
  </cols>
  <sheetData>
    <row r="1" spans="1:26" x14ac:dyDescent="0.35">
      <c r="A1" s="25" t="s">
        <v>35</v>
      </c>
      <c r="B1" s="26"/>
      <c r="C1" s="26"/>
      <c r="D1" s="26"/>
      <c r="E1" s="26"/>
      <c r="F1" s="26"/>
      <c r="G1" s="26"/>
      <c r="H1" s="17"/>
      <c r="I1" s="2"/>
      <c r="J1" s="2"/>
      <c r="M1" s="29" t="s">
        <v>30</v>
      </c>
      <c r="N1" s="30"/>
      <c r="O1" s="30"/>
      <c r="P1" s="30"/>
      <c r="Q1" s="30"/>
      <c r="R1" s="11"/>
    </row>
    <row r="2" spans="1:26" x14ac:dyDescent="0.35">
      <c r="A2" s="1" t="s">
        <v>0</v>
      </c>
      <c r="B2" s="1" t="s">
        <v>81</v>
      </c>
      <c r="C2" s="1" t="s">
        <v>1</v>
      </c>
      <c r="D2" s="1" t="s">
        <v>60</v>
      </c>
      <c r="E2" s="1" t="s">
        <v>58</v>
      </c>
      <c r="F2" s="1" t="s">
        <v>2</v>
      </c>
      <c r="G2" s="1" t="s">
        <v>3</v>
      </c>
      <c r="H2" s="1" t="s">
        <v>80</v>
      </c>
      <c r="I2" s="1" t="s">
        <v>56</v>
      </c>
      <c r="J2" s="1" t="s">
        <v>74</v>
      </c>
      <c r="M2" s="1" t="s">
        <v>66</v>
      </c>
      <c r="N2" s="1" t="s">
        <v>56</v>
      </c>
      <c r="O2" s="1" t="s">
        <v>29</v>
      </c>
      <c r="P2" s="1" t="s">
        <v>64</v>
      </c>
      <c r="Q2" s="1" t="s">
        <v>24</v>
      </c>
      <c r="T2" s="27"/>
      <c r="U2" s="27"/>
      <c r="V2" s="27"/>
      <c r="W2" s="27"/>
    </row>
    <row r="3" spans="1:26" x14ac:dyDescent="0.35">
      <c r="A3" t="s">
        <v>4</v>
      </c>
      <c r="B3" s="5" t="s">
        <v>36</v>
      </c>
      <c r="C3" s="8">
        <v>45292</v>
      </c>
      <c r="D3">
        <f>DATEDIF($C3,$B$29,"YM")</f>
        <v>6</v>
      </c>
      <c r="E3">
        <f t="shared" ref="E3:E22" si="0">$D3*4</f>
        <v>24</v>
      </c>
      <c r="F3">
        <v>1523</v>
      </c>
      <c r="G3">
        <f t="shared" ref="G3:G22" si="1">$E3*$F3</f>
        <v>36552</v>
      </c>
      <c r="H3">
        <f>$G3*1.5</f>
        <v>54828</v>
      </c>
      <c r="I3" t="s">
        <v>57</v>
      </c>
      <c r="J3" s="1">
        <v>0</v>
      </c>
      <c r="M3" s="1" t="s">
        <v>31</v>
      </c>
      <c r="N3" t="s">
        <v>25</v>
      </c>
      <c r="O3" s="9">
        <v>0.22</v>
      </c>
      <c r="P3" s="10">
        <f>$O3/12</f>
        <v>1.8333333333333333E-2</v>
      </c>
      <c r="Q3">
        <v>24</v>
      </c>
    </row>
    <row r="4" spans="1:26" x14ac:dyDescent="0.35">
      <c r="A4" t="s">
        <v>5</v>
      </c>
      <c r="B4" s="5" t="s">
        <v>37</v>
      </c>
      <c r="C4" s="8">
        <v>45292</v>
      </c>
      <c r="D4">
        <f t="shared" ref="D4:D22" si="2">DATEDIF($C4,$B$29,"YM")</f>
        <v>6</v>
      </c>
      <c r="E4">
        <f t="shared" si="0"/>
        <v>24</v>
      </c>
      <c r="F4">
        <v>4370</v>
      </c>
      <c r="G4">
        <f t="shared" si="1"/>
        <v>104880</v>
      </c>
      <c r="H4">
        <f t="shared" ref="H4:H22" si="3">$G4*1.5</f>
        <v>157320</v>
      </c>
      <c r="I4" t="s">
        <v>57</v>
      </c>
      <c r="J4">
        <v>15000</v>
      </c>
      <c r="M4" s="1" t="s">
        <v>32</v>
      </c>
      <c r="N4" t="s">
        <v>26</v>
      </c>
      <c r="O4" s="9">
        <v>0.21</v>
      </c>
      <c r="P4" s="10">
        <f>$O4/12</f>
        <v>1.7499999999999998E-2</v>
      </c>
      <c r="Q4">
        <v>15</v>
      </c>
      <c r="W4" s="9"/>
    </row>
    <row r="5" spans="1:26" x14ac:dyDescent="0.35">
      <c r="A5" t="s">
        <v>6</v>
      </c>
      <c r="B5" s="5" t="s">
        <v>38</v>
      </c>
      <c r="C5" s="8">
        <v>45292</v>
      </c>
      <c r="D5">
        <f t="shared" si="2"/>
        <v>6</v>
      </c>
      <c r="E5">
        <f t="shared" si="0"/>
        <v>24</v>
      </c>
      <c r="F5">
        <v>4880</v>
      </c>
      <c r="G5">
        <f t="shared" si="1"/>
        <v>117120</v>
      </c>
      <c r="H5">
        <f t="shared" si="3"/>
        <v>175680</v>
      </c>
      <c r="I5" t="s">
        <v>25</v>
      </c>
      <c r="J5" s="1">
        <f>150000</f>
        <v>150000</v>
      </c>
      <c r="M5" s="1" t="s">
        <v>33</v>
      </c>
      <c r="N5" t="s">
        <v>27</v>
      </c>
      <c r="O5" s="9">
        <v>0.23</v>
      </c>
      <c r="P5" s="10">
        <f>$O5/12</f>
        <v>1.9166666666666669E-2</v>
      </c>
      <c r="Q5">
        <v>12</v>
      </c>
      <c r="W5" s="9"/>
    </row>
    <row r="6" spans="1:26" x14ac:dyDescent="0.35">
      <c r="A6" t="s">
        <v>7</v>
      </c>
      <c r="B6" s="5" t="s">
        <v>39</v>
      </c>
      <c r="C6" s="8">
        <v>45292</v>
      </c>
      <c r="D6">
        <f t="shared" si="2"/>
        <v>6</v>
      </c>
      <c r="E6">
        <f t="shared" si="0"/>
        <v>24</v>
      </c>
      <c r="F6">
        <v>3656</v>
      </c>
      <c r="G6">
        <f t="shared" si="1"/>
        <v>87744</v>
      </c>
      <c r="H6">
        <f t="shared" si="3"/>
        <v>131616</v>
      </c>
      <c r="I6" t="s">
        <v>57</v>
      </c>
      <c r="J6" s="1">
        <v>0</v>
      </c>
      <c r="M6" s="1" t="s">
        <v>34</v>
      </c>
      <c r="N6" t="s">
        <v>28</v>
      </c>
      <c r="O6" s="9">
        <v>0.14000000000000001</v>
      </c>
      <c r="P6" s="10">
        <f>$O6/12</f>
        <v>1.1666666666666667E-2</v>
      </c>
      <c r="Q6">
        <v>20</v>
      </c>
    </row>
    <row r="7" spans="1:26" x14ac:dyDescent="0.35">
      <c r="A7" t="s">
        <v>8</v>
      </c>
      <c r="B7" s="5" t="s">
        <v>40</v>
      </c>
      <c r="C7" s="8">
        <v>45292</v>
      </c>
      <c r="D7">
        <f t="shared" si="2"/>
        <v>6</v>
      </c>
      <c r="E7">
        <f t="shared" si="0"/>
        <v>24</v>
      </c>
      <c r="F7">
        <v>2818</v>
      </c>
      <c r="G7">
        <f t="shared" si="1"/>
        <v>67632</v>
      </c>
      <c r="H7">
        <f t="shared" si="3"/>
        <v>101448</v>
      </c>
      <c r="I7" t="s">
        <v>57</v>
      </c>
      <c r="J7" s="1">
        <v>0</v>
      </c>
      <c r="M7" s="1" t="s">
        <v>65</v>
      </c>
      <c r="N7" t="s">
        <v>57</v>
      </c>
      <c r="O7" t="s">
        <v>57</v>
      </c>
      <c r="P7" t="s">
        <v>57</v>
      </c>
      <c r="Q7" t="s">
        <v>57</v>
      </c>
    </row>
    <row r="8" spans="1:26" x14ac:dyDescent="0.35">
      <c r="A8" t="s">
        <v>9</v>
      </c>
      <c r="B8" s="5" t="s">
        <v>41</v>
      </c>
      <c r="C8" s="8">
        <v>45292</v>
      </c>
      <c r="D8">
        <f t="shared" si="2"/>
        <v>6</v>
      </c>
      <c r="E8">
        <f t="shared" si="0"/>
        <v>24</v>
      </c>
      <c r="F8">
        <v>2868</v>
      </c>
      <c r="G8">
        <f t="shared" si="1"/>
        <v>68832</v>
      </c>
      <c r="H8">
        <f t="shared" si="3"/>
        <v>103248</v>
      </c>
      <c r="I8" t="s">
        <v>57</v>
      </c>
      <c r="J8" s="1">
        <v>0</v>
      </c>
      <c r="Z8" s="1"/>
    </row>
    <row r="9" spans="1:26" x14ac:dyDescent="0.35">
      <c r="A9" t="s">
        <v>10</v>
      </c>
      <c r="B9" s="5" t="s">
        <v>42</v>
      </c>
      <c r="C9" s="8">
        <v>45292</v>
      </c>
      <c r="D9">
        <f t="shared" si="2"/>
        <v>6</v>
      </c>
      <c r="E9">
        <f t="shared" si="0"/>
        <v>24</v>
      </c>
      <c r="F9">
        <v>3623</v>
      </c>
      <c r="G9">
        <f t="shared" si="1"/>
        <v>86952</v>
      </c>
      <c r="H9">
        <f t="shared" si="3"/>
        <v>130428</v>
      </c>
      <c r="I9" t="s">
        <v>57</v>
      </c>
      <c r="J9" s="1">
        <v>0</v>
      </c>
      <c r="V9" s="1"/>
      <c r="W9" s="3"/>
      <c r="X9" s="4"/>
      <c r="Y9" s="4"/>
      <c r="Z9" s="4"/>
    </row>
    <row r="10" spans="1:26" x14ac:dyDescent="0.35">
      <c r="A10" t="s">
        <v>11</v>
      </c>
      <c r="B10" s="5" t="s">
        <v>43</v>
      </c>
      <c r="C10" s="8">
        <v>45292</v>
      </c>
      <c r="D10">
        <f t="shared" si="2"/>
        <v>6</v>
      </c>
      <c r="E10">
        <f t="shared" si="0"/>
        <v>24</v>
      </c>
      <c r="F10">
        <v>2562</v>
      </c>
      <c r="G10">
        <f t="shared" si="1"/>
        <v>61488</v>
      </c>
      <c r="H10">
        <f t="shared" si="3"/>
        <v>92232</v>
      </c>
      <c r="I10" t="s">
        <v>25</v>
      </c>
      <c r="J10">
        <v>90000</v>
      </c>
      <c r="M10" s="29" t="s">
        <v>79</v>
      </c>
      <c r="N10" s="30"/>
      <c r="O10" s="30"/>
      <c r="P10" s="30"/>
      <c r="Q10" s="30"/>
      <c r="R10" s="30"/>
      <c r="S10" s="30"/>
      <c r="V10" s="1"/>
      <c r="W10" s="9"/>
      <c r="X10" s="9"/>
      <c r="Y10" s="9"/>
      <c r="Z10" s="9"/>
    </row>
    <row r="11" spans="1:26" x14ac:dyDescent="0.35">
      <c r="A11" t="s">
        <v>12</v>
      </c>
      <c r="B11" s="5" t="s">
        <v>44</v>
      </c>
      <c r="C11" s="8">
        <v>45292</v>
      </c>
      <c r="D11">
        <f t="shared" si="2"/>
        <v>6</v>
      </c>
      <c r="E11">
        <f t="shared" si="0"/>
        <v>24</v>
      </c>
      <c r="F11">
        <v>1457</v>
      </c>
      <c r="G11">
        <f t="shared" si="1"/>
        <v>34968</v>
      </c>
      <c r="H11">
        <f t="shared" si="3"/>
        <v>52452</v>
      </c>
      <c r="I11" t="s">
        <v>57</v>
      </c>
      <c r="J11" s="1">
        <v>0</v>
      </c>
      <c r="W11" s="10"/>
      <c r="X11" s="10"/>
      <c r="Y11" s="10"/>
      <c r="Z11" s="10"/>
    </row>
    <row r="12" spans="1:26" x14ac:dyDescent="0.35">
      <c r="A12" t="s">
        <v>13</v>
      </c>
      <c r="B12" s="5" t="s">
        <v>45</v>
      </c>
      <c r="C12" s="8">
        <v>45292</v>
      </c>
      <c r="D12">
        <f t="shared" si="2"/>
        <v>6</v>
      </c>
      <c r="E12">
        <f t="shared" si="0"/>
        <v>24</v>
      </c>
      <c r="F12">
        <v>1555</v>
      </c>
      <c r="G12">
        <f t="shared" si="1"/>
        <v>37320</v>
      </c>
      <c r="H12">
        <f t="shared" si="3"/>
        <v>55980</v>
      </c>
      <c r="I12" t="s">
        <v>57</v>
      </c>
      <c r="J12" s="1">
        <v>0</v>
      </c>
      <c r="M12" s="1" t="s">
        <v>0</v>
      </c>
      <c r="N12" s="1" t="s">
        <v>56</v>
      </c>
      <c r="O12" s="1" t="s">
        <v>63</v>
      </c>
      <c r="P12" s="1" t="s">
        <v>66</v>
      </c>
      <c r="Q12" s="1" t="s">
        <v>64</v>
      </c>
      <c r="R12" s="1" t="s">
        <v>67</v>
      </c>
      <c r="S12" s="1" t="s">
        <v>75</v>
      </c>
      <c r="V12" s="1"/>
    </row>
    <row r="13" spans="1:26" x14ac:dyDescent="0.35">
      <c r="A13" t="s">
        <v>14</v>
      </c>
      <c r="B13" s="5" t="s">
        <v>46</v>
      </c>
      <c r="C13" s="8">
        <v>45292</v>
      </c>
      <c r="D13">
        <f t="shared" si="2"/>
        <v>6</v>
      </c>
      <c r="E13">
        <f t="shared" si="0"/>
        <v>24</v>
      </c>
      <c r="F13">
        <v>1625</v>
      </c>
      <c r="G13">
        <f t="shared" si="1"/>
        <v>39000</v>
      </c>
      <c r="H13">
        <f t="shared" si="3"/>
        <v>58500</v>
      </c>
      <c r="I13" t="s">
        <v>28</v>
      </c>
      <c r="J13" s="1">
        <v>55000</v>
      </c>
      <c r="M13" t="s">
        <v>6</v>
      </c>
      <c r="N13" t="str">
        <f t="shared" ref="N13:N19" si="4">VLOOKUP($M13,$A$3:$I$22,9,FALSE)</f>
        <v>L01</v>
      </c>
      <c r="O13">
        <f>VLOOKUP($M13,$A$3:$J$24,10,FALSE)</f>
        <v>150000</v>
      </c>
      <c r="P13" t="s">
        <v>31</v>
      </c>
      <c r="Q13" s="10">
        <f>VLOOKUP($P13,$M$2:$Q$7,4,FALSE)</f>
        <v>1.8333333333333333E-2</v>
      </c>
      <c r="R13">
        <f>VLOOKUP($P13,$M$2:$Q$7,5,FALSE)</f>
        <v>24</v>
      </c>
      <c r="S13" s="12">
        <f>-PMT($Q13,$R13,$O13)</f>
        <v>7781.7231971603624</v>
      </c>
    </row>
    <row r="14" spans="1:26" x14ac:dyDescent="0.35">
      <c r="A14" t="s">
        <v>15</v>
      </c>
      <c r="B14" s="5" t="s">
        <v>47</v>
      </c>
      <c r="C14" s="8">
        <v>45292</v>
      </c>
      <c r="D14">
        <f t="shared" si="2"/>
        <v>6</v>
      </c>
      <c r="E14">
        <f t="shared" si="0"/>
        <v>24</v>
      </c>
      <c r="F14">
        <v>2490</v>
      </c>
      <c r="G14">
        <f t="shared" si="1"/>
        <v>59760</v>
      </c>
      <c r="H14">
        <f t="shared" si="3"/>
        <v>89640</v>
      </c>
      <c r="I14" t="s">
        <v>57</v>
      </c>
      <c r="J14" s="1">
        <v>0</v>
      </c>
      <c r="M14" t="s">
        <v>11</v>
      </c>
      <c r="N14" t="str">
        <f t="shared" si="4"/>
        <v>L01</v>
      </c>
      <c r="O14">
        <f t="shared" ref="O14:O19" si="5">VLOOKUP($M14,$A$3:$J$24,10,FALSE)</f>
        <v>90000</v>
      </c>
      <c r="P14" t="s">
        <v>31</v>
      </c>
      <c r="Q14" s="10">
        <f t="shared" ref="Q14:Q19" si="6">VLOOKUP($P14,$M$2:$Q$7,4,FALSE)</f>
        <v>1.8333333333333333E-2</v>
      </c>
      <c r="R14">
        <f t="shared" ref="R14:R19" si="7">VLOOKUP($P14,$M$2:$Q$7,5,FALSE)</f>
        <v>24</v>
      </c>
      <c r="S14" s="12">
        <f t="shared" ref="S14:S19" si="8">-PMT($Q14,$R14,$O14)</f>
        <v>4669.033918296218</v>
      </c>
    </row>
    <row r="15" spans="1:26" x14ac:dyDescent="0.35">
      <c r="A15" t="s">
        <v>16</v>
      </c>
      <c r="B15" s="5" t="s">
        <v>48</v>
      </c>
      <c r="C15" s="8">
        <v>45292</v>
      </c>
      <c r="D15">
        <f t="shared" si="2"/>
        <v>6</v>
      </c>
      <c r="E15">
        <f t="shared" si="0"/>
        <v>24</v>
      </c>
      <c r="F15">
        <v>3080</v>
      </c>
      <c r="G15">
        <f t="shared" si="1"/>
        <v>73920</v>
      </c>
      <c r="H15">
        <f t="shared" si="3"/>
        <v>110880</v>
      </c>
      <c r="I15" t="s">
        <v>28</v>
      </c>
      <c r="J15" s="1">
        <v>100000</v>
      </c>
      <c r="M15" t="s">
        <v>14</v>
      </c>
      <c r="N15" t="str">
        <f t="shared" si="4"/>
        <v>L04</v>
      </c>
      <c r="O15">
        <f t="shared" si="5"/>
        <v>55000</v>
      </c>
      <c r="P15" t="s">
        <v>34</v>
      </c>
      <c r="Q15" s="10">
        <f t="shared" si="6"/>
        <v>1.1666666666666667E-2</v>
      </c>
      <c r="R15">
        <f t="shared" si="7"/>
        <v>20</v>
      </c>
      <c r="S15" s="12">
        <f t="shared" si="8"/>
        <v>3099.2375079927742</v>
      </c>
    </row>
    <row r="16" spans="1:26" x14ac:dyDescent="0.35">
      <c r="A16" t="s">
        <v>17</v>
      </c>
      <c r="B16" s="5" t="s">
        <v>49</v>
      </c>
      <c r="C16" s="8">
        <v>45323</v>
      </c>
      <c r="D16">
        <f t="shared" si="2"/>
        <v>5</v>
      </c>
      <c r="E16">
        <f t="shared" si="0"/>
        <v>20</v>
      </c>
      <c r="F16">
        <v>714</v>
      </c>
      <c r="G16">
        <f t="shared" si="1"/>
        <v>14280</v>
      </c>
      <c r="H16">
        <f t="shared" si="3"/>
        <v>21420</v>
      </c>
      <c r="I16" t="s">
        <v>57</v>
      </c>
      <c r="J16" s="1">
        <v>0</v>
      </c>
      <c r="M16" t="s">
        <v>16</v>
      </c>
      <c r="N16" t="str">
        <f t="shared" si="4"/>
        <v>L04</v>
      </c>
      <c r="O16">
        <f t="shared" si="5"/>
        <v>100000</v>
      </c>
      <c r="P16" t="s">
        <v>33</v>
      </c>
      <c r="Q16" s="10">
        <f t="shared" si="6"/>
        <v>1.9166666666666669E-2</v>
      </c>
      <c r="R16">
        <f t="shared" si="7"/>
        <v>12</v>
      </c>
      <c r="S16" s="12">
        <f t="shared" si="8"/>
        <v>9407.6321335610664</v>
      </c>
    </row>
    <row r="17" spans="1:20" x14ac:dyDescent="0.35">
      <c r="A17" t="s">
        <v>18</v>
      </c>
      <c r="B17" s="5" t="s">
        <v>50</v>
      </c>
      <c r="C17" s="8">
        <v>45323</v>
      </c>
      <c r="D17">
        <f t="shared" si="2"/>
        <v>5</v>
      </c>
      <c r="E17">
        <f t="shared" si="0"/>
        <v>20</v>
      </c>
      <c r="F17">
        <v>1552</v>
      </c>
      <c r="G17">
        <f t="shared" si="1"/>
        <v>31040</v>
      </c>
      <c r="H17">
        <f t="shared" si="3"/>
        <v>46560</v>
      </c>
      <c r="I17" t="s">
        <v>57</v>
      </c>
      <c r="J17" s="1">
        <v>0</v>
      </c>
      <c r="M17" t="s">
        <v>19</v>
      </c>
      <c r="N17" t="str">
        <f t="shared" si="4"/>
        <v>L04</v>
      </c>
      <c r="O17">
        <f t="shared" si="5"/>
        <v>100000</v>
      </c>
      <c r="P17" t="s">
        <v>34</v>
      </c>
      <c r="Q17" s="10">
        <f t="shared" si="6"/>
        <v>1.1666666666666667E-2</v>
      </c>
      <c r="R17">
        <f t="shared" si="7"/>
        <v>20</v>
      </c>
      <c r="S17" s="12">
        <f t="shared" si="8"/>
        <v>5634.9772872595904</v>
      </c>
    </row>
    <row r="18" spans="1:20" x14ac:dyDescent="0.35">
      <c r="A18" t="s">
        <v>19</v>
      </c>
      <c r="B18" s="5" t="s">
        <v>51</v>
      </c>
      <c r="C18" s="8">
        <v>45323</v>
      </c>
      <c r="D18">
        <f t="shared" si="2"/>
        <v>5</v>
      </c>
      <c r="E18">
        <f t="shared" si="0"/>
        <v>20</v>
      </c>
      <c r="F18">
        <v>4488</v>
      </c>
      <c r="G18">
        <f t="shared" si="1"/>
        <v>89760</v>
      </c>
      <c r="H18">
        <f t="shared" si="3"/>
        <v>134640</v>
      </c>
      <c r="I18" t="s">
        <v>28</v>
      </c>
      <c r="J18" s="1">
        <v>100000</v>
      </c>
      <c r="M18" t="s">
        <v>20</v>
      </c>
      <c r="N18" t="str">
        <f t="shared" si="4"/>
        <v>L03</v>
      </c>
      <c r="O18">
        <f t="shared" si="5"/>
        <v>84000</v>
      </c>
      <c r="P18" t="s">
        <v>33</v>
      </c>
      <c r="Q18" s="10">
        <f t="shared" si="6"/>
        <v>1.9166666666666669E-2</v>
      </c>
      <c r="R18">
        <f t="shared" si="7"/>
        <v>12</v>
      </c>
      <c r="S18" s="12">
        <f t="shared" si="8"/>
        <v>7902.410992191295</v>
      </c>
    </row>
    <row r="19" spans="1:20" x14ac:dyDescent="0.35">
      <c r="A19" t="s">
        <v>20</v>
      </c>
      <c r="B19" s="5" t="s">
        <v>52</v>
      </c>
      <c r="C19" s="8">
        <v>45323</v>
      </c>
      <c r="D19">
        <f t="shared" si="2"/>
        <v>5</v>
      </c>
      <c r="E19">
        <f t="shared" si="0"/>
        <v>20</v>
      </c>
      <c r="F19">
        <v>2808</v>
      </c>
      <c r="G19">
        <f t="shared" si="1"/>
        <v>56160</v>
      </c>
      <c r="H19">
        <f t="shared" si="3"/>
        <v>84240</v>
      </c>
      <c r="I19" t="s">
        <v>27</v>
      </c>
      <c r="J19" s="1">
        <v>84000</v>
      </c>
      <c r="M19" t="s">
        <v>23</v>
      </c>
      <c r="N19" t="str">
        <f t="shared" si="4"/>
        <v>L03</v>
      </c>
      <c r="O19">
        <f t="shared" si="5"/>
        <v>100000</v>
      </c>
      <c r="P19" t="s">
        <v>33</v>
      </c>
      <c r="Q19" s="10">
        <f t="shared" si="6"/>
        <v>1.9166666666666669E-2</v>
      </c>
      <c r="R19">
        <f t="shared" si="7"/>
        <v>12</v>
      </c>
      <c r="S19" s="12">
        <f t="shared" si="8"/>
        <v>9407.6321335610664</v>
      </c>
    </row>
    <row r="20" spans="1:20" x14ac:dyDescent="0.35">
      <c r="A20" t="s">
        <v>21</v>
      </c>
      <c r="B20" s="5" t="s">
        <v>53</v>
      </c>
      <c r="C20" s="8">
        <v>45323</v>
      </c>
      <c r="D20">
        <f t="shared" si="2"/>
        <v>5</v>
      </c>
      <c r="E20">
        <f t="shared" si="0"/>
        <v>20</v>
      </c>
      <c r="F20">
        <v>1988</v>
      </c>
      <c r="G20">
        <f t="shared" si="1"/>
        <v>39760</v>
      </c>
      <c r="H20">
        <f t="shared" si="3"/>
        <v>59640</v>
      </c>
      <c r="I20" t="s">
        <v>57</v>
      </c>
      <c r="J20" s="1">
        <v>0</v>
      </c>
      <c r="Q20" s="10"/>
      <c r="S20" s="12"/>
    </row>
    <row r="21" spans="1:20" x14ac:dyDescent="0.35">
      <c r="A21" t="s">
        <v>22</v>
      </c>
      <c r="B21" s="6" t="s">
        <v>54</v>
      </c>
      <c r="C21" s="8">
        <v>45323</v>
      </c>
      <c r="D21">
        <f t="shared" si="2"/>
        <v>5</v>
      </c>
      <c r="E21">
        <f t="shared" si="0"/>
        <v>20</v>
      </c>
      <c r="F21">
        <v>4770</v>
      </c>
      <c r="G21">
        <f t="shared" si="1"/>
        <v>95400</v>
      </c>
      <c r="H21">
        <f t="shared" si="3"/>
        <v>143100</v>
      </c>
      <c r="I21" t="s">
        <v>26</v>
      </c>
      <c r="J21" s="1">
        <v>140000</v>
      </c>
    </row>
    <row r="22" spans="1:20" x14ac:dyDescent="0.35">
      <c r="A22" t="s">
        <v>23</v>
      </c>
      <c r="B22" s="7" t="s">
        <v>55</v>
      </c>
      <c r="C22" s="8">
        <v>45323</v>
      </c>
      <c r="D22">
        <f t="shared" si="2"/>
        <v>5</v>
      </c>
      <c r="E22">
        <f t="shared" si="0"/>
        <v>20</v>
      </c>
      <c r="F22">
        <v>3169</v>
      </c>
      <c r="G22">
        <f t="shared" si="1"/>
        <v>63380</v>
      </c>
      <c r="H22">
        <f t="shared" si="3"/>
        <v>95070</v>
      </c>
      <c r="I22" t="s">
        <v>27</v>
      </c>
      <c r="J22" s="1">
        <v>100000</v>
      </c>
    </row>
    <row r="23" spans="1:20" x14ac:dyDescent="0.35">
      <c r="A23" s="14" t="s">
        <v>77</v>
      </c>
      <c r="B23" s="15"/>
      <c r="C23" s="15"/>
      <c r="D23" s="15"/>
      <c r="E23" s="15"/>
      <c r="F23" s="14">
        <f>SUBTOTAL(9,F3:F22)</f>
        <v>55996</v>
      </c>
      <c r="G23" s="14">
        <f>SUBTOTAL(9,G3:G22)</f>
        <v>1265948</v>
      </c>
      <c r="H23" s="14">
        <f>SUBTOTAL(9,H3:H22)</f>
        <v>1898922</v>
      </c>
      <c r="I23" s="14"/>
      <c r="J23" s="14">
        <f>SUBTOTAL(9,J3:J22)</f>
        <v>834000</v>
      </c>
      <c r="L23" s="11"/>
      <c r="M23" s="29" t="s">
        <v>78</v>
      </c>
      <c r="N23" s="30"/>
      <c r="O23" s="30"/>
      <c r="P23" s="30"/>
      <c r="Q23" s="30"/>
      <c r="R23" s="30"/>
      <c r="S23" s="30"/>
    </row>
    <row r="24" spans="1:20" x14ac:dyDescent="0.35">
      <c r="B24" s="16"/>
      <c r="J24" s="1"/>
    </row>
    <row r="25" spans="1:20" x14ac:dyDescent="0.35">
      <c r="B25" s="16"/>
      <c r="M25" s="1" t="s">
        <v>0</v>
      </c>
      <c r="N25" s="1" t="s">
        <v>73</v>
      </c>
      <c r="O25" s="1" t="s">
        <v>68</v>
      </c>
      <c r="P25" s="1" t="s">
        <v>69</v>
      </c>
      <c r="Q25" s="1" t="s">
        <v>70</v>
      </c>
      <c r="R25" s="1" t="s">
        <v>71</v>
      </c>
      <c r="S25" s="1" t="s">
        <v>72</v>
      </c>
      <c r="T25" s="1"/>
    </row>
    <row r="26" spans="1:20" x14ac:dyDescent="0.35">
      <c r="B26" s="16"/>
      <c r="M26" t="s">
        <v>6</v>
      </c>
      <c r="N26">
        <v>1</v>
      </c>
      <c r="O26">
        <f>VLOOKUP(M26,A3:J22,10,FALSE)</f>
        <v>150000</v>
      </c>
      <c r="P26" s="12">
        <f>VLOOKUP($M26,$M$13:$S$120,7,FALSE)</f>
        <v>7781.7231971603624</v>
      </c>
      <c r="Q26" s="13">
        <f>VLOOKUP($M26,$M$13:$S$20,5,FALSE)*O26</f>
        <v>2750</v>
      </c>
      <c r="R26" s="13">
        <f>P26-Q26</f>
        <v>5031.7231971603624</v>
      </c>
      <c r="S26" s="12">
        <f>O26-R26</f>
        <v>144968.27680283962</v>
      </c>
    </row>
    <row r="27" spans="1:20" x14ac:dyDescent="0.35">
      <c r="A27" t="s">
        <v>62</v>
      </c>
      <c r="B27">
        <v>3500</v>
      </c>
      <c r="C27">
        <f>B27*20</f>
        <v>70000</v>
      </c>
      <c r="N27">
        <v>2</v>
      </c>
      <c r="O27" s="12">
        <f>$S26</f>
        <v>144968.27680283962</v>
      </c>
      <c r="P27" s="12">
        <f>$P$26</f>
        <v>7781.7231971603624</v>
      </c>
      <c r="Q27" s="13">
        <f>VLOOKUP($M$26,$M$13:$S$20,5,FALSE)*$O27</f>
        <v>2657.751741385393</v>
      </c>
      <c r="R27" s="12">
        <f>$P$27-$Q27</f>
        <v>5123.9714557749694</v>
      </c>
      <c r="S27" s="12">
        <f>$O27-$R27</f>
        <v>139844.30534706466</v>
      </c>
    </row>
    <row r="28" spans="1:20" x14ac:dyDescent="0.35">
      <c r="A28" s="1" t="s">
        <v>61</v>
      </c>
      <c r="B28" s="8">
        <f ca="1">TODAY()</f>
        <v>45506</v>
      </c>
      <c r="N28">
        <v>3</v>
      </c>
      <c r="O28" s="12">
        <f t="shared" ref="O28:O49" si="9">$S27</f>
        <v>139844.30534706466</v>
      </c>
      <c r="P28" s="12">
        <f t="shared" ref="P28:P49" si="10">$P$26</f>
        <v>7781.7231971603624</v>
      </c>
      <c r="Q28" s="13">
        <f t="shared" ref="Q28:Q49" si="11">VLOOKUP($M$26,$M$13:$S$20,5,FALSE)*$O28</f>
        <v>2563.8122646961851</v>
      </c>
      <c r="R28" s="12">
        <f t="shared" ref="R28:R49" si="12">$P$27-$Q28</f>
        <v>5217.9109324641777</v>
      </c>
      <c r="S28" s="12">
        <f t="shared" ref="S28:S49" si="13">$O28-$R28</f>
        <v>134626.39441460048</v>
      </c>
    </row>
    <row r="29" spans="1:20" x14ac:dyDescent="0.35">
      <c r="A29" s="1" t="s">
        <v>86</v>
      </c>
      <c r="B29" s="8">
        <v>45504</v>
      </c>
      <c r="N29">
        <v>4</v>
      </c>
      <c r="O29" s="12">
        <f t="shared" si="9"/>
        <v>134626.39441460048</v>
      </c>
      <c r="P29" s="12">
        <f t="shared" si="10"/>
        <v>7781.7231971603624</v>
      </c>
      <c r="Q29" s="13">
        <f t="shared" si="11"/>
        <v>2468.1505642676757</v>
      </c>
      <c r="R29" s="12">
        <f t="shared" si="12"/>
        <v>5313.5726328926867</v>
      </c>
      <c r="S29" s="12">
        <f t="shared" si="13"/>
        <v>129312.8217817078</v>
      </c>
    </row>
    <row r="30" spans="1:20" x14ac:dyDescent="0.35">
      <c r="N30">
        <v>5</v>
      </c>
      <c r="O30" s="12">
        <f t="shared" si="9"/>
        <v>129312.8217817078</v>
      </c>
      <c r="P30" s="12">
        <f t="shared" si="10"/>
        <v>7781.7231971603624</v>
      </c>
      <c r="Q30" s="13">
        <f t="shared" si="11"/>
        <v>2370.7350659979761</v>
      </c>
      <c r="R30" s="12">
        <f t="shared" si="12"/>
        <v>5410.9881311623867</v>
      </c>
      <c r="S30" s="12">
        <f t="shared" si="13"/>
        <v>123901.83365054541</v>
      </c>
    </row>
    <row r="31" spans="1:20" x14ac:dyDescent="0.35">
      <c r="N31">
        <v>6</v>
      </c>
      <c r="O31" s="12">
        <f t="shared" si="9"/>
        <v>123901.83365054541</v>
      </c>
      <c r="P31" s="12">
        <f t="shared" si="10"/>
        <v>7781.7231971603624</v>
      </c>
      <c r="Q31" s="13">
        <f t="shared" si="11"/>
        <v>2271.5336169266657</v>
      </c>
      <c r="R31" s="12">
        <f t="shared" si="12"/>
        <v>5510.1895802336967</v>
      </c>
      <c r="S31" s="12">
        <f t="shared" si="13"/>
        <v>118391.64407031171</v>
      </c>
    </row>
    <row r="32" spans="1:20" x14ac:dyDescent="0.35">
      <c r="N32">
        <v>7</v>
      </c>
      <c r="O32" s="12">
        <f t="shared" si="9"/>
        <v>118391.64407031171</v>
      </c>
      <c r="P32" s="12">
        <f t="shared" si="10"/>
        <v>7781.7231971603624</v>
      </c>
      <c r="Q32" s="13">
        <f t="shared" si="11"/>
        <v>2170.5134746223812</v>
      </c>
      <c r="R32" s="12">
        <f t="shared" si="12"/>
        <v>5611.2097225379812</v>
      </c>
      <c r="S32" s="12">
        <f t="shared" si="13"/>
        <v>112780.43434777373</v>
      </c>
    </row>
    <row r="33" spans="1:19" x14ac:dyDescent="0.35">
      <c r="A33" s="1"/>
      <c r="D33" s="1"/>
      <c r="E33" s="1"/>
      <c r="F33" s="1"/>
      <c r="G33" s="1"/>
      <c r="H33" s="1"/>
      <c r="N33">
        <v>8</v>
      </c>
      <c r="O33" s="12">
        <f t="shared" si="9"/>
        <v>112780.43434777373</v>
      </c>
      <c r="P33" s="12">
        <f t="shared" si="10"/>
        <v>7781.7231971603624</v>
      </c>
      <c r="Q33" s="13">
        <f t="shared" si="11"/>
        <v>2067.6412963758517</v>
      </c>
      <c r="R33" s="12">
        <f t="shared" si="12"/>
        <v>5714.0819007845112</v>
      </c>
      <c r="S33" s="12">
        <f t="shared" si="13"/>
        <v>107066.35244698921</v>
      </c>
    </row>
    <row r="34" spans="1:19" x14ac:dyDescent="0.35">
      <c r="A34" s="1"/>
      <c r="F34" s="28"/>
      <c r="G34" s="28"/>
      <c r="H34" s="28"/>
      <c r="I34" s="28"/>
      <c r="J34" s="28"/>
      <c r="N34">
        <v>9</v>
      </c>
      <c r="O34" s="12">
        <f t="shared" si="9"/>
        <v>107066.35244698921</v>
      </c>
      <c r="P34" s="12">
        <f t="shared" si="10"/>
        <v>7781.7231971603624</v>
      </c>
      <c r="Q34" s="13">
        <f t="shared" si="11"/>
        <v>1962.8831281948023</v>
      </c>
      <c r="R34" s="12">
        <f t="shared" si="12"/>
        <v>5818.84006896556</v>
      </c>
      <c r="S34" s="12">
        <f t="shared" si="13"/>
        <v>101247.51237802366</v>
      </c>
    </row>
    <row r="35" spans="1:19" x14ac:dyDescent="0.35">
      <c r="A35" s="1"/>
      <c r="N35">
        <v>10</v>
      </c>
      <c r="O35" s="12">
        <f t="shared" si="9"/>
        <v>101247.51237802366</v>
      </c>
      <c r="P35" s="12">
        <f t="shared" si="10"/>
        <v>7781.7231971603624</v>
      </c>
      <c r="Q35" s="13">
        <f t="shared" si="11"/>
        <v>1856.2043935971005</v>
      </c>
      <c r="R35" s="12">
        <f t="shared" si="12"/>
        <v>5925.5188035632618</v>
      </c>
      <c r="S35" s="12">
        <f t="shared" si="13"/>
        <v>95321.993574460401</v>
      </c>
    </row>
    <row r="36" spans="1:19" x14ac:dyDescent="0.35">
      <c r="A36" s="1"/>
      <c r="N36">
        <v>11</v>
      </c>
      <c r="O36" s="12">
        <f t="shared" si="9"/>
        <v>95321.993574460401</v>
      </c>
      <c r="P36" s="12">
        <f t="shared" si="10"/>
        <v>7781.7231971603624</v>
      </c>
      <c r="Q36" s="13">
        <f t="shared" si="11"/>
        <v>1747.5698821984406</v>
      </c>
      <c r="R36" s="12">
        <f t="shared" si="12"/>
        <v>6034.1533149619218</v>
      </c>
      <c r="S36" s="12">
        <f t="shared" si="13"/>
        <v>89287.84025949848</v>
      </c>
    </row>
    <row r="37" spans="1:19" x14ac:dyDescent="0.35">
      <c r="A37" s="1"/>
      <c r="N37">
        <v>12</v>
      </c>
      <c r="O37" s="12">
        <f t="shared" si="9"/>
        <v>89287.84025949848</v>
      </c>
      <c r="P37" s="12">
        <f t="shared" si="10"/>
        <v>7781.7231971603624</v>
      </c>
      <c r="Q37" s="13">
        <f t="shared" si="11"/>
        <v>1636.9437380908055</v>
      </c>
      <c r="R37" s="12">
        <f t="shared" si="12"/>
        <v>6144.7794590695567</v>
      </c>
      <c r="S37" s="12">
        <f t="shared" si="13"/>
        <v>83143.060800428924</v>
      </c>
    </row>
    <row r="38" spans="1:19" x14ac:dyDescent="0.35">
      <c r="A38" s="1"/>
      <c r="N38">
        <v>13</v>
      </c>
      <c r="O38" s="12">
        <f t="shared" si="9"/>
        <v>83143.060800428924</v>
      </c>
      <c r="P38" s="12">
        <f t="shared" si="10"/>
        <v>7781.7231971603624</v>
      </c>
      <c r="Q38" s="13">
        <f t="shared" si="11"/>
        <v>1524.2894480078637</v>
      </c>
      <c r="R38" s="12">
        <f t="shared" si="12"/>
        <v>6257.4337491524984</v>
      </c>
      <c r="S38" s="12">
        <f t="shared" si="13"/>
        <v>76885.627051276431</v>
      </c>
    </row>
    <row r="39" spans="1:19" x14ac:dyDescent="0.35">
      <c r="A39" s="1"/>
      <c r="N39">
        <v>14</v>
      </c>
      <c r="O39" s="12">
        <f t="shared" si="9"/>
        <v>76885.627051276431</v>
      </c>
      <c r="P39" s="12">
        <f t="shared" si="10"/>
        <v>7781.7231971603624</v>
      </c>
      <c r="Q39" s="13">
        <f t="shared" si="11"/>
        <v>1409.5698292734012</v>
      </c>
      <c r="R39" s="12">
        <f t="shared" si="12"/>
        <v>6372.153367886961</v>
      </c>
      <c r="S39" s="12">
        <f t="shared" si="13"/>
        <v>70513.473683389471</v>
      </c>
    </row>
    <row r="40" spans="1:19" x14ac:dyDescent="0.35">
      <c r="A40" s="1"/>
      <c r="N40">
        <v>15</v>
      </c>
      <c r="O40" s="12">
        <f t="shared" si="9"/>
        <v>70513.473683389471</v>
      </c>
      <c r="P40" s="12">
        <f t="shared" si="10"/>
        <v>7781.7231971603624</v>
      </c>
      <c r="Q40" s="13">
        <f t="shared" si="11"/>
        <v>1292.747017528807</v>
      </c>
      <c r="R40" s="12">
        <f t="shared" si="12"/>
        <v>6488.9761796315552</v>
      </c>
      <c r="S40" s="12">
        <f t="shared" si="13"/>
        <v>64024.497503757913</v>
      </c>
    </row>
    <row r="41" spans="1:19" x14ac:dyDescent="0.35">
      <c r="A41" s="1"/>
      <c r="N41">
        <v>16</v>
      </c>
      <c r="O41" s="12">
        <f t="shared" si="9"/>
        <v>64024.497503757913</v>
      </c>
      <c r="P41" s="12">
        <f t="shared" si="10"/>
        <v>7781.7231971603624</v>
      </c>
      <c r="Q41" s="13">
        <f t="shared" si="11"/>
        <v>1173.7824542355618</v>
      </c>
      <c r="R41" s="12">
        <f t="shared" si="12"/>
        <v>6607.9407429248004</v>
      </c>
      <c r="S41" s="12">
        <f t="shared" si="13"/>
        <v>57416.556760833111</v>
      </c>
    </row>
    <row r="42" spans="1:19" x14ac:dyDescent="0.35">
      <c r="A42" s="1"/>
      <c r="N42">
        <v>17</v>
      </c>
      <c r="O42" s="12">
        <f t="shared" si="9"/>
        <v>57416.556760833111</v>
      </c>
      <c r="P42" s="12">
        <f t="shared" si="10"/>
        <v>7781.7231971603624</v>
      </c>
      <c r="Q42" s="13">
        <f t="shared" si="11"/>
        <v>1052.636873948607</v>
      </c>
      <c r="R42" s="12">
        <f t="shared" si="12"/>
        <v>6729.0863232117554</v>
      </c>
      <c r="S42" s="12">
        <f t="shared" si="13"/>
        <v>50687.470437621356</v>
      </c>
    </row>
    <row r="43" spans="1:19" x14ac:dyDescent="0.35">
      <c r="A43" s="1"/>
      <c r="N43">
        <v>18</v>
      </c>
      <c r="O43" s="12">
        <f t="shared" si="9"/>
        <v>50687.470437621356</v>
      </c>
      <c r="P43" s="12">
        <f t="shared" si="10"/>
        <v>7781.7231971603624</v>
      </c>
      <c r="Q43" s="13">
        <f t="shared" si="11"/>
        <v>929.27029135639157</v>
      </c>
      <c r="R43" s="12">
        <f t="shared" si="12"/>
        <v>6852.4529058039707</v>
      </c>
      <c r="S43" s="12">
        <f t="shared" si="13"/>
        <v>43835.017531817386</v>
      </c>
    </row>
    <row r="44" spans="1:19" x14ac:dyDescent="0.35">
      <c r="N44">
        <v>19</v>
      </c>
      <c r="O44" s="12">
        <f t="shared" si="9"/>
        <v>43835.017531817386</v>
      </c>
      <c r="P44" s="12">
        <f t="shared" si="10"/>
        <v>7781.7231971603624</v>
      </c>
      <c r="Q44" s="13">
        <f t="shared" si="11"/>
        <v>803.64198808331878</v>
      </c>
      <c r="R44" s="12">
        <f t="shared" si="12"/>
        <v>6978.0812090770432</v>
      </c>
      <c r="S44" s="12">
        <f t="shared" si="13"/>
        <v>36856.936322740345</v>
      </c>
    </row>
    <row r="45" spans="1:19" x14ac:dyDescent="0.35">
      <c r="N45">
        <v>20</v>
      </c>
      <c r="O45" s="12">
        <f t="shared" si="9"/>
        <v>36856.936322740345</v>
      </c>
      <c r="P45" s="12">
        <f t="shared" si="10"/>
        <v>7781.7231971603624</v>
      </c>
      <c r="Q45" s="13">
        <f t="shared" si="11"/>
        <v>675.71049925023965</v>
      </c>
      <c r="R45" s="12">
        <f t="shared" si="12"/>
        <v>7106.0126979101224</v>
      </c>
      <c r="S45" s="12">
        <f t="shared" si="13"/>
        <v>29750.923624830222</v>
      </c>
    </row>
    <row r="46" spans="1:19" x14ac:dyDescent="0.35">
      <c r="N46">
        <v>21</v>
      </c>
      <c r="O46" s="12">
        <f t="shared" si="9"/>
        <v>29750.923624830222</v>
      </c>
      <c r="P46" s="12">
        <f t="shared" si="10"/>
        <v>7781.7231971603624</v>
      </c>
      <c r="Q46" s="13">
        <f t="shared" si="11"/>
        <v>545.43359978855403</v>
      </c>
      <c r="R46" s="12">
        <f t="shared" si="12"/>
        <v>7236.2895973718087</v>
      </c>
      <c r="S46" s="12">
        <f t="shared" si="13"/>
        <v>22514.634027458414</v>
      </c>
    </row>
    <row r="47" spans="1:19" x14ac:dyDescent="0.35">
      <c r="N47">
        <v>22</v>
      </c>
      <c r="O47" s="12">
        <f t="shared" si="9"/>
        <v>22514.634027458414</v>
      </c>
      <c r="P47" s="12">
        <f t="shared" si="10"/>
        <v>7781.7231971603624</v>
      </c>
      <c r="Q47" s="13">
        <f t="shared" si="11"/>
        <v>412.76829050340427</v>
      </c>
      <c r="R47" s="12">
        <f t="shared" si="12"/>
        <v>7368.954906656958</v>
      </c>
      <c r="S47" s="12">
        <f t="shared" si="13"/>
        <v>15145.679120801457</v>
      </c>
    </row>
    <row r="48" spans="1:19" x14ac:dyDescent="0.35">
      <c r="N48">
        <v>23</v>
      </c>
      <c r="O48" s="12">
        <f t="shared" si="9"/>
        <v>15145.679120801457</v>
      </c>
      <c r="P48" s="12">
        <f t="shared" si="10"/>
        <v>7781.7231971603624</v>
      </c>
      <c r="Q48" s="13">
        <f t="shared" si="11"/>
        <v>277.67078388136002</v>
      </c>
      <c r="R48" s="12">
        <f t="shared" si="12"/>
        <v>7504.0524132790024</v>
      </c>
      <c r="S48" s="12">
        <f t="shared" si="13"/>
        <v>7641.6267075224541</v>
      </c>
    </row>
    <row r="49" spans="13:19" x14ac:dyDescent="0.35">
      <c r="N49">
        <v>24</v>
      </c>
      <c r="O49" s="12">
        <f t="shared" si="9"/>
        <v>7641.6267075224541</v>
      </c>
      <c r="P49" s="12">
        <f t="shared" si="10"/>
        <v>7781.7231971603624</v>
      </c>
      <c r="Q49" s="13">
        <f t="shared" si="11"/>
        <v>140.09648963791167</v>
      </c>
      <c r="R49" s="12">
        <f t="shared" si="12"/>
        <v>7641.6267075224505</v>
      </c>
      <c r="S49" s="12">
        <f t="shared" si="13"/>
        <v>0</v>
      </c>
    </row>
    <row r="50" spans="13:19" x14ac:dyDescent="0.35">
      <c r="M50" s="14" t="s">
        <v>76</v>
      </c>
      <c r="N50" s="14"/>
      <c r="O50" s="15"/>
      <c r="P50" s="15"/>
      <c r="Q50" s="14">
        <f>SUBTOTAL(9,Q26:Q49)</f>
        <v>36761.356731848704</v>
      </c>
      <c r="R50" s="15"/>
      <c r="S50" s="15"/>
    </row>
  </sheetData>
  <mergeCells count="6">
    <mergeCell ref="A1:G1"/>
    <mergeCell ref="T2:W2"/>
    <mergeCell ref="F34:J34"/>
    <mergeCell ref="M23:S23"/>
    <mergeCell ref="M1:Q1"/>
    <mergeCell ref="M10:S10"/>
  </mergeCells>
  <phoneticPr fontId="2" type="noConversion"/>
  <conditionalFormatting sqref="I3:I22">
    <cfRule type="containsText" dxfId="3" priority="1" operator="containsText" text="L">
      <formula>NOT(ISERROR(SEARCH("L",I3)))</formula>
    </cfRule>
  </conditionalFormatting>
  <conditionalFormatting sqref="K3:K22">
    <cfRule type="containsText" dxfId="2" priority="2" operator="containsText" text="L">
      <formula>NOT(ISERROR(SEARCH("L",K3)))</formula>
    </cfRule>
  </conditionalFormatting>
  <conditionalFormatting sqref="N2:O2 Q2">
    <cfRule type="duplicateValues" dxfId="1" priority="3"/>
  </conditionalFormatting>
  <conditionalFormatting sqref="V9:V10 V12">
    <cfRule type="duplicateValues" dxfId="0" priority="4"/>
  </conditionalFormatting>
  <dataValidations count="4">
    <dataValidation type="list" allowBlank="1" showInputMessage="1" showErrorMessage="1" sqref="M12:M20 M25:M26" xr:uid="{58C9453E-810E-46A2-9140-433AE25A9689}">
      <formula1>$A$3:$A$22</formula1>
    </dataValidation>
    <dataValidation type="list" allowBlank="1" showInputMessage="1" showErrorMessage="1" sqref="I23" xr:uid="{59038AD0-06A5-45B2-A516-1150ACDC566C}">
      <formula1>#REF!</formula1>
    </dataValidation>
    <dataValidation type="list" allowBlank="1" showInputMessage="1" showErrorMessage="1" sqref="P12:P20" xr:uid="{CCE4B299-799C-49F8-9BF3-74844DA3BD82}">
      <formula1>$M$3:$M$7</formula1>
    </dataValidation>
    <dataValidation type="list" allowBlank="1" showInputMessage="1" showErrorMessage="1" sqref="I2:I22 A33:A43" xr:uid="{9781CD54-274E-46E2-9B20-3966F951C1AB}">
      <formula1>$N$3:$N$7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48F1-41ED-4845-B835-3AA9AD73C7B6}">
  <dimension ref="A1:P38"/>
  <sheetViews>
    <sheetView tabSelected="1" workbookViewId="0">
      <selection activeCell="B5" sqref="B5"/>
    </sheetView>
  </sheetViews>
  <sheetFormatPr defaultRowHeight="14.5" x14ac:dyDescent="0.35"/>
  <cols>
    <col min="1" max="1" width="10.6328125" bestFit="1" customWidth="1"/>
    <col min="2" max="2" width="7" bestFit="1" customWidth="1"/>
    <col min="3" max="3" width="17.7265625" bestFit="1" customWidth="1"/>
    <col min="7" max="7" width="10.36328125" bestFit="1" customWidth="1"/>
    <col min="8" max="8" width="14" bestFit="1" customWidth="1"/>
    <col min="9" max="9" width="19.7265625" bestFit="1" customWidth="1"/>
    <col min="10" max="10" width="11.7265625" bestFit="1" customWidth="1"/>
    <col min="12" max="13" width="17.453125" bestFit="1" customWidth="1"/>
    <col min="14" max="14" width="19.7265625" bestFit="1" customWidth="1"/>
    <col min="15" max="15" width="16.6328125" bestFit="1" customWidth="1"/>
    <col min="19" max="19" width="11" bestFit="1" customWidth="1"/>
  </cols>
  <sheetData>
    <row r="1" spans="1:16" x14ac:dyDescent="0.35">
      <c r="A1" s="27"/>
      <c r="B1" s="27"/>
      <c r="C1" s="27"/>
      <c r="L1" s="29" t="s">
        <v>59</v>
      </c>
      <c r="M1" s="29"/>
      <c r="N1" s="29"/>
      <c r="O1" s="29"/>
      <c r="P1" s="29"/>
    </row>
    <row r="2" spans="1:16" x14ac:dyDescent="0.35">
      <c r="A2" s="33" t="s">
        <v>88</v>
      </c>
      <c r="B2" s="33"/>
      <c r="C2" s="33"/>
      <c r="D2" s="33"/>
      <c r="E2" s="33"/>
      <c r="F2" s="33"/>
      <c r="G2" s="33"/>
      <c r="H2" s="33"/>
      <c r="I2" s="19"/>
      <c r="L2" s="29"/>
      <c r="M2" s="29"/>
      <c r="N2" s="29"/>
      <c r="O2" s="29"/>
      <c r="P2" s="29"/>
    </row>
    <row r="3" spans="1:16" x14ac:dyDescent="0.35">
      <c r="A3" s="33" t="s">
        <v>89</v>
      </c>
      <c r="B3" s="33"/>
      <c r="C3" s="33"/>
      <c r="D3" s="33"/>
      <c r="E3" s="33"/>
      <c r="F3" s="33"/>
      <c r="G3" s="33"/>
      <c r="H3" s="33"/>
      <c r="I3" s="19"/>
      <c r="L3" s="1" t="s">
        <v>0</v>
      </c>
      <c r="M3" s="1" t="s">
        <v>82</v>
      </c>
      <c r="N3" s="1" t="s">
        <v>85</v>
      </c>
      <c r="O3" s="1" t="s">
        <v>84</v>
      </c>
      <c r="P3" s="1" t="s">
        <v>83</v>
      </c>
    </row>
    <row r="4" spans="1:16" x14ac:dyDescent="0.35">
      <c r="A4" s="1" t="s">
        <v>87</v>
      </c>
      <c r="B4" s="1" t="s">
        <v>6</v>
      </c>
      <c r="C4" s="1" t="s">
        <v>11</v>
      </c>
      <c r="D4" s="1" t="s">
        <v>14</v>
      </c>
      <c r="E4" s="1" t="s">
        <v>16</v>
      </c>
      <c r="F4" s="1" t="s">
        <v>19</v>
      </c>
      <c r="G4" s="1" t="s">
        <v>20</v>
      </c>
      <c r="H4" s="1" t="s">
        <v>23</v>
      </c>
      <c r="I4" s="18" t="s">
        <v>77</v>
      </c>
      <c r="L4" t="s">
        <v>11</v>
      </c>
      <c r="M4">
        <v>3</v>
      </c>
      <c r="N4">
        <v>83906.583208238793</v>
      </c>
      <c r="O4" s="9">
        <v>0.2</v>
      </c>
      <c r="P4">
        <f>N4*O4</f>
        <v>16781.316641647758</v>
      </c>
    </row>
    <row r="5" spans="1:16" x14ac:dyDescent="0.35">
      <c r="A5">
        <v>1</v>
      </c>
      <c r="B5">
        <v>262.5</v>
      </c>
      <c r="C5">
        <v>1650</v>
      </c>
      <c r="D5">
        <v>641.66666666666674</v>
      </c>
      <c r="E5">
        <v>1916.666666666667</v>
      </c>
      <c r="F5">
        <v>1166.6666666666667</v>
      </c>
      <c r="G5" s="13">
        <v>1610.0000000000002</v>
      </c>
      <c r="H5" s="13">
        <v>1916.666666666667</v>
      </c>
      <c r="I5" s="18">
        <f t="shared" ref="I5:I28" si="0">SUBTOTAL(9,$B5:$H5)</f>
        <v>9164.1666666666679</v>
      </c>
    </row>
    <row r="6" spans="1:16" x14ac:dyDescent="0.35">
      <c r="A6">
        <v>2</v>
      </c>
      <c r="B6">
        <v>247.04468587017058</v>
      </c>
      <c r="C6">
        <v>1594.651044831236</v>
      </c>
      <c r="D6">
        <v>612.9950068511954</v>
      </c>
      <c r="E6">
        <v>1773.089828551191</v>
      </c>
      <c r="F6">
        <v>1114.5363760930827</v>
      </c>
      <c r="G6" s="13">
        <v>1489.3954559830004</v>
      </c>
      <c r="H6" s="13">
        <v>1773.089828551191</v>
      </c>
      <c r="I6" s="18">
        <f t="shared" si="0"/>
        <v>8604.8022267310662</v>
      </c>
    </row>
    <row r="7" spans="1:16" x14ac:dyDescent="0.35">
      <c r="A7">
        <v>3</v>
      </c>
      <c r="B7">
        <v>231.31890374306917</v>
      </c>
      <c r="C7">
        <v>1538.2873588177113</v>
      </c>
      <c r="D7">
        <v>583.98884433787703</v>
      </c>
      <c r="E7">
        <v>1626.7611010385015</v>
      </c>
      <c r="F7">
        <v>1061.7978987961401</v>
      </c>
      <c r="G7" s="13">
        <v>1366.4793248723415</v>
      </c>
      <c r="H7" s="13">
        <v>1626.7611010385015</v>
      </c>
      <c r="I7" s="18">
        <f t="shared" si="0"/>
        <v>8035.3945326441417</v>
      </c>
      <c r="L7" s="34" t="s">
        <v>92</v>
      </c>
      <c r="M7" s="35"/>
    </row>
    <row r="8" spans="1:16" x14ac:dyDescent="0.35">
      <c r="A8">
        <v>4</v>
      </c>
      <c r="B8">
        <v>215.31792042874349</v>
      </c>
      <c r="C8">
        <v>1480.8903385606054</v>
      </c>
      <c r="D8">
        <v>554.64427659523653</v>
      </c>
      <c r="E8">
        <v>1477.627739581819</v>
      </c>
      <c r="F8">
        <v>1008.4441392640665</v>
      </c>
      <c r="G8" s="13">
        <v>1241.2073012487283</v>
      </c>
      <c r="H8" s="13">
        <v>1477.627739581819</v>
      </c>
      <c r="I8" s="18">
        <f t="shared" si="0"/>
        <v>7455.759455261018</v>
      </c>
      <c r="L8" s="1" t="s">
        <v>90</v>
      </c>
      <c r="M8" s="1" t="s">
        <v>91</v>
      </c>
    </row>
    <row r="9" spans="1:16" x14ac:dyDescent="0.35">
      <c r="A9">
        <v>5</v>
      </c>
      <c r="B9">
        <v>199.0369199064171</v>
      </c>
      <c r="C9">
        <v>1422.4410395987859</v>
      </c>
      <c r="D9">
        <v>524.95735556226532</v>
      </c>
      <c r="E9">
        <v>1325.6359886972166</v>
      </c>
      <c r="F9">
        <v>954.46791920411874</v>
      </c>
      <c r="G9" s="13">
        <v>1113.5342305056624</v>
      </c>
      <c r="H9" s="13">
        <v>1325.6359886972166</v>
      </c>
      <c r="I9" s="18">
        <f t="shared" si="0"/>
        <v>6865.7094421716829</v>
      </c>
      <c r="L9" t="s">
        <v>93</v>
      </c>
      <c r="M9">
        <f>'Loan Manangement System'!C27</f>
        <v>70000</v>
      </c>
    </row>
    <row r="10" spans="1:16" x14ac:dyDescent="0.35">
      <c r="A10">
        <v>6</v>
      </c>
      <c r="B10">
        <v>182.47100187495002</v>
      </c>
      <c r="C10">
        <v>1362.9201701559996</v>
      </c>
      <c r="D10">
        <v>494.92408711724266</v>
      </c>
      <c r="E10">
        <v>1170.7310625873261</v>
      </c>
      <c r="F10">
        <v>899.86197657680498</v>
      </c>
      <c r="G10" s="13">
        <v>983.41409257335442</v>
      </c>
      <c r="H10" s="13">
        <v>1170.7310625873261</v>
      </c>
      <c r="I10" s="18">
        <f t="shared" si="0"/>
        <v>6265.0534534730041</v>
      </c>
      <c r="L10" t="s">
        <v>3</v>
      </c>
      <c r="M10">
        <f>'Loan Manangement System'!G23</f>
        <v>1265948</v>
      </c>
    </row>
    <row r="11" spans="1:16" x14ac:dyDescent="0.35">
      <c r="A11">
        <v>7</v>
      </c>
      <c r="B11">
        <v>165.61518027793224</v>
      </c>
      <c r="C11">
        <v>1302.3080847734291</v>
      </c>
      <c r="D11">
        <v>464.54043054036146</v>
      </c>
      <c r="E11">
        <v>1012.8571253936627</v>
      </c>
      <c r="F11">
        <v>844.61896461883907</v>
      </c>
      <c r="G11" s="13">
        <v>850.79998533067726</v>
      </c>
      <c r="H11" s="13">
        <v>1012.8571253936627</v>
      </c>
      <c r="I11" s="18">
        <f t="shared" si="0"/>
        <v>5653.5968963285641</v>
      </c>
      <c r="L11" t="s">
        <v>94</v>
      </c>
      <c r="M11">
        <f>P4</f>
        <v>16781.316641647758</v>
      </c>
    </row>
    <row r="12" spans="1:16" x14ac:dyDescent="0.35">
      <c r="A12">
        <v>8</v>
      </c>
      <c r="B12">
        <v>148.46438180296664</v>
      </c>
      <c r="C12">
        <v>1240.5847778255113</v>
      </c>
      <c r="D12">
        <v>433.80229797008332</v>
      </c>
      <c r="E12">
        <v>851.95727107045423</v>
      </c>
      <c r="F12">
        <v>788.73145085469707</v>
      </c>
      <c r="G12" s="13">
        <v>715.6441076991822</v>
      </c>
      <c r="H12" s="13">
        <v>851.95727107045423</v>
      </c>
      <c r="I12" s="18">
        <f t="shared" si="0"/>
        <v>5031.1415582933487</v>
      </c>
      <c r="L12" t="s">
        <v>95</v>
      </c>
      <c r="M12">
        <f>I29</f>
        <v>80538.125167200051</v>
      </c>
    </row>
    <row r="13" spans="1:16" x14ac:dyDescent="0.35">
      <c r="A13">
        <v>9</v>
      </c>
      <c r="B13">
        <v>131.01344435468917</v>
      </c>
      <c r="C13">
        <v>1177.7298769168815</v>
      </c>
      <c r="D13">
        <v>402.70555385315191</v>
      </c>
      <c r="E13">
        <v>687.97350287271752</v>
      </c>
      <c r="F13">
        <v>732.19191609663994</v>
      </c>
      <c r="G13" s="13">
        <v>577.89774241308328</v>
      </c>
      <c r="H13" s="13">
        <v>687.97350287271752</v>
      </c>
      <c r="I13" s="18">
        <f t="shared" si="0"/>
        <v>4397.4855393798807</v>
      </c>
      <c r="L13" s="20" t="s">
        <v>96</v>
      </c>
      <c r="M13" s="21">
        <f>SUM(M9:M12)</f>
        <v>1433267.4418088479</v>
      </c>
    </row>
    <row r="14" spans="1:16" x14ac:dyDescent="0.35">
      <c r="A14">
        <v>10</v>
      </c>
      <c r="B14">
        <v>113.25711550106682</v>
      </c>
      <c r="C14">
        <v>1113.7226361582605</v>
      </c>
      <c r="D14">
        <v>371.24601438818962</v>
      </c>
      <c r="E14">
        <v>520.8467124511908</v>
      </c>
      <c r="F14">
        <v>674.99275343307215</v>
      </c>
      <c r="G14" s="13">
        <v>437.51123845900088</v>
      </c>
      <c r="H14" s="13">
        <v>520.8467124511908</v>
      </c>
      <c r="I14" s="18">
        <f t="shared" si="0"/>
        <v>3752.4231828419715</v>
      </c>
    </row>
    <row r="15" spans="1:16" x14ac:dyDescent="0.35">
      <c r="A15">
        <v>11</v>
      </c>
      <c r="B15">
        <v>95.190050892506093</v>
      </c>
      <c r="C15">
        <v>1048.5419293190646</v>
      </c>
      <c r="D15">
        <v>339.41944696280279</v>
      </c>
      <c r="E15">
        <v>350.51665854658489</v>
      </c>
      <c r="F15">
        <v>617.12626720509604</v>
      </c>
      <c r="G15" s="13">
        <v>294.4339931791319</v>
      </c>
      <c r="H15" s="13">
        <v>350.51665854658489</v>
      </c>
      <c r="I15" s="18">
        <f t="shared" si="0"/>
        <v>3095.7450046517715</v>
      </c>
    </row>
    <row r="16" spans="1:16" x14ac:dyDescent="0.35">
      <c r="A16">
        <v>12</v>
      </c>
      <c r="B16">
        <v>76.806812653295552</v>
      </c>
      <c r="C16">
        <v>982.16624285448347</v>
      </c>
      <c r="D16">
        <v>307.22156958411978</v>
      </c>
      <c r="E16">
        <v>176.92194527547395</v>
      </c>
      <c r="F16">
        <v>558.58467197112702</v>
      </c>
      <c r="G16" s="13">
        <v>148.61443403139879</v>
      </c>
      <c r="H16" s="13">
        <v>176.92194527547395</v>
      </c>
      <c r="I16" s="18">
        <f t="shared" si="0"/>
        <v>2427.2376216453731</v>
      </c>
      <c r="L16" s="31" t="s">
        <v>99</v>
      </c>
      <c r="M16" s="32"/>
      <c r="N16" s="32"/>
      <c r="O16" s="32"/>
    </row>
    <row r="17" spans="1:15" x14ac:dyDescent="0.35">
      <c r="A17">
        <v>13</v>
      </c>
      <c r="B17">
        <v>58.101867744898819</v>
      </c>
      <c r="C17">
        <v>914.5736688047183</v>
      </c>
      <c r="D17">
        <v>274.64805030268548</v>
      </c>
      <c r="E17">
        <v>0</v>
      </c>
      <c r="F17">
        <v>499.3600914594283</v>
      </c>
      <c r="G17" s="13">
        <v>0</v>
      </c>
      <c r="H17" s="13">
        <v>0</v>
      </c>
      <c r="I17" s="18">
        <f t="shared" si="0"/>
        <v>1746.683678311731</v>
      </c>
      <c r="L17" s="1" t="s">
        <v>0</v>
      </c>
      <c r="M17" s="1" t="s">
        <v>3</v>
      </c>
      <c r="N17" s="1" t="s">
        <v>97</v>
      </c>
      <c r="O17" s="1" t="s">
        <v>98</v>
      </c>
    </row>
    <row r="18" spans="1:15" x14ac:dyDescent="0.35">
      <c r="A18">
        <v>14</v>
      </c>
      <c r="B18">
        <v>39.069586300605138</v>
      </c>
      <c r="C18">
        <v>845.74189756404076</v>
      </c>
      <c r="D18">
        <v>241.69450662963445</v>
      </c>
      <c r="E18">
        <v>0</v>
      </c>
      <c r="F18">
        <v>439.44455750842639</v>
      </c>
      <c r="G18" s="13">
        <v>0</v>
      </c>
      <c r="H18" s="13">
        <v>0</v>
      </c>
      <c r="I18" s="18">
        <f t="shared" si="0"/>
        <v>1565.9505480027067</v>
      </c>
      <c r="L18" t="s">
        <v>4</v>
      </c>
      <c r="M18">
        <v>36552</v>
      </c>
      <c r="N18" s="10">
        <f>($M18/$M$38)</f>
        <v>2.8873223860695699E-2</v>
      </c>
      <c r="O18">
        <f>$N18*$M$13</f>
        <v>41383.05169959351</v>
      </c>
    </row>
    <row r="19" spans="1:15" x14ac:dyDescent="0.35">
      <c r="A19">
        <v>15</v>
      </c>
      <c r="B19">
        <v>19.704239931036323</v>
      </c>
      <c r="C19">
        <v>775.64821051728416</v>
      </c>
      <c r="D19">
        <v>208.35650494706445</v>
      </c>
      <c r="E19">
        <v>0</v>
      </c>
      <c r="F19">
        <v>378.83000899466276</v>
      </c>
      <c r="G19" s="13">
        <v>0</v>
      </c>
      <c r="H19" s="13">
        <v>0</v>
      </c>
      <c r="I19" s="18">
        <f t="shared" si="0"/>
        <v>1382.5389643900476</v>
      </c>
      <c r="L19" t="s">
        <v>5</v>
      </c>
      <c r="M19">
        <v>104880</v>
      </c>
      <c r="N19" s="10">
        <f t="shared" ref="N19:N38" si="1">($M19/$M$38)</f>
        <v>8.2847004774287733E-2</v>
      </c>
      <c r="O19">
        <f t="shared" ref="O19:O37" si="2">$N19*$M$13</f>
        <v>118741.91459436879</v>
      </c>
    </row>
    <row r="20" spans="1:15" x14ac:dyDescent="0.35">
      <c r="A20">
        <v>16</v>
      </c>
      <c r="B20">
        <v>0</v>
      </c>
      <c r="C20">
        <v>704.269472541337</v>
      </c>
      <c r="D20">
        <v>174.62955991153117</v>
      </c>
      <c r="E20">
        <v>0</v>
      </c>
      <c r="F20">
        <v>317.50829074823861</v>
      </c>
      <c r="G20" s="13">
        <v>0</v>
      </c>
      <c r="H20" s="13">
        <v>0</v>
      </c>
      <c r="I20" s="18">
        <f t="shared" si="0"/>
        <v>1196.4073232011067</v>
      </c>
      <c r="L20" t="s">
        <v>6</v>
      </c>
      <c r="M20">
        <v>117120</v>
      </c>
      <c r="N20" s="10">
        <f t="shared" si="1"/>
        <v>9.2515648352065008E-2</v>
      </c>
      <c r="O20">
        <f t="shared" si="2"/>
        <v>132599.66664085118</v>
      </c>
    </row>
    <row r="21" spans="1:15" x14ac:dyDescent="0.35">
      <c r="A21">
        <v>17</v>
      </c>
      <c r="B21">
        <v>0</v>
      </c>
      <c r="C21">
        <v>631.58212436916415</v>
      </c>
      <c r="D21">
        <v>140.50913385058331</v>
      </c>
      <c r="E21">
        <v>0</v>
      </c>
      <c r="F21">
        <v>255.47115245560613</v>
      </c>
      <c r="G21" s="13">
        <v>0</v>
      </c>
      <c r="H21" s="13">
        <v>0</v>
      </c>
      <c r="I21" s="18">
        <f t="shared" si="0"/>
        <v>1027.5624106753537</v>
      </c>
      <c r="L21" t="s">
        <v>7</v>
      </c>
      <c r="M21">
        <v>87744</v>
      </c>
      <c r="N21" s="10">
        <f t="shared" si="1"/>
        <v>6.9310903765399529E-2</v>
      </c>
      <c r="O21">
        <f t="shared" si="2"/>
        <v>99341.061729293433</v>
      </c>
    </row>
    <row r="22" spans="1:15" x14ac:dyDescent="0.35">
      <c r="A22">
        <v>18</v>
      </c>
      <c r="B22">
        <v>0</v>
      </c>
      <c r="C22">
        <v>557.56217481383487</v>
      </c>
      <c r="D22">
        <v>105.99063615225776</v>
      </c>
      <c r="E22">
        <v>0</v>
      </c>
      <c r="F22">
        <v>192.71024754955963</v>
      </c>
      <c r="G22" s="13">
        <v>0</v>
      </c>
      <c r="H22" s="13">
        <v>0</v>
      </c>
      <c r="I22" s="18">
        <f t="shared" si="0"/>
        <v>856.26305851565235</v>
      </c>
      <c r="L22" t="s">
        <v>8</v>
      </c>
      <c r="M22">
        <v>67632</v>
      </c>
      <c r="N22" s="10">
        <f t="shared" si="1"/>
        <v>5.3423995298385082E-2</v>
      </c>
      <c r="O22">
        <f t="shared" si="2"/>
        <v>76570.873072524308</v>
      </c>
    </row>
    <row r="23" spans="1:15" x14ac:dyDescent="0.35">
      <c r="A23">
        <v>19</v>
      </c>
      <c r="B23">
        <v>0</v>
      </c>
      <c r="C23">
        <v>482.18519284999121</v>
      </c>
      <c r="D23">
        <v>71.069422647451731</v>
      </c>
      <c r="E23">
        <v>0</v>
      </c>
      <c r="F23">
        <v>129.21713208627594</v>
      </c>
      <c r="G23" s="13">
        <v>0</v>
      </c>
      <c r="H23" s="13">
        <v>0</v>
      </c>
      <c r="I23" s="18">
        <f t="shared" si="0"/>
        <v>682.47174758371887</v>
      </c>
      <c r="L23" t="s">
        <v>9</v>
      </c>
      <c r="M23">
        <v>68832</v>
      </c>
      <c r="N23" s="10">
        <f t="shared" si="1"/>
        <v>5.4371901531500504E-2</v>
      </c>
      <c r="O23">
        <f t="shared" si="2"/>
        <v>77929.476214336304</v>
      </c>
    </row>
    <row r="24" spans="1:15" x14ac:dyDescent="0.35">
      <c r="A24">
        <v>20</v>
      </c>
      <c r="B24">
        <v>0</v>
      </c>
      <c r="C24">
        <v>405.42629955014371</v>
      </c>
      <c r="D24">
        <v>35.740794985089636</v>
      </c>
      <c r="E24">
        <v>0</v>
      </c>
      <c r="F24">
        <v>64.983263609253953</v>
      </c>
      <c r="G24" s="13">
        <v>0</v>
      </c>
      <c r="H24" s="13">
        <v>0</v>
      </c>
      <c r="I24" s="18">
        <f t="shared" si="0"/>
        <v>506.15035814448731</v>
      </c>
      <c r="L24" t="s">
        <v>10</v>
      </c>
      <c r="M24">
        <v>86952</v>
      </c>
      <c r="N24" s="10">
        <f t="shared" si="1"/>
        <v>6.8685285651543346E-2</v>
      </c>
      <c r="O24">
        <f t="shared" si="2"/>
        <v>98444.3836556975</v>
      </c>
    </row>
    <row r="25" spans="1:15" x14ac:dyDescent="0.35">
      <c r="A25">
        <v>21</v>
      </c>
      <c r="B25">
        <v>0</v>
      </c>
      <c r="C25">
        <v>327.26015987313235</v>
      </c>
      <c r="D25">
        <v>0</v>
      </c>
      <c r="E25">
        <v>0</v>
      </c>
      <c r="F25">
        <v>0</v>
      </c>
      <c r="G25" s="13">
        <v>0</v>
      </c>
      <c r="H25" s="13">
        <v>0</v>
      </c>
      <c r="I25" s="18">
        <f t="shared" si="0"/>
        <v>327.26015987313235</v>
      </c>
      <c r="L25" t="s">
        <v>11</v>
      </c>
      <c r="M25">
        <v>61488</v>
      </c>
      <c r="N25" s="10">
        <f t="shared" si="1"/>
        <v>4.857071538483413E-2</v>
      </c>
      <c r="O25">
        <f t="shared" si="2"/>
        <v>69614.824986446867</v>
      </c>
    </row>
    <row r="26" spans="1:15" x14ac:dyDescent="0.35">
      <c r="A26">
        <v>22</v>
      </c>
      <c r="B26">
        <v>0</v>
      </c>
      <c r="C26">
        <v>247.66097430204243</v>
      </c>
      <c r="D26">
        <v>0</v>
      </c>
      <c r="E26">
        <v>0</v>
      </c>
      <c r="F26">
        <v>0</v>
      </c>
      <c r="G26" s="13">
        <v>0</v>
      </c>
      <c r="H26" s="13">
        <v>0</v>
      </c>
      <c r="I26" s="18">
        <f t="shared" si="0"/>
        <v>247.66097430204243</v>
      </c>
      <c r="L26" t="s">
        <v>12</v>
      </c>
      <c r="M26">
        <v>34968</v>
      </c>
      <c r="N26" s="10">
        <f t="shared" si="1"/>
        <v>2.7621987632983347E-2</v>
      </c>
      <c r="O26">
        <f t="shared" si="2"/>
        <v>39589.695552401674</v>
      </c>
    </row>
    <row r="27" spans="1:15" x14ac:dyDescent="0.35">
      <c r="A27">
        <v>23</v>
      </c>
      <c r="B27">
        <v>0</v>
      </c>
      <c r="C27">
        <v>166.60247032881588</v>
      </c>
      <c r="D27">
        <v>0</v>
      </c>
      <c r="E27">
        <v>0</v>
      </c>
      <c r="F27">
        <v>0</v>
      </c>
      <c r="G27" s="13">
        <v>0</v>
      </c>
      <c r="H27" s="13">
        <v>0</v>
      </c>
      <c r="I27" s="18">
        <f t="shared" si="0"/>
        <v>166.60247032881588</v>
      </c>
      <c r="L27" t="s">
        <v>13</v>
      </c>
      <c r="M27">
        <v>37320</v>
      </c>
      <c r="N27" s="10">
        <f t="shared" si="1"/>
        <v>2.947988384988957E-2</v>
      </c>
      <c r="O27">
        <f t="shared" si="2"/>
        <v>42252.557710353198</v>
      </c>
    </row>
    <row r="28" spans="1:15" x14ac:dyDescent="0.35">
      <c r="A28">
        <v>24</v>
      </c>
      <c r="B28">
        <v>0</v>
      </c>
      <c r="C28">
        <v>84.057893782746859</v>
      </c>
      <c r="D28">
        <v>0</v>
      </c>
      <c r="E28">
        <v>0</v>
      </c>
      <c r="F28">
        <v>0</v>
      </c>
      <c r="G28" s="13">
        <v>0</v>
      </c>
      <c r="H28" s="13">
        <v>0</v>
      </c>
      <c r="I28" s="18">
        <f t="shared" si="0"/>
        <v>84.057893782746859</v>
      </c>
      <c r="L28" t="s">
        <v>14</v>
      </c>
      <c r="M28">
        <v>39000</v>
      </c>
      <c r="N28" s="10">
        <f t="shared" si="1"/>
        <v>3.0806952576251156E-2</v>
      </c>
      <c r="O28">
        <f t="shared" si="2"/>
        <v>44154.602108889994</v>
      </c>
    </row>
    <row r="29" spans="1:15" x14ac:dyDescent="0.35">
      <c r="A29" s="14" t="s">
        <v>76</v>
      </c>
      <c r="B29" s="15">
        <f t="shared" ref="B29:H29" si="3">SUBTOTAL(9,B$5:B$28)</f>
        <v>2184.9121112823477</v>
      </c>
      <c r="C29" s="15">
        <f t="shared" si="3"/>
        <v>22056.814039109224</v>
      </c>
      <c r="D29" s="15">
        <f t="shared" si="3"/>
        <v>6984.7501598554918</v>
      </c>
      <c r="E29" s="15">
        <f t="shared" si="3"/>
        <v>12891.585602732805</v>
      </c>
      <c r="F29" s="15">
        <f t="shared" si="3"/>
        <v>12699.545745191803</v>
      </c>
      <c r="G29" s="15">
        <f t="shared" si="3"/>
        <v>10828.931906295558</v>
      </c>
      <c r="H29" s="15">
        <f t="shared" si="3"/>
        <v>12891.585602732805</v>
      </c>
      <c r="I29" s="15">
        <f>SUM(B29:H29)</f>
        <v>80538.125167200051</v>
      </c>
      <c r="L29" t="s">
        <v>15</v>
      </c>
      <c r="M29">
        <v>59760</v>
      </c>
      <c r="N29" s="10">
        <f t="shared" si="1"/>
        <v>4.7205730409147925E-2</v>
      </c>
      <c r="O29">
        <f t="shared" si="2"/>
        <v>67658.436462237587</v>
      </c>
    </row>
    <row r="30" spans="1:15" x14ac:dyDescent="0.35">
      <c r="L30" t="s">
        <v>16</v>
      </c>
      <c r="M30">
        <v>73920</v>
      </c>
      <c r="N30" s="10">
        <f t="shared" si="1"/>
        <v>5.8391023959909888E-2</v>
      </c>
      <c r="O30">
        <f t="shared" si="2"/>
        <v>83689.953535619192</v>
      </c>
    </row>
    <row r="31" spans="1:15" x14ac:dyDescent="0.35">
      <c r="L31" t="s">
        <v>17</v>
      </c>
      <c r="M31">
        <v>14280</v>
      </c>
      <c r="N31" s="10">
        <f t="shared" si="1"/>
        <v>1.1280084174073501E-2</v>
      </c>
      <c r="O31">
        <f t="shared" si="2"/>
        <v>16167.377387562799</v>
      </c>
    </row>
    <row r="32" spans="1:15" x14ac:dyDescent="0.35">
      <c r="L32" t="s">
        <v>18</v>
      </c>
      <c r="M32">
        <v>31040</v>
      </c>
      <c r="N32" s="10">
        <f t="shared" si="1"/>
        <v>2.4519174563252203E-2</v>
      </c>
      <c r="O32">
        <f t="shared" si="2"/>
        <v>35142.53460153706</v>
      </c>
    </row>
    <row r="33" spans="12:15" x14ac:dyDescent="0.35">
      <c r="L33" t="s">
        <v>19</v>
      </c>
      <c r="M33">
        <v>89760</v>
      </c>
      <c r="N33" s="10">
        <f t="shared" si="1"/>
        <v>7.0903386237033433E-2</v>
      </c>
      <c r="O33">
        <f t="shared" si="2"/>
        <v>101623.51500753759</v>
      </c>
    </row>
    <row r="34" spans="12:15" x14ac:dyDescent="0.35">
      <c r="L34" t="s">
        <v>20</v>
      </c>
      <c r="M34">
        <v>56160</v>
      </c>
      <c r="N34" s="10">
        <f t="shared" si="1"/>
        <v>4.4362011709801669E-2</v>
      </c>
      <c r="O34">
        <f t="shared" si="2"/>
        <v>63582.627036801598</v>
      </c>
    </row>
    <row r="35" spans="12:15" x14ac:dyDescent="0.35">
      <c r="L35" t="s">
        <v>21</v>
      </c>
      <c r="M35">
        <v>39760</v>
      </c>
      <c r="N35" s="10">
        <f t="shared" si="1"/>
        <v>3.1407293190557593E-2</v>
      </c>
      <c r="O35">
        <f t="shared" si="2"/>
        <v>45015.050765370928</v>
      </c>
    </row>
    <row r="36" spans="12:15" x14ac:dyDescent="0.35">
      <c r="L36" t="s">
        <v>22</v>
      </c>
      <c r="M36">
        <v>95400</v>
      </c>
      <c r="N36" s="10">
        <f t="shared" si="1"/>
        <v>7.5358545532675902E-2</v>
      </c>
      <c r="O36">
        <f t="shared" si="2"/>
        <v>108008.94977405398</v>
      </c>
    </row>
    <row r="37" spans="12:15" x14ac:dyDescent="0.35">
      <c r="L37" t="s">
        <v>23</v>
      </c>
      <c r="M37">
        <v>63380</v>
      </c>
      <c r="N37" s="10">
        <f t="shared" si="1"/>
        <v>5.0065247545712781E-2</v>
      </c>
      <c r="O37">
        <f t="shared" si="2"/>
        <v>71756.889273370456</v>
      </c>
    </row>
    <row r="38" spans="12:15" x14ac:dyDescent="0.35">
      <c r="L38" s="23" t="s">
        <v>76</v>
      </c>
      <c r="M38" s="22">
        <f>SUBTOTAL(9,M18:M37)</f>
        <v>1265948</v>
      </c>
      <c r="N38" s="24">
        <f t="shared" si="1"/>
        <v>1</v>
      </c>
      <c r="O38" s="22">
        <f>SUM(O18:O37)</f>
        <v>1433267.4418088477</v>
      </c>
    </row>
  </sheetData>
  <mergeCells count="6">
    <mergeCell ref="L16:O16"/>
    <mergeCell ref="A1:C1"/>
    <mergeCell ref="L1:P2"/>
    <mergeCell ref="A2:H2"/>
    <mergeCell ref="A3:H3"/>
    <mergeCell ref="L7:M7"/>
  </mergeCells>
  <phoneticPr fontId="2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7AD8DD-77B4-4A29-A310-2690FA4949C1}">
          <x14:formula1>
            <xm:f>'Loan Manangement System'!$A$3:$A$22</xm:f>
          </x14:formula1>
          <xm:sqref>B4:H4 L17:L37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 Manangement System</vt:lpstr>
      <vt:lpstr>Total Loan Interest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Konya Quinn</dc:creator>
  <cp:lastModifiedBy>habildaniel</cp:lastModifiedBy>
  <dcterms:created xsi:type="dcterms:W3CDTF">2024-07-30T08:01:15Z</dcterms:created>
  <dcterms:modified xsi:type="dcterms:W3CDTF">2024-08-02T10:33:42Z</dcterms:modified>
</cp:coreProperties>
</file>