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harts/chart2.xml" ContentType="application/vnd.openxmlformats-officedocument.drawingml.chart+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charts/chart6.xml" ContentType="application/vnd.openxmlformats-officedocument.drawingml.chart+xml"/>
  <Override PartName="/xl/theme/themeOverride1.xml" ContentType="application/vnd.openxmlformats-officedocument.themeOverride+xml"/>
  <Override PartName="/xl/charts/chart7.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omments8.xml" ContentType="application/vnd.openxmlformats-officedocument.spreadsheetml.comments+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2.xml" ContentType="application/vnd.openxmlformats-officedocument.themeOverride+xml"/>
  <Override PartName="/xl/charts/chart11.xml" ContentType="application/vnd.openxmlformats-officedocument.drawingml.chart+xml"/>
  <Override PartName="/xl/charts/style7.xml" ContentType="application/vnd.ms-office.chartstyle+xml"/>
  <Override PartName="/xl/charts/colors7.xml" ContentType="application/vnd.ms-office.chartcolorstyle+xml"/>
  <Override PartName="/xl/comments9.xml" ContentType="application/vnd.openxmlformats-officedocument.spreadsheetml.comments+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charts/chart13.xml" ContentType="application/vnd.openxmlformats-officedocument.drawingml.chart+xml"/>
  <Override PartName="/xl/charts/style9.xml" ContentType="application/vnd.ms-office.chartstyle+xml"/>
  <Override PartName="/xl/charts/colors9.xml" ContentType="application/vnd.ms-office.chartcolorstyle+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drawings/drawing7.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style10.xml" ContentType="application/vnd.ms-office.chartstyle+xml"/>
  <Override PartName="/xl/charts/colors10.xml" ContentType="application/vnd.ms-office.chartcolorstyle+xml"/>
  <Override PartName="/xl/charts/chart18.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3.xml" ContentType="application/vnd.openxmlformats-officedocument.themeOverride+xml"/>
  <Override PartName="/xl/charts/chart19.xml" ContentType="application/vnd.openxmlformats-officedocument.drawingml.chart+xml"/>
  <Override PartName="/xl/charts/style12.xml" ContentType="application/vnd.ms-office.chartstyle+xml"/>
  <Override PartName="/xl/charts/colors12.xml" ContentType="application/vnd.ms-office.chartcolorstyle+xml"/>
  <Override PartName="/xl/charts/chart20.xml" ContentType="application/vnd.openxmlformats-officedocument.drawingml.chart+xml"/>
  <Override PartName="/xl/charts/style13.xml" ContentType="application/vnd.ms-office.chartstyle+xml"/>
  <Override PartName="/xl/charts/colors13.xml" ContentType="application/vnd.ms-office.chartcolorstyle+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style14.xml" ContentType="application/vnd.ms-office.chartstyle+xml"/>
  <Override PartName="/xl/charts/colors14.xml" ContentType="application/vnd.ms-office.chartcolorstyle+xml"/>
  <Override PartName="/xl/charts/chart24.xml" ContentType="application/vnd.openxmlformats-officedocument.drawingml.chart+xml"/>
  <Override PartName="/xl/charts/style15.xml" ContentType="application/vnd.ms-office.chartstyle+xml"/>
  <Override PartName="/xl/charts/colors15.xml" ContentType="application/vnd.ms-office.chartcolorstyle+xml"/>
  <Override PartName="/xl/charts/chart25.xml" ContentType="application/vnd.openxmlformats-officedocument.drawingml.chart+xml"/>
  <Override PartName="/xl/charts/style16.xml" ContentType="application/vnd.ms-office.chartstyle+xml"/>
  <Override PartName="/xl/charts/colors16.xml" ContentType="application/vnd.ms-office.chartcolorstyle+xml"/>
  <Override PartName="/xl/charts/chart26.xml" ContentType="application/vnd.openxmlformats-officedocument.drawingml.chart+xml"/>
  <Override PartName="/xl/charts/style17.xml" ContentType="application/vnd.ms-office.chartstyle+xml"/>
  <Override PartName="/xl/charts/colors17.xml" ContentType="application/vnd.ms-office.chartcolorstyle+xml"/>
  <Override PartName="/xl/charts/chart27.xml" ContentType="application/vnd.openxmlformats-officedocument.drawingml.chart+xml"/>
  <Override PartName="/xl/charts/style18.xml" ContentType="application/vnd.ms-office.chartstyle+xml"/>
  <Override PartName="/xl/charts/colors18.xml" ContentType="application/vnd.ms-office.chartcolorstyle+xml"/>
  <Override PartName="/xl/charts/chart28.xml" ContentType="application/vnd.openxmlformats-officedocument.drawingml.chart+xml"/>
  <Override PartName="/xl/charts/style19.xml" ContentType="application/vnd.ms-office.chartstyle+xml"/>
  <Override PartName="/xl/charts/colors19.xml" ContentType="application/vnd.ms-office.chartcolorstyle+xml"/>
  <Override PartName="/xl/charts/chart29.xml" ContentType="application/vnd.openxmlformats-officedocument.drawingml.chart+xml"/>
  <Override PartName="/xl/charts/style20.xml" ContentType="application/vnd.ms-office.chartstyle+xml"/>
  <Override PartName="/xl/charts/colors20.xml" ContentType="application/vnd.ms-office.chartcolorstyle+xml"/>
  <Override PartName="/xl/charts/chart30.xml" ContentType="application/vnd.openxmlformats-officedocument.drawingml.chart+xml"/>
  <Override PartName="/xl/charts/style21.xml" ContentType="application/vnd.ms-office.chartstyle+xml"/>
  <Override PartName="/xl/charts/colors21.xml" ContentType="application/vnd.ms-office.chartcolorstyle+xml"/>
  <Override PartName="/xl/charts/chart31.xml" ContentType="application/vnd.openxmlformats-officedocument.drawingml.chart+xml"/>
  <Override PartName="/xl/charts/style22.xml" ContentType="application/vnd.ms-office.chartstyle+xml"/>
  <Override PartName="/xl/charts/colors22.xml" ContentType="application/vnd.ms-office.chartcolorstyle+xml"/>
  <Override PartName="/xl/charts/chart32.xml" ContentType="application/vnd.openxmlformats-officedocument.drawingml.chart+xml"/>
  <Override PartName="/xl/charts/style23.xml" ContentType="application/vnd.ms-office.chartstyle+xml"/>
  <Override PartName="/xl/charts/colors23.xml" ContentType="application/vnd.ms-office.chartcolorstyle+xml"/>
  <Override PartName="/xl/charts/chart33.xml" ContentType="application/vnd.openxmlformats-officedocument.drawingml.chart+xml"/>
  <Override PartName="/xl/charts/style24.xml" ContentType="application/vnd.ms-office.chartstyle+xml"/>
  <Override PartName="/xl/charts/colors24.xml" ContentType="application/vnd.ms-office.chartcolorstyle+xml"/>
  <Override PartName="/xl/charts/chart34.xml" ContentType="application/vnd.openxmlformats-officedocument.drawingml.chart+xml"/>
  <Override PartName="/xl/charts/style25.xml" ContentType="application/vnd.ms-office.chartstyle+xml"/>
  <Override PartName="/xl/charts/colors25.xml" ContentType="application/vnd.ms-office.chartcolorstyle+xml"/>
  <Override PartName="/xl/charts/chart35.xml" ContentType="application/vnd.openxmlformats-officedocument.drawingml.chart+xml"/>
  <Override PartName="/xl/charts/style26.xml" ContentType="application/vnd.ms-office.chartstyle+xml"/>
  <Override PartName="/xl/charts/colors26.xml" ContentType="application/vnd.ms-office.chartcolorstyle+xml"/>
  <Override PartName="/xl/charts/chart36.xml" ContentType="application/vnd.openxmlformats-officedocument.drawingml.chart+xml"/>
  <Override PartName="/xl/charts/style27.xml" ContentType="application/vnd.ms-office.chartstyle+xml"/>
  <Override PartName="/xl/charts/colors27.xml" ContentType="application/vnd.ms-office.chartcolorstyle+xml"/>
  <Override PartName="/xl/charts/chart37.xml" ContentType="application/vnd.openxmlformats-officedocument.drawingml.chart+xml"/>
  <Override PartName="/xl/charts/style28.xml" ContentType="application/vnd.ms-office.chartstyle+xml"/>
  <Override PartName="/xl/charts/colors28.xml" ContentType="application/vnd.ms-office.chartcolorstyle+xml"/>
  <Override PartName="/xl/charts/chart38.xml" ContentType="application/vnd.openxmlformats-officedocument.drawingml.chart+xml"/>
  <Override PartName="/xl/charts/style29.xml" ContentType="application/vnd.ms-office.chartstyle+xml"/>
  <Override PartName="/xl/charts/colors29.xml" ContentType="application/vnd.ms-office.chartcolorstyle+xml"/>
  <Override PartName="/xl/charts/chart39.xml" ContentType="application/vnd.openxmlformats-officedocument.drawingml.chart+xml"/>
  <Override PartName="/xl/charts/style30.xml" ContentType="application/vnd.ms-office.chartstyle+xml"/>
  <Override PartName="/xl/charts/colors30.xml" ContentType="application/vnd.ms-office.chartcolorstyle+xml"/>
  <Override PartName="/xl/charts/chart40.xml" ContentType="application/vnd.openxmlformats-officedocument.drawingml.chart+xml"/>
  <Override PartName="/xl/charts/style31.xml" ContentType="application/vnd.ms-office.chartstyle+xml"/>
  <Override PartName="/xl/charts/colors31.xml" ContentType="application/vnd.ms-office.chartcolorstyle+xml"/>
  <Override PartName="/xl/charts/chart41.xml" ContentType="application/vnd.openxmlformats-officedocument.drawingml.chart+xml"/>
  <Override PartName="/xl/charts/style32.xml" ContentType="application/vnd.ms-office.chartstyle+xml"/>
  <Override PartName="/xl/charts/colors32.xml" ContentType="application/vnd.ms-office.chartcolorstyle+xml"/>
  <Override PartName="/xl/charts/chart42.xml" ContentType="application/vnd.openxmlformats-officedocument.drawingml.chart+xml"/>
  <Override PartName="/xl/charts/style33.xml" ContentType="application/vnd.ms-office.chartstyle+xml"/>
  <Override PartName="/xl/charts/colors33.xml" ContentType="application/vnd.ms-office.chartcolorstyle+xml"/>
  <Override PartName="/xl/charts/chart43.xml" ContentType="application/vnd.openxmlformats-officedocument.drawingml.chart+xml"/>
  <Override PartName="/xl/charts/style34.xml" ContentType="application/vnd.ms-office.chartstyle+xml"/>
  <Override PartName="/xl/charts/colors34.xml" ContentType="application/vnd.ms-office.chartcolorstyle+xml"/>
  <Override PartName="/xl/charts/chart44.xml" ContentType="application/vnd.openxmlformats-officedocument.drawingml.chart+xml"/>
  <Override PartName="/xl/charts/style35.xml" ContentType="application/vnd.ms-office.chartstyle+xml"/>
  <Override PartName="/xl/charts/colors35.xml" ContentType="application/vnd.ms-office.chartcolorstyle+xml"/>
  <Override PartName="/xl/charts/chart45.xml" ContentType="application/vnd.openxmlformats-officedocument.drawingml.chart+xml"/>
  <Override PartName="/xl/charts/style36.xml" ContentType="application/vnd.ms-office.chartstyle+xml"/>
  <Override PartName="/xl/charts/colors36.xml" ContentType="application/vnd.ms-office.chartcolorstyle+xml"/>
  <Override PartName="/xl/charts/chart46.xml" ContentType="application/vnd.openxmlformats-officedocument.drawingml.chart+xml"/>
  <Override PartName="/xl/charts/style37.xml" ContentType="application/vnd.ms-office.chartstyle+xml"/>
  <Override PartName="/xl/charts/colors37.xml" ContentType="application/vnd.ms-office.chartcolorstyle+xml"/>
  <Override PartName="/xl/charts/chart47.xml" ContentType="application/vnd.openxmlformats-officedocument.drawingml.chart+xml"/>
  <Override PartName="/xl/charts/style38.xml" ContentType="application/vnd.ms-office.chartstyle+xml"/>
  <Override PartName="/xl/charts/colors38.xml" ContentType="application/vnd.ms-office.chartcolorstyle+xml"/>
  <Override PartName="/xl/charts/chart48.xml" ContentType="application/vnd.openxmlformats-officedocument.drawingml.chart+xml"/>
  <Override PartName="/xl/charts/style39.xml" ContentType="application/vnd.ms-office.chartstyle+xml"/>
  <Override PartName="/xl/charts/colors39.xml" ContentType="application/vnd.ms-office.chartcolorstyle+xml"/>
  <Override PartName="/xl/charts/chart49.xml" ContentType="application/vnd.openxmlformats-officedocument.drawingml.chart+xml"/>
  <Override PartName="/xl/charts/style40.xml" ContentType="application/vnd.ms-office.chartstyle+xml"/>
  <Override PartName="/xl/charts/colors40.xml" ContentType="application/vnd.ms-office.chartcolorstyle+xml"/>
  <Override PartName="/xl/comments18.xml" ContentType="application/vnd.openxmlformats-officedocument.spreadsheetml.comments+xml"/>
  <Override PartName="/xl/comments19.xml" ContentType="application/vnd.openxmlformats-officedocument.spreadsheetml.comments+xml"/>
  <Override PartName="/xl/drawings/drawing8.xml" ContentType="application/vnd.openxmlformats-officedocument.drawing+xml"/>
  <Override PartName="/xl/comments20.xml" ContentType="application/vnd.openxmlformats-officedocument.spreadsheetml.comments+xml"/>
  <Override PartName="/xl/charts/chart50.xml" ContentType="application/vnd.openxmlformats-officedocument.drawingml.chart+xml"/>
  <Override PartName="/xl/charts/style41.xml" ContentType="application/vnd.ms-office.chartstyle+xml"/>
  <Override PartName="/xl/charts/colors41.xml" ContentType="application/vnd.ms-office.chartcolorstyle+xml"/>
  <Override PartName="/xl/charts/chart51.xml" ContentType="application/vnd.openxmlformats-officedocument.drawingml.chart+xml"/>
  <Override PartName="/xl/charts/style42.xml" ContentType="application/vnd.ms-office.chartstyle+xml"/>
  <Override PartName="/xl/charts/colors42.xml" ContentType="application/vnd.ms-office.chartcolorstyle+xml"/>
  <Override PartName="/xl/charts/chart52.xml" ContentType="application/vnd.openxmlformats-officedocument.drawingml.chart+xml"/>
  <Override PartName="/xl/charts/style43.xml" ContentType="application/vnd.ms-office.chartstyle+xml"/>
  <Override PartName="/xl/charts/colors43.xml" ContentType="application/vnd.ms-office.chartcolorstyle+xml"/>
  <Override PartName="/xl/charts/chart53.xml" ContentType="application/vnd.openxmlformats-officedocument.drawingml.chart+xml"/>
  <Override PartName="/xl/charts/style44.xml" ContentType="application/vnd.ms-office.chartstyle+xml"/>
  <Override PartName="/xl/charts/colors44.xml" ContentType="application/vnd.ms-office.chartcolorstyle+xml"/>
  <Override PartName="/xl/charts/chart54.xml" ContentType="application/vnd.openxmlformats-officedocument.drawingml.chart+xml"/>
  <Override PartName="/xl/charts/style45.xml" ContentType="application/vnd.ms-office.chartstyle+xml"/>
  <Override PartName="/xl/charts/colors45.xml" ContentType="application/vnd.ms-office.chartcolorstyle+xml"/>
  <Override PartName="/xl/charts/chart55.xml" ContentType="application/vnd.openxmlformats-officedocument.drawingml.chart+xml"/>
  <Override PartName="/xl/charts/style46.xml" ContentType="application/vnd.ms-office.chartstyle+xml"/>
  <Override PartName="/xl/charts/colors46.xml" ContentType="application/vnd.ms-office.chartcolorstyle+xml"/>
  <Override PartName="/xl/charts/chart56.xml" ContentType="application/vnd.openxmlformats-officedocument.drawingml.chart+xml"/>
  <Override PartName="/xl/charts/style47.xml" ContentType="application/vnd.ms-office.chartstyle+xml"/>
  <Override PartName="/xl/charts/colors47.xml" ContentType="application/vnd.ms-office.chartcolorstyle+xml"/>
  <Override PartName="/xl/charts/chart57.xml" ContentType="application/vnd.openxmlformats-officedocument.drawingml.chart+xml"/>
  <Override PartName="/xl/charts/style48.xml" ContentType="application/vnd.ms-office.chartstyle+xml"/>
  <Override PartName="/xl/charts/colors48.xml" ContentType="application/vnd.ms-office.chartcolorstyle+xml"/>
  <Override PartName="/xl/charts/chart58.xml" ContentType="application/vnd.openxmlformats-officedocument.drawingml.chart+xml"/>
  <Override PartName="/xl/charts/style49.xml" ContentType="application/vnd.ms-office.chartstyle+xml"/>
  <Override PartName="/xl/charts/colors49.xml" ContentType="application/vnd.ms-office.chartcolorstyle+xml"/>
  <Override PartName="/xl/charts/chart59.xml" ContentType="application/vnd.openxmlformats-officedocument.drawingml.chart+xml"/>
  <Override PartName="/xl/charts/style50.xml" ContentType="application/vnd.ms-office.chartstyle+xml"/>
  <Override PartName="/xl/charts/colors50.xml" ContentType="application/vnd.ms-office.chartcolorstyle+xml"/>
  <Override PartName="/xl/charts/chart60.xml" ContentType="application/vnd.openxmlformats-officedocument.drawingml.chart+xml"/>
  <Override PartName="/xl/charts/style51.xml" ContentType="application/vnd.ms-office.chartstyle+xml"/>
  <Override PartName="/xl/charts/colors51.xml" ContentType="application/vnd.ms-office.chartcolorstyle+xml"/>
  <Override PartName="/xl/charts/chart61.xml" ContentType="application/vnd.openxmlformats-officedocument.drawingml.chart+xml"/>
  <Override PartName="/xl/charts/style52.xml" ContentType="application/vnd.ms-office.chartstyle+xml"/>
  <Override PartName="/xl/charts/colors52.xml" ContentType="application/vnd.ms-office.chartcolorstyle+xml"/>
  <Override PartName="/xl/charts/chart62.xml" ContentType="application/vnd.openxmlformats-officedocument.drawingml.chart+xml"/>
  <Override PartName="/xl/charts/style53.xml" ContentType="application/vnd.ms-office.chartstyle+xml"/>
  <Override PartName="/xl/charts/colors53.xml" ContentType="application/vnd.ms-office.chartcolorstyle+xml"/>
  <Override PartName="/xl/charts/chart63.xml" ContentType="application/vnd.openxmlformats-officedocument.drawingml.chart+xml"/>
  <Override PartName="/xl/charts/style54.xml" ContentType="application/vnd.ms-office.chartstyle+xml"/>
  <Override PartName="/xl/charts/colors5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24226"/>
  <mc:AlternateContent xmlns:mc="http://schemas.openxmlformats.org/markup-compatibility/2006">
    <mc:Choice Requires="x15">
      <x15ac:absPath xmlns:x15ac="http://schemas.microsoft.com/office/spreadsheetml/2010/11/ac" url="Z:\GROUP\REPORTING\ENVIRONMENTAL\Group reports\data base\2020 fY\"/>
    </mc:Choice>
  </mc:AlternateContent>
  <bookViews>
    <workbookView xWindow="0" yWindow="0" windowWidth="27630" windowHeight="13020" tabRatio="611" firstSheet="5" activeTab="10"/>
  </bookViews>
  <sheets>
    <sheet name="Sheet1" sheetId="23" r:id="rId1"/>
    <sheet name="Production" sheetId="14" r:id="rId2"/>
    <sheet name="Land Management" sheetId="2" r:id="rId3"/>
    <sheet name="Water Mangt" sheetId="3" r:id="rId4"/>
    <sheet name="Effluent" sheetId="4" r:id="rId5"/>
    <sheet name="Energy" sheetId="5" r:id="rId6"/>
    <sheet name="Materials" sheetId="6" r:id="rId7"/>
    <sheet name="Waste" sheetId="7" r:id="rId8"/>
    <sheet name="Incidents" sheetId="8" r:id="rId9"/>
    <sheet name="Biodiversity" sheetId="10" r:id="rId10"/>
    <sheet name="Ozone" sheetId="11" r:id="rId11"/>
    <sheet name="GHG " sheetId="9" r:id="rId12"/>
    <sheet name="bryanstonLondon" sheetId="27" r:id="rId13"/>
    <sheet name="company plane" sheetId="16" r:id="rId14"/>
    <sheet name="Employee commute" sheetId="18" r:id="rId15"/>
    <sheet name="Business travel" sheetId="19" r:id="rId16"/>
    <sheet name="SR 2020" sheetId="26" r:id="rId17"/>
    <sheet name="SR archived" sheetId="21" r:id="rId18"/>
    <sheet name="Graphs" sheetId="13" r:id="rId19"/>
    <sheet name="Carbon Tax" sheetId="22" r:id="rId20"/>
    <sheet name="SAGERS" sheetId="25" r:id="rId21"/>
    <sheet name="GHG Report" sheetId="24" r:id="rId22"/>
  </sheets>
  <externalReferences>
    <externalReference r:id="rId23"/>
    <externalReference r:id="rId24"/>
    <externalReference r:id="rId25"/>
    <externalReference r:id="rId26"/>
    <externalReference r:id="rId27"/>
    <externalReference r:id="rId28"/>
    <externalReference r:id="rId29"/>
    <externalReference r:id="rId30"/>
  </externalReferences>
  <definedNames>
    <definedName name="_ftn1" localSheetId="11">'GHG '!#REF!</definedName>
    <definedName name="_ftnref1" localSheetId="11">'GHG '!#REF!</definedName>
    <definedName name="_Toc464457546" localSheetId="18">Graphs!$D$221</definedName>
    <definedName name="_xlnm.Print_Area" localSheetId="0">Sheet1!$A$1:$P$18</definedName>
  </definedNames>
  <calcPr calcId="152511"/>
</workbook>
</file>

<file path=xl/calcChain.xml><?xml version="1.0" encoding="utf-8"?>
<calcChain xmlns="http://schemas.openxmlformats.org/spreadsheetml/2006/main">
  <c r="Y7" i="9" l="1"/>
  <c r="O126" i="9" l="1"/>
  <c r="G6" i="3" l="1"/>
  <c r="G13" i="5"/>
  <c r="G2" i="3"/>
  <c r="J4" i="16" l="1"/>
  <c r="D14" i="14" l="1"/>
  <c r="O6" i="5" l="1"/>
  <c r="E38" i="25" l="1"/>
  <c r="G34" i="25"/>
  <c r="W16" i="16"/>
  <c r="E34" i="25"/>
  <c r="M34" i="25" s="1"/>
  <c r="J34" i="25" l="1"/>
  <c r="Q39" i="25" l="1"/>
  <c r="Q40" i="25"/>
  <c r="Q41" i="25"/>
  <c r="Q42" i="25"/>
  <c r="Q43" i="25"/>
  <c r="Q44" i="25"/>
  <c r="Q45" i="25"/>
  <c r="Q46" i="25"/>
  <c r="Q47" i="25"/>
  <c r="Q48" i="25"/>
  <c r="Q49" i="25"/>
  <c r="Q50" i="25"/>
  <c r="Q38" i="25"/>
  <c r="M61" i="22" l="1"/>
  <c r="L66" i="22" s="1"/>
  <c r="M60" i="22"/>
  <c r="K66" i="22" s="1"/>
  <c r="M59" i="22"/>
  <c r="J66" i="22" s="1"/>
  <c r="V35" i="22"/>
  <c r="W35" i="22" s="1"/>
  <c r="R35" i="22"/>
  <c r="T35" i="22" s="1"/>
  <c r="K35" i="22"/>
  <c r="M35" i="22" s="1"/>
  <c r="V27" i="22"/>
  <c r="T27" i="22"/>
  <c r="R27" i="22"/>
  <c r="K27" i="22"/>
  <c r="M27" i="22" s="1"/>
  <c r="V26" i="22"/>
  <c r="R26" i="22"/>
  <c r="T26" i="22" s="1"/>
  <c r="K26" i="22"/>
  <c r="M26" i="22" s="1"/>
  <c r="W25" i="22"/>
  <c r="R25" i="22"/>
  <c r="T25" i="22" s="1"/>
  <c r="M25" i="22"/>
  <c r="K25" i="22"/>
  <c r="V24" i="22"/>
  <c r="W24" i="22" s="1"/>
  <c r="T24" i="22"/>
  <c r="R24" i="22"/>
  <c r="K24" i="22"/>
  <c r="M24" i="22" s="1"/>
  <c r="W23" i="22"/>
  <c r="R23" i="22"/>
  <c r="T23" i="22" s="1"/>
  <c r="K23" i="22"/>
  <c r="M23" i="22" s="1"/>
  <c r="V22" i="22"/>
  <c r="W22" i="22" s="1"/>
  <c r="L22" i="22" s="1"/>
  <c r="R22" i="22"/>
  <c r="T22" i="22" s="1"/>
  <c r="K22" i="22"/>
  <c r="M22" i="22" s="1"/>
  <c r="X14" i="22"/>
  <c r="M14" i="22"/>
  <c r="V13" i="22"/>
  <c r="M13" i="22"/>
  <c r="V12" i="22"/>
  <c r="M12" i="22"/>
  <c r="V11" i="22"/>
  <c r="M11" i="22"/>
  <c r="P7" i="22"/>
  <c r="Q6" i="22"/>
  <c r="R6" i="22" s="1"/>
  <c r="P6" i="22"/>
  <c r="Q5" i="22"/>
  <c r="R5" i="22" s="1"/>
  <c r="P5" i="22"/>
  <c r="G5" i="22" s="1"/>
  <c r="M5" i="22" s="1"/>
  <c r="Q4" i="22"/>
  <c r="Q7" i="22" s="1"/>
  <c r="P4" i="22"/>
  <c r="G6" i="22" l="1"/>
  <c r="H51" i="22"/>
  <c r="N51" i="22" s="1"/>
  <c r="E42" i="22"/>
  <c r="G4" i="22"/>
  <c r="M4" i="22" s="1"/>
  <c r="F45" i="22"/>
  <c r="E54" i="22"/>
  <c r="N54" i="22" s="1"/>
  <c r="E67" i="22" s="1"/>
  <c r="E69" i="22" s="1"/>
  <c r="J62" i="22" s="1"/>
  <c r="M62" i="22" s="1"/>
  <c r="M66" i="22" s="1"/>
  <c r="M69" i="22" s="1"/>
  <c r="H52" i="22"/>
  <c r="N52" i="22" s="1"/>
  <c r="E43" i="22"/>
  <c r="E44" i="22"/>
  <c r="H53" i="22"/>
  <c r="N53" i="22" s="1"/>
  <c r="R4" i="22"/>
  <c r="R7" i="22" s="1"/>
  <c r="G7" i="22" s="1"/>
  <c r="M7" i="22" s="1"/>
  <c r="Q116" i="24" l="1"/>
  <c r="B46" i="18" l="1"/>
  <c r="D45" i="18"/>
  <c r="D44" i="18"/>
  <c r="D43" i="18"/>
  <c r="D42" i="18"/>
  <c r="D46" i="18" s="1"/>
  <c r="E46" i="18" s="1"/>
  <c r="F46" i="18" s="1"/>
  <c r="D41" i="18"/>
  <c r="P18" i="5" l="1"/>
  <c r="I2" i="3" l="1"/>
  <c r="J2" i="3"/>
  <c r="K2" i="3"/>
  <c r="H2" i="3"/>
  <c r="S2" i="3"/>
  <c r="T2" i="3"/>
  <c r="U2" i="3"/>
  <c r="R2" i="3"/>
  <c r="C156" i="24" l="1"/>
  <c r="D156" i="24"/>
  <c r="E156" i="24"/>
  <c r="F156" i="24"/>
  <c r="B156" i="24"/>
  <c r="C155" i="24"/>
  <c r="D155" i="24"/>
  <c r="E155" i="24"/>
  <c r="G155" i="24" s="1"/>
  <c r="F155" i="24"/>
  <c r="B155" i="24"/>
  <c r="G156" i="24"/>
  <c r="G154" i="24"/>
  <c r="F154" i="24"/>
  <c r="E154" i="24"/>
  <c r="D154" i="24"/>
  <c r="C154" i="24"/>
  <c r="B154" i="24"/>
  <c r="G152" i="24"/>
  <c r="H149" i="24"/>
  <c r="H150" i="24"/>
  <c r="H151" i="24"/>
  <c r="H152" i="24"/>
  <c r="H148" i="24"/>
  <c r="F152" i="24"/>
  <c r="C152" i="24"/>
  <c r="D152" i="24"/>
  <c r="E152" i="24"/>
  <c r="B152" i="24"/>
  <c r="F192" i="26" l="1"/>
  <c r="G31" i="2" l="1"/>
  <c r="O127" i="26" l="1"/>
  <c r="P127" i="26"/>
  <c r="N127" i="26"/>
  <c r="O125" i="26"/>
  <c r="P125" i="26"/>
  <c r="N125" i="26"/>
  <c r="O123" i="26"/>
  <c r="P123" i="26"/>
  <c r="N123" i="26"/>
  <c r="C19" i="14" l="1"/>
  <c r="AV27" i="9" l="1"/>
  <c r="X251" i="9" l="1"/>
  <c r="X255" i="9"/>
  <c r="T255" i="9"/>
  <c r="V253" i="9"/>
  <c r="U253" i="9"/>
  <c r="U249" i="9"/>
  <c r="V249" i="9" s="1"/>
  <c r="Z247" i="9" l="1"/>
  <c r="Z245" i="9"/>
  <c r="Z246" i="9"/>
  <c r="Z244" i="9"/>
  <c r="AA247" i="9"/>
  <c r="AA240" i="9"/>
  <c r="Y245" i="9"/>
  <c r="X245" i="9"/>
  <c r="W249" i="9"/>
  <c r="W253" i="9"/>
  <c r="B103" i="24" l="1"/>
  <c r="B102" i="24"/>
  <c r="AC98" i="26" l="1"/>
  <c r="AD98" i="26" s="1"/>
  <c r="F141" i="24" l="1"/>
  <c r="F142" i="24"/>
  <c r="F140" i="24"/>
  <c r="Q90" i="26" l="1"/>
  <c r="P90" i="26"/>
  <c r="P93" i="26" s="1"/>
  <c r="P71" i="26" s="1"/>
  <c r="O90" i="26"/>
  <c r="O92" i="26" s="1"/>
  <c r="R85" i="26"/>
  <c r="N85" i="26"/>
  <c r="N88" i="26" s="1"/>
  <c r="N70" i="26" s="1"/>
  <c r="F53" i="2" l="1"/>
  <c r="F52" i="2"/>
  <c r="F51" i="2"/>
  <c r="G32" i="2"/>
  <c r="Q77" i="26" l="1"/>
  <c r="G42" i="6" l="1"/>
  <c r="L22" i="6"/>
  <c r="Q22" i="6"/>
  <c r="V22" i="6"/>
  <c r="G22" i="6"/>
  <c r="H213" i="13" l="1"/>
  <c r="D224" i="13" l="1"/>
  <c r="D225" i="13"/>
  <c r="D226" i="13"/>
  <c r="D227" i="13"/>
  <c r="C224" i="13"/>
  <c r="C225" i="13"/>
  <c r="C226" i="13"/>
  <c r="C227" i="13"/>
  <c r="D223" i="13"/>
  <c r="C223" i="13"/>
  <c r="E224" i="13"/>
  <c r="E225" i="13"/>
  <c r="E226" i="13"/>
  <c r="E227" i="13"/>
  <c r="E223" i="13"/>
  <c r="G74" i="7" l="1"/>
  <c r="G73" i="7"/>
  <c r="F73" i="7"/>
  <c r="E73" i="7"/>
  <c r="D73" i="7"/>
  <c r="C73" i="7"/>
  <c r="H40" i="7"/>
  <c r="Q8" i="6" l="1"/>
  <c r="G5" i="6"/>
  <c r="V18" i="5" l="1"/>
  <c r="G12" i="4"/>
  <c r="G11" i="4"/>
  <c r="U183" i="26" l="1"/>
  <c r="U184" i="26"/>
  <c r="U185" i="26"/>
  <c r="U186" i="26"/>
  <c r="U187" i="26"/>
  <c r="U188" i="26"/>
  <c r="U189" i="26"/>
  <c r="U190" i="26"/>
  <c r="U182" i="26"/>
  <c r="P183" i="26"/>
  <c r="P184" i="26"/>
  <c r="P185" i="26"/>
  <c r="P186" i="26"/>
  <c r="P187" i="26"/>
  <c r="P188" i="26"/>
  <c r="P189" i="26"/>
  <c r="P190" i="26"/>
  <c r="P182" i="26"/>
  <c r="J108" i="26" l="1"/>
  <c r="E108" i="26"/>
  <c r="J111" i="26"/>
  <c r="J109" i="26"/>
  <c r="K108" i="26"/>
  <c r="K109" i="26" s="1"/>
  <c r="K112" i="26" s="1"/>
  <c r="K113" i="26" s="1"/>
  <c r="M2" i="2"/>
  <c r="J112" i="26" l="1"/>
  <c r="J113" i="26" s="1"/>
  <c r="L41" i="2"/>
  <c r="L40" i="2"/>
  <c r="L39" i="2"/>
  <c r="L43" i="2" s="1"/>
  <c r="U38" i="26"/>
  <c r="T78" i="26"/>
  <c r="X62" i="26"/>
  <c r="V62" i="26"/>
  <c r="U62" i="26"/>
  <c r="T62" i="26"/>
  <c r="Z60" i="26"/>
  <c r="Z62" i="26" s="1"/>
  <c r="K166" i="26" l="1"/>
  <c r="P61" i="26"/>
  <c r="L61" i="26" s="1"/>
  <c r="K167" i="26"/>
  <c r="D167" i="26"/>
  <c r="E167" i="26"/>
  <c r="F167" i="26"/>
  <c r="G167" i="26"/>
  <c r="I167" i="26"/>
  <c r="J167" i="26"/>
  <c r="M61" i="26"/>
  <c r="Q76" i="26"/>
  <c r="M76" i="26"/>
  <c r="T254" i="9"/>
  <c r="T251" i="9"/>
  <c r="T250" i="9"/>
  <c r="T252" i="9" s="1"/>
  <c r="K61" i="26" l="1"/>
  <c r="O61" i="26"/>
  <c r="T256" i="9"/>
  <c r="E60" i="26" l="1"/>
  <c r="C60" i="26"/>
  <c r="Q60" i="26"/>
  <c r="F60" i="26"/>
  <c r="L31" i="3"/>
  <c r="C40" i="3"/>
  <c r="D60" i="26"/>
  <c r="G59" i="26"/>
  <c r="H59" i="26" s="1"/>
  <c r="B59" i="26"/>
  <c r="F58" i="26"/>
  <c r="E58" i="26"/>
  <c r="C58" i="26"/>
  <c r="G57" i="26"/>
  <c r="F57" i="26"/>
  <c r="E57" i="26"/>
  <c r="D57" i="26"/>
  <c r="C57" i="26"/>
  <c r="B57" i="26"/>
  <c r="F56" i="26"/>
  <c r="E56" i="26"/>
  <c r="D56" i="26"/>
  <c r="C56" i="26"/>
  <c r="F55" i="26"/>
  <c r="E55" i="26"/>
  <c r="D55" i="26"/>
  <c r="C55" i="26"/>
  <c r="B55" i="26"/>
  <c r="H57" i="26" l="1"/>
  <c r="C65" i="26" s="1"/>
  <c r="E8" i="26"/>
  <c r="F65" i="26" l="1"/>
  <c r="B65" i="26"/>
  <c r="D65" i="26"/>
  <c r="AB39" i="26"/>
  <c r="AC39" i="26" s="1"/>
  <c r="V39" i="26"/>
  <c r="W39" i="26" s="1"/>
  <c r="P39" i="26"/>
  <c r="Q39" i="26" s="1"/>
  <c r="J39" i="26"/>
  <c r="K39" i="26" s="1"/>
  <c r="D39" i="26"/>
  <c r="P112" i="26"/>
  <c r="Q112" i="26"/>
  <c r="R112" i="26"/>
  <c r="S112" i="26"/>
  <c r="T112" i="26"/>
  <c r="O112" i="26"/>
  <c r="U111" i="26"/>
  <c r="G65" i="26" l="1"/>
  <c r="F76" i="26"/>
  <c r="R152" i="26" l="1"/>
  <c r="M169" i="26"/>
  <c r="Q167" i="26"/>
  <c r="O167" i="26"/>
  <c r="M167" i="26"/>
  <c r="C167" i="26"/>
  <c r="H167" i="26" s="1"/>
  <c r="J166" i="26"/>
  <c r="I166" i="26"/>
  <c r="G166" i="26"/>
  <c r="E166" i="26"/>
  <c r="F166" i="26"/>
  <c r="O163" i="26"/>
  <c r="O160" i="26"/>
  <c r="O157" i="26"/>
  <c r="O154" i="26"/>
  <c r="M160" i="26"/>
  <c r="M157" i="26"/>
  <c r="M154" i="26"/>
  <c r="O166" i="26" l="1"/>
  <c r="E139" i="26"/>
  <c r="D139" i="26"/>
  <c r="E138" i="26"/>
  <c r="D138" i="26"/>
  <c r="C139" i="26"/>
  <c r="C138" i="26"/>
  <c r="J128" i="26" l="1"/>
  <c r="D131" i="26" l="1"/>
  <c r="D130" i="26"/>
  <c r="O139" i="26" l="1"/>
  <c r="N139" i="26"/>
  <c r="M139" i="26"/>
  <c r="L139" i="26"/>
  <c r="P139" i="26"/>
  <c r="G188" i="26" l="1"/>
  <c r="E187" i="26"/>
  <c r="D187" i="26"/>
  <c r="C187" i="26"/>
  <c r="D188" i="26" l="1"/>
  <c r="E76" i="26"/>
  <c r="D76" i="26"/>
  <c r="M148" i="26" l="1"/>
  <c r="M163" i="26"/>
  <c r="M166" i="26" s="1"/>
  <c r="M146" i="26" l="1"/>
  <c r="M149" i="26" l="1"/>
  <c r="M151" i="26"/>
  <c r="R148" i="26"/>
  <c r="Q163" i="26"/>
  <c r="E144" i="26" l="1"/>
  <c r="C166" i="26"/>
  <c r="D166" i="26"/>
  <c r="R155" i="26"/>
  <c r="R157" i="26"/>
  <c r="R158" i="26"/>
  <c r="R160" i="26"/>
  <c r="R161" i="26"/>
  <c r="R163" i="26"/>
  <c r="R164" i="26"/>
  <c r="R154" i="26"/>
  <c r="Q160" i="26"/>
  <c r="Q162" i="26" s="1"/>
  <c r="O162" i="26"/>
  <c r="Q157" i="26"/>
  <c r="Q154" i="26"/>
  <c r="Q156" i="26" s="1"/>
  <c r="Q149" i="26"/>
  <c r="O149" i="26"/>
  <c r="Q165" i="26"/>
  <c r="Q150" i="26"/>
  <c r="O165" i="26"/>
  <c r="O159" i="26"/>
  <c r="O156" i="26"/>
  <c r="O150" i="26"/>
  <c r="N149" i="26"/>
  <c r="P149" i="26"/>
  <c r="N150" i="26"/>
  <c r="P150" i="26"/>
  <c r="N156" i="26"/>
  <c r="P156" i="26"/>
  <c r="R156" i="26" s="1"/>
  <c r="N159" i="26"/>
  <c r="P159" i="26"/>
  <c r="N162" i="26"/>
  <c r="P162" i="26"/>
  <c r="N165" i="26"/>
  <c r="P165" i="26"/>
  <c r="I177" i="26"/>
  <c r="H177" i="26"/>
  <c r="G177" i="26"/>
  <c r="F177" i="26"/>
  <c r="E177" i="26"/>
  <c r="D177" i="26"/>
  <c r="C177" i="26"/>
  <c r="B177" i="26"/>
  <c r="G162" i="26"/>
  <c r="H165" i="26"/>
  <c r="H162" i="26"/>
  <c r="H159" i="26"/>
  <c r="H156" i="26"/>
  <c r="D165" i="26"/>
  <c r="E165" i="26"/>
  <c r="G165" i="26"/>
  <c r="I165" i="26"/>
  <c r="J165" i="26"/>
  <c r="K165" i="26"/>
  <c r="L165" i="26"/>
  <c r="M165" i="26"/>
  <c r="C165" i="26"/>
  <c r="D162" i="26"/>
  <c r="E162" i="26"/>
  <c r="F162" i="26"/>
  <c r="I162" i="26"/>
  <c r="J162" i="26"/>
  <c r="K162" i="26"/>
  <c r="L162" i="26"/>
  <c r="M162" i="26"/>
  <c r="C162" i="26"/>
  <c r="D159" i="26"/>
  <c r="E159" i="26"/>
  <c r="F159" i="26"/>
  <c r="G159" i="26"/>
  <c r="I159" i="26"/>
  <c r="J159" i="26"/>
  <c r="K159" i="26"/>
  <c r="L159" i="26"/>
  <c r="M159" i="26"/>
  <c r="C159" i="26"/>
  <c r="D156" i="26"/>
  <c r="E156" i="26"/>
  <c r="F156" i="26"/>
  <c r="G156" i="26"/>
  <c r="I156" i="26"/>
  <c r="J156" i="26"/>
  <c r="K156" i="26"/>
  <c r="L156" i="26"/>
  <c r="M156" i="26"/>
  <c r="C156" i="26"/>
  <c r="R159" i="26" l="1"/>
  <c r="Q166" i="26"/>
  <c r="R162" i="26"/>
  <c r="H166" i="26"/>
  <c r="R165" i="26"/>
  <c r="Q159" i="26"/>
  <c r="L7" i="7"/>
  <c r="G7" i="7"/>
  <c r="D150" i="26" l="1"/>
  <c r="E150" i="26"/>
  <c r="F150" i="26"/>
  <c r="G150" i="26"/>
  <c r="I150" i="26"/>
  <c r="J150" i="26"/>
  <c r="K150" i="26"/>
  <c r="L150" i="26"/>
  <c r="M150" i="26"/>
  <c r="C150" i="26"/>
  <c r="D149" i="26"/>
  <c r="E149" i="26"/>
  <c r="F149" i="26"/>
  <c r="G149" i="26"/>
  <c r="I149" i="26"/>
  <c r="J149" i="26"/>
  <c r="K149" i="26"/>
  <c r="L149" i="26"/>
  <c r="H148" i="26"/>
  <c r="H147" i="26"/>
  <c r="H150" i="26" s="1"/>
  <c r="G38" i="7" l="1"/>
  <c r="O40" i="7" l="1"/>
  <c r="Q37" i="7" l="1"/>
  <c r="AB20" i="26" l="1"/>
  <c r="E28" i="26" l="1"/>
  <c r="F107" i="26"/>
  <c r="E104" i="26"/>
  <c r="E105" i="26" s="1"/>
  <c r="D104" i="26"/>
  <c r="D105" i="26" s="1"/>
  <c r="C104" i="26"/>
  <c r="F102" i="26"/>
  <c r="F103" i="26" s="1"/>
  <c r="G108" i="26"/>
  <c r="G109" i="26" s="1"/>
  <c r="F108" i="26"/>
  <c r="F109" i="26" s="1"/>
  <c r="E109" i="26"/>
  <c r="D108" i="26"/>
  <c r="G104" i="26"/>
  <c r="G102" i="26"/>
  <c r="G103" i="26" s="1"/>
  <c r="D102" i="26"/>
  <c r="D103" i="26" s="1"/>
  <c r="C102" i="26"/>
  <c r="G100" i="26"/>
  <c r="G101" i="26" s="1"/>
  <c r="I88" i="26"/>
  <c r="H88" i="26"/>
  <c r="O104" i="26"/>
  <c r="P104" i="26"/>
  <c r="Q104" i="26"/>
  <c r="R104" i="26"/>
  <c r="S104" i="26"/>
  <c r="N104" i="26"/>
  <c r="O103" i="26"/>
  <c r="P103" i="26"/>
  <c r="Q103" i="26"/>
  <c r="R103" i="26"/>
  <c r="S103" i="26"/>
  <c r="N103" i="26"/>
  <c r="U40" i="26"/>
  <c r="O40" i="26"/>
  <c r="I40" i="26"/>
  <c r="C47" i="26"/>
  <c r="C46" i="26"/>
  <c r="C44" i="26"/>
  <c r="C40" i="26"/>
  <c r="AD84" i="26"/>
  <c r="AD89" i="26"/>
  <c r="AD83" i="26"/>
  <c r="AC90" i="26"/>
  <c r="AB90" i="26"/>
  <c r="AB93" i="26" s="1"/>
  <c r="AA90" i="26"/>
  <c r="AA92" i="26" s="1"/>
  <c r="Z90" i="26"/>
  <c r="Z92" i="26" s="1"/>
  <c r="Y90" i="26"/>
  <c r="Y93" i="26" s="1"/>
  <c r="X90" i="26"/>
  <c r="X93" i="26" s="1"/>
  <c r="AC85" i="26"/>
  <c r="AC88" i="26" s="1"/>
  <c r="AB85" i="26"/>
  <c r="AB88" i="26" s="1"/>
  <c r="AA85" i="26"/>
  <c r="AA87" i="26" s="1"/>
  <c r="Z85" i="26"/>
  <c r="Z87" i="26" s="1"/>
  <c r="Y85" i="26"/>
  <c r="Y88" i="26" s="1"/>
  <c r="X85" i="26"/>
  <c r="X88" i="26" s="1"/>
  <c r="AC93" i="26" l="1"/>
  <c r="AC91" i="26"/>
  <c r="C105" i="26"/>
  <c r="C103" i="26"/>
  <c r="D109" i="26"/>
  <c r="G110" i="26"/>
  <c r="AD90" i="26"/>
  <c r="AD85" i="26"/>
  <c r="AB87" i="26"/>
  <c r="Z86" i="26"/>
  <c r="Z88" i="26"/>
  <c r="Z91" i="26"/>
  <c r="X92" i="26"/>
  <c r="AB92" i="26"/>
  <c r="Z93" i="26"/>
  <c r="AA86" i="26"/>
  <c r="Y87" i="26"/>
  <c r="AC87" i="26"/>
  <c r="AA88" i="26"/>
  <c r="AA91" i="26"/>
  <c r="Y92" i="26"/>
  <c r="AC92" i="26"/>
  <c r="AA93" i="26"/>
  <c r="X87" i="26"/>
  <c r="X86" i="26"/>
  <c r="AB86" i="26"/>
  <c r="X91" i="26"/>
  <c r="AB91" i="26"/>
  <c r="Y86" i="26"/>
  <c r="AC86" i="26"/>
  <c r="Y91" i="26"/>
  <c r="T84" i="26"/>
  <c r="T89" i="26"/>
  <c r="T94" i="26"/>
  <c r="T83" i="26"/>
  <c r="O85" i="26"/>
  <c r="P85" i="26"/>
  <c r="P87" i="26" s="1"/>
  <c r="P97" i="26" s="1"/>
  <c r="Q85" i="26"/>
  <c r="R87" i="26"/>
  <c r="S85" i="26"/>
  <c r="N87" i="26"/>
  <c r="O99" i="26"/>
  <c r="P99" i="26"/>
  <c r="Q99" i="26"/>
  <c r="R90" i="26"/>
  <c r="R99" i="26" s="1"/>
  <c r="S90" i="26"/>
  <c r="N90" i="26"/>
  <c r="Y206" i="9"/>
  <c r="Q64" i="19"/>
  <c r="Q63" i="19"/>
  <c r="O63" i="19"/>
  <c r="P63" i="19"/>
  <c r="N63" i="19"/>
  <c r="M63" i="19"/>
  <c r="Q59" i="19"/>
  <c r="Q60" i="19"/>
  <c r="Q61" i="19"/>
  <c r="Q62" i="19"/>
  <c r="Q58" i="19"/>
  <c r="G63" i="19"/>
  <c r="H63" i="19"/>
  <c r="F63" i="19"/>
  <c r="M61" i="19"/>
  <c r="E64" i="19"/>
  <c r="S99" i="26" l="1"/>
  <c r="S92" i="26"/>
  <c r="T101" i="26"/>
  <c r="Q87" i="26"/>
  <c r="Q97" i="26" s="1"/>
  <c r="Q86" i="26"/>
  <c r="N99" i="26"/>
  <c r="N91" i="26"/>
  <c r="N100" i="26" s="1"/>
  <c r="T87" i="26"/>
  <c r="S88" i="26"/>
  <c r="R97" i="26"/>
  <c r="N97" i="26"/>
  <c r="S101" i="26"/>
  <c r="O101" i="26"/>
  <c r="AD87" i="26"/>
  <c r="S105" i="26"/>
  <c r="S95" i="26"/>
  <c r="O105" i="26"/>
  <c r="O95" i="26"/>
  <c r="S86" i="26"/>
  <c r="S96" i="26" s="1"/>
  <c r="R95" i="26"/>
  <c r="R105" i="26"/>
  <c r="T85" i="26"/>
  <c r="R86" i="26"/>
  <c r="R96" i="26" s="1"/>
  <c r="R88" i="26"/>
  <c r="R98" i="26" s="1"/>
  <c r="P91" i="26"/>
  <c r="P100" i="26" s="1"/>
  <c r="R92" i="26"/>
  <c r="N93" i="26"/>
  <c r="P102" i="26"/>
  <c r="S98" i="26"/>
  <c r="O88" i="26"/>
  <c r="Q91" i="26"/>
  <c r="Q93" i="26"/>
  <c r="Q105" i="26"/>
  <c r="Q95" i="26"/>
  <c r="Q96" i="26"/>
  <c r="S87" i="26"/>
  <c r="S97" i="26" s="1"/>
  <c r="O87" i="26"/>
  <c r="O97" i="26" s="1"/>
  <c r="Q88" i="26"/>
  <c r="S91" i="26"/>
  <c r="S100" i="26" s="1"/>
  <c r="O91" i="26"/>
  <c r="O100" i="26" s="1"/>
  <c r="Q92" i="26"/>
  <c r="Q101" i="26" s="1"/>
  <c r="S93" i="26"/>
  <c r="O93" i="26"/>
  <c r="AD86" i="26"/>
  <c r="O86" i="26"/>
  <c r="O96" i="26" s="1"/>
  <c r="AD88" i="26"/>
  <c r="N95" i="26"/>
  <c r="N105" i="26"/>
  <c r="P95" i="26"/>
  <c r="P105" i="26"/>
  <c r="T90" i="26"/>
  <c r="N86" i="26"/>
  <c r="N96" i="26" s="1"/>
  <c r="P86" i="26"/>
  <c r="P96" i="26" s="1"/>
  <c r="N98" i="26"/>
  <c r="P88" i="26"/>
  <c r="R91" i="26"/>
  <c r="R100" i="26" s="1"/>
  <c r="N92" i="26"/>
  <c r="N101" i="26" s="1"/>
  <c r="P92" i="26"/>
  <c r="P101" i="26" s="1"/>
  <c r="R93" i="26"/>
  <c r="F80" i="26"/>
  <c r="F81" i="26"/>
  <c r="F79" i="26"/>
  <c r="S102" i="26" l="1"/>
  <c r="C104" i="24"/>
  <c r="B104" i="24" s="1"/>
  <c r="T86" i="26"/>
  <c r="T95" i="26"/>
  <c r="T88" i="26"/>
  <c r="T103" i="26"/>
  <c r="T102" i="26"/>
  <c r="T104" i="26"/>
  <c r="Q102" i="26"/>
  <c r="Q71" i="26"/>
  <c r="Q98" i="26"/>
  <c r="Q70" i="26"/>
  <c r="O98" i="26"/>
  <c r="O70" i="26"/>
  <c r="R102" i="26"/>
  <c r="R70" i="26"/>
  <c r="R71" i="26"/>
  <c r="P98" i="26"/>
  <c r="P70" i="26"/>
  <c r="O102" i="26"/>
  <c r="O71" i="26"/>
  <c r="N102" i="26"/>
  <c r="N71" i="26"/>
  <c r="S71" i="26"/>
  <c r="S70" i="26"/>
  <c r="T93" i="26"/>
  <c r="T91" i="26"/>
  <c r="Q100" i="26"/>
  <c r="T92" i="26"/>
  <c r="R101" i="26"/>
  <c r="Y27" i="9"/>
  <c r="Y26" i="9"/>
  <c r="Z26" i="9"/>
  <c r="E93" i="26"/>
  <c r="E85" i="26"/>
  <c r="E87" i="26" s="1"/>
  <c r="G88" i="26"/>
  <c r="AC43" i="26"/>
  <c r="AC29" i="26"/>
  <c r="AC30" i="26"/>
  <c r="AC32" i="26"/>
  <c r="AC33" i="26"/>
  <c r="AC34" i="26"/>
  <c r="AC35" i="26"/>
  <c r="AC37" i="26"/>
  <c r="AC40" i="26"/>
  <c r="AC41" i="26"/>
  <c r="AC42" i="26"/>
  <c r="AC44" i="26"/>
  <c r="AC45" i="26"/>
  <c r="AC46" i="26"/>
  <c r="AC47" i="26"/>
  <c r="AC28" i="26"/>
  <c r="W43" i="26"/>
  <c r="W29" i="26"/>
  <c r="W30" i="26"/>
  <c r="W32" i="26"/>
  <c r="W33" i="26"/>
  <c r="W34" i="26"/>
  <c r="W35" i="26"/>
  <c r="W37" i="26"/>
  <c r="W38" i="26"/>
  <c r="W40" i="26"/>
  <c r="W41" i="26"/>
  <c r="W42" i="26"/>
  <c r="W44" i="26"/>
  <c r="W45" i="26"/>
  <c r="W46" i="26"/>
  <c r="W47" i="26"/>
  <c r="W28" i="26"/>
  <c r="Q43" i="26"/>
  <c r="K43" i="26"/>
  <c r="Q29" i="26"/>
  <c r="Q30" i="26"/>
  <c r="Q32" i="26"/>
  <c r="Q33" i="26"/>
  <c r="Q34" i="26"/>
  <c r="Q35" i="26"/>
  <c r="Q37" i="26"/>
  <c r="Q40" i="26"/>
  <c r="Q41" i="26"/>
  <c r="Q42" i="26"/>
  <c r="Q44" i="26"/>
  <c r="Q45" i="26"/>
  <c r="Q46" i="26"/>
  <c r="Q47" i="26"/>
  <c r="Q28" i="26"/>
  <c r="K28" i="26"/>
  <c r="E29" i="26"/>
  <c r="E30" i="26"/>
  <c r="E32" i="26"/>
  <c r="E33" i="26"/>
  <c r="E34" i="26"/>
  <c r="E35" i="26"/>
  <c r="E37" i="26"/>
  <c r="E42" i="26"/>
  <c r="E44" i="26"/>
  <c r="E46" i="26"/>
  <c r="E47" i="26"/>
  <c r="K29" i="26"/>
  <c r="K30" i="26"/>
  <c r="K32" i="26"/>
  <c r="K33" i="26"/>
  <c r="K34" i="26"/>
  <c r="K35" i="26"/>
  <c r="K37" i="26"/>
  <c r="K40" i="26"/>
  <c r="K41" i="26"/>
  <c r="K42" i="26"/>
  <c r="K44" i="26"/>
  <c r="K45" i="26"/>
  <c r="K46" i="26"/>
  <c r="K47" i="26"/>
  <c r="G10" i="7"/>
  <c r="AD31" i="26"/>
  <c r="AE31" i="26"/>
  <c r="AF31" i="26"/>
  <c r="AB31" i="26"/>
  <c r="AC31" i="26" s="1"/>
  <c r="X31" i="26"/>
  <c r="Y31" i="26"/>
  <c r="Z31" i="26"/>
  <c r="V31" i="26"/>
  <c r="W31" i="26" s="1"/>
  <c r="R31" i="26"/>
  <c r="S31" i="26"/>
  <c r="T31" i="26"/>
  <c r="P31" i="26"/>
  <c r="Q31" i="26" s="1"/>
  <c r="L31" i="26"/>
  <c r="M31" i="26"/>
  <c r="N31" i="26"/>
  <c r="E88" i="26" l="1"/>
  <c r="E86" i="26"/>
  <c r="J31" i="26"/>
  <c r="K31" i="26" s="1"/>
  <c r="F31" i="26"/>
  <c r="G31" i="26"/>
  <c r="H31" i="26"/>
  <c r="D31" i="26"/>
  <c r="E31" i="26" s="1"/>
  <c r="AA36" i="26"/>
  <c r="AC36" i="26" s="1"/>
  <c r="C36" i="26"/>
  <c r="E36" i="26" s="1"/>
  <c r="U36" i="26"/>
  <c r="W36" i="26" s="1"/>
  <c r="O36" i="26"/>
  <c r="Q36" i="26" s="1"/>
  <c r="I36" i="26"/>
  <c r="K36" i="26" s="1"/>
  <c r="X33" i="14" l="1"/>
  <c r="M22" i="26"/>
  <c r="L22" i="26"/>
  <c r="K22" i="26"/>
  <c r="J22" i="26"/>
  <c r="I22" i="26"/>
  <c r="H22" i="26"/>
  <c r="G22" i="26"/>
  <c r="F22" i="26"/>
  <c r="E22" i="26"/>
  <c r="D22" i="26"/>
  <c r="M19" i="26"/>
  <c r="L19" i="26"/>
  <c r="K19" i="26"/>
  <c r="J19" i="26"/>
  <c r="I19" i="26"/>
  <c r="H19" i="26"/>
  <c r="G19" i="26"/>
  <c r="F19" i="26"/>
  <c r="E19" i="26"/>
  <c r="D19" i="26"/>
  <c r="M15" i="26"/>
  <c r="L15" i="26"/>
  <c r="K15" i="26"/>
  <c r="J15" i="26"/>
  <c r="I15" i="26"/>
  <c r="H15" i="26"/>
  <c r="G15" i="26"/>
  <c r="F15" i="26"/>
  <c r="E15" i="26"/>
  <c r="D15" i="26"/>
  <c r="L11" i="26"/>
  <c r="K11" i="26"/>
  <c r="J11" i="26"/>
  <c r="H11" i="26"/>
  <c r="F11" i="26"/>
  <c r="D11" i="26"/>
  <c r="M9" i="26"/>
  <c r="M11" i="26" s="1"/>
  <c r="I9" i="26"/>
  <c r="I11" i="26" s="1"/>
  <c r="G9" i="26"/>
  <c r="G11" i="26" s="1"/>
  <c r="E9" i="26"/>
  <c r="E11" i="26" s="1"/>
  <c r="M8" i="26"/>
  <c r="L8" i="26"/>
  <c r="K8" i="26"/>
  <c r="J8" i="26"/>
  <c r="I8" i="26"/>
  <c r="H8" i="26"/>
  <c r="G8" i="26"/>
  <c r="D8" i="26"/>
  <c r="U45" i="3" l="1"/>
  <c r="T15" i="26"/>
  <c r="F23" i="5"/>
  <c r="U19" i="26" l="1"/>
  <c r="W19" i="26"/>
  <c r="Y19" i="26"/>
  <c r="AA19" i="26"/>
  <c r="S19" i="26"/>
  <c r="U15" i="26"/>
  <c r="W15" i="26"/>
  <c r="Y15" i="26"/>
  <c r="AA15" i="26"/>
  <c r="S15" i="26"/>
  <c r="Z11" i="26"/>
  <c r="X11" i="26"/>
  <c r="V11" i="26"/>
  <c r="T11" i="26"/>
  <c r="R11" i="26"/>
  <c r="Y11" i="26"/>
  <c r="U10" i="26"/>
  <c r="S10" i="26"/>
  <c r="AA9" i="26"/>
  <c r="AA11" i="26" s="1"/>
  <c r="W9" i="26"/>
  <c r="W11" i="26" s="1"/>
  <c r="U9" i="26"/>
  <c r="U11" i="26" s="1"/>
  <c r="S9" i="26"/>
  <c r="S11" i="26" l="1"/>
  <c r="D37" i="2"/>
  <c r="I68" i="7" l="1"/>
  <c r="I69" i="7"/>
  <c r="I67" i="7"/>
  <c r="I55" i="7"/>
  <c r="I56" i="7"/>
  <c r="I57" i="7"/>
  <c r="I58" i="7"/>
  <c r="I59" i="7"/>
  <c r="I61" i="7"/>
  <c r="I62" i="7"/>
  <c r="I63" i="7"/>
  <c r="I64" i="7"/>
  <c r="I54" i="7"/>
  <c r="I47" i="7"/>
  <c r="M74" i="7"/>
  <c r="M73" i="7"/>
  <c r="M68" i="7"/>
  <c r="M69" i="7"/>
  <c r="M70" i="7"/>
  <c r="M67" i="7"/>
  <c r="M55" i="7"/>
  <c r="M56" i="7"/>
  <c r="M57" i="7"/>
  <c r="M58" i="7"/>
  <c r="M59" i="7"/>
  <c r="M60" i="7"/>
  <c r="M61" i="7"/>
  <c r="M62" i="7"/>
  <c r="M63" i="7"/>
  <c r="M64" i="7"/>
  <c r="M65" i="7"/>
  <c r="M54" i="7"/>
  <c r="M48" i="7"/>
  <c r="M49" i="7"/>
  <c r="M51" i="7" s="1"/>
  <c r="M47" i="7"/>
  <c r="K74" i="7"/>
  <c r="K73" i="7"/>
  <c r="K70" i="7"/>
  <c r="K68" i="7"/>
  <c r="K69" i="7"/>
  <c r="K67" i="7"/>
  <c r="K55" i="7"/>
  <c r="K56" i="7"/>
  <c r="K57" i="7"/>
  <c r="K58" i="7"/>
  <c r="K59" i="7"/>
  <c r="K60" i="7"/>
  <c r="K61" i="7"/>
  <c r="K62" i="7"/>
  <c r="K63" i="7"/>
  <c r="K64" i="7"/>
  <c r="K65" i="7"/>
  <c r="K54" i="7"/>
  <c r="K48" i="7"/>
  <c r="K49" i="7"/>
  <c r="K47" i="7"/>
  <c r="L68" i="7"/>
  <c r="L69" i="7"/>
  <c r="L67" i="7"/>
  <c r="L55" i="7"/>
  <c r="L56" i="7"/>
  <c r="L57" i="7"/>
  <c r="L58" i="7"/>
  <c r="L59" i="7"/>
  <c r="L61" i="7"/>
  <c r="L62" i="7"/>
  <c r="L63" i="7"/>
  <c r="L64" i="7"/>
  <c r="L54" i="7"/>
  <c r="L47" i="7"/>
  <c r="J74" i="7"/>
  <c r="J73" i="7"/>
  <c r="J68" i="7"/>
  <c r="J69" i="7"/>
  <c r="J70" i="7"/>
  <c r="J67" i="7"/>
  <c r="J58" i="7"/>
  <c r="J59" i="7"/>
  <c r="J60" i="7"/>
  <c r="J61" i="7"/>
  <c r="J62" i="7"/>
  <c r="J63" i="7"/>
  <c r="J64" i="7"/>
  <c r="J65" i="7"/>
  <c r="K71" i="7" s="1"/>
  <c r="J57" i="7"/>
  <c r="J55" i="7"/>
  <c r="J54" i="7"/>
  <c r="J51" i="7"/>
  <c r="K51" i="7"/>
  <c r="J48" i="7"/>
  <c r="J49" i="7"/>
  <c r="J47" i="7"/>
  <c r="N74" i="7"/>
  <c r="N73" i="7"/>
  <c r="N70" i="7"/>
  <c r="N69" i="7"/>
  <c r="N68" i="7"/>
  <c r="N67" i="7"/>
  <c r="N55" i="7"/>
  <c r="N56" i="7"/>
  <c r="N57" i="7"/>
  <c r="N58" i="7"/>
  <c r="N59" i="7"/>
  <c r="N60" i="7"/>
  <c r="N61" i="7"/>
  <c r="N62" i="7"/>
  <c r="N63" i="7"/>
  <c r="N64" i="7"/>
  <c r="N65" i="7"/>
  <c r="N54" i="7"/>
  <c r="N48" i="7"/>
  <c r="N49" i="7"/>
  <c r="N47" i="7"/>
  <c r="J71" i="7"/>
  <c r="M71" i="7"/>
  <c r="Q42" i="5"/>
  <c r="R42" i="5"/>
  <c r="Q40" i="5"/>
  <c r="R40" i="5"/>
  <c r="N34" i="5"/>
  <c r="S33" i="5"/>
  <c r="S34" i="5"/>
  <c r="S35" i="5"/>
  <c r="S36" i="5"/>
  <c r="S37" i="5"/>
  <c r="S38" i="5"/>
  <c r="S32" i="5"/>
  <c r="R34" i="5"/>
  <c r="R35" i="5"/>
  <c r="R36" i="5"/>
  <c r="R37" i="5"/>
  <c r="Q34" i="5"/>
  <c r="Q35" i="5"/>
  <c r="Q36" i="5"/>
  <c r="Q38" i="5"/>
  <c r="Q32" i="5"/>
  <c r="S27" i="5"/>
  <c r="P34" i="5"/>
  <c r="P35" i="5"/>
  <c r="P36" i="5"/>
  <c r="P37" i="5"/>
  <c r="P38" i="5"/>
  <c r="P32" i="5"/>
  <c r="S28" i="5"/>
  <c r="O34" i="5"/>
  <c r="O37" i="5"/>
  <c r="O38" i="5"/>
  <c r="O32" i="5"/>
  <c r="R39" i="5"/>
  <c r="Q39" i="5"/>
  <c r="T33" i="5"/>
  <c r="T34" i="5"/>
  <c r="T35" i="5"/>
  <c r="T36" i="5"/>
  <c r="T37" i="5"/>
  <c r="T38" i="5"/>
  <c r="T32" i="5"/>
  <c r="T27" i="5"/>
  <c r="X39" i="5"/>
  <c r="U39" i="5"/>
  <c r="V39" i="5"/>
  <c r="W39" i="5"/>
  <c r="Q56" i="3"/>
  <c r="Q58" i="3"/>
  <c r="R58" i="3"/>
  <c r="Q54" i="3"/>
  <c r="Q53" i="3"/>
  <c r="R53" i="3"/>
  <c r="Q52" i="3"/>
  <c r="R52" i="3"/>
  <c r="Q51" i="3"/>
  <c r="Q50" i="3"/>
  <c r="R50" i="3"/>
  <c r="Q49" i="3"/>
  <c r="Q47" i="3"/>
  <c r="Q45" i="3"/>
  <c r="R46" i="3"/>
  <c r="Q46" i="3"/>
  <c r="P46" i="3"/>
  <c r="O46" i="3"/>
  <c r="R44" i="3"/>
  <c r="Q44" i="3"/>
  <c r="M36" i="3"/>
  <c r="M38" i="3"/>
  <c r="M39" i="3"/>
  <c r="M40" i="3"/>
  <c r="M41" i="3"/>
  <c r="AF6" i="3"/>
  <c r="S36" i="3"/>
  <c r="S37" i="3"/>
  <c r="S38" i="3"/>
  <c r="S39" i="3"/>
  <c r="S40" i="3"/>
  <c r="S41" i="3"/>
  <c r="S42" i="3"/>
  <c r="R36" i="3"/>
  <c r="R38" i="3"/>
  <c r="R39" i="3"/>
  <c r="R40" i="3"/>
  <c r="R41" i="3"/>
  <c r="Q35" i="3"/>
  <c r="Q36" i="3"/>
  <c r="Q37" i="3"/>
  <c r="Q38" i="3"/>
  <c r="Q39" i="3"/>
  <c r="Q40" i="3"/>
  <c r="Q41" i="3"/>
  <c r="Q42" i="3"/>
  <c r="Q34" i="3"/>
  <c r="P36" i="3"/>
  <c r="P38" i="3"/>
  <c r="P39" i="3"/>
  <c r="P40" i="3"/>
  <c r="P41" i="3"/>
  <c r="P34" i="3"/>
  <c r="O35" i="3"/>
  <c r="O36" i="3"/>
  <c r="O38" i="3"/>
  <c r="O39" i="3"/>
  <c r="O40" i="3"/>
  <c r="O41" i="3"/>
  <c r="Y35" i="3"/>
  <c r="Y36" i="3"/>
  <c r="Y37" i="3"/>
  <c r="Y38" i="3"/>
  <c r="Y39" i="3"/>
  <c r="Y40" i="3"/>
  <c r="Y41" i="3"/>
  <c r="Y42" i="3"/>
  <c r="Y34" i="3"/>
  <c r="X9" i="3"/>
  <c r="Y9" i="3"/>
  <c r="Z9" i="3"/>
  <c r="W9" i="3"/>
  <c r="AC6" i="14" l="1"/>
  <c r="AC11" i="14"/>
  <c r="AB6" i="14"/>
  <c r="AB7" i="14"/>
  <c r="AB8" i="14"/>
  <c r="AB9" i="14"/>
  <c r="AB10" i="14"/>
  <c r="AB11" i="14"/>
  <c r="AB5" i="14"/>
  <c r="AA6" i="14"/>
  <c r="AA7" i="14"/>
  <c r="AA8" i="14"/>
  <c r="AA9" i="14"/>
  <c r="AA10" i="14"/>
  <c r="AA11" i="14"/>
  <c r="AA5" i="14"/>
  <c r="Z6" i="14"/>
  <c r="Z8" i="14"/>
  <c r="Z9" i="14"/>
  <c r="Z10" i="14"/>
  <c r="Z11" i="14"/>
  <c r="Y6" i="14"/>
  <c r="Y8" i="14"/>
  <c r="Y9" i="14"/>
  <c r="Y10" i="14"/>
  <c r="Y11" i="14"/>
  <c r="AI11" i="14"/>
  <c r="AI10" i="14"/>
  <c r="AI9" i="14"/>
  <c r="AC9" i="14" s="1"/>
  <c r="AI8" i="14"/>
  <c r="AC8" i="14" s="1"/>
  <c r="AH7" i="14"/>
  <c r="AG7" i="14"/>
  <c r="AF7" i="14"/>
  <c r="AE7" i="14"/>
  <c r="AI6" i="14"/>
  <c r="AI5" i="14"/>
  <c r="AI7" i="14" s="1"/>
  <c r="V37" i="7" l="1"/>
  <c r="L15" i="2" l="1"/>
  <c r="Z11" i="6" l="1"/>
  <c r="Z5" i="5"/>
  <c r="AA4" i="27"/>
  <c r="Z13" i="3"/>
  <c r="Y13" i="3"/>
  <c r="X13" i="3"/>
  <c r="W13" i="3"/>
  <c r="Z15" i="5"/>
  <c r="Y15" i="5"/>
  <c r="X15" i="5"/>
  <c r="W15" i="5"/>
  <c r="Z11" i="5"/>
  <c r="Y5" i="5"/>
  <c r="X5" i="5"/>
  <c r="W5" i="5"/>
  <c r="Z13" i="5"/>
  <c r="Y13" i="5"/>
  <c r="X13" i="5"/>
  <c r="W13" i="5"/>
  <c r="Y14" i="27"/>
  <c r="X14" i="27"/>
  <c r="W14" i="27"/>
  <c r="Z14" i="27" s="1"/>
  <c r="U14" i="27"/>
  <c r="T14" i="27"/>
  <c r="S14" i="27"/>
  <c r="V14" i="27" s="1"/>
  <c r="Q14" i="27"/>
  <c r="P14" i="27"/>
  <c r="O14" i="27"/>
  <c r="R14" i="27" s="1"/>
  <c r="D14" i="27"/>
  <c r="C14" i="27"/>
  <c r="B14" i="27"/>
  <c r="N14" i="27" s="1"/>
  <c r="AA14" i="27" s="1"/>
  <c r="Z13" i="27"/>
  <c r="V13" i="27"/>
  <c r="R13" i="27"/>
  <c r="N13" i="27"/>
  <c r="AA13" i="27" s="1"/>
  <c r="Z12" i="27"/>
  <c r="V12" i="27"/>
  <c r="R12" i="27"/>
  <c r="N12" i="27"/>
  <c r="AA12" i="27" s="1"/>
  <c r="AA11" i="27"/>
  <c r="Y9" i="27"/>
  <c r="X9" i="27"/>
  <c r="W9" i="27"/>
  <c r="Z9" i="27" s="1"/>
  <c r="U9" i="27"/>
  <c r="T9" i="27"/>
  <c r="S9" i="27"/>
  <c r="V9" i="27" s="1"/>
  <c r="Q9" i="27"/>
  <c r="P9" i="27"/>
  <c r="O9" i="27"/>
  <c r="R9" i="27" s="1"/>
  <c r="C9" i="27"/>
  <c r="Y8" i="27"/>
  <c r="Z8" i="27" s="1"/>
  <c r="X8" i="27"/>
  <c r="W8" i="27"/>
  <c r="U8" i="27"/>
  <c r="V8" i="27" s="1"/>
  <c r="T8" i="27"/>
  <c r="S8" i="27"/>
  <c r="Q8" i="27"/>
  <c r="R8" i="27" s="1"/>
  <c r="P8" i="27"/>
  <c r="O8" i="27"/>
  <c r="Z7" i="27"/>
  <c r="V7" i="27"/>
  <c r="R7" i="27"/>
  <c r="D7" i="27"/>
  <c r="D9" i="27" s="1"/>
  <c r="C7" i="27"/>
  <c r="B7" i="27"/>
  <c r="B9" i="27" s="1"/>
  <c r="Z6" i="27"/>
  <c r="V6" i="27"/>
  <c r="R6" i="27"/>
  <c r="D6" i="27"/>
  <c r="N6" i="27" s="1"/>
  <c r="AA6" i="27" s="1"/>
  <c r="C6" i="27"/>
  <c r="C8" i="27" s="1"/>
  <c r="B6" i="27"/>
  <c r="B8" i="27" s="1"/>
  <c r="Z5" i="27"/>
  <c r="V5" i="27"/>
  <c r="R5" i="27"/>
  <c r="D5" i="27"/>
  <c r="N5" i="27" s="1"/>
  <c r="AA5" i="27" s="1"/>
  <c r="C5" i="27"/>
  <c r="B5" i="27"/>
  <c r="Z4" i="27"/>
  <c r="V4" i="27"/>
  <c r="R4" i="27"/>
  <c r="D4" i="27"/>
  <c r="N4" i="27" s="1"/>
  <c r="C4" i="27"/>
  <c r="B4" i="27"/>
  <c r="N8" i="27" l="1"/>
  <c r="AA8" i="27" s="1"/>
  <c r="N9" i="27"/>
  <c r="AA9" i="27" s="1"/>
  <c r="D8" i="27"/>
  <c r="N7" i="27"/>
  <c r="AA7" i="27" s="1"/>
  <c r="F8" i="3" l="1"/>
  <c r="V15" i="2" l="1"/>
  <c r="V14" i="2"/>
  <c r="F56" i="7" l="1"/>
  <c r="E56" i="7"/>
  <c r="D56" i="7"/>
  <c r="C56" i="7"/>
  <c r="V15" i="7"/>
  <c r="Q15" i="7"/>
  <c r="L15" i="7"/>
  <c r="G15" i="7"/>
  <c r="Q16" i="2"/>
  <c r="G56" i="7" l="1"/>
  <c r="F140" i="26" l="1"/>
  <c r="G139" i="26" l="1"/>
  <c r="D140" i="26"/>
  <c r="E140" i="26"/>
  <c r="C140" i="26"/>
  <c r="S71" i="5"/>
  <c r="Q71" i="5"/>
  <c r="P71" i="5"/>
  <c r="N71" i="5"/>
  <c r="M71" i="5"/>
  <c r="L71" i="5"/>
  <c r="K71" i="5"/>
  <c r="J71" i="5"/>
  <c r="H71" i="5"/>
  <c r="I71" i="5" s="1"/>
  <c r="G71" i="5"/>
  <c r="E71" i="5"/>
  <c r="F71" i="5" s="1"/>
  <c r="D71" i="5"/>
  <c r="R71" i="5" s="1"/>
  <c r="R70" i="5"/>
  <c r="L70" i="5"/>
  <c r="I70" i="5"/>
  <c r="F70" i="5"/>
  <c r="R69" i="5"/>
  <c r="L69" i="5"/>
  <c r="I69" i="5"/>
  <c r="F69" i="5"/>
  <c r="R68" i="5"/>
  <c r="L68" i="5"/>
  <c r="I68" i="5"/>
  <c r="F68" i="5"/>
  <c r="Q67" i="5"/>
  <c r="Q72" i="5" s="1"/>
  <c r="P67" i="5"/>
  <c r="N67" i="5"/>
  <c r="N72" i="5" s="1"/>
  <c r="M67" i="5"/>
  <c r="K67" i="5"/>
  <c r="L67" i="5" s="1"/>
  <c r="J67" i="5"/>
  <c r="H67" i="5"/>
  <c r="I67" i="5" s="1"/>
  <c r="G67" i="5"/>
  <c r="E67" i="5"/>
  <c r="S67" i="5" s="1"/>
  <c r="D67" i="5"/>
  <c r="R67" i="5" s="1"/>
  <c r="R66" i="5"/>
  <c r="L66" i="5"/>
  <c r="I66" i="5"/>
  <c r="F66" i="5"/>
  <c r="R65" i="5"/>
  <c r="L65" i="5"/>
  <c r="I65" i="5"/>
  <c r="F65" i="5"/>
  <c r="R64" i="5"/>
  <c r="L64" i="5"/>
  <c r="I64" i="5"/>
  <c r="F64" i="5"/>
  <c r="P63" i="5"/>
  <c r="M63" i="5"/>
  <c r="L63" i="5"/>
  <c r="K63" i="5"/>
  <c r="J63" i="5"/>
  <c r="I63" i="5"/>
  <c r="H63" i="5"/>
  <c r="G63" i="5"/>
  <c r="E63" i="5"/>
  <c r="S63" i="5" s="1"/>
  <c r="D63" i="5"/>
  <c r="R63" i="5" s="1"/>
  <c r="R62" i="5"/>
  <c r="L62" i="5"/>
  <c r="I62" i="5"/>
  <c r="F62" i="5"/>
  <c r="R61" i="5"/>
  <c r="L61" i="5"/>
  <c r="I61" i="5"/>
  <c r="F61" i="5"/>
  <c r="R60" i="5"/>
  <c r="L60" i="5"/>
  <c r="I60" i="5"/>
  <c r="F60" i="5"/>
  <c r="P59" i="5"/>
  <c r="P72" i="5" s="1"/>
  <c r="M59" i="5"/>
  <c r="M72" i="5" s="1"/>
  <c r="K59" i="5"/>
  <c r="K72" i="5" s="1"/>
  <c r="J59" i="5"/>
  <c r="J72" i="5" s="1"/>
  <c r="H59" i="5"/>
  <c r="H72" i="5" s="1"/>
  <c r="G59" i="5"/>
  <c r="G72" i="5" s="1"/>
  <c r="F59" i="5"/>
  <c r="E59" i="5"/>
  <c r="S59" i="5" s="1"/>
  <c r="D59" i="5"/>
  <c r="D72" i="5" s="1"/>
  <c r="R72" i="5" s="1"/>
  <c r="R58" i="5"/>
  <c r="L58" i="5"/>
  <c r="I58" i="5"/>
  <c r="F58" i="5"/>
  <c r="R57" i="5"/>
  <c r="L57" i="5"/>
  <c r="I57" i="5"/>
  <c r="F57" i="5"/>
  <c r="R56" i="5"/>
  <c r="L56" i="5"/>
  <c r="I56" i="5"/>
  <c r="F56" i="5"/>
  <c r="G138" i="26" l="1"/>
  <c r="G140" i="26" s="1"/>
  <c r="S72" i="5"/>
  <c r="T63" i="5"/>
  <c r="E72" i="5"/>
  <c r="F72" i="5" s="1"/>
  <c r="L59" i="5"/>
  <c r="F63" i="5"/>
  <c r="R59" i="5"/>
  <c r="T59" i="5" s="1"/>
  <c r="I59" i="5"/>
  <c r="F67" i="5"/>
  <c r="N43" i="2" l="1"/>
  <c r="N44" i="2" s="1"/>
  <c r="N46" i="2" s="1"/>
  <c r="M24" i="14" l="1"/>
  <c r="F15" i="14" l="1"/>
  <c r="F17" i="14"/>
  <c r="F18" i="14"/>
  <c r="F19" i="14"/>
  <c r="F14" i="14"/>
  <c r="F7" i="14" l="1"/>
  <c r="R59" i="19" l="1"/>
  <c r="R60" i="19"/>
  <c r="R62" i="19"/>
  <c r="R58" i="19"/>
  <c r="M59" i="19"/>
  <c r="M60" i="19"/>
  <c r="M62" i="19"/>
  <c r="M58" i="19"/>
  <c r="Q14" i="16" l="1"/>
  <c r="AA16" i="19" l="1"/>
  <c r="Z16" i="19"/>
  <c r="Z12" i="19"/>
  <c r="Z8" i="19" l="1"/>
  <c r="AC13" i="19" l="1"/>
  <c r="AB13" i="19"/>
  <c r="AA13" i="19"/>
  <c r="Z13" i="19"/>
  <c r="Z11" i="19"/>
  <c r="C53" i="19" l="1"/>
  <c r="O41" i="19"/>
  <c r="X32" i="19"/>
  <c r="X31" i="19"/>
  <c r="D46" i="19"/>
  <c r="D47" i="19"/>
  <c r="D48" i="19"/>
  <c r="D49" i="19"/>
  <c r="D50" i="19"/>
  <c r="D51" i="19"/>
  <c r="D45" i="19"/>
  <c r="P45" i="14" l="1"/>
  <c r="Q45" i="14"/>
  <c r="O50" i="5" l="1"/>
  <c r="P50" i="5" s="1"/>
  <c r="Q50" i="5" s="1"/>
  <c r="V39" i="2" l="1"/>
  <c r="V41" i="2"/>
  <c r="V42" i="2"/>
  <c r="V40" i="2"/>
  <c r="N24" i="2" l="1"/>
  <c r="I26" i="2"/>
  <c r="C24" i="2"/>
  <c r="N20" i="2"/>
  <c r="I20" i="2"/>
  <c r="H26" i="2" l="1"/>
  <c r="H27" i="2"/>
  <c r="B33" i="13" l="1"/>
  <c r="E17" i="14" l="1"/>
  <c r="F288" i="13" l="1"/>
  <c r="F289" i="13"/>
  <c r="F290" i="13"/>
  <c r="F291" i="13"/>
  <c r="F287" i="13"/>
  <c r="H11" i="19" l="1"/>
  <c r="I11" i="19"/>
  <c r="K11" i="19"/>
  <c r="L11" i="19"/>
  <c r="M11" i="19"/>
  <c r="N15" i="19"/>
  <c r="O11" i="19"/>
  <c r="P11" i="19"/>
  <c r="Q11" i="19"/>
  <c r="Q238" i="13" l="1"/>
  <c r="Q239" i="13"/>
  <c r="Q240" i="13"/>
  <c r="Q241" i="13"/>
  <c r="Q242" i="13"/>
  <c r="D62" i="7" l="1"/>
  <c r="E47" i="7"/>
  <c r="E32" i="5" l="1"/>
  <c r="E11" i="4"/>
  <c r="E35" i="3"/>
  <c r="E18" i="14" l="1"/>
  <c r="AD13" i="5" l="1"/>
  <c r="AD6" i="3"/>
  <c r="O24" i="7" l="1"/>
  <c r="AA11" i="6" l="1"/>
  <c r="Y213" i="9"/>
  <c r="W213" i="9"/>
  <c r="S213" i="9"/>
  <c r="O213" i="9"/>
  <c r="K213" i="9"/>
  <c r="F31" i="6" l="1"/>
  <c r="E31" i="6"/>
  <c r="F32" i="6"/>
  <c r="D31" i="6"/>
  <c r="C31" i="6"/>
  <c r="J31" i="14" l="1"/>
  <c r="M18" i="16" l="1"/>
  <c r="I59" i="25" l="1"/>
  <c r="E59" i="25"/>
  <c r="I58" i="25"/>
  <c r="E58" i="25"/>
  <c r="H54" i="25"/>
  <c r="G54" i="25"/>
  <c r="F54" i="25"/>
  <c r="D54" i="25"/>
  <c r="C54" i="25"/>
  <c r="B54" i="25"/>
  <c r="I53" i="25"/>
  <c r="E53" i="25"/>
  <c r="I52" i="25"/>
  <c r="E52" i="25"/>
  <c r="I51" i="25"/>
  <c r="E51" i="25"/>
  <c r="I50" i="25"/>
  <c r="E50" i="25"/>
  <c r="I49" i="25"/>
  <c r="E49" i="25"/>
  <c r="I48" i="25"/>
  <c r="I54" i="25" s="1"/>
  <c r="E48" i="25"/>
  <c r="E54" i="25" s="1"/>
  <c r="D38" i="25"/>
  <c r="G38" i="25" s="1"/>
  <c r="C38" i="25"/>
  <c r="W34" i="25"/>
  <c r="X34" i="25" s="1"/>
  <c r="S28" i="25"/>
  <c r="W25" i="25"/>
  <c r="X25" i="25" s="1"/>
  <c r="Y25" i="25" s="1"/>
  <c r="J25" i="25"/>
  <c r="G25" i="25"/>
  <c r="E25" i="25"/>
  <c r="M25" i="25" s="1"/>
  <c r="W24" i="25"/>
  <c r="X24" i="25" s="1"/>
  <c r="E24" i="25"/>
  <c r="X23" i="25"/>
  <c r="W23" i="25"/>
  <c r="Y23" i="25"/>
  <c r="S18" i="25"/>
  <c r="W15" i="25"/>
  <c r="X15" i="25" s="1"/>
  <c r="Y15" i="25" s="1"/>
  <c r="E15" i="25"/>
  <c r="M15" i="25" s="1"/>
  <c r="W14" i="25"/>
  <c r="X14" i="25" s="1"/>
  <c r="Y14" i="25"/>
  <c r="W13" i="25"/>
  <c r="X13" i="25" s="1"/>
  <c r="E13" i="25"/>
  <c r="S8" i="25"/>
  <c r="S6" i="25"/>
  <c r="W5" i="25"/>
  <c r="X5" i="25" s="1"/>
  <c r="Y5" i="25" s="1"/>
  <c r="E5" i="25"/>
  <c r="M5" i="25" s="1"/>
  <c r="AA4" i="25"/>
  <c r="W4" i="25"/>
  <c r="X4" i="25" s="1"/>
  <c r="E4" i="25"/>
  <c r="G4" i="25" s="1"/>
  <c r="X3" i="25"/>
  <c r="W3" i="25"/>
  <c r="Y3" i="25"/>
  <c r="Y9" i="25" l="1"/>
  <c r="Z9" i="25" s="1"/>
  <c r="AA9" i="25" s="1"/>
  <c r="G24" i="25"/>
  <c r="J24" i="25"/>
  <c r="M24" i="25"/>
  <c r="J4" i="25"/>
  <c r="M4" i="25"/>
  <c r="E14" i="25"/>
  <c r="Y34" i="25"/>
  <c r="Y35" i="25" s="1"/>
  <c r="Z35" i="25" s="1"/>
  <c r="AA35" i="25" s="1"/>
  <c r="S25" i="25"/>
  <c r="G13" i="25"/>
  <c r="M13" i="25"/>
  <c r="J13" i="25"/>
  <c r="Y4" i="25"/>
  <c r="Y24" i="25"/>
  <c r="Y29" i="25" s="1"/>
  <c r="Z29" i="25" s="1"/>
  <c r="AA29" i="25" s="1"/>
  <c r="E3" i="25"/>
  <c r="G5" i="25"/>
  <c r="G15" i="25"/>
  <c r="E23" i="25"/>
  <c r="Y13" i="25"/>
  <c r="Y19" i="25" s="1"/>
  <c r="Z19" i="25" s="1"/>
  <c r="AA19" i="25" s="1"/>
  <c r="J15" i="25"/>
  <c r="F38" i="25"/>
  <c r="J5" i="25"/>
  <c r="B93" i="24"/>
  <c r="B76" i="24"/>
  <c r="S13" i="25" l="1"/>
  <c r="S24" i="25"/>
  <c r="S4" i="25"/>
  <c r="S34" i="25"/>
  <c r="S35" i="25" s="1"/>
  <c r="U35" i="25" s="1"/>
  <c r="T35" i="25" s="1"/>
  <c r="M14" i="25"/>
  <c r="G14" i="25"/>
  <c r="J14" i="25"/>
  <c r="S15" i="25"/>
  <c r="S5" i="25"/>
  <c r="J23" i="25"/>
  <c r="M23" i="25"/>
  <c r="G23" i="25"/>
  <c r="J3" i="25"/>
  <c r="G3" i="25"/>
  <c r="M3" i="25"/>
  <c r="B97" i="24"/>
  <c r="B92" i="24"/>
  <c r="B75" i="24"/>
  <c r="T34" i="25" l="1"/>
  <c r="S3" i="25"/>
  <c r="S9" i="25" s="1"/>
  <c r="U9" i="25" s="1"/>
  <c r="T9" i="25" s="1"/>
  <c r="S14" i="25"/>
  <c r="S19" i="25" s="1"/>
  <c r="U19" i="25" s="1"/>
  <c r="T19" i="25" s="1"/>
  <c r="S23" i="25"/>
  <c r="S29" i="25" s="1"/>
  <c r="U29" i="25" s="1"/>
  <c r="T29" i="25" s="1"/>
  <c r="B67" i="24"/>
  <c r="B64" i="24"/>
  <c r="K40" i="9" l="1"/>
  <c r="K112" i="9"/>
  <c r="K15" i="9" l="1"/>
  <c r="X201" i="9"/>
  <c r="W161" i="9"/>
  <c r="S161" i="9"/>
  <c r="O161" i="9"/>
  <c r="K161" i="9"/>
  <c r="W125" i="9"/>
  <c r="S125" i="9"/>
  <c r="O125" i="9"/>
  <c r="K125" i="9"/>
  <c r="W89" i="9"/>
  <c r="S89" i="9"/>
  <c r="O89" i="9"/>
  <c r="K89" i="9"/>
  <c r="W53" i="9"/>
  <c r="S53" i="9"/>
  <c r="O53" i="9"/>
  <c r="K53" i="9"/>
  <c r="W14" i="9"/>
  <c r="O14" i="9"/>
  <c r="K14" i="9"/>
  <c r="W165" i="9"/>
  <c r="S165" i="9"/>
  <c r="O165" i="9"/>
  <c r="K165" i="9"/>
  <c r="W129" i="9"/>
  <c r="S129" i="9"/>
  <c r="O129" i="9"/>
  <c r="K129" i="9"/>
  <c r="W93" i="9"/>
  <c r="S93" i="9"/>
  <c r="O93" i="9"/>
  <c r="K93" i="9"/>
  <c r="W57" i="9"/>
  <c r="S57" i="9"/>
  <c r="X57" i="9" s="1"/>
  <c r="O57" i="9"/>
  <c r="K57" i="9"/>
  <c r="O18" i="9"/>
  <c r="K18" i="9"/>
  <c r="X161" i="9" l="1"/>
  <c r="X125" i="9"/>
  <c r="X53" i="9"/>
  <c r="X89" i="9"/>
  <c r="X129" i="9"/>
  <c r="X165" i="9"/>
  <c r="X93" i="9"/>
  <c r="W209" i="9"/>
  <c r="S209" i="9"/>
  <c r="N209" i="9"/>
  <c r="M209" i="9"/>
  <c r="L209" i="9"/>
  <c r="W171" i="9"/>
  <c r="S171" i="9"/>
  <c r="O171" i="9"/>
  <c r="K171" i="9"/>
  <c r="V135" i="9"/>
  <c r="U135" i="9"/>
  <c r="T135" i="9"/>
  <c r="R135" i="9"/>
  <c r="Q135" i="9"/>
  <c r="P135" i="9"/>
  <c r="N135" i="9"/>
  <c r="M135" i="9"/>
  <c r="L135" i="9"/>
  <c r="J135" i="9"/>
  <c r="I135" i="9"/>
  <c r="H135" i="9"/>
  <c r="V99" i="9"/>
  <c r="U99" i="9"/>
  <c r="T99" i="9"/>
  <c r="R99" i="9"/>
  <c r="Q99" i="9"/>
  <c r="P99" i="9"/>
  <c r="N99" i="9"/>
  <c r="M99" i="9"/>
  <c r="L99" i="9"/>
  <c r="J99" i="9"/>
  <c r="I99" i="9"/>
  <c r="H99" i="9"/>
  <c r="V63" i="9"/>
  <c r="U63" i="9"/>
  <c r="T63" i="9"/>
  <c r="R63" i="9"/>
  <c r="Q63" i="9"/>
  <c r="P63" i="9"/>
  <c r="N63" i="9"/>
  <c r="M63" i="9"/>
  <c r="L63" i="9"/>
  <c r="J63" i="9"/>
  <c r="I63" i="9"/>
  <c r="H63" i="9"/>
  <c r="V26" i="9"/>
  <c r="U26" i="9"/>
  <c r="T26" i="9"/>
  <c r="R26" i="9"/>
  <c r="Q26" i="9"/>
  <c r="P26" i="9"/>
  <c r="N26" i="9"/>
  <c r="M26" i="9"/>
  <c r="L26" i="9"/>
  <c r="J26" i="9"/>
  <c r="I26" i="9"/>
  <c r="H26" i="9"/>
  <c r="Z14" i="9" l="1"/>
  <c r="Z18" i="9"/>
  <c r="Y18" i="9"/>
  <c r="W63" i="9"/>
  <c r="O209" i="9"/>
  <c r="X209" i="9" s="1"/>
  <c r="K26" i="9"/>
  <c r="S63" i="9"/>
  <c r="X171" i="9"/>
  <c r="O135" i="9"/>
  <c r="W135" i="9"/>
  <c r="S135" i="9"/>
  <c r="K135" i="9"/>
  <c r="W99" i="9"/>
  <c r="S99" i="9"/>
  <c r="O99" i="9"/>
  <c r="K99" i="9"/>
  <c r="O63" i="9"/>
  <c r="K63" i="9"/>
  <c r="W26" i="9"/>
  <c r="S26" i="9"/>
  <c r="O26" i="9"/>
  <c r="L25" i="16"/>
  <c r="K22" i="16"/>
  <c r="X26" i="9" l="1"/>
  <c r="X63" i="9"/>
  <c r="X99" i="9"/>
  <c r="X135" i="9"/>
  <c r="W172" i="9"/>
  <c r="S172" i="9"/>
  <c r="O172" i="9"/>
  <c r="K172" i="9"/>
  <c r="W136" i="9"/>
  <c r="S136" i="9"/>
  <c r="O136" i="9"/>
  <c r="K136" i="9"/>
  <c r="W100" i="9"/>
  <c r="S100" i="9"/>
  <c r="O100" i="9"/>
  <c r="K100" i="9"/>
  <c r="W64" i="9"/>
  <c r="S64" i="9"/>
  <c r="O64" i="9"/>
  <c r="K64" i="9"/>
  <c r="U24" i="18"/>
  <c r="V24" i="18"/>
  <c r="W24" i="18"/>
  <c r="X24" i="18"/>
  <c r="T24" i="18"/>
  <c r="U22" i="18"/>
  <c r="V22" i="18"/>
  <c r="W22" i="18"/>
  <c r="X22" i="18"/>
  <c r="T22" i="18"/>
  <c r="X21" i="18"/>
  <c r="W21" i="18"/>
  <c r="V21" i="18"/>
  <c r="U21" i="18"/>
  <c r="T21" i="18"/>
  <c r="X20" i="18"/>
  <c r="W20" i="18"/>
  <c r="V20" i="18"/>
  <c r="U20" i="18"/>
  <c r="T20" i="18"/>
  <c r="X18" i="18"/>
  <c r="W18" i="18"/>
  <c r="V18" i="18"/>
  <c r="U18" i="18"/>
  <c r="T18" i="18"/>
  <c r="Y17" i="18"/>
  <c r="Y18" i="18"/>
  <c r="Y19" i="18"/>
  <c r="Y20" i="18"/>
  <c r="Y21" i="18"/>
  <c r="Y22" i="18"/>
  <c r="Y23" i="18"/>
  <c r="Y16" i="18"/>
  <c r="X16" i="18"/>
  <c r="W16" i="18"/>
  <c r="V16" i="18"/>
  <c r="U16" i="18"/>
  <c r="T16" i="18"/>
  <c r="Y33" i="18"/>
  <c r="X33" i="18"/>
  <c r="W33" i="18"/>
  <c r="V33" i="18"/>
  <c r="U33" i="18"/>
  <c r="T33" i="18"/>
  <c r="S33" i="18"/>
  <c r="R33" i="18"/>
  <c r="Q33" i="18"/>
  <c r="P33" i="18"/>
  <c r="O33" i="18"/>
  <c r="N33" i="18"/>
  <c r="M33" i="18"/>
  <c r="L33" i="18"/>
  <c r="K33" i="18"/>
  <c r="J33" i="18"/>
  <c r="I33" i="18"/>
  <c r="H33" i="18"/>
  <c r="G33" i="18"/>
  <c r="F33" i="18"/>
  <c r="Y32" i="18"/>
  <c r="X32" i="18"/>
  <c r="W32" i="18"/>
  <c r="V32" i="18"/>
  <c r="U32" i="18"/>
  <c r="T32" i="18"/>
  <c r="S32" i="18"/>
  <c r="R32" i="18"/>
  <c r="Q32" i="18"/>
  <c r="P32" i="18"/>
  <c r="O32" i="18"/>
  <c r="N32" i="18"/>
  <c r="M32" i="18"/>
  <c r="L32" i="18"/>
  <c r="K32" i="18"/>
  <c r="J32" i="18"/>
  <c r="I32" i="18"/>
  <c r="H32" i="18"/>
  <c r="G32" i="18"/>
  <c r="F32" i="18"/>
  <c r="Y30" i="18"/>
  <c r="Y34" i="18" s="1"/>
  <c r="X30" i="18"/>
  <c r="X34" i="18" s="1"/>
  <c r="W30" i="18"/>
  <c r="W34" i="18" s="1"/>
  <c r="V30" i="18"/>
  <c r="V34" i="18" s="1"/>
  <c r="U30" i="18"/>
  <c r="U34" i="18" s="1"/>
  <c r="T30" i="18"/>
  <c r="T34" i="18" s="1"/>
  <c r="S30" i="18"/>
  <c r="S34" i="18" s="1"/>
  <c r="R30" i="18"/>
  <c r="R34" i="18" s="1"/>
  <c r="Q30" i="18"/>
  <c r="Q34" i="18" s="1"/>
  <c r="P30" i="18"/>
  <c r="P34" i="18" s="1"/>
  <c r="O30" i="18"/>
  <c r="O34" i="18" s="1"/>
  <c r="N30" i="18"/>
  <c r="N34" i="18" s="1"/>
  <c r="M30" i="18"/>
  <c r="L30" i="18"/>
  <c r="K30" i="18"/>
  <c r="K34" i="18" s="1"/>
  <c r="J30" i="18"/>
  <c r="J34" i="18" s="1"/>
  <c r="I30" i="18"/>
  <c r="H30" i="18"/>
  <c r="G30" i="18"/>
  <c r="G34" i="18" s="1"/>
  <c r="F30" i="18"/>
  <c r="F34" i="18" s="1"/>
  <c r="O28" i="18"/>
  <c r="N28" i="18"/>
  <c r="M28" i="18"/>
  <c r="M34" i="18" s="1"/>
  <c r="L28" i="18"/>
  <c r="L34" i="18" s="1"/>
  <c r="K28" i="18"/>
  <c r="J28" i="18"/>
  <c r="I28" i="18"/>
  <c r="I34" i="18" s="1"/>
  <c r="H28" i="18"/>
  <c r="H34" i="18" s="1"/>
  <c r="G28" i="18"/>
  <c r="F28" i="18"/>
  <c r="I18" i="16" l="1"/>
  <c r="F39" i="16" l="1"/>
  <c r="J39" i="16"/>
  <c r="N39" i="16"/>
  <c r="S39" i="16"/>
  <c r="H59" i="19"/>
  <c r="H60" i="19"/>
  <c r="H62" i="19"/>
  <c r="H58" i="19"/>
  <c r="I58" i="19" l="1"/>
  <c r="I59" i="19"/>
  <c r="I60" i="19"/>
  <c r="I62" i="19"/>
  <c r="H53" i="16" l="1"/>
  <c r="G31" i="16"/>
  <c r="I17" i="16"/>
  <c r="H16" i="16"/>
  <c r="X66" i="9" l="1"/>
  <c r="D61" i="7" l="1"/>
  <c r="D27" i="5" l="1"/>
  <c r="D8" i="3"/>
  <c r="K184" i="9" l="1"/>
  <c r="F26" i="11"/>
  <c r="E26" i="11"/>
  <c r="S14" i="9" s="1"/>
  <c r="X14" i="9" s="1"/>
  <c r="D26" i="11"/>
  <c r="C26" i="11"/>
  <c r="AA5" i="11"/>
  <c r="AA12" i="11"/>
  <c r="V12" i="11"/>
  <c r="Q12" i="11"/>
  <c r="L12" i="11"/>
  <c r="X13" i="11"/>
  <c r="Y13" i="11"/>
  <c r="Z13" i="11"/>
  <c r="W13" i="11"/>
  <c r="S13" i="11"/>
  <c r="T13" i="11"/>
  <c r="U13" i="11"/>
  <c r="R13" i="11"/>
  <c r="N13" i="11"/>
  <c r="O13" i="11"/>
  <c r="P13" i="11"/>
  <c r="M13" i="11"/>
  <c r="I13" i="11"/>
  <c r="J13" i="11"/>
  <c r="K13" i="11"/>
  <c r="H13" i="11"/>
  <c r="C13" i="11"/>
  <c r="G26" i="11" l="1"/>
  <c r="Y14" i="9" s="1"/>
  <c r="Y89" i="9"/>
  <c r="D19" i="14"/>
  <c r="D13" i="11" l="1"/>
  <c r="N18" i="2" l="1"/>
  <c r="C20" i="2" l="1"/>
  <c r="U34" i="2"/>
  <c r="V31" i="2"/>
  <c r="V32" i="2"/>
  <c r="V28" i="2"/>
  <c r="X28" i="19"/>
  <c r="X29" i="19"/>
  <c r="X30" i="19"/>
  <c r="X27" i="19"/>
  <c r="E39" i="19"/>
  <c r="O30" i="19"/>
  <c r="O28" i="19"/>
  <c r="O29" i="19"/>
  <c r="O31" i="19"/>
  <c r="O32" i="19"/>
  <c r="O33" i="19"/>
  <c r="O34" i="19"/>
  <c r="O35" i="19"/>
  <c r="O36" i="19"/>
  <c r="O37" i="19"/>
  <c r="O38" i="19"/>
  <c r="O39" i="19"/>
  <c r="O40" i="19"/>
  <c r="O27" i="19"/>
  <c r="E28" i="19"/>
  <c r="E29" i="19"/>
  <c r="E30" i="19"/>
  <c r="E31" i="19"/>
  <c r="E32" i="19"/>
  <c r="E33" i="19"/>
  <c r="E34" i="19"/>
  <c r="E35" i="19"/>
  <c r="E36" i="19"/>
  <c r="E37" i="19"/>
  <c r="E38" i="19"/>
  <c r="E27" i="19"/>
  <c r="AG18" i="19" l="1"/>
  <c r="W33" i="19"/>
  <c r="W34" i="19"/>
  <c r="W35" i="19"/>
  <c r="W36" i="19"/>
  <c r="W37" i="19"/>
  <c r="W38" i="19"/>
  <c r="W39" i="19"/>
  <c r="W40" i="19"/>
  <c r="S28" i="19"/>
  <c r="S29" i="19"/>
  <c r="S30" i="19"/>
  <c r="S31" i="19"/>
  <c r="S32" i="19"/>
  <c r="S33" i="19"/>
  <c r="S34" i="19"/>
  <c r="S35" i="19"/>
  <c r="S27" i="19"/>
  <c r="AB5" i="19"/>
  <c r="AA5" i="19"/>
  <c r="AG44" i="19"/>
  <c r="AC6" i="19"/>
  <c r="AC7" i="19"/>
  <c r="AC9" i="19"/>
  <c r="AC10" i="19"/>
  <c r="AC11" i="19"/>
  <c r="AC14" i="19"/>
  <c r="AC15" i="19"/>
  <c r="AC17" i="19"/>
  <c r="AC18" i="19"/>
  <c r="AC19" i="19"/>
  <c r="AB6" i="19"/>
  <c r="AB7" i="19"/>
  <c r="AB9" i="19"/>
  <c r="AB10" i="19"/>
  <c r="AB11" i="19"/>
  <c r="AB14" i="19"/>
  <c r="AB15" i="19"/>
  <c r="AB17" i="19"/>
  <c r="AB18" i="19"/>
  <c r="AB19" i="19"/>
  <c r="AA6" i="19"/>
  <c r="AA7" i="19"/>
  <c r="AA9" i="19"/>
  <c r="AA11" i="19"/>
  <c r="AA14" i="19"/>
  <c r="AA15" i="19"/>
  <c r="AA17" i="19"/>
  <c r="AA18" i="19"/>
  <c r="AA19" i="19"/>
  <c r="Z9" i="19"/>
  <c r="Z10" i="19"/>
  <c r="Z14" i="19"/>
  <c r="Z15" i="19"/>
  <c r="Z17" i="19"/>
  <c r="Z18" i="19"/>
  <c r="Z19" i="19"/>
  <c r="Z5" i="19"/>
  <c r="Z6" i="19"/>
  <c r="Z7" i="19"/>
  <c r="G16" i="19"/>
  <c r="H16" i="19"/>
  <c r="I16" i="19"/>
  <c r="J16" i="19"/>
  <c r="K16" i="19"/>
  <c r="L16" i="19"/>
  <c r="M16" i="19"/>
  <c r="N16" i="19"/>
  <c r="S139" i="9" s="1"/>
  <c r="O16" i="19"/>
  <c r="P16" i="19"/>
  <c r="Q16" i="19"/>
  <c r="R16" i="19"/>
  <c r="S16" i="19"/>
  <c r="T16" i="19"/>
  <c r="AB16" i="19" s="1"/>
  <c r="U16" i="19"/>
  <c r="AC16" i="19" s="1"/>
  <c r="V16" i="19"/>
  <c r="W16" i="19"/>
  <c r="X16" i="19"/>
  <c r="Y16" i="19"/>
  <c r="G20" i="19"/>
  <c r="H20" i="19"/>
  <c r="I20" i="19"/>
  <c r="J20" i="19"/>
  <c r="J21" i="19" s="1"/>
  <c r="K20" i="19"/>
  <c r="L20" i="19"/>
  <c r="M20" i="19"/>
  <c r="N20" i="19"/>
  <c r="N21" i="19" s="1"/>
  <c r="O20" i="19"/>
  <c r="P20" i="19"/>
  <c r="Q20" i="19"/>
  <c r="R20" i="19"/>
  <c r="R21" i="19" s="1"/>
  <c r="S20" i="19"/>
  <c r="S21" i="19" s="1"/>
  <c r="T20" i="19"/>
  <c r="U20" i="19"/>
  <c r="V20" i="19"/>
  <c r="W20" i="19"/>
  <c r="X20" i="19"/>
  <c r="Y20" i="19"/>
  <c r="F20" i="19"/>
  <c r="F21" i="19" s="1"/>
  <c r="F16" i="19"/>
  <c r="G12" i="19"/>
  <c r="H12" i="19"/>
  <c r="I12" i="19"/>
  <c r="J12" i="19"/>
  <c r="K12" i="19"/>
  <c r="L12" i="19"/>
  <c r="M12" i="19"/>
  <c r="N12" i="19"/>
  <c r="O12" i="19"/>
  <c r="P12" i="19"/>
  <c r="Q12" i="19"/>
  <c r="R12" i="19"/>
  <c r="S12" i="19"/>
  <c r="T12" i="19"/>
  <c r="U12" i="19"/>
  <c r="V12" i="19"/>
  <c r="X12" i="19"/>
  <c r="Y12" i="19"/>
  <c r="F12" i="19"/>
  <c r="G8" i="19"/>
  <c r="H8" i="19"/>
  <c r="I8" i="19"/>
  <c r="J8" i="19"/>
  <c r="K8" i="19"/>
  <c r="L8" i="19"/>
  <c r="M8" i="19"/>
  <c r="N8" i="19"/>
  <c r="O8" i="19"/>
  <c r="P8" i="19"/>
  <c r="Q8" i="19"/>
  <c r="R8" i="19"/>
  <c r="S8" i="19"/>
  <c r="T8" i="19"/>
  <c r="U8" i="19"/>
  <c r="V8" i="19"/>
  <c r="W8" i="19"/>
  <c r="W12" i="19" s="1"/>
  <c r="X8" i="19"/>
  <c r="Y8" i="19"/>
  <c r="F8" i="19"/>
  <c r="O139" i="9" l="1"/>
  <c r="K139" i="9"/>
  <c r="AA12" i="19"/>
  <c r="K103" i="9"/>
  <c r="AA8" i="19"/>
  <c r="AC12" i="19"/>
  <c r="AB12" i="19"/>
  <c r="AC8" i="19"/>
  <c r="AB8" i="19"/>
  <c r="G21" i="19"/>
  <c r="W139" i="9"/>
  <c r="O21" i="19"/>
  <c r="K21" i="19"/>
  <c r="W103" i="9"/>
  <c r="AC20" i="19"/>
  <c r="H21" i="19"/>
  <c r="W67" i="9"/>
  <c r="W175" i="9"/>
  <c r="AB20" i="19"/>
  <c r="X21" i="19"/>
  <c r="AA20" i="19"/>
  <c r="W21" i="19"/>
  <c r="Z20" i="19"/>
  <c r="V21" i="19"/>
  <c r="W212" i="9"/>
  <c r="U21" i="19"/>
  <c r="T21" i="19"/>
  <c r="Q21" i="19"/>
  <c r="M21" i="19"/>
  <c r="S103" i="9"/>
  <c r="I21" i="19"/>
  <c r="S67" i="9"/>
  <c r="O175" i="9"/>
  <c r="K175" i="9"/>
  <c r="P21" i="19"/>
  <c r="L21" i="19"/>
  <c r="O67" i="9"/>
  <c r="S212" i="9"/>
  <c r="K67" i="9"/>
  <c r="S175" i="9"/>
  <c r="K212" i="9"/>
  <c r="AA10" i="19"/>
  <c r="O103" i="9"/>
  <c r="O212" i="9"/>
  <c r="Y21" i="19"/>
  <c r="AA21" i="19" l="1"/>
  <c r="AC21" i="19"/>
  <c r="AB21" i="19"/>
  <c r="Z21" i="19"/>
  <c r="W31" i="9"/>
  <c r="S31" i="9"/>
  <c r="K31" i="9"/>
  <c r="O31" i="9"/>
  <c r="AF6" i="9"/>
  <c r="AG6" i="9"/>
  <c r="AH6" i="9"/>
  <c r="AI6" i="9"/>
  <c r="AJ6" i="9"/>
  <c r="AJ8" i="9" s="1"/>
  <c r="AE6" i="9"/>
  <c r="J85" i="9" l="1"/>
  <c r="I85" i="9"/>
  <c r="H85" i="9"/>
  <c r="C27" i="5"/>
  <c r="L17" i="6" l="1"/>
  <c r="R11" i="5" l="1"/>
  <c r="V14" i="3"/>
  <c r="AG9" i="3" l="1"/>
  <c r="AB9" i="3"/>
  <c r="AA9" i="3"/>
  <c r="D155" i="13"/>
  <c r="D154" i="13"/>
  <c r="D153" i="13"/>
  <c r="E7" i="5" l="1"/>
  <c r="F7" i="5"/>
  <c r="G7" i="5"/>
  <c r="E17" i="3"/>
  <c r="F17" i="3"/>
  <c r="G17" i="3"/>
  <c r="D17" i="3"/>
  <c r="Q9" i="7" l="1"/>
  <c r="G50" i="7" s="1"/>
  <c r="P1" i="7"/>
  <c r="H11" i="5"/>
  <c r="W210" i="9" l="1"/>
  <c r="S210" i="9"/>
  <c r="O210" i="9"/>
  <c r="W173" i="9"/>
  <c r="W137" i="9"/>
  <c r="S137" i="9"/>
  <c r="O137" i="9"/>
  <c r="W101" i="9"/>
  <c r="O101" i="9"/>
  <c r="S101" i="9"/>
  <c r="K101" i="9"/>
  <c r="W65" i="9"/>
  <c r="S65" i="9"/>
  <c r="O65" i="9"/>
  <c r="W28" i="9"/>
  <c r="E59" i="19"/>
  <c r="E60" i="19"/>
  <c r="K137" i="9" s="1"/>
  <c r="E61" i="19"/>
  <c r="E62" i="19"/>
  <c r="K210" i="9" s="1"/>
  <c r="E58" i="19"/>
  <c r="K65" i="9" s="1"/>
  <c r="D63" i="19"/>
  <c r="C63" i="19"/>
  <c r="B63" i="19"/>
  <c r="E63" i="19" s="1"/>
  <c r="I63" i="19" l="1"/>
  <c r="O28" i="9" s="1"/>
  <c r="K173" i="9"/>
  <c r="K224" i="9" s="1"/>
  <c r="K28" i="9"/>
  <c r="E18" i="16"/>
  <c r="D23" i="16"/>
  <c r="C20" i="16"/>
  <c r="W179" i="9"/>
  <c r="S179" i="9"/>
  <c r="O179" i="9"/>
  <c r="K179" i="9"/>
  <c r="W184" i="9"/>
  <c r="S184" i="9"/>
  <c r="O184" i="9"/>
  <c r="W148" i="9"/>
  <c r="S148" i="9"/>
  <c r="O148" i="9"/>
  <c r="K148" i="9"/>
  <c r="W54" i="9"/>
  <c r="S54" i="9"/>
  <c r="O54" i="9"/>
  <c r="K54" i="9"/>
  <c r="W90" i="9"/>
  <c r="S90" i="9"/>
  <c r="O90" i="9"/>
  <c r="K90" i="9"/>
  <c r="W112" i="9"/>
  <c r="S112" i="9"/>
  <c r="O112" i="9"/>
  <c r="W76" i="9"/>
  <c r="S76" i="9"/>
  <c r="O76" i="9"/>
  <c r="K76" i="9"/>
  <c r="I61" i="19" l="1"/>
  <c r="S28" i="9"/>
  <c r="X184" i="9"/>
  <c r="X148" i="9"/>
  <c r="X112" i="9"/>
  <c r="X222" i="9"/>
  <c r="S173" i="9" l="1"/>
  <c r="O173" i="9"/>
  <c r="I64" i="19"/>
  <c r="R63" i="19"/>
  <c r="R61" i="19"/>
  <c r="R64" i="19" s="1"/>
  <c r="X76" i="9"/>
  <c r="S27" i="21"/>
  <c r="T29" i="21"/>
  <c r="U29" i="21"/>
  <c r="U31" i="21" s="1"/>
  <c r="V29" i="21"/>
  <c r="V36" i="21" s="1"/>
  <c r="W29" i="21"/>
  <c r="Y30" i="21"/>
  <c r="T31" i="21"/>
  <c r="T32" i="21" s="1"/>
  <c r="W31" i="21"/>
  <c r="W32" i="21" s="1"/>
  <c r="X31" i="21"/>
  <c r="X32" i="21" s="1"/>
  <c r="T33" i="21"/>
  <c r="W33" i="21"/>
  <c r="Y34" i="21"/>
  <c r="T36" i="21"/>
  <c r="T37" i="21" s="1"/>
  <c r="U36" i="21"/>
  <c r="U39" i="21" s="1"/>
  <c r="W36" i="21"/>
  <c r="X36" i="21"/>
  <c r="X37" i="21" s="1"/>
  <c r="W37" i="21"/>
  <c r="T38" i="21"/>
  <c r="W38" i="21"/>
  <c r="X38" i="21"/>
  <c r="W39" i="21"/>
  <c r="U33" i="21" l="1"/>
  <c r="U32" i="21"/>
  <c r="V38" i="21"/>
  <c r="V39" i="21"/>
  <c r="V37" i="21"/>
  <c r="X33" i="21"/>
  <c r="U37" i="21"/>
  <c r="V31" i="21"/>
  <c r="Y29" i="21"/>
  <c r="U38" i="21"/>
  <c r="X39" i="21"/>
  <c r="T39" i="21"/>
  <c r="M18" i="2"/>
  <c r="O18" i="2"/>
  <c r="P18" i="2"/>
  <c r="Q18" i="2"/>
  <c r="R18" i="2"/>
  <c r="S18" i="2"/>
  <c r="T18" i="2"/>
  <c r="U18" i="2"/>
  <c r="V18" i="2"/>
  <c r="D18" i="2"/>
  <c r="E18" i="2"/>
  <c r="F18" i="2"/>
  <c r="H18" i="2"/>
  <c r="I18" i="2"/>
  <c r="J18" i="2"/>
  <c r="K18" i="2"/>
  <c r="V33" i="21" l="1"/>
  <c r="V32" i="21"/>
  <c r="Y31" i="21"/>
  <c r="Y36" i="21"/>
  <c r="AA6" i="11"/>
  <c r="AA7" i="11"/>
  <c r="AA8" i="11"/>
  <c r="AA9" i="11"/>
  <c r="AA10" i="11"/>
  <c r="AA11" i="11"/>
  <c r="AA14" i="11"/>
  <c r="V6" i="11"/>
  <c r="V7" i="11"/>
  <c r="V8" i="11"/>
  <c r="V9" i="11"/>
  <c r="V10" i="11"/>
  <c r="V11" i="11"/>
  <c r="V14" i="11"/>
  <c r="Y184" i="9" s="1"/>
  <c r="Q6" i="11"/>
  <c r="Q7" i="11"/>
  <c r="Q8" i="11"/>
  <c r="Q10" i="11"/>
  <c r="Q11" i="11"/>
  <c r="Q14" i="11"/>
  <c r="L6" i="11"/>
  <c r="L7" i="11"/>
  <c r="L8" i="11"/>
  <c r="L9" i="11"/>
  <c r="L10" i="11"/>
  <c r="L11" i="11"/>
  <c r="L14" i="11"/>
  <c r="G6" i="11"/>
  <c r="G7" i="11"/>
  <c r="G8" i="11"/>
  <c r="G9" i="11"/>
  <c r="G10" i="11"/>
  <c r="G11" i="11"/>
  <c r="G14" i="11"/>
  <c r="V10" i="8"/>
  <c r="H77" i="7"/>
  <c r="H78" i="7"/>
  <c r="G77" i="7"/>
  <c r="G78" i="7"/>
  <c r="H76" i="7"/>
  <c r="G76" i="7"/>
  <c r="F74" i="7"/>
  <c r="E74" i="7"/>
  <c r="D74" i="7"/>
  <c r="C74" i="7"/>
  <c r="V33" i="7"/>
  <c r="V32" i="7"/>
  <c r="Q33" i="7"/>
  <c r="Q32" i="7"/>
  <c r="L33" i="7"/>
  <c r="L32" i="7"/>
  <c r="G33" i="7"/>
  <c r="G32" i="7"/>
  <c r="D35" i="6"/>
  <c r="C37" i="5"/>
  <c r="AA12" i="5"/>
  <c r="AA13" i="5"/>
  <c r="AF12" i="5"/>
  <c r="AF13" i="5"/>
  <c r="AF16" i="5"/>
  <c r="AA16" i="5"/>
  <c r="AA15" i="5"/>
  <c r="AG13" i="5"/>
  <c r="AH13" i="5"/>
  <c r="AJ13" i="5"/>
  <c r="AI13" i="5"/>
  <c r="AG12" i="5"/>
  <c r="N11" i="5"/>
  <c r="O11" i="5"/>
  <c r="P11" i="5"/>
  <c r="S11" i="5"/>
  <c r="T11" i="5"/>
  <c r="U11" i="5"/>
  <c r="W11" i="5"/>
  <c r="X11" i="5"/>
  <c r="Y11" i="5"/>
  <c r="AI11" i="5" s="1"/>
  <c r="AB11" i="5"/>
  <c r="AC11" i="5"/>
  <c r="AD11" i="5"/>
  <c r="AE11" i="5"/>
  <c r="D11" i="5"/>
  <c r="E11" i="5"/>
  <c r="F11" i="5"/>
  <c r="I11" i="5"/>
  <c r="O49" i="5" s="1"/>
  <c r="P49" i="5" s="1"/>
  <c r="Q49" i="5" s="1"/>
  <c r="Q51" i="5" s="1"/>
  <c r="Q52" i="5" s="1"/>
  <c r="J11" i="5"/>
  <c r="K11" i="5"/>
  <c r="M11" i="5"/>
  <c r="C11" i="5"/>
  <c r="Y39" i="21" l="1"/>
  <c r="Y37" i="21"/>
  <c r="Y38" i="21"/>
  <c r="Y33" i="21"/>
  <c r="Y32" i="21"/>
  <c r="AJ11" i="5"/>
  <c r="L11" i="5"/>
  <c r="AF11" i="5"/>
  <c r="AH11" i="5"/>
  <c r="Q11" i="5"/>
  <c r="AK12" i="5"/>
  <c r="G11" i="5"/>
  <c r="AA11" i="5"/>
  <c r="V11" i="5"/>
  <c r="AG11" i="5"/>
  <c r="F100" i="26" l="1"/>
  <c r="F101" i="26" s="1"/>
  <c r="R33" i="5"/>
  <c r="E100" i="26"/>
  <c r="E101" i="26" s="1"/>
  <c r="Q33" i="5"/>
  <c r="D100" i="26"/>
  <c r="D101" i="26" s="1"/>
  <c r="P33" i="5"/>
  <c r="C100" i="26"/>
  <c r="O33" i="5"/>
  <c r="G33" i="5"/>
  <c r="AK11" i="5"/>
  <c r="C45" i="2"/>
  <c r="C44" i="2" s="1"/>
  <c r="G44" i="2" s="1"/>
  <c r="R20" i="2"/>
  <c r="V20" i="2" s="1"/>
  <c r="M20" i="2"/>
  <c r="Q20" i="2" s="1"/>
  <c r="H20" i="2"/>
  <c r="D41" i="3"/>
  <c r="I41" i="3" s="1"/>
  <c r="E41" i="3"/>
  <c r="J41" i="3" s="1"/>
  <c r="F41" i="3"/>
  <c r="K41" i="3" s="1"/>
  <c r="C41" i="3"/>
  <c r="H41" i="3" s="1"/>
  <c r="D38" i="3"/>
  <c r="E38" i="3"/>
  <c r="F38" i="3"/>
  <c r="C38" i="3"/>
  <c r="AH6" i="3"/>
  <c r="AH20" i="3" s="1"/>
  <c r="AI6" i="3"/>
  <c r="AI20" i="3" s="1"/>
  <c r="AJ6" i="3"/>
  <c r="AJ20" i="3" s="1"/>
  <c r="AG6" i="3"/>
  <c r="AG20" i="3" s="1"/>
  <c r="AC8" i="3"/>
  <c r="AD8" i="3"/>
  <c r="AD9" i="3" s="1"/>
  <c r="AE8" i="3"/>
  <c r="AB8" i="3"/>
  <c r="AB13" i="3" s="1"/>
  <c r="X8" i="3"/>
  <c r="Y8" i="3"/>
  <c r="Z8" i="3"/>
  <c r="W8" i="3"/>
  <c r="W18" i="3"/>
  <c r="X18" i="3"/>
  <c r="Y18" i="3"/>
  <c r="Z18" i="3"/>
  <c r="AB18" i="3"/>
  <c r="AC18" i="3"/>
  <c r="AD18" i="3"/>
  <c r="AE18" i="3"/>
  <c r="AG18" i="3"/>
  <c r="AH18" i="3"/>
  <c r="AI18" i="3"/>
  <c r="AJ18" i="3"/>
  <c r="S13" i="3"/>
  <c r="S25" i="3" s="1"/>
  <c r="T13" i="3"/>
  <c r="T25" i="3" s="1"/>
  <c r="T27" i="3" s="1"/>
  <c r="U13" i="3"/>
  <c r="R13" i="3"/>
  <c r="R25" i="3" s="1"/>
  <c r="N13" i="3"/>
  <c r="O13" i="3"/>
  <c r="P13" i="3"/>
  <c r="P25" i="3" s="1"/>
  <c r="M13" i="3"/>
  <c r="I13" i="3"/>
  <c r="I25" i="3" s="1"/>
  <c r="J13" i="3"/>
  <c r="J25" i="3" s="1"/>
  <c r="K13" i="3"/>
  <c r="K25" i="3" s="1"/>
  <c r="H13" i="3"/>
  <c r="D13" i="3"/>
  <c r="D25" i="3" s="1"/>
  <c r="E13" i="3"/>
  <c r="E25" i="3" s="1"/>
  <c r="F13" i="3"/>
  <c r="F25" i="3" s="1"/>
  <c r="C13" i="3"/>
  <c r="C25" i="3" s="1"/>
  <c r="V12" i="3"/>
  <c r="Q12" i="3"/>
  <c r="L12" i="3"/>
  <c r="G12" i="3"/>
  <c r="V9" i="3"/>
  <c r="Q9" i="3"/>
  <c r="L9" i="3"/>
  <c r="G9" i="3"/>
  <c r="S8" i="3"/>
  <c r="D37" i="3" s="1"/>
  <c r="T8" i="3"/>
  <c r="U8" i="3"/>
  <c r="R8" i="3"/>
  <c r="N8" i="3"/>
  <c r="P8" i="3"/>
  <c r="M8" i="3"/>
  <c r="I8" i="3"/>
  <c r="J8" i="3"/>
  <c r="K8" i="3"/>
  <c r="H8" i="3"/>
  <c r="E8" i="3"/>
  <c r="C8" i="3"/>
  <c r="W20" i="3"/>
  <c r="X20" i="3"/>
  <c r="Y20" i="3"/>
  <c r="Z20" i="3"/>
  <c r="AB20" i="3"/>
  <c r="AC20" i="3"/>
  <c r="AD20" i="3"/>
  <c r="AE20" i="3"/>
  <c r="F110" i="26" l="1"/>
  <c r="E110" i="26"/>
  <c r="D110" i="26"/>
  <c r="C101" i="26"/>
  <c r="I100" i="26"/>
  <c r="AE13" i="3"/>
  <c r="AE9" i="3"/>
  <c r="AH8" i="3"/>
  <c r="AH9" i="3" s="1"/>
  <c r="AC13" i="3"/>
  <c r="AC9" i="3"/>
  <c r="AF9" i="3" s="1"/>
  <c r="AK9" i="3" s="1"/>
  <c r="AG8" i="3"/>
  <c r="G13" i="3"/>
  <c r="O25" i="3"/>
  <c r="G41" i="3"/>
  <c r="L41" i="3" s="1"/>
  <c r="N25" i="3"/>
  <c r="L13" i="3"/>
  <c r="H25" i="3"/>
  <c r="AJ13" i="3"/>
  <c r="AH13" i="3"/>
  <c r="Q13" i="3"/>
  <c r="M25" i="3"/>
  <c r="AA13" i="3"/>
  <c r="AG13" i="3"/>
  <c r="G38" i="3"/>
  <c r="AJ8" i="3"/>
  <c r="AJ9" i="3" s="1"/>
  <c r="AF8" i="3"/>
  <c r="U25" i="3"/>
  <c r="AD13" i="3"/>
  <c r="AI13" i="3" s="1"/>
  <c r="AI8" i="3"/>
  <c r="AI9" i="3" s="1"/>
  <c r="V6" i="3"/>
  <c r="V7" i="3"/>
  <c r="V10" i="3"/>
  <c r="V11" i="3"/>
  <c r="V5" i="3"/>
  <c r="R34" i="3" s="1"/>
  <c r="G55" i="26" l="1"/>
  <c r="H55" i="26" s="1"/>
  <c r="O42" i="3"/>
  <c r="O54" i="3" s="1"/>
  <c r="O56" i="3" s="1"/>
  <c r="G25" i="3"/>
  <c r="B58" i="26"/>
  <c r="R35" i="3"/>
  <c r="R49" i="3" s="1"/>
  <c r="G56" i="26"/>
  <c r="H56" i="26" s="1"/>
  <c r="P42" i="3"/>
  <c r="P54" i="3" s="1"/>
  <c r="P56" i="3" s="1"/>
  <c r="I101" i="26"/>
  <c r="AF13" i="3"/>
  <c r="AK13" i="3" s="1"/>
  <c r="L38" i="3"/>
  <c r="J20" i="2"/>
  <c r="K20" i="2"/>
  <c r="L20" i="2"/>
  <c r="J32" i="14"/>
  <c r="J33" i="14"/>
  <c r="J34" i="14"/>
  <c r="D63" i="26" l="1"/>
  <c r="C63" i="26"/>
  <c r="F63" i="26"/>
  <c r="B63" i="26"/>
  <c r="F64" i="26"/>
  <c r="D64" i="26"/>
  <c r="C64" i="26"/>
  <c r="E92" i="21"/>
  <c r="D91" i="21"/>
  <c r="E91" i="21"/>
  <c r="C91" i="21"/>
  <c r="G63" i="26" l="1"/>
  <c r="F93" i="21"/>
  <c r="H199" i="21" l="1"/>
  <c r="AF202" i="13" l="1"/>
  <c r="AF203" i="13"/>
  <c r="AF205" i="13"/>
  <c r="AG202" i="13"/>
  <c r="AG203" i="13"/>
  <c r="AG205" i="13"/>
  <c r="H40" i="21"/>
  <c r="G40" i="21"/>
  <c r="F40" i="21"/>
  <c r="D40" i="21"/>
  <c r="C40" i="21"/>
  <c r="F20" i="11" l="1"/>
  <c r="F21" i="11"/>
  <c r="F22" i="11"/>
  <c r="F23" i="11"/>
  <c r="W15" i="9" s="1"/>
  <c r="F24" i="11"/>
  <c r="F28" i="11"/>
  <c r="W40" i="9" s="1"/>
  <c r="F25" i="11"/>
  <c r="E20" i="11"/>
  <c r="E21" i="11"/>
  <c r="E22" i="11"/>
  <c r="E23" i="11"/>
  <c r="S15" i="9" s="1"/>
  <c r="E24" i="11"/>
  <c r="E28" i="11"/>
  <c r="S40" i="9" s="1"/>
  <c r="E25" i="11"/>
  <c r="D20" i="11"/>
  <c r="D21" i="11"/>
  <c r="D22" i="11"/>
  <c r="D23" i="11"/>
  <c r="O15" i="9" s="1"/>
  <c r="D24" i="11"/>
  <c r="D28" i="11"/>
  <c r="O40" i="9" s="1"/>
  <c r="D25" i="11"/>
  <c r="C20" i="11"/>
  <c r="C21" i="11"/>
  <c r="C22" i="11"/>
  <c r="C23" i="11"/>
  <c r="C24" i="11"/>
  <c r="C28" i="11"/>
  <c r="C25" i="11"/>
  <c r="L161" i="21" l="1"/>
  <c r="N164" i="21"/>
  <c r="X212" i="21" l="1"/>
  <c r="X213" i="21"/>
  <c r="X211" i="21"/>
  <c r="V214" i="21"/>
  <c r="T214" i="21"/>
  <c r="X214" i="21" s="1"/>
  <c r="M298" i="21" l="1"/>
  <c r="E202" i="21" l="1"/>
  <c r="D79" i="21"/>
  <c r="E80" i="21" s="1"/>
  <c r="W23" i="9" l="1"/>
  <c r="W21" i="9"/>
  <c r="S23" i="9"/>
  <c r="S21" i="9"/>
  <c r="O23" i="9"/>
  <c r="O21" i="9"/>
  <c r="K23" i="9"/>
  <c r="K21" i="9"/>
  <c r="R129" i="21"/>
  <c r="X23" i="9" l="1"/>
  <c r="F19" i="11" l="1"/>
  <c r="E19" i="11"/>
  <c r="D19" i="11"/>
  <c r="C19" i="11"/>
  <c r="X200" i="9"/>
  <c r="X198" i="9"/>
  <c r="Z179" i="9" l="1"/>
  <c r="K200" i="21" l="1"/>
  <c r="K195" i="21"/>
  <c r="H198" i="21"/>
  <c r="H197" i="21"/>
  <c r="H196" i="21"/>
  <c r="H195" i="21"/>
  <c r="F176" i="21"/>
  <c r="F35" i="3"/>
  <c r="D35" i="3"/>
  <c r="C35" i="3"/>
  <c r="V1" i="3"/>
  <c r="K35" i="3" l="1"/>
  <c r="I35" i="3"/>
  <c r="J35" i="3"/>
  <c r="AE131" i="21"/>
  <c r="AE136" i="21" s="1"/>
  <c r="AE134" i="21"/>
  <c r="AE135" i="21"/>
  <c r="AE132" i="21" l="1"/>
  <c r="AE137" i="21" s="1"/>
  <c r="AE133" i="21"/>
  <c r="O221" i="21"/>
  <c r="O222" i="21"/>
  <c r="O220" i="21"/>
  <c r="Y223" i="21"/>
  <c r="X223" i="21"/>
  <c r="S222" i="21"/>
  <c r="P222" i="21" s="1"/>
  <c r="T222" i="21"/>
  <c r="U222" i="21" s="1"/>
  <c r="W222" i="21" s="1"/>
  <c r="T221" i="21"/>
  <c r="U221" i="21" s="1"/>
  <c r="T220" i="21"/>
  <c r="V220" i="21" s="1"/>
  <c r="S221" i="21"/>
  <c r="P221" i="21" s="1"/>
  <c r="R223" i="21"/>
  <c r="S220" i="21"/>
  <c r="U220" i="21" l="1"/>
  <c r="W220" i="21" s="1"/>
  <c r="V221" i="21"/>
  <c r="O223" i="21"/>
  <c r="P220" i="21"/>
  <c r="T208" i="21"/>
  <c r="V222" i="21"/>
  <c r="S223" i="21"/>
  <c r="P223" i="21" s="1"/>
  <c r="U223" i="21"/>
  <c r="W223" i="21" s="1"/>
  <c r="W221" i="21"/>
  <c r="T223" i="21"/>
  <c r="V223" i="21" s="1"/>
  <c r="U213" i="21" l="1"/>
  <c r="W213" i="21" s="1"/>
  <c r="U211" i="21"/>
  <c r="W211" i="21" s="1"/>
  <c r="U212" i="21"/>
  <c r="K180" i="21"/>
  <c r="D177" i="21"/>
  <c r="E176" i="21"/>
  <c r="G176" i="21" s="1"/>
  <c r="W212" i="21" l="1"/>
  <c r="U214" i="21"/>
  <c r="W214" i="21" s="1"/>
  <c r="O160" i="21"/>
  <c r="S129" i="21" l="1"/>
  <c r="R128" i="21"/>
  <c r="S128" i="21" s="1"/>
  <c r="R127" i="21"/>
  <c r="S127" i="21" s="1"/>
  <c r="R126" i="21"/>
  <c r="S126" i="21" s="1"/>
  <c r="N285" i="21"/>
  <c r="N284" i="21"/>
  <c r="L285" i="21"/>
  <c r="L284" i="21"/>
  <c r="M285" i="21"/>
  <c r="M284" i="21"/>
  <c r="M280" i="21"/>
  <c r="M279" i="21"/>
  <c r="C274" i="21"/>
  <c r="D274" i="21"/>
  <c r="E274" i="21"/>
  <c r="F274" i="21"/>
  <c r="G274" i="21"/>
  <c r="H274" i="21"/>
  <c r="I274" i="21"/>
  <c r="J274" i="21"/>
  <c r="B274" i="21"/>
  <c r="G241" i="21"/>
  <c r="M286" i="21" l="1"/>
  <c r="R131" i="21"/>
  <c r="S131" i="21" s="1"/>
  <c r="R132" i="21"/>
  <c r="F232" i="21"/>
  <c r="I239" i="21" s="1"/>
  <c r="I238" i="21"/>
  <c r="I241" i="21"/>
  <c r="G242" i="21"/>
  <c r="G233" i="21"/>
  <c r="S132" i="21" l="1"/>
  <c r="R137" i="21"/>
  <c r="S137" i="21" s="1"/>
  <c r="I240" i="21"/>
  <c r="I264" i="21"/>
  <c r="H264" i="21"/>
  <c r="G250" i="21"/>
  <c r="G240" i="21"/>
  <c r="G239" i="21"/>
  <c r="G231" i="21"/>
  <c r="G232" i="21"/>
  <c r="G249" i="21" s="1"/>
  <c r="G230" i="21"/>
  <c r="D250" i="21"/>
  <c r="G248" i="21" l="1"/>
  <c r="G245" i="21"/>
  <c r="G236" i="21"/>
  <c r="G253" i="21"/>
  <c r="F250" i="21"/>
  <c r="E250" i="21"/>
  <c r="B250" i="21"/>
  <c r="F248" i="21" l="1"/>
  <c r="F249" i="21"/>
  <c r="F252" i="21"/>
  <c r="G247" i="21"/>
  <c r="H253" i="21" s="1"/>
  <c r="D245" i="21"/>
  <c r="F245" i="21"/>
  <c r="B245" i="21"/>
  <c r="E233" i="21"/>
  <c r="C233" i="21"/>
  <c r="AC5" i="19" l="1"/>
  <c r="Z31" i="9" l="1"/>
  <c r="F68" i="7"/>
  <c r="F67" i="7"/>
  <c r="L5" i="6"/>
  <c r="Q32" i="2" l="1"/>
  <c r="C37" i="19" l="1"/>
  <c r="C35" i="19"/>
  <c r="C34" i="19"/>
  <c r="C33" i="19"/>
  <c r="G43" i="14" l="1"/>
  <c r="H43" i="14"/>
  <c r="I43" i="14"/>
  <c r="R41" i="14"/>
  <c r="R39" i="14"/>
  <c r="R32" i="14"/>
  <c r="R33" i="14"/>
  <c r="R34" i="14"/>
  <c r="R35" i="14"/>
  <c r="R36" i="14"/>
  <c r="R37" i="14"/>
  <c r="R38" i="14"/>
  <c r="R40" i="14"/>
  <c r="R42" i="14"/>
  <c r="R28" i="14" l="1"/>
  <c r="R29" i="14"/>
  <c r="R30" i="14"/>
  <c r="R27" i="14"/>
  <c r="R31" i="14"/>
  <c r="X207" i="9" l="1"/>
  <c r="X208" i="9"/>
  <c r="X210" i="9"/>
  <c r="X211" i="9"/>
  <c r="X212" i="9"/>
  <c r="X213" i="9"/>
  <c r="X214" i="9"/>
  <c r="X215" i="9"/>
  <c r="X216" i="9"/>
  <c r="E35" i="21"/>
  <c r="K159" i="9" l="1"/>
  <c r="T233" i="21" l="1"/>
  <c r="F199" i="21"/>
  <c r="C199" i="21"/>
  <c r="F198" i="21"/>
  <c r="C198" i="21"/>
  <c r="F197" i="21"/>
  <c r="C197" i="21"/>
  <c r="F196" i="21"/>
  <c r="C196" i="21"/>
  <c r="F195" i="21"/>
  <c r="C195" i="21"/>
  <c r="J191" i="21"/>
  <c r="G191" i="21"/>
  <c r="D191" i="21"/>
  <c r="B191" i="21"/>
  <c r="H184" i="21"/>
  <c r="G184" i="21"/>
  <c r="S177" i="21"/>
  <c r="R177" i="21"/>
  <c r="P177" i="21"/>
  <c r="M177" i="21"/>
  <c r="L177" i="21"/>
  <c r="M187" i="21" s="1"/>
  <c r="J177" i="21"/>
  <c r="T176" i="21"/>
  <c r="N176" i="21"/>
  <c r="T175" i="21"/>
  <c r="N175" i="21"/>
  <c r="Q174" i="21"/>
  <c r="Q177" i="21" s="1"/>
  <c r="C184" i="21" s="1"/>
  <c r="O174" i="21"/>
  <c r="O177" i="21" s="1"/>
  <c r="K174" i="21"/>
  <c r="K177" i="21" s="1"/>
  <c r="I174" i="21"/>
  <c r="I177" i="21" s="1"/>
  <c r="T173" i="21"/>
  <c r="N173" i="21"/>
  <c r="T172" i="21"/>
  <c r="J189" i="21" s="1"/>
  <c r="N172" i="21"/>
  <c r="J187" i="21" s="1"/>
  <c r="B189" i="21" l="1"/>
  <c r="D189" i="21"/>
  <c r="B187" i="21"/>
  <c r="H182" i="21"/>
  <c r="K182" i="21" s="1"/>
  <c r="N177" i="21"/>
  <c r="T174" i="21"/>
  <c r="T177" i="21" s="1"/>
  <c r="G187" i="21"/>
  <c r="G189" i="21"/>
  <c r="F184" i="21"/>
  <c r="D187" i="21"/>
  <c r="N174" i="21"/>
  <c r="J185" i="21" l="1"/>
  <c r="B185" i="21"/>
  <c r="I185" i="21"/>
  <c r="E185" i="21"/>
  <c r="H185" i="21"/>
  <c r="D185" i="21"/>
  <c r="G185" i="21"/>
  <c r="C185" i="21"/>
  <c r="F185" i="21"/>
  <c r="F183" i="21"/>
  <c r="C183" i="21"/>
  <c r="J183" i="21"/>
  <c r="D183" i="21"/>
  <c r="G183" i="21"/>
  <c r="B183" i="21"/>
  <c r="H183" i="21"/>
  <c r="AD114" i="21" l="1"/>
  <c r="AE103" i="21"/>
  <c r="AD111" i="21"/>
  <c r="E110" i="21" l="1"/>
  <c r="AF130" i="21"/>
  <c r="AF129" i="21"/>
  <c r="O124" i="21"/>
  <c r="I124" i="21"/>
  <c r="I14" i="21" l="1"/>
  <c r="AF204" i="13" s="1"/>
  <c r="E45" i="21"/>
  <c r="O74" i="21" l="1"/>
  <c r="P74" i="21"/>
  <c r="Q74" i="21"/>
  <c r="R74" i="21"/>
  <c r="S74" i="21"/>
  <c r="O75" i="21"/>
  <c r="Q75" i="21"/>
  <c r="R75" i="21"/>
  <c r="J65" i="21" l="1"/>
  <c r="T65" i="21"/>
  <c r="Q76" i="21"/>
  <c r="T73" i="21"/>
  <c r="T72" i="21"/>
  <c r="S71" i="21"/>
  <c r="S75" i="21" s="1"/>
  <c r="T70" i="21"/>
  <c r="T68" i="21"/>
  <c r="T67" i="21"/>
  <c r="T66" i="21"/>
  <c r="R76" i="21"/>
  <c r="O76" i="21"/>
  <c r="T64" i="21"/>
  <c r="T74" i="21" l="1"/>
  <c r="T71" i="21"/>
  <c r="S76" i="21"/>
  <c r="V58" i="21"/>
  <c r="X58" i="21"/>
  <c r="Y58" i="21"/>
  <c r="Z58" i="21"/>
  <c r="W58" i="21"/>
  <c r="AA57" i="21"/>
  <c r="AA56" i="21"/>
  <c r="AA58" i="21" l="1"/>
  <c r="P36" i="21" l="1"/>
  <c r="O36" i="21"/>
  <c r="M36" i="21"/>
  <c r="Q27" i="21"/>
  <c r="Q24" i="21" s="1"/>
  <c r="K27" i="21"/>
  <c r="Q26" i="21"/>
  <c r="Q36" i="21" l="1"/>
  <c r="Q31" i="21"/>
  <c r="M38" i="21"/>
  <c r="M39" i="21"/>
  <c r="M37" i="21"/>
  <c r="B311" i="13" s="1"/>
  <c r="P39" i="21"/>
  <c r="P37" i="21"/>
  <c r="B313" i="13" s="1"/>
  <c r="P38" i="21"/>
  <c r="N36" i="21"/>
  <c r="N31" i="21"/>
  <c r="O39" i="21"/>
  <c r="O37" i="21"/>
  <c r="B312" i="13" s="1"/>
  <c r="O38" i="21"/>
  <c r="O31" i="21"/>
  <c r="L31" i="21"/>
  <c r="P31" i="21"/>
  <c r="L36" i="21"/>
  <c r="M31" i="21"/>
  <c r="M33" i="21" l="1"/>
  <c r="M32" i="21"/>
  <c r="O32" i="21"/>
  <c r="O33" i="21"/>
  <c r="N33" i="21"/>
  <c r="N32" i="21"/>
  <c r="Q33" i="21"/>
  <c r="T179" i="13" s="1"/>
  <c r="Q32" i="21"/>
  <c r="S179" i="13" s="1"/>
  <c r="P32" i="21"/>
  <c r="P33" i="21"/>
  <c r="L32" i="21"/>
  <c r="L33" i="21"/>
  <c r="L39" i="21"/>
  <c r="L37" i="21"/>
  <c r="B310" i="13" s="1"/>
  <c r="L38" i="21"/>
  <c r="N38" i="21"/>
  <c r="N39" i="21"/>
  <c r="N37" i="21"/>
  <c r="Q38" i="21"/>
  <c r="Q39" i="21"/>
  <c r="Q37" i="21"/>
  <c r="B314" i="13" s="1"/>
  <c r="O44" i="14" l="1"/>
  <c r="R44" i="14" s="1"/>
  <c r="O45" i="14"/>
  <c r="R45" i="14" s="1"/>
  <c r="O46" i="14"/>
  <c r="R46" i="14" s="1"/>
  <c r="M248" i="9" l="1"/>
  <c r="M247" i="9"/>
  <c r="N247" i="9" s="1"/>
  <c r="M246" i="9"/>
  <c r="M245" i="9"/>
  <c r="M244" i="9"/>
  <c r="L255" i="9"/>
  <c r="L254" i="9"/>
  <c r="L256" i="9" l="1"/>
  <c r="L251" i="9"/>
  <c r="L250" i="9"/>
  <c r="M253" i="9"/>
  <c r="M254" i="9" s="1"/>
  <c r="M249" i="9"/>
  <c r="M251" i="9" s="1"/>
  <c r="M255" i="9" l="1"/>
  <c r="N255" i="9" s="1"/>
  <c r="M250" i="9"/>
  <c r="M252" i="9" s="1"/>
  <c r="L252" i="9"/>
  <c r="N254" i="9"/>
  <c r="N253" i="9"/>
  <c r="N251" i="9"/>
  <c r="N249" i="9"/>
  <c r="N248" i="9"/>
  <c r="N246" i="9"/>
  <c r="N245" i="9"/>
  <c r="N244" i="9"/>
  <c r="M256" i="9" l="1"/>
  <c r="N250" i="9"/>
  <c r="W164" i="9" l="1"/>
  <c r="S164" i="9"/>
  <c r="O164" i="9"/>
  <c r="K164" i="9"/>
  <c r="W128" i="9"/>
  <c r="S128" i="9"/>
  <c r="O128" i="9"/>
  <c r="K128" i="9"/>
  <c r="W92" i="9"/>
  <c r="S92" i="9"/>
  <c r="O92" i="9"/>
  <c r="K92" i="9"/>
  <c r="W56" i="9"/>
  <c r="S56" i="9"/>
  <c r="O56" i="9"/>
  <c r="K56" i="9"/>
  <c r="S17" i="9"/>
  <c r="O17" i="9"/>
  <c r="K17" i="9"/>
  <c r="X56" i="9" l="1"/>
  <c r="X92" i="9"/>
  <c r="X164" i="9"/>
  <c r="X128" i="9"/>
  <c r="Y17" i="9" l="1"/>
  <c r="E27" i="5"/>
  <c r="E67" i="7" l="1"/>
  <c r="E68" i="7"/>
  <c r="E39" i="2" l="1"/>
  <c r="AC14" i="5" l="1"/>
  <c r="AD14" i="5"/>
  <c r="AE14" i="5"/>
  <c r="AB14" i="5"/>
  <c r="AF14" i="5" l="1"/>
  <c r="K217" i="9"/>
  <c r="K218" i="9" s="1"/>
  <c r="O217" i="9"/>
  <c r="O218" i="9" s="1"/>
  <c r="S217" i="9"/>
  <c r="S218" i="9" s="1"/>
  <c r="N40" i="14" l="1"/>
  <c r="N41" i="14"/>
  <c r="N42" i="14"/>
  <c r="N39" i="14"/>
  <c r="N36" i="14"/>
  <c r="N37" i="14"/>
  <c r="N38" i="14"/>
  <c r="N35" i="14"/>
  <c r="N28" i="14"/>
  <c r="N29" i="14"/>
  <c r="N30" i="14"/>
  <c r="N27" i="14"/>
  <c r="N32" i="14"/>
  <c r="N33" i="14"/>
  <c r="N34" i="14"/>
  <c r="N31" i="14"/>
  <c r="N45" i="14" l="1"/>
  <c r="N46" i="14"/>
  <c r="N44" i="14"/>
  <c r="H154" i="9" l="1"/>
  <c r="L46" i="14" l="1"/>
  <c r="M46" i="14"/>
  <c r="L45" i="14"/>
  <c r="M45" i="14"/>
  <c r="M43" i="14"/>
  <c r="L44" i="14"/>
  <c r="M44" i="14"/>
  <c r="K46" i="14"/>
  <c r="K44" i="14" l="1"/>
  <c r="K45" i="14"/>
  <c r="W204" i="9" l="1"/>
  <c r="S204" i="9"/>
  <c r="O204" i="9"/>
  <c r="K204" i="9"/>
  <c r="W205" i="9"/>
  <c r="S205" i="9"/>
  <c r="O205" i="9"/>
  <c r="K205" i="9"/>
  <c r="H206" i="9"/>
  <c r="L206" i="9"/>
  <c r="M206" i="9"/>
  <c r="N206" i="9"/>
  <c r="P206" i="9"/>
  <c r="Q206" i="9"/>
  <c r="R206" i="9"/>
  <c r="T206" i="9"/>
  <c r="U206" i="9"/>
  <c r="V206" i="9"/>
  <c r="I206" i="9"/>
  <c r="J206" i="9"/>
  <c r="W22" i="9"/>
  <c r="W24" i="9" s="1"/>
  <c r="X205" i="9" l="1"/>
  <c r="X204" i="9"/>
  <c r="K206" i="9"/>
  <c r="S206" i="9"/>
  <c r="W206" i="9"/>
  <c r="O206" i="9"/>
  <c r="Z23" i="9" l="1"/>
  <c r="Y23" i="9"/>
  <c r="X206" i="9"/>
  <c r="E30" i="21" s="1"/>
  <c r="D67" i="7"/>
  <c r="D68" i="7"/>
  <c r="F53" i="7"/>
  <c r="F54" i="7"/>
  <c r="F55" i="7"/>
  <c r="F57" i="7"/>
  <c r="F58" i="7"/>
  <c r="F59" i="7"/>
  <c r="F60" i="7"/>
  <c r="F61" i="7"/>
  <c r="F62" i="7"/>
  <c r="F63" i="7"/>
  <c r="F64" i="7"/>
  <c r="E53" i="7"/>
  <c r="E54" i="7"/>
  <c r="E55" i="7"/>
  <c r="E57" i="7"/>
  <c r="E58" i="7"/>
  <c r="E59" i="7"/>
  <c r="E60" i="7"/>
  <c r="E61" i="7"/>
  <c r="E62" i="7"/>
  <c r="E63" i="7"/>
  <c r="E64" i="7"/>
  <c r="D53" i="7"/>
  <c r="D54" i="7"/>
  <c r="D55" i="7"/>
  <c r="D57" i="7"/>
  <c r="D58" i="7"/>
  <c r="D59" i="7"/>
  <c r="D60" i="7"/>
  <c r="D63" i="7"/>
  <c r="D64" i="7"/>
  <c r="D48" i="7"/>
  <c r="E48" i="7"/>
  <c r="F48" i="7"/>
  <c r="D47" i="7"/>
  <c r="F47" i="7"/>
  <c r="AG181" i="13" l="1"/>
  <c r="J40" i="14"/>
  <c r="J41" i="14"/>
  <c r="J42" i="14"/>
  <c r="N8" i="7" l="1"/>
  <c r="N10" i="7" s="1"/>
  <c r="J36" i="14"/>
  <c r="J37" i="14"/>
  <c r="J38" i="14"/>
  <c r="I8" i="7" l="1"/>
  <c r="I10" i="7" s="1"/>
  <c r="J8" i="7"/>
  <c r="J10" i="7" s="1"/>
  <c r="K8" i="7"/>
  <c r="K10" i="7" s="1"/>
  <c r="J28" i="14" l="1"/>
  <c r="J29" i="14"/>
  <c r="J30" i="14"/>
  <c r="J39" i="14" l="1"/>
  <c r="J35" i="14"/>
  <c r="J27" i="14"/>
  <c r="J43" i="14" l="1"/>
  <c r="I44" i="14" l="1"/>
  <c r="I45" i="14"/>
  <c r="I46" i="14"/>
  <c r="H44" i="14"/>
  <c r="H45" i="14"/>
  <c r="H46" i="14"/>
  <c r="G46" i="14"/>
  <c r="G44" i="14"/>
  <c r="G45" i="14"/>
  <c r="K43" i="14"/>
  <c r="L43" i="14"/>
  <c r="N43" i="14"/>
  <c r="O43" i="14"/>
  <c r="P43" i="14"/>
  <c r="Q43" i="14"/>
  <c r="R43" i="14" l="1"/>
  <c r="J45" i="14"/>
  <c r="J46" i="14"/>
  <c r="J44" i="14"/>
  <c r="D274" i="13"/>
  <c r="D275" i="13"/>
  <c r="D276" i="13"/>
  <c r="D277" i="13"/>
  <c r="D273" i="13"/>
  <c r="I23" i="18" l="1"/>
  <c r="H23" i="18"/>
  <c r="G23" i="18"/>
  <c r="F23" i="18"/>
  <c r="G21" i="18"/>
  <c r="H21" i="18"/>
  <c r="I21" i="18"/>
  <c r="F21" i="18"/>
  <c r="I20" i="18"/>
  <c r="H20" i="18"/>
  <c r="G20" i="18"/>
  <c r="F20" i="18"/>
  <c r="G19" i="18"/>
  <c r="H19" i="18"/>
  <c r="I19" i="18"/>
  <c r="F19" i="18"/>
  <c r="I18" i="18"/>
  <c r="H18" i="18"/>
  <c r="G18" i="18"/>
  <c r="F18" i="18"/>
  <c r="H17" i="18"/>
  <c r="I17" i="18"/>
  <c r="G17" i="18"/>
  <c r="I16" i="18"/>
  <c r="H16" i="18"/>
  <c r="G16" i="18"/>
  <c r="F16" i="18"/>
  <c r="C13" i="10"/>
  <c r="C67" i="7" l="1"/>
  <c r="C68" i="7"/>
  <c r="C54" i="7"/>
  <c r="C55" i="7"/>
  <c r="C57" i="7"/>
  <c r="C58" i="7"/>
  <c r="C59" i="7"/>
  <c r="C60" i="7"/>
  <c r="C61" i="7"/>
  <c r="C62" i="7"/>
  <c r="C63" i="7"/>
  <c r="C64" i="7"/>
  <c r="C47" i="7"/>
  <c r="C48" i="7"/>
  <c r="C28" i="6"/>
  <c r="AA5" i="3" l="1"/>
  <c r="AK5" i="3" s="1"/>
  <c r="AF126" i="21" s="1"/>
  <c r="AG5" i="3"/>
  <c r="AH5" i="3"/>
  <c r="AI5" i="3"/>
  <c r="AJ5" i="3"/>
  <c r="AA6" i="3"/>
  <c r="W217" i="9"/>
  <c r="AA7" i="3"/>
  <c r="AF7" i="3"/>
  <c r="AG7" i="3"/>
  <c r="AH7" i="3"/>
  <c r="AI7" i="3"/>
  <c r="AJ7" i="3"/>
  <c r="AA8" i="3"/>
  <c r="T33" i="2"/>
  <c r="T32" i="2"/>
  <c r="T31" i="2"/>
  <c r="T30" i="2"/>
  <c r="T29" i="2"/>
  <c r="T28" i="2"/>
  <c r="X217" i="9" l="1"/>
  <c r="Y218" i="9" s="1"/>
  <c r="W218" i="9"/>
  <c r="X218" i="9" s="1"/>
  <c r="AK8" i="3"/>
  <c r="AK6" i="3"/>
  <c r="AK7" i="3"/>
  <c r="F38" i="16"/>
  <c r="S35" i="9"/>
  <c r="W35" i="9"/>
  <c r="AF15" i="5"/>
  <c r="AF5" i="5"/>
  <c r="AA5" i="5"/>
  <c r="X14" i="5"/>
  <c r="AH14" i="5" s="1"/>
  <c r="Y14" i="5"/>
  <c r="AI14" i="5" s="1"/>
  <c r="Z14" i="5"/>
  <c r="AJ14" i="5" s="1"/>
  <c r="W14" i="5"/>
  <c r="AG14" i="5" s="1"/>
  <c r="Q10" i="5"/>
  <c r="Q12" i="5"/>
  <c r="Q13" i="5"/>
  <c r="Q57" i="21" s="1"/>
  <c r="Q15" i="5"/>
  <c r="Q16" i="5"/>
  <c r="Q5" i="5"/>
  <c r="Q27" i="5" s="1"/>
  <c r="Q28" i="5" s="1"/>
  <c r="Q30" i="5" s="1"/>
  <c r="AJ12" i="5"/>
  <c r="AJ15" i="5"/>
  <c r="AJ16" i="5"/>
  <c r="AI12" i="5"/>
  <c r="AI15" i="5"/>
  <c r="AI16" i="5"/>
  <c r="AH12" i="5"/>
  <c r="AH15" i="5"/>
  <c r="AH16" i="5"/>
  <c r="AG15" i="5"/>
  <c r="H37" i="5" s="1"/>
  <c r="AG16" i="5"/>
  <c r="AJ5" i="5"/>
  <c r="AI5" i="5"/>
  <c r="AH5" i="5"/>
  <c r="AG5" i="5"/>
  <c r="H35" i="3"/>
  <c r="E102" i="26" l="1"/>
  <c r="Q37" i="5"/>
  <c r="E174" i="21"/>
  <c r="S35" i="3"/>
  <c r="F68" i="21"/>
  <c r="F66" i="21"/>
  <c r="Q56" i="21"/>
  <c r="Q58" i="21" s="1"/>
  <c r="AK13" i="5"/>
  <c r="M194" i="9"/>
  <c r="N194" i="9"/>
  <c r="L194" i="9"/>
  <c r="H194" i="9"/>
  <c r="J194" i="9"/>
  <c r="I194" i="9"/>
  <c r="R194" i="9"/>
  <c r="P194" i="9"/>
  <c r="Q194" i="9"/>
  <c r="AK16" i="5"/>
  <c r="T193" i="9"/>
  <c r="V193" i="9"/>
  <c r="U193" i="9"/>
  <c r="H193" i="9"/>
  <c r="J193" i="9"/>
  <c r="I193" i="9"/>
  <c r="M193" i="9"/>
  <c r="N193" i="9"/>
  <c r="L193" i="9"/>
  <c r="H27" i="5"/>
  <c r="J10" i="9" s="1"/>
  <c r="J27" i="5"/>
  <c r="R193" i="9"/>
  <c r="Q193" i="9"/>
  <c r="P193" i="9"/>
  <c r="B174" i="21"/>
  <c r="G174" i="21" s="1"/>
  <c r="AF128" i="21"/>
  <c r="AG128" i="21" s="1"/>
  <c r="O35" i="9"/>
  <c r="K35" i="9"/>
  <c r="AF127" i="21"/>
  <c r="AA14" i="5"/>
  <c r="AK5" i="5"/>
  <c r="AK15" i="5"/>
  <c r="E103" i="26" l="1"/>
  <c r="I102" i="26"/>
  <c r="E68" i="21"/>
  <c r="E66" i="21"/>
  <c r="Q10" i="9"/>
  <c r="I10" i="9"/>
  <c r="P57" i="21"/>
  <c r="P58" i="21" s="1"/>
  <c r="O194" i="9"/>
  <c r="S194" i="9"/>
  <c r="AK14" i="5"/>
  <c r="K194" i="9"/>
  <c r="O193" i="9"/>
  <c r="R10" i="9"/>
  <c r="P10" i="9"/>
  <c r="H10" i="9"/>
  <c r="E64" i="21"/>
  <c r="S193" i="9"/>
  <c r="K193" i="9"/>
  <c r="AF131" i="21"/>
  <c r="AF132" i="21"/>
  <c r="I103" i="26" l="1"/>
  <c r="E72" i="21"/>
  <c r="E78" i="21" s="1"/>
  <c r="E79" i="21" s="1"/>
  <c r="AF137" i="21"/>
  <c r="AG131" i="21"/>
  <c r="Q128" i="21"/>
  <c r="Q126" i="21"/>
  <c r="Q127" i="21" l="1"/>
  <c r="Q131" i="21"/>
  <c r="Q7" i="7"/>
  <c r="L48" i="7" s="1"/>
  <c r="Q6" i="7"/>
  <c r="Q13" i="7"/>
  <c r="Q14" i="7"/>
  <c r="Q16" i="7"/>
  <c r="Q17" i="7"/>
  <c r="Q18" i="7"/>
  <c r="Q19" i="7"/>
  <c r="L60" i="7" s="1"/>
  <c r="Q20" i="7"/>
  <c r="Q21" i="7"/>
  <c r="Q22" i="7"/>
  <c r="Q23" i="7"/>
  <c r="W27" i="3"/>
  <c r="X27" i="3"/>
  <c r="Y27" i="3"/>
  <c r="Z27" i="3"/>
  <c r="AA27" i="3"/>
  <c r="AB27" i="3"/>
  <c r="AC27" i="3"/>
  <c r="AD27" i="3"/>
  <c r="AE27" i="3"/>
  <c r="AF27" i="3"/>
  <c r="AG27" i="3"/>
  <c r="AH27" i="3"/>
  <c r="AI27" i="3"/>
  <c r="AJ27" i="3"/>
  <c r="AK27" i="3"/>
  <c r="D43" i="3"/>
  <c r="I43" i="3" s="1"/>
  <c r="E43" i="3"/>
  <c r="J43" i="3" s="1"/>
  <c r="F43" i="3"/>
  <c r="K43" i="3" s="1"/>
  <c r="D40" i="3"/>
  <c r="E40" i="3"/>
  <c r="F40" i="3"/>
  <c r="D39" i="3"/>
  <c r="E39" i="3"/>
  <c r="F39" i="3"/>
  <c r="D36" i="3"/>
  <c r="E36" i="3"/>
  <c r="F36" i="3"/>
  <c r="C36" i="3"/>
  <c r="C39" i="3"/>
  <c r="C43" i="3"/>
  <c r="D34" i="3"/>
  <c r="I34" i="3" s="1"/>
  <c r="E34" i="3"/>
  <c r="J34" i="3" s="1"/>
  <c r="F34" i="3"/>
  <c r="K34" i="3" s="1"/>
  <c r="C34" i="3"/>
  <c r="I36" i="3" l="1"/>
  <c r="K39" i="3"/>
  <c r="J36" i="3"/>
  <c r="I39" i="3"/>
  <c r="J39" i="3"/>
  <c r="K40" i="3"/>
  <c r="J40" i="3"/>
  <c r="K36" i="3"/>
  <c r="I40" i="3"/>
  <c r="H43" i="3"/>
  <c r="H40" i="3"/>
  <c r="H36" i="3"/>
  <c r="H34" i="3"/>
  <c r="H39" i="3"/>
  <c r="E19" i="8"/>
  <c r="E18" i="8"/>
  <c r="C20" i="8"/>
  <c r="D46" i="14" l="1"/>
  <c r="E46" i="14"/>
  <c r="D45" i="14"/>
  <c r="E45" i="14"/>
  <c r="D44" i="14"/>
  <c r="E44" i="14"/>
  <c r="C44" i="14"/>
  <c r="C45" i="14"/>
  <c r="C46" i="14"/>
  <c r="D43" i="14"/>
  <c r="E43" i="14"/>
  <c r="C43" i="14"/>
  <c r="F40" i="14"/>
  <c r="S40" i="14" s="1"/>
  <c r="S41" i="14"/>
  <c r="F42" i="14"/>
  <c r="S42" i="14" s="1"/>
  <c r="F39" i="14"/>
  <c r="S39" i="14" s="1"/>
  <c r="F36" i="14"/>
  <c r="S36" i="14" s="1"/>
  <c r="S37" i="14"/>
  <c r="F38" i="14"/>
  <c r="S38" i="14" s="1"/>
  <c r="F35" i="14"/>
  <c r="S35" i="14" s="1"/>
  <c r="F32" i="14"/>
  <c r="S33" i="14"/>
  <c r="F34" i="14"/>
  <c r="S34" i="14" s="1"/>
  <c r="S31" i="14"/>
  <c r="F27" i="14" l="1"/>
  <c r="S29" i="14"/>
  <c r="F30" i="14"/>
  <c r="F28" i="14"/>
  <c r="F44" i="14" l="1"/>
  <c r="S44" i="14" s="1"/>
  <c r="S28" i="14"/>
  <c r="F46" i="14"/>
  <c r="S46" i="14" s="1"/>
  <c r="S30" i="14"/>
  <c r="F43" i="14"/>
  <c r="S43" i="14" s="1"/>
  <c r="S27" i="14"/>
  <c r="F45" i="14"/>
  <c r="S45" i="14" s="1"/>
  <c r="R4" i="16"/>
  <c r="R5" i="16" s="1"/>
  <c r="N4" i="16"/>
  <c r="N5" i="16" s="1"/>
  <c r="J5" i="16"/>
  <c r="W17" i="9"/>
  <c r="X17" i="9" s="1"/>
  <c r="V13" i="11"/>
  <c r="V5" i="11"/>
  <c r="Q5" i="11"/>
  <c r="L5" i="11"/>
  <c r="F13" i="11"/>
  <c r="E13" i="11"/>
  <c r="G28" i="11"/>
  <c r="G5" i="11"/>
  <c r="G16" i="10"/>
  <c r="G15" i="10"/>
  <c r="G14" i="10"/>
  <c r="G13" i="10"/>
  <c r="F16" i="10"/>
  <c r="F15" i="10"/>
  <c r="F14" i="10"/>
  <c r="F13" i="10"/>
  <c r="E16" i="10"/>
  <c r="E15" i="10"/>
  <c r="E14" i="10"/>
  <c r="E13" i="10"/>
  <c r="D16" i="10"/>
  <c r="D15" i="10"/>
  <c r="D14" i="10"/>
  <c r="D13" i="10"/>
  <c r="C16" i="10"/>
  <c r="C15" i="10"/>
  <c r="C14" i="10"/>
  <c r="F22" i="8"/>
  <c r="F21" i="8"/>
  <c r="F20" i="8"/>
  <c r="F19" i="8"/>
  <c r="F18" i="8"/>
  <c r="E22" i="8"/>
  <c r="E21" i="8"/>
  <c r="E20" i="8"/>
  <c r="D22" i="8"/>
  <c r="D21" i="8"/>
  <c r="D20" i="8"/>
  <c r="D19" i="8"/>
  <c r="D18" i="8"/>
  <c r="C22" i="8"/>
  <c r="C21" i="8"/>
  <c r="C19" i="8"/>
  <c r="C18" i="8"/>
  <c r="L10" i="8"/>
  <c r="L8" i="8"/>
  <c r="K12" i="8"/>
  <c r="J12" i="8"/>
  <c r="I12" i="8"/>
  <c r="H12" i="8"/>
  <c r="F12" i="8"/>
  <c r="E12" i="8"/>
  <c r="D12" i="8"/>
  <c r="C12" i="8"/>
  <c r="K11" i="8"/>
  <c r="J11" i="8"/>
  <c r="I11" i="8"/>
  <c r="H11" i="8"/>
  <c r="F11" i="8"/>
  <c r="E11" i="8"/>
  <c r="D11" i="8"/>
  <c r="C11" i="8"/>
  <c r="G10" i="8"/>
  <c r="G9" i="8"/>
  <c r="G8" i="8"/>
  <c r="G7" i="8"/>
  <c r="G6" i="8"/>
  <c r="M12" i="8"/>
  <c r="N12" i="8"/>
  <c r="N11" i="8"/>
  <c r="O12" i="8"/>
  <c r="O11" i="8"/>
  <c r="P12" i="8"/>
  <c r="P11" i="8"/>
  <c r="Q10" i="8"/>
  <c r="Q9" i="8"/>
  <c r="Q8" i="8"/>
  <c r="Q7" i="8"/>
  <c r="Q6" i="8"/>
  <c r="R12" i="8"/>
  <c r="R11" i="8"/>
  <c r="S12" i="8"/>
  <c r="S11" i="8"/>
  <c r="T12" i="8"/>
  <c r="T11" i="8"/>
  <c r="U12" i="8"/>
  <c r="U11" i="8"/>
  <c r="V9" i="8"/>
  <c r="V8" i="8"/>
  <c r="V7" i="8"/>
  <c r="V6" i="8"/>
  <c r="U195" i="9" l="1"/>
  <c r="V195" i="9"/>
  <c r="T195" i="9"/>
  <c r="G13" i="11"/>
  <c r="R195" i="9"/>
  <c r="R202" i="9" s="1"/>
  <c r="P195" i="9"/>
  <c r="P202" i="9" s="1"/>
  <c r="Q195" i="9"/>
  <c r="Q202" i="9" s="1"/>
  <c r="L195" i="9"/>
  <c r="L202" i="9" s="1"/>
  <c r="M195" i="9"/>
  <c r="M202" i="9" s="1"/>
  <c r="N195" i="9"/>
  <c r="N202" i="9" s="1"/>
  <c r="N123" i="9"/>
  <c r="M123" i="9"/>
  <c r="L13" i="11"/>
  <c r="D27" i="11"/>
  <c r="E27" i="11"/>
  <c r="AA13" i="11"/>
  <c r="G25" i="11"/>
  <c r="Z17" i="9" s="1"/>
  <c r="F27" i="11"/>
  <c r="F23" i="8"/>
  <c r="F24" i="8"/>
  <c r="F5" i="16"/>
  <c r="H12" i="9"/>
  <c r="E24" i="8"/>
  <c r="E23" i="8"/>
  <c r="D24" i="8"/>
  <c r="D23" i="8"/>
  <c r="G12" i="8"/>
  <c r="V11" i="8"/>
  <c r="G20" i="8"/>
  <c r="Q12" i="8"/>
  <c r="C24" i="8"/>
  <c r="Q11" i="8"/>
  <c r="G22" i="8"/>
  <c r="C23" i="8"/>
  <c r="S4" i="16"/>
  <c r="V12" i="8"/>
  <c r="G11" i="8"/>
  <c r="G27" i="7"/>
  <c r="G26" i="7"/>
  <c r="F28" i="7"/>
  <c r="E28" i="7"/>
  <c r="D28" i="7"/>
  <c r="C28" i="7"/>
  <c r="K28" i="7"/>
  <c r="J28" i="7"/>
  <c r="I28" i="7"/>
  <c r="H28" i="7"/>
  <c r="L27" i="7"/>
  <c r="K24" i="7"/>
  <c r="J24" i="7"/>
  <c r="I24" i="7"/>
  <c r="H24" i="7"/>
  <c r="F24" i="7"/>
  <c r="E24" i="7"/>
  <c r="D24" i="7"/>
  <c r="C24" i="7"/>
  <c r="G23" i="7"/>
  <c r="G22" i="7"/>
  <c r="G21" i="7"/>
  <c r="G20" i="7"/>
  <c r="G19" i="7"/>
  <c r="G18" i="7"/>
  <c r="G17" i="7"/>
  <c r="G16" i="7"/>
  <c r="G14" i="7"/>
  <c r="G13" i="7"/>
  <c r="L23" i="7"/>
  <c r="L19" i="7"/>
  <c r="L18" i="7"/>
  <c r="L17" i="7"/>
  <c r="L16" i="7"/>
  <c r="L14" i="7"/>
  <c r="L13" i="7"/>
  <c r="H8" i="7"/>
  <c r="P24" i="7"/>
  <c r="M24" i="7"/>
  <c r="U28" i="7"/>
  <c r="T28" i="7"/>
  <c r="S28" i="7"/>
  <c r="R28" i="7"/>
  <c r="U24" i="7"/>
  <c r="T24" i="7"/>
  <c r="S24" i="7"/>
  <c r="R24" i="7"/>
  <c r="V14" i="7"/>
  <c r="V17" i="7"/>
  <c r="V18" i="7"/>
  <c r="V19" i="7"/>
  <c r="V21" i="7"/>
  <c r="V22" i="7"/>
  <c r="V23" i="7"/>
  <c r="V27" i="7"/>
  <c r="V26" i="7"/>
  <c r="U8" i="7"/>
  <c r="U10" i="7" s="1"/>
  <c r="T8" i="7"/>
  <c r="T10" i="7" s="1"/>
  <c r="S8" i="7"/>
  <c r="S10" i="7" s="1"/>
  <c r="R8" i="7"/>
  <c r="P8" i="7"/>
  <c r="P10" i="7" s="1"/>
  <c r="O8" i="7"/>
  <c r="O10" i="7" s="1"/>
  <c r="M8" i="7"/>
  <c r="F8" i="7"/>
  <c r="F10" i="7" s="1"/>
  <c r="E8" i="7"/>
  <c r="E10" i="7" s="1"/>
  <c r="D8" i="7"/>
  <c r="C8" i="7"/>
  <c r="L6" i="7"/>
  <c r="G6" i="7"/>
  <c r="V7" i="7"/>
  <c r="I195" i="9" l="1"/>
  <c r="I202" i="9" s="1"/>
  <c r="J195" i="9"/>
  <c r="J202" i="9" s="1"/>
  <c r="H123" i="9"/>
  <c r="H195" i="9"/>
  <c r="S5" i="16"/>
  <c r="H106" i="26"/>
  <c r="W195" i="9"/>
  <c r="S195" i="9"/>
  <c r="S202" i="9" s="1"/>
  <c r="S219" i="9" s="1"/>
  <c r="O195" i="9"/>
  <c r="O202" i="9" s="1"/>
  <c r="O219" i="9" s="1"/>
  <c r="O221" i="9" s="1"/>
  <c r="I87" i="9"/>
  <c r="J87" i="9"/>
  <c r="V28" i="7"/>
  <c r="S234" i="21" s="1"/>
  <c r="G24" i="7"/>
  <c r="R230" i="21" s="1"/>
  <c r="L24" i="7"/>
  <c r="L28" i="7"/>
  <c r="G28" i="7"/>
  <c r="S230" i="21" s="1"/>
  <c r="T29" i="7"/>
  <c r="V24" i="7"/>
  <c r="Q24" i="7"/>
  <c r="L65" i="7" s="1"/>
  <c r="D65" i="7"/>
  <c r="F29" i="7"/>
  <c r="F30" i="7" s="1"/>
  <c r="U238" i="13" s="1"/>
  <c r="V8" i="7"/>
  <c r="V10" i="7" s="1"/>
  <c r="R10" i="7"/>
  <c r="M10" i="7"/>
  <c r="Q8" i="7"/>
  <c r="L49" i="7" s="1"/>
  <c r="L51" i="7" s="1"/>
  <c r="L8" i="7"/>
  <c r="L10" i="7" s="1"/>
  <c r="H10" i="7"/>
  <c r="D49" i="7"/>
  <c r="D51" i="7" s="1"/>
  <c r="D10" i="7"/>
  <c r="G8" i="7"/>
  <c r="C10" i="7"/>
  <c r="D29" i="7"/>
  <c r="D30" i="7" s="1"/>
  <c r="S238" i="13" s="1"/>
  <c r="U29" i="7"/>
  <c r="U30" i="7" s="1"/>
  <c r="U241" i="13" s="1"/>
  <c r="K29" i="7"/>
  <c r="K30" i="7" s="1"/>
  <c r="U239" i="13" s="1"/>
  <c r="F65" i="7"/>
  <c r="I29" i="7"/>
  <c r="B26" i="21"/>
  <c r="G59" i="7"/>
  <c r="J29" i="7"/>
  <c r="J30" i="7" s="1"/>
  <c r="T239" i="13" s="1"/>
  <c r="E65" i="7"/>
  <c r="G48" i="7"/>
  <c r="S29" i="7"/>
  <c r="S30" i="7" s="1"/>
  <c r="S241" i="13" s="1"/>
  <c r="F49" i="7"/>
  <c r="F51" i="7" s="1"/>
  <c r="E49" i="7"/>
  <c r="E51" i="7" s="1"/>
  <c r="C29" i="7"/>
  <c r="C49" i="7"/>
  <c r="C51" i="7" s="1"/>
  <c r="G55" i="7"/>
  <c r="G60" i="7"/>
  <c r="I60" i="7" s="1"/>
  <c r="G64" i="7"/>
  <c r="C65" i="7"/>
  <c r="R29" i="7"/>
  <c r="H29" i="7"/>
  <c r="E29" i="7"/>
  <c r="E30" i="7" s="1"/>
  <c r="T238" i="13" s="1"/>
  <c r="F37" i="6"/>
  <c r="F36" i="6"/>
  <c r="F35" i="6"/>
  <c r="F34" i="6"/>
  <c r="F33" i="6"/>
  <c r="F30" i="6"/>
  <c r="F29" i="6"/>
  <c r="F28" i="6"/>
  <c r="F27" i="6"/>
  <c r="F26" i="6"/>
  <c r="F25" i="6"/>
  <c r="E37" i="6"/>
  <c r="E36" i="6"/>
  <c r="E35" i="6"/>
  <c r="E34" i="6"/>
  <c r="E33" i="6"/>
  <c r="E32" i="6"/>
  <c r="E30" i="6"/>
  <c r="E29" i="6"/>
  <c r="E28" i="6"/>
  <c r="E27" i="6"/>
  <c r="E26" i="6"/>
  <c r="E25" i="6"/>
  <c r="D37" i="6"/>
  <c r="D36" i="6"/>
  <c r="D34" i="6"/>
  <c r="D33" i="6"/>
  <c r="D32" i="6"/>
  <c r="D30" i="6"/>
  <c r="D29" i="6"/>
  <c r="D28" i="6"/>
  <c r="D27" i="6"/>
  <c r="D26" i="6"/>
  <c r="D25" i="6"/>
  <c r="C37" i="6"/>
  <c r="C36" i="6"/>
  <c r="C35" i="6"/>
  <c r="C34" i="6"/>
  <c r="C33" i="6"/>
  <c r="C32" i="6"/>
  <c r="C30" i="6"/>
  <c r="C29" i="6"/>
  <c r="C27" i="6"/>
  <c r="C26" i="6"/>
  <c r="C25" i="6"/>
  <c r="G17" i="6"/>
  <c r="G16" i="6"/>
  <c r="G15" i="6"/>
  <c r="G14" i="6"/>
  <c r="G13" i="6"/>
  <c r="G12" i="6"/>
  <c r="G11" i="6"/>
  <c r="G10" i="6"/>
  <c r="G9" i="6"/>
  <c r="G8" i="6"/>
  <c r="G7" i="6"/>
  <c r="G6" i="6"/>
  <c r="L16" i="6"/>
  <c r="L15" i="6"/>
  <c r="L14" i="6"/>
  <c r="L13" i="6"/>
  <c r="L12" i="6"/>
  <c r="L11" i="6"/>
  <c r="L10" i="6"/>
  <c r="L9" i="6"/>
  <c r="L8" i="6"/>
  <c r="L7" i="6"/>
  <c r="L6" i="6"/>
  <c r="Q17" i="6"/>
  <c r="Q16" i="6"/>
  <c r="Q15" i="6"/>
  <c r="Q14" i="6"/>
  <c r="Q13" i="6"/>
  <c r="Q12" i="6"/>
  <c r="Q11" i="6"/>
  <c r="Q10" i="6"/>
  <c r="Q9" i="6"/>
  <c r="Q7" i="6"/>
  <c r="Q6" i="6"/>
  <c r="Q5" i="6"/>
  <c r="V17" i="6"/>
  <c r="V16" i="6"/>
  <c r="V15" i="6"/>
  <c r="V14" i="6"/>
  <c r="V13" i="6"/>
  <c r="V12" i="6"/>
  <c r="V11" i="6"/>
  <c r="V10" i="6"/>
  <c r="V9" i="6"/>
  <c r="V8" i="6"/>
  <c r="V7" i="6"/>
  <c r="V6" i="6"/>
  <c r="V5" i="6"/>
  <c r="F38" i="5"/>
  <c r="K38" i="5" s="1"/>
  <c r="F37" i="5"/>
  <c r="K37" i="5" s="1"/>
  <c r="F35" i="5"/>
  <c r="K35" i="5" s="1"/>
  <c r="F34" i="5"/>
  <c r="K34" i="5" s="1"/>
  <c r="F32" i="5"/>
  <c r="K32" i="5" s="1"/>
  <c r="F27" i="5"/>
  <c r="E38" i="5"/>
  <c r="J38" i="5" s="1"/>
  <c r="E37" i="5"/>
  <c r="J37" i="5" s="1"/>
  <c r="E35" i="5"/>
  <c r="J35" i="5" s="1"/>
  <c r="E34" i="5"/>
  <c r="J34" i="5" s="1"/>
  <c r="J32" i="5"/>
  <c r="D38" i="5"/>
  <c r="I38" i="5" s="1"/>
  <c r="D37" i="5"/>
  <c r="I37" i="5" s="1"/>
  <c r="D35" i="5"/>
  <c r="I35" i="5" s="1"/>
  <c r="D34" i="5"/>
  <c r="I34" i="5" s="1"/>
  <c r="C38" i="5"/>
  <c r="C35" i="5"/>
  <c r="H35" i="5" s="1"/>
  <c r="C34" i="5"/>
  <c r="H34" i="5" s="1"/>
  <c r="C32" i="5"/>
  <c r="H32" i="5" s="1"/>
  <c r="D32" i="5"/>
  <c r="N14" i="5"/>
  <c r="O14" i="5"/>
  <c r="P14" i="5"/>
  <c r="M14" i="5"/>
  <c r="L15" i="5"/>
  <c r="L13" i="5"/>
  <c r="O57" i="21" s="1"/>
  <c r="L12" i="5"/>
  <c r="O56" i="21" s="1"/>
  <c r="L10" i="5"/>
  <c r="L5" i="5"/>
  <c r="P27" i="5" s="1"/>
  <c r="K14" i="5"/>
  <c r="J14" i="5"/>
  <c r="I14" i="5"/>
  <c r="H14" i="5"/>
  <c r="F14" i="5"/>
  <c r="E14" i="5"/>
  <c r="D14" i="5"/>
  <c r="C14" i="5"/>
  <c r="G16" i="5"/>
  <c r="G15" i="5"/>
  <c r="G12" i="5"/>
  <c r="N56" i="21" s="1"/>
  <c r="G10" i="5"/>
  <c r="G5" i="5"/>
  <c r="V16" i="5"/>
  <c r="V15" i="5"/>
  <c r="V13" i="5"/>
  <c r="R57" i="21" s="1"/>
  <c r="V12" i="5"/>
  <c r="R56" i="21" s="1"/>
  <c r="U14" i="5"/>
  <c r="T14" i="5"/>
  <c r="S14" i="5"/>
  <c r="R14" i="5"/>
  <c r="V10" i="5"/>
  <c r="R32" i="5" s="1"/>
  <c r="V5" i="5"/>
  <c r="R27" i="5" s="1"/>
  <c r="R28" i="5" s="1"/>
  <c r="R30" i="5" s="1"/>
  <c r="F12" i="4"/>
  <c r="E12" i="4"/>
  <c r="D12" i="4"/>
  <c r="F11" i="4"/>
  <c r="D11" i="4"/>
  <c r="C12" i="4"/>
  <c r="C11" i="4"/>
  <c r="V5" i="4"/>
  <c r="L6" i="4"/>
  <c r="G5" i="4"/>
  <c r="Q129" i="21"/>
  <c r="Q14" i="3"/>
  <c r="P27" i="3"/>
  <c r="O27" i="3"/>
  <c r="N27" i="3"/>
  <c r="Q11" i="3"/>
  <c r="Q10" i="3"/>
  <c r="Q7" i="3"/>
  <c r="Q6" i="3"/>
  <c r="K195" i="9" l="1"/>
  <c r="K202" i="9" s="1"/>
  <c r="K219" i="9" s="1"/>
  <c r="H202" i="9"/>
  <c r="H107" i="26"/>
  <c r="C124" i="26" s="1"/>
  <c r="E124" i="26" s="1"/>
  <c r="C123" i="26"/>
  <c r="E123" i="26" s="1"/>
  <c r="C106" i="26"/>
  <c r="G106" i="26"/>
  <c r="G107" i="26" s="1"/>
  <c r="G111" i="26" s="1"/>
  <c r="G112" i="26" s="1"/>
  <c r="G113" i="26" s="1"/>
  <c r="E106" i="26"/>
  <c r="E107" i="26" s="1"/>
  <c r="E111" i="26" s="1"/>
  <c r="E112" i="26" s="1"/>
  <c r="E113" i="26" s="1"/>
  <c r="D106" i="26"/>
  <c r="D107" i="26" s="1"/>
  <c r="D111" i="26" s="1"/>
  <c r="D112" i="26" s="1"/>
  <c r="D113" i="26" s="1"/>
  <c r="G68" i="21"/>
  <c r="F104" i="26"/>
  <c r="R38" i="5"/>
  <c r="K220" i="21"/>
  <c r="I48" i="7"/>
  <c r="N57" i="21"/>
  <c r="N58" i="21" s="1"/>
  <c r="O35" i="5"/>
  <c r="J22" i="5"/>
  <c r="I23" i="5" s="1"/>
  <c r="O27" i="5"/>
  <c r="I32" i="5"/>
  <c r="L7" i="9"/>
  <c r="G66" i="21"/>
  <c r="D66" i="21"/>
  <c r="W18" i="9"/>
  <c r="C66" i="21"/>
  <c r="C68" i="21"/>
  <c r="G32" i="6"/>
  <c r="G31" i="6"/>
  <c r="S18" i="9"/>
  <c r="X18" i="9" s="1"/>
  <c r="B54" i="24" s="1"/>
  <c r="R30" i="7"/>
  <c r="R241" i="13" s="1"/>
  <c r="Q25" i="3"/>
  <c r="T30" i="7"/>
  <c r="T241" i="13" s="1"/>
  <c r="C30" i="7"/>
  <c r="R238" i="13" s="1"/>
  <c r="I30" i="7"/>
  <c r="S239" i="13" s="1"/>
  <c r="H30" i="7"/>
  <c r="R239" i="13" s="1"/>
  <c r="G29" i="7"/>
  <c r="Q10" i="7"/>
  <c r="Q232" i="21"/>
  <c r="Q231" i="21"/>
  <c r="Q230" i="21"/>
  <c r="T230" i="21" s="1"/>
  <c r="V14" i="5"/>
  <c r="I27" i="5"/>
  <c r="N10" i="9" s="1"/>
  <c r="K27" i="5"/>
  <c r="H8" i="9"/>
  <c r="H38" i="5"/>
  <c r="U11" i="9"/>
  <c r="V11" i="9"/>
  <c r="T11" i="9"/>
  <c r="R11" i="9"/>
  <c r="Q11" i="9"/>
  <c r="P11" i="9"/>
  <c r="N11" i="9"/>
  <c r="M11" i="9"/>
  <c r="L11" i="9"/>
  <c r="J11" i="9"/>
  <c r="I11" i="9"/>
  <c r="H11" i="9"/>
  <c r="R58" i="21"/>
  <c r="O58" i="21"/>
  <c r="E13" i="4"/>
  <c r="V8" i="3"/>
  <c r="R37" i="3" s="1"/>
  <c r="R51" i="3" s="1"/>
  <c r="V13" i="3"/>
  <c r="J129" i="21"/>
  <c r="K129" i="21" s="1"/>
  <c r="F175" i="21"/>
  <c r="J130" i="21"/>
  <c r="K130" i="21" s="1"/>
  <c r="C175" i="21"/>
  <c r="J127" i="21"/>
  <c r="E175" i="21"/>
  <c r="J128" i="21"/>
  <c r="K128" i="21" s="1"/>
  <c r="B175" i="21"/>
  <c r="F13" i="4"/>
  <c r="L220" i="21"/>
  <c r="M220" i="21"/>
  <c r="M27" i="3"/>
  <c r="D13" i="4"/>
  <c r="G32" i="5"/>
  <c r="L32" i="5" s="1"/>
  <c r="N32" i="5" s="1"/>
  <c r="F64" i="21"/>
  <c r="Q14" i="5"/>
  <c r="G33" i="6"/>
  <c r="G37" i="6"/>
  <c r="G29" i="6"/>
  <c r="G25" i="6"/>
  <c r="G34" i="6"/>
  <c r="G35" i="6"/>
  <c r="G36" i="6"/>
  <c r="G30" i="6"/>
  <c r="G28" i="6"/>
  <c r="G26" i="6"/>
  <c r="G27" i="6"/>
  <c r="L14" i="5"/>
  <c r="F36" i="5"/>
  <c r="G64" i="21"/>
  <c r="C13" i="4"/>
  <c r="Q8" i="3"/>
  <c r="C64" i="21"/>
  <c r="F33" i="5"/>
  <c r="K33" i="5" s="1"/>
  <c r="C36" i="5"/>
  <c r="D64" i="21"/>
  <c r="G34" i="5"/>
  <c r="L34" i="5" s="1"/>
  <c r="L83" i="21" s="1"/>
  <c r="C33" i="5"/>
  <c r="H33" i="5" s="1"/>
  <c r="G14" i="5"/>
  <c r="D36" i="5"/>
  <c r="E33" i="5"/>
  <c r="J33" i="5" s="1"/>
  <c r="D33" i="5"/>
  <c r="I33" i="5" s="1"/>
  <c r="E36" i="5"/>
  <c r="G35" i="5"/>
  <c r="L35" i="5" s="1"/>
  <c r="G27" i="5"/>
  <c r="C107" i="26" l="1"/>
  <c r="I106" i="26"/>
  <c r="G58" i="26"/>
  <c r="H58" i="26" s="1"/>
  <c r="R42" i="3"/>
  <c r="F105" i="26"/>
  <c r="I104" i="26"/>
  <c r="L82" i="21"/>
  <c r="M82" i="21" s="1"/>
  <c r="N35" i="5"/>
  <c r="C108" i="26"/>
  <c r="O36" i="5"/>
  <c r="G72" i="21"/>
  <c r="F72" i="21"/>
  <c r="D72" i="21"/>
  <c r="C72" i="21"/>
  <c r="M10" i="9"/>
  <c r="L10" i="9"/>
  <c r="V25" i="3"/>
  <c r="G30" i="7"/>
  <c r="H36" i="5"/>
  <c r="T10" i="9"/>
  <c r="U10" i="9"/>
  <c r="J36" i="5"/>
  <c r="L27" i="5"/>
  <c r="N27" i="5" s="1"/>
  <c r="K36" i="5"/>
  <c r="I36" i="5"/>
  <c r="V10" i="9"/>
  <c r="J131" i="21"/>
  <c r="K131" i="21" s="1"/>
  <c r="K127" i="21"/>
  <c r="G175" i="21"/>
  <c r="U230" i="21"/>
  <c r="Q132" i="21"/>
  <c r="Q137" i="21"/>
  <c r="Q27" i="3"/>
  <c r="J132" i="21"/>
  <c r="M83" i="21"/>
  <c r="L84" i="21"/>
  <c r="L33" i="5"/>
  <c r="G36" i="5"/>
  <c r="L36" i="5" s="1"/>
  <c r="G37" i="5"/>
  <c r="L37" i="5" s="1"/>
  <c r="L14" i="3"/>
  <c r="L10" i="3"/>
  <c r="L11" i="3"/>
  <c r="D42" i="3"/>
  <c r="D54" i="3" s="1"/>
  <c r="G14" i="3"/>
  <c r="G11" i="3"/>
  <c r="G10" i="3"/>
  <c r="G7" i="3"/>
  <c r="D30" i="2"/>
  <c r="E30" i="2"/>
  <c r="F30" i="2"/>
  <c r="C30" i="2"/>
  <c r="D29" i="2"/>
  <c r="E29" i="2"/>
  <c r="F29" i="2"/>
  <c r="C29" i="2"/>
  <c r="D28" i="2"/>
  <c r="E28" i="2"/>
  <c r="F28" i="2"/>
  <c r="C28" i="2"/>
  <c r="D42" i="2"/>
  <c r="E42" i="2"/>
  <c r="F42" i="2"/>
  <c r="F44" i="2" s="1"/>
  <c r="G42" i="2"/>
  <c r="D40" i="2"/>
  <c r="E40" i="2"/>
  <c r="F40" i="2"/>
  <c r="D39" i="2"/>
  <c r="F39" i="2"/>
  <c r="D38" i="2"/>
  <c r="E38" i="2"/>
  <c r="F38" i="2"/>
  <c r="E37" i="2"/>
  <c r="F37" i="2"/>
  <c r="C40" i="2"/>
  <c r="C39" i="2"/>
  <c r="C38" i="2"/>
  <c r="C37" i="2"/>
  <c r="D36" i="2"/>
  <c r="E36" i="2"/>
  <c r="F36" i="2"/>
  <c r="C36" i="2"/>
  <c r="F35" i="2"/>
  <c r="E35" i="2"/>
  <c r="D35" i="2"/>
  <c r="C35" i="2"/>
  <c r="D34" i="2"/>
  <c r="E34" i="2"/>
  <c r="F34" i="2"/>
  <c r="C34" i="2"/>
  <c r="D33" i="2"/>
  <c r="E33" i="2"/>
  <c r="F33" i="2"/>
  <c r="C33" i="2"/>
  <c r="D32" i="2"/>
  <c r="E32" i="2"/>
  <c r="F32" i="2"/>
  <c r="C32" i="2"/>
  <c r="F31" i="2"/>
  <c r="D31" i="2"/>
  <c r="E31" i="2"/>
  <c r="C31" i="2"/>
  <c r="G29" i="2"/>
  <c r="G30" i="2"/>
  <c r="G28" i="2"/>
  <c r="G33" i="2"/>
  <c r="L17" i="2"/>
  <c r="L16" i="2"/>
  <c r="L280" i="21"/>
  <c r="C18" i="2"/>
  <c r="G16" i="2"/>
  <c r="G15" i="2"/>
  <c r="E41" i="2"/>
  <c r="E15" i="14"/>
  <c r="E19" i="14"/>
  <c r="S221" i="9" s="1"/>
  <c r="D15" i="14"/>
  <c r="D17" i="14"/>
  <c r="D18" i="14"/>
  <c r="C15" i="14"/>
  <c r="C17" i="14"/>
  <c r="C18" i="14"/>
  <c r="K221" i="9"/>
  <c r="E14" i="14"/>
  <c r="C14" i="14"/>
  <c r="I107" i="26" l="1"/>
  <c r="C111" i="26"/>
  <c r="R54" i="3"/>
  <c r="R56" i="3" s="1"/>
  <c r="R45" i="3"/>
  <c r="R47" i="3" s="1"/>
  <c r="D66" i="26"/>
  <c r="F66" i="26"/>
  <c r="C66" i="26"/>
  <c r="B66" i="26"/>
  <c r="I105" i="26"/>
  <c r="F111" i="26"/>
  <c r="H102" i="26"/>
  <c r="N37" i="5"/>
  <c r="H108" i="26"/>
  <c r="N36" i="5"/>
  <c r="C109" i="26"/>
  <c r="I108" i="26"/>
  <c r="H100" i="26"/>
  <c r="N33" i="5"/>
  <c r="L18" i="2"/>
  <c r="J50" i="21"/>
  <c r="K50" i="21" s="1"/>
  <c r="J48" i="21"/>
  <c r="J49" i="21" s="1"/>
  <c r="L25" i="3"/>
  <c r="G35" i="2"/>
  <c r="G37" i="2"/>
  <c r="L279" i="21"/>
  <c r="L286" i="21" s="1"/>
  <c r="M287" i="21" s="1"/>
  <c r="G36" i="2"/>
  <c r="G34" i="2"/>
  <c r="G8" i="3"/>
  <c r="O37" i="3" s="1"/>
  <c r="E129" i="21"/>
  <c r="F129" i="21" s="1"/>
  <c r="F173" i="21"/>
  <c r="E130" i="21"/>
  <c r="F130" i="21" s="1"/>
  <c r="C173" i="21"/>
  <c r="Y129" i="21"/>
  <c r="Z129" i="21" s="1"/>
  <c r="F172" i="21"/>
  <c r="F177" i="21" s="1"/>
  <c r="Y130" i="21"/>
  <c r="Z130" i="21" s="1"/>
  <c r="C172" i="21"/>
  <c r="Y127" i="21"/>
  <c r="E172" i="21"/>
  <c r="Y128" i="21"/>
  <c r="Z128" i="21" s="1"/>
  <c r="B172" i="21"/>
  <c r="D41" i="2"/>
  <c r="N280" i="21"/>
  <c r="G39" i="2"/>
  <c r="K132" i="21"/>
  <c r="J137" i="21"/>
  <c r="F42" i="3"/>
  <c r="F54" i="3" s="1"/>
  <c r="J51" i="21"/>
  <c r="G39" i="3"/>
  <c r="F41" i="2"/>
  <c r="E42" i="3"/>
  <c r="E54" i="3" s="1"/>
  <c r="C42" i="3"/>
  <c r="C54" i="3" s="1"/>
  <c r="G43" i="3"/>
  <c r="L43" i="3" s="1"/>
  <c r="I42" i="3"/>
  <c r="I54" i="3" s="1"/>
  <c r="C41" i="2"/>
  <c r="Y132" i="21"/>
  <c r="X67" i="9"/>
  <c r="X31" i="9"/>
  <c r="B66" i="24" s="1"/>
  <c r="G66" i="26" l="1"/>
  <c r="F112" i="26"/>
  <c r="F113" i="26" s="1"/>
  <c r="I111" i="26"/>
  <c r="C119" i="26"/>
  <c r="E119" i="26" s="1"/>
  <c r="H103" i="26"/>
  <c r="C120" i="26" s="1"/>
  <c r="E120" i="26" s="1"/>
  <c r="I109" i="26"/>
  <c r="C110" i="26"/>
  <c r="I110" i="26" s="1"/>
  <c r="C112" i="26"/>
  <c r="H109" i="26"/>
  <c r="C126" i="26" s="1"/>
  <c r="E126" i="26" s="1"/>
  <c r="C125" i="26"/>
  <c r="E125" i="26" s="1"/>
  <c r="H101" i="26"/>
  <c r="C117" i="26"/>
  <c r="K48" i="21"/>
  <c r="AL129" i="21"/>
  <c r="M152" i="21" s="1"/>
  <c r="L39" i="3"/>
  <c r="F56" i="3"/>
  <c r="C56" i="3"/>
  <c r="J42" i="3"/>
  <c r="J54" i="3" s="1"/>
  <c r="J56" i="21"/>
  <c r="AM129" i="21"/>
  <c r="AN129" i="21" s="1"/>
  <c r="O152" i="21" s="1"/>
  <c r="AM130" i="21"/>
  <c r="AN130" i="21" s="1"/>
  <c r="O153" i="21" s="1"/>
  <c r="C177" i="21"/>
  <c r="AL130" i="21"/>
  <c r="M153" i="21" s="1"/>
  <c r="H42" i="3"/>
  <c r="H54" i="3" s="1"/>
  <c r="G172" i="21"/>
  <c r="Z132" i="21"/>
  <c r="Y137" i="21"/>
  <c r="Z137" i="21" s="1"/>
  <c r="Z127" i="21"/>
  <c r="Y131" i="21"/>
  <c r="Z131" i="21" s="1"/>
  <c r="D56" i="3"/>
  <c r="K42" i="3"/>
  <c r="K54" i="3" s="1"/>
  <c r="H35" i="21"/>
  <c r="X175" i="9"/>
  <c r="X139" i="9"/>
  <c r="C113" i="26" l="1"/>
  <c r="I113" i="26" s="1"/>
  <c r="I112" i="26"/>
  <c r="E117" i="26"/>
  <c r="C118" i="26"/>
  <c r="E118" i="26" s="1"/>
  <c r="H110" i="26"/>
  <c r="C127" i="26" s="1"/>
  <c r="E127" i="26" s="1"/>
  <c r="H56" i="3"/>
  <c r="N152" i="21"/>
  <c r="S152" i="21" s="1"/>
  <c r="J56" i="3"/>
  <c r="J57" i="21"/>
  <c r="J58" i="21" s="1"/>
  <c r="K56" i="21"/>
  <c r="N153" i="21"/>
  <c r="E56" i="3"/>
  <c r="K56" i="3"/>
  <c r="X103" i="9"/>
  <c r="Y31" i="9" s="1"/>
  <c r="I56" i="3"/>
  <c r="M73" i="21" l="1"/>
  <c r="L73" i="21"/>
  <c r="K73" i="21"/>
  <c r="J73" i="21"/>
  <c r="J74" i="21" s="1"/>
  <c r="I73" i="21"/>
  <c r="M71" i="21"/>
  <c r="L71" i="21"/>
  <c r="K71" i="21"/>
  <c r="J71" i="21"/>
  <c r="I71" i="21"/>
  <c r="M69" i="21"/>
  <c r="L69" i="21"/>
  <c r="J69" i="21"/>
  <c r="I69" i="21"/>
  <c r="M67" i="21"/>
  <c r="L67" i="21"/>
  <c r="K67" i="21"/>
  <c r="J67" i="21"/>
  <c r="I67" i="21"/>
  <c r="M65" i="21"/>
  <c r="L65" i="21"/>
  <c r="K65" i="21"/>
  <c r="I65" i="21"/>
  <c r="N72" i="21"/>
  <c r="N68" i="21"/>
  <c r="N66" i="21"/>
  <c r="N70" i="21"/>
  <c r="G287" i="21"/>
  <c r="J75" i="21" l="1"/>
  <c r="N78" i="21"/>
  <c r="I76" i="21"/>
  <c r="I75" i="21"/>
  <c r="I74" i="21"/>
  <c r="K74" i="21"/>
  <c r="K75" i="21"/>
  <c r="M75" i="21"/>
  <c r="M74" i="21"/>
  <c r="L74" i="21"/>
  <c r="L75" i="21"/>
  <c r="K76" i="21"/>
  <c r="N69" i="21"/>
  <c r="M76" i="21"/>
  <c r="N65" i="21"/>
  <c r="J76" i="21"/>
  <c r="N67" i="21"/>
  <c r="L76" i="21"/>
  <c r="N71" i="21"/>
  <c r="N73" i="21"/>
  <c r="S57" i="21"/>
  <c r="S56" i="21"/>
  <c r="N79" i="21" l="1"/>
  <c r="N80" i="21" s="1"/>
  <c r="N75" i="21"/>
  <c r="N74" i="21"/>
  <c r="N76" i="21"/>
  <c r="N77" i="21" s="1"/>
  <c r="S58" i="21"/>
  <c r="H49" i="21"/>
  <c r="G19" i="11" l="1"/>
  <c r="G20" i="11"/>
  <c r="G21" i="11"/>
  <c r="G22" i="11"/>
  <c r="G23" i="11"/>
  <c r="Z15" i="9" s="1"/>
  <c r="K199" i="9" l="1"/>
  <c r="G24" i="11"/>
  <c r="X199" i="9" l="1"/>
  <c r="P9" i="18"/>
  <c r="Q9" i="18"/>
  <c r="S9" i="18"/>
  <c r="V194" i="9"/>
  <c r="V202" i="9" s="1"/>
  <c r="S27" i="9" l="1"/>
  <c r="K27" i="9"/>
  <c r="T194" i="9"/>
  <c r="T202" i="9" s="1"/>
  <c r="U194" i="9"/>
  <c r="U202" i="9" s="1"/>
  <c r="R38" i="16"/>
  <c r="N38" i="16"/>
  <c r="J38" i="16"/>
  <c r="O27" i="9" l="1"/>
  <c r="X64" i="9"/>
  <c r="W27" i="9"/>
  <c r="R39" i="16"/>
  <c r="W193" i="9"/>
  <c r="S38" i="16"/>
  <c r="W194" i="9"/>
  <c r="X194" i="9" s="1"/>
  <c r="T12" i="9"/>
  <c r="V123" i="9"/>
  <c r="U123" i="9"/>
  <c r="T123" i="9"/>
  <c r="R123" i="9"/>
  <c r="Q123" i="9"/>
  <c r="P123" i="9"/>
  <c r="L123" i="9"/>
  <c r="J123" i="9"/>
  <c r="I123" i="9"/>
  <c r="V87" i="9"/>
  <c r="U87" i="9"/>
  <c r="T87" i="9"/>
  <c r="R87" i="9"/>
  <c r="Q87" i="9"/>
  <c r="P87" i="9"/>
  <c r="N87" i="9"/>
  <c r="M87" i="9"/>
  <c r="L87" i="9"/>
  <c r="H87" i="9"/>
  <c r="V51" i="9"/>
  <c r="U51" i="9"/>
  <c r="T51" i="9"/>
  <c r="R51" i="9"/>
  <c r="Q51" i="9"/>
  <c r="P51" i="9"/>
  <c r="N51" i="9"/>
  <c r="M51" i="9"/>
  <c r="L51" i="9"/>
  <c r="J51" i="9"/>
  <c r="I51" i="9"/>
  <c r="H51" i="9"/>
  <c r="W202" i="9" l="1"/>
  <c r="X193" i="9"/>
  <c r="X27" i="9"/>
  <c r="J54" i="21"/>
  <c r="H1" i="9"/>
  <c r="T1" i="9"/>
  <c r="I1" i="9"/>
  <c r="L1" i="9"/>
  <c r="K87" i="9"/>
  <c r="P1" i="9"/>
  <c r="J1" i="9"/>
  <c r="S123" i="9"/>
  <c r="O51" i="9"/>
  <c r="X195" i="9"/>
  <c r="W123" i="9"/>
  <c r="O123" i="9"/>
  <c r="K123" i="9"/>
  <c r="W87" i="9"/>
  <c r="S87" i="9"/>
  <c r="O87" i="9"/>
  <c r="W51" i="9"/>
  <c r="S51" i="9"/>
  <c r="K51" i="9"/>
  <c r="K107" i="9"/>
  <c r="O107" i="9"/>
  <c r="S107" i="9"/>
  <c r="W107" i="9"/>
  <c r="X202" i="9" l="1"/>
  <c r="B117" i="24" s="1"/>
  <c r="W219" i="9"/>
  <c r="Y202" i="9"/>
  <c r="Y219" i="9" s="1"/>
  <c r="K54" i="21"/>
  <c r="J55" i="21"/>
  <c r="Q50" i="21"/>
  <c r="F70" i="21"/>
  <c r="C70" i="21"/>
  <c r="D70" i="21"/>
  <c r="S1" i="9"/>
  <c r="O1" i="9"/>
  <c r="K1" i="9"/>
  <c r="W1" i="9"/>
  <c r="C35" i="21"/>
  <c r="G35" i="21"/>
  <c r="X87" i="9"/>
  <c r="X123" i="9"/>
  <c r="X51" i="9"/>
  <c r="F35" i="21"/>
  <c r="D35" i="21"/>
  <c r="X107" i="9"/>
  <c r="G264" i="21"/>
  <c r="F264" i="21"/>
  <c r="E264" i="21"/>
  <c r="D264" i="21"/>
  <c r="C264" i="21"/>
  <c r="B264" i="21"/>
  <c r="W221" i="9" l="1"/>
  <c r="X219" i="9"/>
  <c r="B126" i="24" s="1"/>
  <c r="X1" i="9"/>
  <c r="N45" i="21" l="1"/>
  <c r="N44" i="21"/>
  <c r="T178" i="13" l="1"/>
  <c r="B27" i="21"/>
  <c r="AL9" i="9"/>
  <c r="S178" i="13" l="1"/>
  <c r="G73" i="21"/>
  <c r="F73" i="21"/>
  <c r="E73" i="21"/>
  <c r="C73" i="21"/>
  <c r="F71" i="21"/>
  <c r="E71" i="21"/>
  <c r="D71" i="21"/>
  <c r="C71" i="21"/>
  <c r="G69" i="21"/>
  <c r="F69" i="21"/>
  <c r="C69" i="21"/>
  <c r="G67" i="21"/>
  <c r="F67" i="21"/>
  <c r="E67" i="21"/>
  <c r="D67" i="21"/>
  <c r="C67" i="21"/>
  <c r="G65" i="21"/>
  <c r="F65" i="21"/>
  <c r="E65" i="21"/>
  <c r="D65" i="21"/>
  <c r="C65" i="21"/>
  <c r="O50" i="21"/>
  <c r="N50" i="21"/>
  <c r="O49" i="21"/>
  <c r="N49" i="21"/>
  <c r="O51" i="21" l="1"/>
  <c r="H65" i="21"/>
  <c r="N51" i="21"/>
  <c r="C74" i="21"/>
  <c r="H72" i="21"/>
  <c r="D75" i="21"/>
  <c r="H67" i="21"/>
  <c r="G75" i="21"/>
  <c r="G76" i="21" s="1"/>
  <c r="G77" i="21" s="1"/>
  <c r="E75" i="21"/>
  <c r="E76" i="21" s="1"/>
  <c r="E74" i="21"/>
  <c r="H69" i="21"/>
  <c r="P69" i="21" s="1"/>
  <c r="F75" i="21"/>
  <c r="F76" i="21" s="1"/>
  <c r="F77" i="21" s="1"/>
  <c r="F74" i="21"/>
  <c r="H71" i="21"/>
  <c r="H64" i="21"/>
  <c r="G74" i="21"/>
  <c r="H66" i="21"/>
  <c r="C75" i="21"/>
  <c r="C76" i="21" s="1"/>
  <c r="C77" i="21" s="1"/>
  <c r="D73" i="21"/>
  <c r="D74" i="21" s="1"/>
  <c r="H70" i="21"/>
  <c r="J78" i="21" l="1"/>
  <c r="G78" i="21"/>
  <c r="H79" i="21"/>
  <c r="I79" i="21" s="1"/>
  <c r="F78" i="21"/>
  <c r="E77" i="21"/>
  <c r="D80" i="21"/>
  <c r="G79" i="21"/>
  <c r="L77" i="21"/>
  <c r="P75" i="21"/>
  <c r="T69" i="21"/>
  <c r="P76" i="21"/>
  <c r="H75" i="21"/>
  <c r="D76" i="21"/>
  <c r="H74" i="21"/>
  <c r="F80" i="21" s="1"/>
  <c r="H73" i="21"/>
  <c r="F79" i="21" s="1"/>
  <c r="H55" i="21"/>
  <c r="H53" i="21"/>
  <c r="G53" i="21"/>
  <c r="F53" i="21"/>
  <c r="H51" i="21"/>
  <c r="G51" i="21"/>
  <c r="F51" i="21"/>
  <c r="D78" i="21" l="1"/>
  <c r="C80" i="21"/>
  <c r="H76" i="21"/>
  <c r="H77" i="21" s="1"/>
  <c r="I77" i="21" s="1"/>
  <c r="D77" i="21"/>
  <c r="T75" i="21"/>
  <c r="T76" i="21"/>
  <c r="I51" i="21"/>
  <c r="K51" i="21" s="1"/>
  <c r="I55" i="21"/>
  <c r="K55" i="21" s="1"/>
  <c r="X249" i="21"/>
  <c r="W249" i="21"/>
  <c r="U249" i="21"/>
  <c r="V252" i="21"/>
  <c r="G80" i="21" l="1"/>
  <c r="I298" i="21"/>
  <c r="J296" i="21"/>
  <c r="J295" i="21"/>
  <c r="J294" i="21"/>
  <c r="J293" i="21"/>
  <c r="J292" i="21"/>
  <c r="J291" i="21"/>
  <c r="H57" i="21"/>
  <c r="I44" i="21" s="1"/>
  <c r="G57" i="21"/>
  <c r="F57" i="21"/>
  <c r="E57" i="21"/>
  <c r="D57" i="21"/>
  <c r="C57" i="21"/>
  <c r="J298" i="21" l="1"/>
  <c r="P50" i="21"/>
  <c r="R50" i="21" s="1"/>
  <c r="I49" i="21"/>
  <c r="I57" i="21"/>
  <c r="H59" i="21"/>
  <c r="H60" i="21" s="1"/>
  <c r="I43" i="21" s="1"/>
  <c r="G49" i="21"/>
  <c r="G59" i="21" s="1"/>
  <c r="G60" i="21" s="1"/>
  <c r="F49" i="21"/>
  <c r="F59" i="21" s="1"/>
  <c r="F60" i="21" s="1"/>
  <c r="E49" i="21"/>
  <c r="E59" i="21" s="1"/>
  <c r="E60" i="21" s="1"/>
  <c r="D49" i="21"/>
  <c r="D59" i="21" s="1"/>
  <c r="D60" i="21" s="1"/>
  <c r="K49" i="21" l="1"/>
  <c r="K57" i="21"/>
  <c r="I45" i="21"/>
  <c r="I58" i="21"/>
  <c r="K58" i="21" s="1"/>
  <c r="C49" i="21"/>
  <c r="D58" i="21"/>
  <c r="C58" i="21" l="1"/>
  <c r="C59" i="21"/>
  <c r="C60" i="21" s="1"/>
  <c r="F58" i="21"/>
  <c r="E58" i="21"/>
  <c r="E247" i="21"/>
  <c r="E242" i="21"/>
  <c r="E245" i="21" s="1"/>
  <c r="D248" i="21"/>
  <c r="E248" i="21" s="1"/>
  <c r="D249" i="21"/>
  <c r="E249" i="21" s="1"/>
  <c r="E251" i="21"/>
  <c r="D252" i="21"/>
  <c r="E252" i="21" s="1"/>
  <c r="K286" i="21"/>
  <c r="I286" i="21"/>
  <c r="J286" i="21"/>
  <c r="C283" i="21"/>
  <c r="E253" i="21" l="1"/>
  <c r="H58" i="21"/>
  <c r="G58" i="21"/>
  <c r="J84" i="21"/>
  <c r="M84" i="21" s="1"/>
  <c r="B247" i="21"/>
  <c r="B248" i="21"/>
  <c r="B249" i="21"/>
  <c r="B251" i="21"/>
  <c r="B252" i="21"/>
  <c r="O233" i="21" l="1"/>
  <c r="O230" i="21"/>
  <c r="V230" i="21" s="1"/>
  <c r="G220" i="21"/>
  <c r="H220" i="21" l="1"/>
  <c r="I220" i="21"/>
  <c r="K160" i="21" l="1"/>
  <c r="K150" i="21"/>
  <c r="K151" i="21"/>
  <c r="K152" i="21"/>
  <c r="K153" i="21"/>
  <c r="K154" i="21"/>
  <c r="K155" i="21"/>
  <c r="K156" i="21"/>
  <c r="K157" i="21"/>
  <c r="K158" i="21"/>
  <c r="K159" i="21"/>
  <c r="K149" i="21"/>
  <c r="P104" i="21" l="1"/>
  <c r="AM104" i="21" s="1"/>
  <c r="AK127" i="21" s="1"/>
  <c r="P105" i="21"/>
  <c r="AM105" i="21" s="1"/>
  <c r="AK128" i="21" s="1"/>
  <c r="P106" i="21"/>
  <c r="AM106" i="21" s="1"/>
  <c r="AK129" i="21" s="1"/>
  <c r="AO129" i="21" s="1"/>
  <c r="P152" i="21" s="1"/>
  <c r="P107" i="21"/>
  <c r="AM107" i="21" s="1"/>
  <c r="AK130" i="21" s="1"/>
  <c r="AO130" i="21" s="1"/>
  <c r="P153" i="21" s="1"/>
  <c r="P108" i="21"/>
  <c r="P109" i="21"/>
  <c r="P110" i="21"/>
  <c r="P111" i="21"/>
  <c r="P112" i="21"/>
  <c r="P113" i="21"/>
  <c r="P103" i="21"/>
  <c r="Z108" i="21" l="1"/>
  <c r="Z106" i="21"/>
  <c r="Z105" i="21"/>
  <c r="Z104" i="21"/>
  <c r="Q108" i="21"/>
  <c r="Q109" i="21"/>
  <c r="Q110" i="21"/>
  <c r="Q112" i="21"/>
  <c r="Q113" i="21"/>
  <c r="Q106" i="21"/>
  <c r="Q105" i="21"/>
  <c r="Q104" i="21"/>
  <c r="Q103" i="21"/>
  <c r="P114" i="21"/>
  <c r="D112" i="21"/>
  <c r="D111" i="21"/>
  <c r="AA101" i="21"/>
  <c r="AA105" i="21"/>
  <c r="AA106" i="21"/>
  <c r="AA107" i="21"/>
  <c r="AA104" i="21"/>
  <c r="AA103" i="21"/>
  <c r="AE107" i="21"/>
  <c r="AB114" i="21"/>
  <c r="AB113" i="21"/>
  <c r="AB112" i="21"/>
  <c r="AB111" i="21"/>
  <c r="AB110" i="21"/>
  <c r="AG132" i="21" l="1"/>
  <c r="AD112" i="21"/>
  <c r="AD113" i="21"/>
  <c r="AD110" i="21"/>
  <c r="AA112" i="21"/>
  <c r="AE111" i="21"/>
  <c r="AA111" i="21"/>
  <c r="Z109" i="21"/>
  <c r="Y114" i="21"/>
  <c r="Z107" i="21"/>
  <c r="AH114" i="21"/>
  <c r="W114" i="21"/>
  <c r="M114" i="21"/>
  <c r="L114" i="21"/>
  <c r="H114" i="21"/>
  <c r="G114" i="21"/>
  <c r="C114" i="21"/>
  <c r="B114" i="21"/>
  <c r="AH112" i="21"/>
  <c r="W112" i="21"/>
  <c r="V112" i="21"/>
  <c r="M112" i="21"/>
  <c r="L112" i="21"/>
  <c r="H112" i="21"/>
  <c r="G112" i="21"/>
  <c r="C112" i="21"/>
  <c r="B112" i="21"/>
  <c r="AH111" i="21"/>
  <c r="W111" i="21"/>
  <c r="V111" i="21"/>
  <c r="M111" i="21"/>
  <c r="H111" i="21"/>
  <c r="G111" i="21"/>
  <c r="C111" i="21"/>
  <c r="B111" i="21"/>
  <c r="AH110" i="21"/>
  <c r="W110" i="21"/>
  <c r="M110" i="21"/>
  <c r="L110" i="21"/>
  <c r="H110" i="21"/>
  <c r="G110" i="21"/>
  <c r="C110" i="21"/>
  <c r="B110" i="21"/>
  <c r="V109" i="21"/>
  <c r="AI108" i="21"/>
  <c r="AH108" i="21"/>
  <c r="AH113" i="21" s="1"/>
  <c r="W108" i="21"/>
  <c r="W113" i="21" s="1"/>
  <c r="M108" i="21"/>
  <c r="M113" i="21" s="1"/>
  <c r="L108" i="21"/>
  <c r="L113" i="21" s="1"/>
  <c r="H108" i="21"/>
  <c r="G108" i="21"/>
  <c r="G113" i="21" s="1"/>
  <c r="C108" i="21"/>
  <c r="C113" i="21" s="1"/>
  <c r="B108" i="21"/>
  <c r="B113" i="21" s="1"/>
  <c r="AG105" i="21"/>
  <c r="AJ101" i="21"/>
  <c r="AF101" i="21"/>
  <c r="X101" i="21"/>
  <c r="N101" i="21"/>
  <c r="I101" i="21"/>
  <c r="D101" i="21"/>
  <c r="V114" i="21" l="1"/>
  <c r="V110" i="21"/>
  <c r="AF111" i="21"/>
  <c r="AF109" i="21"/>
  <c r="AF114" i="21" s="1"/>
  <c r="AF112" i="21"/>
  <c r="AI113" i="21"/>
  <c r="AF108" i="21"/>
  <c r="H113" i="21"/>
  <c r="V108" i="21"/>
  <c r="V113" i="21" s="1"/>
  <c r="D206" i="21"/>
  <c r="E206" i="21" s="1"/>
  <c r="AE106" i="21"/>
  <c r="AE105" i="21"/>
  <c r="H85" i="21"/>
  <c r="G85" i="21"/>
  <c r="F85" i="21"/>
  <c r="E85" i="21"/>
  <c r="G84" i="21"/>
  <c r="F84" i="21"/>
  <c r="E84" i="21"/>
  <c r="D84" i="21"/>
  <c r="C84" i="21"/>
  <c r="H83" i="21"/>
  <c r="H82" i="21"/>
  <c r="K82" i="21" s="1"/>
  <c r="I21" i="21"/>
  <c r="I19" i="21"/>
  <c r="E19" i="21"/>
  <c r="J16" i="21"/>
  <c r="J17" i="21" s="1"/>
  <c r="H16" i="21"/>
  <c r="H17" i="21" s="1"/>
  <c r="G16" i="21"/>
  <c r="G20" i="21" s="1"/>
  <c r="F16" i="21"/>
  <c r="E16" i="21"/>
  <c r="D16" i="21"/>
  <c r="D20" i="21" s="1"/>
  <c r="D23" i="21" s="1"/>
  <c r="C16" i="21"/>
  <c r="C20" i="21" s="1"/>
  <c r="I15" i="21"/>
  <c r="AG204" i="13" s="1"/>
  <c r="C298" i="21"/>
  <c r="H286" i="21"/>
  <c r="G286" i="21"/>
  <c r="F286" i="21"/>
  <c r="E286" i="21"/>
  <c r="D286" i="21"/>
  <c r="C286" i="21"/>
  <c r="H283" i="21"/>
  <c r="F283" i="21"/>
  <c r="E283" i="21"/>
  <c r="D283" i="21"/>
  <c r="C242" i="21"/>
  <c r="C252" i="21" s="1"/>
  <c r="C244" i="21"/>
  <c r="C243" i="21"/>
  <c r="C251" i="21" s="1"/>
  <c r="C241" i="21"/>
  <c r="C249" i="21" s="1"/>
  <c r="C240" i="21"/>
  <c r="C248" i="21" s="1"/>
  <c r="C239" i="21"/>
  <c r="C221" i="21"/>
  <c r="C224" i="21" s="1"/>
  <c r="C225" i="21" s="1"/>
  <c r="E224" i="21"/>
  <c r="D219" i="21"/>
  <c r="D221" i="21" s="1"/>
  <c r="D224" i="21" s="1"/>
  <c r="D225" i="21" s="1"/>
  <c r="E20" i="21" l="1"/>
  <c r="E23" i="21" s="1"/>
  <c r="C247" i="21"/>
  <c r="C250" i="21"/>
  <c r="C253" i="21" s="1"/>
  <c r="F20" i="21"/>
  <c r="F18" i="21"/>
  <c r="F17" i="21"/>
  <c r="K15" i="21"/>
  <c r="K19" i="21"/>
  <c r="K14" i="21"/>
  <c r="I83" i="21"/>
  <c r="K83" i="21"/>
  <c r="E225" i="21"/>
  <c r="J18" i="21"/>
  <c r="AA109" i="21"/>
  <c r="AG109" i="21" s="1"/>
  <c r="AA108" i="21"/>
  <c r="AG108" i="21" s="1"/>
  <c r="AF113" i="21"/>
  <c r="AF110" i="21"/>
  <c r="I85" i="21"/>
  <c r="H84" i="21"/>
  <c r="G23" i="21"/>
  <c r="H20" i="21"/>
  <c r="C245" i="21"/>
  <c r="AL97" i="21"/>
  <c r="AM97" i="21" s="1"/>
  <c r="AE109" i="21"/>
  <c r="AE108" i="21"/>
  <c r="I82" i="21"/>
  <c r="G21" i="21"/>
  <c r="G22" i="21"/>
  <c r="I16" i="21"/>
  <c r="H18" i="21"/>
  <c r="J20" i="21"/>
  <c r="AE104" i="21" l="1"/>
  <c r="AE112" i="21"/>
  <c r="F23" i="21"/>
  <c r="F22" i="21"/>
  <c r="F21" i="21"/>
  <c r="I84" i="21"/>
  <c r="K84" i="21"/>
  <c r="AE113" i="21"/>
  <c r="AE110" i="21"/>
  <c r="F225" i="21"/>
  <c r="AA110" i="21"/>
  <c r="AG110" i="21" s="1"/>
  <c r="AA114" i="21"/>
  <c r="AE114" i="21"/>
  <c r="AA113" i="21"/>
  <c r="D205" i="21"/>
  <c r="E205" i="21" s="1"/>
  <c r="E207" i="21" s="1"/>
  <c r="F207" i="21" s="1"/>
  <c r="AL99" i="21"/>
  <c r="AL98" i="21"/>
  <c r="AM98" i="21" s="1"/>
  <c r="J22" i="21"/>
  <c r="J21" i="21"/>
  <c r="K21" i="21" s="1"/>
  <c r="I18" i="21"/>
  <c r="I23" i="21"/>
  <c r="I20" i="21"/>
  <c r="K16" i="21"/>
  <c r="I17" i="21"/>
  <c r="K17" i="21" l="1"/>
  <c r="K20" i="21"/>
  <c r="I22" i="21"/>
  <c r="K18" i="21"/>
  <c r="AG113" i="21"/>
  <c r="AM99" i="21"/>
  <c r="K22" i="21" l="1"/>
  <c r="Q34" i="2" l="1"/>
  <c r="T34" i="2" s="1"/>
  <c r="AS16" i="9" l="1"/>
  <c r="AS15" i="9"/>
  <c r="AP20" i="9" l="1"/>
  <c r="R29" i="2" l="1"/>
  <c r="R30" i="2"/>
  <c r="R31" i="2"/>
  <c r="R32" i="2"/>
  <c r="R33" i="2"/>
  <c r="R34" i="2"/>
  <c r="R28" i="2"/>
  <c r="N9" i="18" l="1"/>
  <c r="I22" i="18" s="1"/>
  <c r="M9" i="18"/>
  <c r="L9" i="18"/>
  <c r="G22" i="18" s="1"/>
  <c r="O4" i="18"/>
  <c r="O5" i="18"/>
  <c r="O6" i="18"/>
  <c r="O7" i="18"/>
  <c r="O8" i="18"/>
  <c r="O10" i="18"/>
  <c r="K9" i="18"/>
  <c r="F22" i="18" s="1"/>
  <c r="O9" i="18" l="1"/>
  <c r="R9" i="18" l="1"/>
  <c r="H22" i="18" s="1"/>
  <c r="T10" i="18"/>
  <c r="J23" i="18" s="1"/>
  <c r="T8" i="18"/>
  <c r="J21" i="18" s="1"/>
  <c r="T7" i="18"/>
  <c r="T6" i="18"/>
  <c r="J19" i="18" s="1"/>
  <c r="T5" i="18"/>
  <c r="J18" i="18" s="1"/>
  <c r="T4" i="18"/>
  <c r="J17" i="18" s="1"/>
  <c r="T3" i="18"/>
  <c r="O3" i="18"/>
  <c r="J20" i="18" l="1"/>
  <c r="T9" i="18"/>
  <c r="J22" i="18" s="1"/>
  <c r="J16" i="18"/>
  <c r="S142" i="9" l="1"/>
  <c r="R47" i="9" l="1"/>
  <c r="R46" i="9"/>
  <c r="O178" i="9" l="1"/>
  <c r="N7" i="14" l="1"/>
  <c r="O7" i="14"/>
  <c r="P7" i="14"/>
  <c r="S7" i="14"/>
  <c r="I12" i="9" l="1"/>
  <c r="C43" i="2" l="1"/>
  <c r="W178" i="9" l="1"/>
  <c r="W176" i="9"/>
  <c r="S178" i="9"/>
  <c r="S176" i="9"/>
  <c r="O176" i="9"/>
  <c r="K178" i="9"/>
  <c r="K176" i="9"/>
  <c r="W140" i="9"/>
  <c r="W143" i="9"/>
  <c r="W142" i="9"/>
  <c r="S143" i="9"/>
  <c r="S140" i="9"/>
  <c r="O143" i="9"/>
  <c r="O142" i="9"/>
  <c r="K143" i="9"/>
  <c r="K142" i="9"/>
  <c r="O140" i="9"/>
  <c r="K140" i="9"/>
  <c r="W106" i="9"/>
  <c r="S106" i="9"/>
  <c r="O106" i="9"/>
  <c r="K106" i="9"/>
  <c r="W104" i="9"/>
  <c r="S104" i="9"/>
  <c r="O104" i="9"/>
  <c r="K104" i="9"/>
  <c r="W71" i="9"/>
  <c r="S71" i="9"/>
  <c r="O71" i="9"/>
  <c r="K71" i="9"/>
  <c r="W70" i="9"/>
  <c r="S70" i="9"/>
  <c r="O70" i="9"/>
  <c r="K70" i="9"/>
  <c r="W68" i="9"/>
  <c r="S68" i="9"/>
  <c r="O68" i="9"/>
  <c r="K68" i="9"/>
  <c r="X70" i="9" l="1"/>
  <c r="X68" i="9"/>
  <c r="W168" i="9"/>
  <c r="S168" i="9"/>
  <c r="O168" i="9"/>
  <c r="K168" i="9"/>
  <c r="W132" i="9"/>
  <c r="S132" i="9"/>
  <c r="O132" i="9"/>
  <c r="K132" i="9"/>
  <c r="O96" i="9"/>
  <c r="S96" i="9"/>
  <c r="W96" i="9"/>
  <c r="K96" i="9"/>
  <c r="K97" i="9" s="1"/>
  <c r="O60" i="9"/>
  <c r="S60" i="9"/>
  <c r="W60" i="9"/>
  <c r="K60" i="9"/>
  <c r="S22" i="9"/>
  <c r="S24" i="9" s="1"/>
  <c r="O22" i="9"/>
  <c r="O24" i="9" s="1"/>
  <c r="K22" i="9"/>
  <c r="K24" i="9" s="1"/>
  <c r="V158" i="9" l="1"/>
  <c r="U158" i="9"/>
  <c r="T158" i="9"/>
  <c r="V157" i="9"/>
  <c r="U157" i="9"/>
  <c r="T157" i="9"/>
  <c r="V155" i="9"/>
  <c r="U155" i="9"/>
  <c r="T155" i="9"/>
  <c r="V154" i="9"/>
  <c r="U154" i="9"/>
  <c r="T154" i="9"/>
  <c r="R158" i="9"/>
  <c r="Q158" i="9"/>
  <c r="P158" i="9"/>
  <c r="R157" i="9"/>
  <c r="Q157" i="9"/>
  <c r="P157" i="9"/>
  <c r="R155" i="9"/>
  <c r="Q155" i="9"/>
  <c r="P155" i="9"/>
  <c r="R154" i="9"/>
  <c r="Q154" i="9"/>
  <c r="P154" i="9"/>
  <c r="P166" i="9" s="1"/>
  <c r="N158" i="9"/>
  <c r="M158" i="9"/>
  <c r="L158" i="9"/>
  <c r="N157" i="9"/>
  <c r="M157" i="9"/>
  <c r="L157" i="9"/>
  <c r="N155" i="9"/>
  <c r="M155" i="9"/>
  <c r="N154" i="9"/>
  <c r="M154" i="9"/>
  <c r="L155" i="9"/>
  <c r="L154" i="9"/>
  <c r="L166" i="9" s="1"/>
  <c r="J157" i="9"/>
  <c r="I157" i="9"/>
  <c r="H157" i="9"/>
  <c r="J154" i="9"/>
  <c r="I154" i="9"/>
  <c r="J158" i="9"/>
  <c r="H158" i="9"/>
  <c r="J155" i="9"/>
  <c r="I158" i="9"/>
  <c r="I155" i="9"/>
  <c r="H155" i="9"/>
  <c r="H166" i="9" s="1"/>
  <c r="M122" i="9"/>
  <c r="L122" i="9"/>
  <c r="V121" i="9"/>
  <c r="U121" i="9"/>
  <c r="M121" i="9"/>
  <c r="L121" i="9"/>
  <c r="N118" i="9"/>
  <c r="V122" i="9"/>
  <c r="U122" i="9"/>
  <c r="T122" i="9"/>
  <c r="T121" i="9"/>
  <c r="V119" i="9"/>
  <c r="U119" i="9"/>
  <c r="T119" i="9"/>
  <c r="V118" i="9"/>
  <c r="U118" i="9"/>
  <c r="T118" i="9"/>
  <c r="T130" i="9" s="1"/>
  <c r="R122" i="9"/>
  <c r="Q122" i="9"/>
  <c r="P122" i="9"/>
  <c r="R121" i="9"/>
  <c r="Q121" i="9"/>
  <c r="P121" i="9"/>
  <c r="R119" i="9"/>
  <c r="Q119" i="9"/>
  <c r="P119" i="9"/>
  <c r="R118" i="9"/>
  <c r="Q118" i="9"/>
  <c r="P118" i="9"/>
  <c r="P130" i="9" s="1"/>
  <c r="N122" i="9"/>
  <c r="N121" i="9"/>
  <c r="N119" i="9"/>
  <c r="M119" i="9"/>
  <c r="M118" i="9"/>
  <c r="L119" i="9"/>
  <c r="L118" i="9"/>
  <c r="J121" i="9"/>
  <c r="J118" i="9"/>
  <c r="I121" i="9"/>
  <c r="I118" i="9"/>
  <c r="H121" i="9"/>
  <c r="H118" i="9"/>
  <c r="J119" i="9"/>
  <c r="I122" i="9"/>
  <c r="J122" i="9"/>
  <c r="I119" i="9"/>
  <c r="H122" i="9"/>
  <c r="H119" i="9"/>
  <c r="L130" i="9" l="1"/>
  <c r="T166" i="9"/>
  <c r="I130" i="9"/>
  <c r="Q130" i="9"/>
  <c r="U130" i="9"/>
  <c r="R130" i="9"/>
  <c r="V130" i="9"/>
  <c r="N130" i="9"/>
  <c r="M166" i="9"/>
  <c r="R166" i="9"/>
  <c r="V166" i="9"/>
  <c r="J166" i="9"/>
  <c r="Q166" i="9"/>
  <c r="U166" i="9"/>
  <c r="H130" i="9"/>
  <c r="J130" i="9"/>
  <c r="M130" i="9"/>
  <c r="I166" i="9"/>
  <c r="N166" i="9"/>
  <c r="O154" i="9"/>
  <c r="J83" i="9"/>
  <c r="I83" i="9"/>
  <c r="J82" i="9"/>
  <c r="I82" i="9"/>
  <c r="V86" i="9"/>
  <c r="U86" i="9"/>
  <c r="T86" i="9"/>
  <c r="V85" i="9"/>
  <c r="U85" i="9"/>
  <c r="T85" i="9"/>
  <c r="R86" i="9"/>
  <c r="Q86" i="9"/>
  <c r="P86" i="9"/>
  <c r="R85" i="9"/>
  <c r="Q85" i="9"/>
  <c r="P85" i="9"/>
  <c r="N86" i="9"/>
  <c r="M86" i="9"/>
  <c r="L86" i="9"/>
  <c r="N85" i="9"/>
  <c r="M85" i="9"/>
  <c r="L85" i="9"/>
  <c r="J86" i="9"/>
  <c r="I86" i="9"/>
  <c r="H86" i="9"/>
  <c r="V83" i="9"/>
  <c r="U83" i="9"/>
  <c r="T83" i="9"/>
  <c r="R83" i="9"/>
  <c r="Q83" i="9"/>
  <c r="P83" i="9"/>
  <c r="V82" i="9"/>
  <c r="U82" i="9"/>
  <c r="T82" i="9"/>
  <c r="R82" i="9"/>
  <c r="Q82" i="9"/>
  <c r="P82" i="9"/>
  <c r="P94" i="9" s="1"/>
  <c r="N83" i="9"/>
  <c r="N82" i="9"/>
  <c r="M83" i="9"/>
  <c r="M82" i="9"/>
  <c r="L83" i="9"/>
  <c r="H83" i="9"/>
  <c r="H82" i="9"/>
  <c r="L82" i="9"/>
  <c r="N50" i="9"/>
  <c r="V49" i="9"/>
  <c r="U49" i="9"/>
  <c r="R49" i="9"/>
  <c r="Q49" i="9"/>
  <c r="N49" i="9"/>
  <c r="M49" i="9"/>
  <c r="V50" i="9"/>
  <c r="U50" i="9"/>
  <c r="T50" i="9"/>
  <c r="R50" i="9"/>
  <c r="Q50" i="9"/>
  <c r="P50" i="9"/>
  <c r="M50" i="9"/>
  <c r="L50" i="9"/>
  <c r="J50" i="9"/>
  <c r="I50" i="9"/>
  <c r="J49" i="9"/>
  <c r="I49" i="9"/>
  <c r="T49" i="9"/>
  <c r="P49" i="9"/>
  <c r="L49" i="9"/>
  <c r="J46" i="9"/>
  <c r="I46" i="9"/>
  <c r="V47" i="9"/>
  <c r="U47" i="9"/>
  <c r="T47" i="9"/>
  <c r="Q47" i="9"/>
  <c r="P47" i="9"/>
  <c r="N47" i="9"/>
  <c r="M47" i="9"/>
  <c r="L47" i="9"/>
  <c r="J47" i="9"/>
  <c r="I47" i="9"/>
  <c r="V46" i="9"/>
  <c r="U46" i="9"/>
  <c r="Q46" i="9"/>
  <c r="N46" i="9"/>
  <c r="M46" i="9"/>
  <c r="T46" i="9"/>
  <c r="P46" i="9"/>
  <c r="L46" i="9"/>
  <c r="H46" i="9"/>
  <c r="H50" i="9"/>
  <c r="H49" i="9"/>
  <c r="H47" i="9"/>
  <c r="W163" i="9"/>
  <c r="S163" i="9"/>
  <c r="O163" i="9"/>
  <c r="W162" i="9"/>
  <c r="S162" i="9"/>
  <c r="O162" i="9"/>
  <c r="K163" i="9"/>
  <c r="K162" i="9"/>
  <c r="W127" i="9"/>
  <c r="S127" i="9"/>
  <c r="O127" i="9"/>
  <c r="K127" i="9"/>
  <c r="W126" i="9"/>
  <c r="S126" i="9"/>
  <c r="K126" i="9"/>
  <c r="W55" i="9"/>
  <c r="S55" i="9"/>
  <c r="O55" i="9"/>
  <c r="K55" i="9"/>
  <c r="W91" i="9"/>
  <c r="S91" i="9"/>
  <c r="O91" i="9"/>
  <c r="K91" i="9"/>
  <c r="V12" i="9"/>
  <c r="U12" i="9"/>
  <c r="R12" i="9"/>
  <c r="Q12" i="9"/>
  <c r="P12" i="9"/>
  <c r="M58" i="9" l="1"/>
  <c r="P58" i="9"/>
  <c r="Q58" i="9"/>
  <c r="T94" i="9"/>
  <c r="H58" i="9"/>
  <c r="V58" i="9"/>
  <c r="J58" i="9"/>
  <c r="H94" i="9"/>
  <c r="Q94" i="9"/>
  <c r="V94" i="9"/>
  <c r="I94" i="9"/>
  <c r="L94" i="9"/>
  <c r="M94" i="9"/>
  <c r="U94" i="9"/>
  <c r="N58" i="9"/>
  <c r="N94" i="9"/>
  <c r="R94" i="9"/>
  <c r="J94" i="9"/>
  <c r="L58" i="9"/>
  <c r="T58" i="9"/>
  <c r="U58" i="9"/>
  <c r="I58" i="9"/>
  <c r="R58" i="9"/>
  <c r="N12" i="9" l="1"/>
  <c r="M12" i="9"/>
  <c r="L12" i="9"/>
  <c r="J12" i="9"/>
  <c r="X178" i="9" l="1"/>
  <c r="X174" i="9"/>
  <c r="X173" i="9"/>
  <c r="X172" i="9"/>
  <c r="W169" i="9"/>
  <c r="S169" i="9"/>
  <c r="O169" i="9"/>
  <c r="K169" i="9"/>
  <c r="W159" i="9"/>
  <c r="S159" i="9"/>
  <c r="O159" i="9"/>
  <c r="W158" i="9"/>
  <c r="S158" i="9"/>
  <c r="W157" i="9"/>
  <c r="S157" i="9"/>
  <c r="O157" i="9"/>
  <c r="K157" i="9"/>
  <c r="X143" i="9"/>
  <c r="X142" i="9"/>
  <c r="X138" i="9"/>
  <c r="X137" i="9"/>
  <c r="X136" i="9"/>
  <c r="W133" i="9"/>
  <c r="K133" i="9"/>
  <c r="S133" i="9"/>
  <c r="O133" i="9"/>
  <c r="W122" i="9"/>
  <c r="S122" i="9"/>
  <c r="O122" i="9"/>
  <c r="K122" i="9"/>
  <c r="W121" i="9"/>
  <c r="S121" i="9"/>
  <c r="O121" i="9"/>
  <c r="K121" i="9"/>
  <c r="W119" i="9"/>
  <c r="X102" i="9"/>
  <c r="X101" i="9"/>
  <c r="X100" i="9"/>
  <c r="X98" i="9"/>
  <c r="O97" i="9"/>
  <c r="W97" i="9"/>
  <c r="S97" i="9"/>
  <c r="X95" i="9"/>
  <c r="X88" i="9"/>
  <c r="W86" i="9"/>
  <c r="S86" i="9"/>
  <c r="O86" i="9"/>
  <c r="K86" i="9"/>
  <c r="S85" i="9"/>
  <c r="K85" i="9"/>
  <c r="X84" i="9"/>
  <c r="X65" i="9"/>
  <c r="X62" i="9"/>
  <c r="S61" i="9"/>
  <c r="W61" i="9"/>
  <c r="O61" i="9"/>
  <c r="X60" i="9"/>
  <c r="Y61" i="9" s="1"/>
  <c r="X59" i="9"/>
  <c r="W50" i="9"/>
  <c r="S50" i="9"/>
  <c r="W49" i="9"/>
  <c r="S49" i="9"/>
  <c r="O49" i="9"/>
  <c r="K49" i="9"/>
  <c r="W47" i="9"/>
  <c r="O47" i="9"/>
  <c r="K47" i="9"/>
  <c r="X29" i="9"/>
  <c r="X28" i="9"/>
  <c r="B62" i="24" s="1"/>
  <c r="X22" i="9"/>
  <c r="X20" i="9"/>
  <c r="AU16" i="9"/>
  <c r="AT16" i="9"/>
  <c r="AT21" i="9" s="1"/>
  <c r="AS21" i="9"/>
  <c r="AR16" i="9"/>
  <c r="AR21" i="9" s="1"/>
  <c r="AQ16" i="9"/>
  <c r="AQ21" i="9" s="1"/>
  <c r="AP16" i="9"/>
  <c r="AP21" i="9" s="1"/>
  <c r="AO16" i="9"/>
  <c r="AO21" i="9" s="1"/>
  <c r="AU15" i="9"/>
  <c r="AT15" i="9"/>
  <c r="AT20" i="9" s="1"/>
  <c r="AS20" i="9"/>
  <c r="AR15" i="9"/>
  <c r="AR20" i="9" s="1"/>
  <c r="AQ15" i="9"/>
  <c r="AQ20" i="9" s="1"/>
  <c r="AO15" i="9"/>
  <c r="AO20" i="9" s="1"/>
  <c r="AT13" i="9"/>
  <c r="AS13" i="9"/>
  <c r="AR13" i="9"/>
  <c r="AQ13" i="9"/>
  <c r="AP13" i="9"/>
  <c r="AO13" i="9"/>
  <c r="AT12" i="9"/>
  <c r="AS12" i="9"/>
  <c r="AR12" i="9"/>
  <c r="AQ12" i="9"/>
  <c r="AP12" i="9"/>
  <c r="AO12" i="9"/>
  <c r="W12" i="9"/>
  <c r="S12" i="9"/>
  <c r="O12" i="9"/>
  <c r="K12" i="9"/>
  <c r="AT8" i="9"/>
  <c r="AS8" i="9"/>
  <c r="AR8" i="9"/>
  <c r="AQ8" i="9"/>
  <c r="AP8" i="9"/>
  <c r="AO8" i="9"/>
  <c r="AT7" i="9"/>
  <c r="AS7" i="9"/>
  <c r="AR7" i="9"/>
  <c r="AQ7" i="9"/>
  <c r="AP7" i="9"/>
  <c r="AO7" i="9"/>
  <c r="Y28" i="9" l="1"/>
  <c r="E34" i="21"/>
  <c r="Z27" i="9"/>
  <c r="Z28" i="9"/>
  <c r="Z29" i="9"/>
  <c r="K83" i="9"/>
  <c r="S47" i="9"/>
  <c r="X47" i="9" s="1"/>
  <c r="W83" i="9"/>
  <c r="S83" i="9"/>
  <c r="O83" i="9"/>
  <c r="O155" i="9"/>
  <c r="S46" i="9"/>
  <c r="X55" i="9"/>
  <c r="S82" i="9"/>
  <c r="K155" i="9"/>
  <c r="X54" i="9"/>
  <c r="W155" i="9"/>
  <c r="X91" i="9"/>
  <c r="X126" i="9"/>
  <c r="X127" i="9"/>
  <c r="S155" i="9"/>
  <c r="X162" i="9"/>
  <c r="X163" i="9"/>
  <c r="X169" i="9"/>
  <c r="C29" i="24" s="1"/>
  <c r="X157" i="9"/>
  <c r="X133" i="9"/>
  <c r="X122" i="9"/>
  <c r="X121" i="9"/>
  <c r="X86" i="9"/>
  <c r="X49" i="9"/>
  <c r="X12" i="9"/>
  <c r="O46" i="9"/>
  <c r="O50" i="9"/>
  <c r="X71" i="9"/>
  <c r="O82" i="9"/>
  <c r="W85" i="9"/>
  <c r="X168" i="9"/>
  <c r="Y169" i="9" s="1"/>
  <c r="K46" i="9"/>
  <c r="K50" i="9"/>
  <c r="K82" i="9"/>
  <c r="W46" i="9"/>
  <c r="W58" i="9" s="1"/>
  <c r="W82" i="9"/>
  <c r="O85" i="9"/>
  <c r="X90" i="9"/>
  <c r="X97" i="9"/>
  <c r="C27" i="24" s="1"/>
  <c r="X104" i="9"/>
  <c r="S119" i="9"/>
  <c r="X132" i="9"/>
  <c r="Y133" i="9" s="1"/>
  <c r="K154" i="9"/>
  <c r="O158" i="9"/>
  <c r="X179" i="9"/>
  <c r="K61" i="9"/>
  <c r="X61" i="9" s="1"/>
  <c r="C26" i="24" s="1"/>
  <c r="X106" i="9"/>
  <c r="O119" i="9"/>
  <c r="X140" i="9"/>
  <c r="W154" i="9"/>
  <c r="K158" i="9"/>
  <c r="X159" i="9"/>
  <c r="K119" i="9"/>
  <c r="S154" i="9"/>
  <c r="K118" i="9"/>
  <c r="O118" i="9"/>
  <c r="O130" i="9" s="1"/>
  <c r="S118" i="9"/>
  <c r="S130" i="9" s="1"/>
  <c r="W118" i="9"/>
  <c r="W130" i="9" s="1"/>
  <c r="X176" i="9"/>
  <c r="Z32" i="9" s="1"/>
  <c r="X96" i="9"/>
  <c r="Y97" i="9" s="1"/>
  <c r="B55" i="24" l="1"/>
  <c r="C76" i="26"/>
  <c r="B76" i="26" s="1"/>
  <c r="K94" i="9"/>
  <c r="X46" i="9"/>
  <c r="F30" i="21"/>
  <c r="AG179" i="13" s="1"/>
  <c r="C28" i="24"/>
  <c r="S58" i="9"/>
  <c r="S166" i="9"/>
  <c r="O166" i="9"/>
  <c r="W166" i="9"/>
  <c r="S94" i="9"/>
  <c r="O94" i="9"/>
  <c r="Y21" i="9"/>
  <c r="W94" i="9"/>
  <c r="K130" i="9"/>
  <c r="K166" i="9"/>
  <c r="O58" i="9"/>
  <c r="K58" i="9"/>
  <c r="Y35" i="9"/>
  <c r="Z34" i="9"/>
  <c r="Y34" i="9"/>
  <c r="Z22" i="9"/>
  <c r="Y22" i="9"/>
  <c r="Y24" i="9"/>
  <c r="Y32" i="9"/>
  <c r="Z35" i="9"/>
  <c r="Y16" i="9"/>
  <c r="Z12" i="9"/>
  <c r="Y12" i="9"/>
  <c r="Y15" i="9"/>
  <c r="D30" i="21"/>
  <c r="AG178" i="13" s="1"/>
  <c r="C30" i="21"/>
  <c r="AG177" i="13" s="1"/>
  <c r="Z24" i="9"/>
  <c r="Z16" i="9"/>
  <c r="Z21" i="9"/>
  <c r="Z133" i="9"/>
  <c r="Z169" i="9"/>
  <c r="G30" i="21"/>
  <c r="AG180" i="13" s="1"/>
  <c r="X50" i="9"/>
  <c r="Y58" i="9" s="1"/>
  <c r="X83" i="9"/>
  <c r="X85" i="9"/>
  <c r="X155" i="9"/>
  <c r="X119" i="9"/>
  <c r="X158" i="9"/>
  <c r="X154" i="9"/>
  <c r="Z97" i="9"/>
  <c r="X118" i="9"/>
  <c r="X82" i="9"/>
  <c r="Y130" i="9" l="1"/>
  <c r="Y10" i="9"/>
  <c r="Y94" i="9"/>
  <c r="Y166" i="9"/>
  <c r="Z166" i="9" s="1"/>
  <c r="X166" i="9"/>
  <c r="X58" i="9"/>
  <c r="B113" i="24" s="1"/>
  <c r="X130" i="9"/>
  <c r="B115" i="24" s="1"/>
  <c r="X94" i="9"/>
  <c r="B114" i="24" s="1"/>
  <c r="Y8" i="9"/>
  <c r="Z11" i="9"/>
  <c r="Y11" i="9"/>
  <c r="H30" i="21"/>
  <c r="AG182" i="13" s="1"/>
  <c r="B29" i="24" l="1"/>
  <c r="D29" i="24" s="1"/>
  <c r="B116" i="24"/>
  <c r="G29" i="21"/>
  <c r="AF180" i="13" s="1"/>
  <c r="F29" i="21"/>
  <c r="AF179" i="13" s="1"/>
  <c r="B28" i="24"/>
  <c r="D28" i="24" s="1"/>
  <c r="B26" i="24"/>
  <c r="D26" i="24" s="1"/>
  <c r="D29" i="21"/>
  <c r="AF178" i="13" s="1"/>
  <c r="B27" i="24"/>
  <c r="D27" i="24" s="1"/>
  <c r="Y19" i="9"/>
  <c r="X40" i="9" s="1"/>
  <c r="C29" i="21"/>
  <c r="AF177" i="13" s="1"/>
  <c r="Z204" i="9"/>
  <c r="Z205" i="9" s="1"/>
  <c r="E29" i="21"/>
  <c r="Z19" i="9"/>
  <c r="C7" i="24" l="1"/>
  <c r="U247" i="9"/>
  <c r="W247" i="9" s="1"/>
  <c r="D94" i="26"/>
  <c r="F94" i="26" s="1"/>
  <c r="D31" i="21"/>
  <c r="C31" i="21"/>
  <c r="AF181" i="13"/>
  <c r="E31" i="21"/>
  <c r="E36" i="21"/>
  <c r="H29" i="21"/>
  <c r="G31" i="21"/>
  <c r="F31" i="21"/>
  <c r="AV19" i="9"/>
  <c r="H31" i="21" l="1"/>
  <c r="AF182" i="13"/>
  <c r="O16" i="9"/>
  <c r="S16" i="9"/>
  <c r="W16" i="9"/>
  <c r="K16" i="9"/>
  <c r="C27" i="11" l="1"/>
  <c r="Q13" i="11"/>
  <c r="G27" i="11" s="1"/>
  <c r="X15" i="9"/>
  <c r="X16" i="9"/>
  <c r="B56" i="24" l="1"/>
  <c r="W34" i="9"/>
  <c r="S34" i="9"/>
  <c r="O34" i="9"/>
  <c r="K34" i="9"/>
  <c r="V13" i="7"/>
  <c r="K105" i="9"/>
  <c r="K108" i="9" s="1"/>
  <c r="K109" i="9" s="1"/>
  <c r="O32" i="9"/>
  <c r="S32" i="9"/>
  <c r="W32" i="9"/>
  <c r="K32" i="9"/>
  <c r="I7" i="9"/>
  <c r="L16" i="5"/>
  <c r="V6" i="4"/>
  <c r="Q6" i="4"/>
  <c r="Q5" i="4"/>
  <c r="G38" i="5" l="1"/>
  <c r="L38" i="5" s="1"/>
  <c r="D68" i="21"/>
  <c r="H68" i="21" s="1"/>
  <c r="H78" i="21" s="1"/>
  <c r="I78" i="21" s="1"/>
  <c r="I53" i="21"/>
  <c r="G54" i="7"/>
  <c r="P49" i="21"/>
  <c r="Q8" i="9"/>
  <c r="P8" i="9"/>
  <c r="R8" i="9"/>
  <c r="V7" i="9"/>
  <c r="T7" i="9"/>
  <c r="U7" i="9"/>
  <c r="Q7" i="9"/>
  <c r="R7" i="9"/>
  <c r="P7" i="9"/>
  <c r="J8" i="9"/>
  <c r="I8" i="9"/>
  <c r="I19" i="9" s="1"/>
  <c r="V8" i="9"/>
  <c r="U8" i="9"/>
  <c r="T8" i="9"/>
  <c r="X32" i="9"/>
  <c r="B63" i="24" s="1"/>
  <c r="N7" i="9"/>
  <c r="M7" i="9"/>
  <c r="L8" i="9"/>
  <c r="L19" i="9" s="1"/>
  <c r="N8" i="9"/>
  <c r="M8" i="9"/>
  <c r="X34" i="9"/>
  <c r="B65" i="24" s="1"/>
  <c r="X24" i="9"/>
  <c r="X21" i="9"/>
  <c r="U245" i="9" s="1"/>
  <c r="H7" i="9"/>
  <c r="H19" i="9" s="1"/>
  <c r="J7" i="9"/>
  <c r="J19" i="9" s="1"/>
  <c r="L7" i="3"/>
  <c r="K105" i="21"/>
  <c r="H104" i="26" l="1"/>
  <c r="N38" i="5"/>
  <c r="V245" i="9"/>
  <c r="W245" i="9" s="1"/>
  <c r="D84" i="26"/>
  <c r="F84" i="26" s="1"/>
  <c r="Q19" i="9"/>
  <c r="Q49" i="21"/>
  <c r="Q51" i="21" s="1"/>
  <c r="C30" i="24"/>
  <c r="C5" i="24"/>
  <c r="M19" i="9"/>
  <c r="P19" i="9"/>
  <c r="T19" i="9"/>
  <c r="N19" i="9"/>
  <c r="R19" i="9"/>
  <c r="V19" i="9"/>
  <c r="U19" i="9"/>
  <c r="W7" i="9"/>
  <c r="E128" i="21"/>
  <c r="F128" i="21" s="1"/>
  <c r="B173" i="21"/>
  <c r="J52" i="21"/>
  <c r="K52" i="21" s="1"/>
  <c r="I30" i="21"/>
  <c r="N15" i="21"/>
  <c r="I60" i="21"/>
  <c r="F105" i="21"/>
  <c r="G36" i="3"/>
  <c r="O107" i="21"/>
  <c r="G40" i="3"/>
  <c r="I59" i="21"/>
  <c r="P51" i="21"/>
  <c r="M15" i="21"/>
  <c r="S11" i="9"/>
  <c r="S8" i="9"/>
  <c r="W8" i="9"/>
  <c r="S10" i="9"/>
  <c r="K8" i="9"/>
  <c r="S7" i="9"/>
  <c r="W10" i="9"/>
  <c r="W11" i="9"/>
  <c r="O7" i="9"/>
  <c r="O11" i="9"/>
  <c r="O8" i="9"/>
  <c r="O10" i="9"/>
  <c r="K11" i="9"/>
  <c r="K7" i="9"/>
  <c r="K10" i="9"/>
  <c r="K108" i="21"/>
  <c r="E37" i="3"/>
  <c r="F37" i="3"/>
  <c r="C37" i="3"/>
  <c r="G38" i="2"/>
  <c r="G17" i="2"/>
  <c r="G18" i="2" s="1"/>
  <c r="H105" i="26" l="1"/>
  <c r="C121" i="26"/>
  <c r="S19" i="9"/>
  <c r="R49" i="21"/>
  <c r="R51" i="21"/>
  <c r="O19" i="9"/>
  <c r="K19" i="9"/>
  <c r="W19" i="9"/>
  <c r="AM128" i="21"/>
  <c r="AO128" i="21" s="1"/>
  <c r="P151" i="21" s="1"/>
  <c r="AL128" i="21"/>
  <c r="M151" i="21" s="1"/>
  <c r="K37" i="3"/>
  <c r="L40" i="3"/>
  <c r="J37" i="3"/>
  <c r="I37" i="3"/>
  <c r="L36" i="3"/>
  <c r="B177" i="21"/>
  <c r="O15" i="21"/>
  <c r="AG206" i="13"/>
  <c r="J53" i="21"/>
  <c r="Z10" i="9"/>
  <c r="Z8" i="9"/>
  <c r="Z7" i="9"/>
  <c r="AN105" i="21"/>
  <c r="H37" i="3"/>
  <c r="I151" i="21"/>
  <c r="G40" i="2"/>
  <c r="X8" i="9"/>
  <c r="B52" i="24" s="1"/>
  <c r="X7" i="9"/>
  <c r="B51" i="24" s="1"/>
  <c r="X11" i="9"/>
  <c r="B53" i="24" s="1"/>
  <c r="K111" i="9"/>
  <c r="AF7" i="9" s="1"/>
  <c r="AF8" i="9" s="1"/>
  <c r="X10" i="9"/>
  <c r="B57" i="24" s="1"/>
  <c r="L8" i="3"/>
  <c r="P37" i="3" s="1"/>
  <c r="E121" i="26" l="1"/>
  <c r="I128" i="26"/>
  <c r="K128" i="26" s="1"/>
  <c r="C130" i="26"/>
  <c r="C122" i="26"/>
  <c r="E122" i="26" s="1"/>
  <c r="H111" i="26"/>
  <c r="AN128" i="21"/>
  <c r="O151" i="21" s="1"/>
  <c r="N151" i="21"/>
  <c r="X19" i="9"/>
  <c r="K183" i="21"/>
  <c r="G41" i="2"/>
  <c r="N279" i="21"/>
  <c r="N286" i="21" s="1"/>
  <c r="K53" i="21"/>
  <c r="J60" i="21"/>
  <c r="K60" i="21" s="1"/>
  <c r="J59" i="21"/>
  <c r="K59" i="21" s="1"/>
  <c r="F108" i="21"/>
  <c r="G37" i="3"/>
  <c r="C7" i="14"/>
  <c r="V9" i="14"/>
  <c r="Q9" i="14"/>
  <c r="L6" i="14"/>
  <c r="L8" i="14"/>
  <c r="L9" i="14"/>
  <c r="L10" i="14"/>
  <c r="D26" i="21" s="1"/>
  <c r="G9" i="14"/>
  <c r="H112" i="26" l="1"/>
  <c r="C128" i="26"/>
  <c r="E128" i="26" s="1"/>
  <c r="U244" i="9"/>
  <c r="C4" i="24"/>
  <c r="B118" i="24"/>
  <c r="D83" i="26"/>
  <c r="B30" i="24"/>
  <c r="D30" i="24" s="1"/>
  <c r="L37" i="3"/>
  <c r="M37" i="3" s="1"/>
  <c r="C18" i="6"/>
  <c r="C17" i="5"/>
  <c r="D44" i="21"/>
  <c r="M44" i="21"/>
  <c r="D32" i="21"/>
  <c r="I29" i="21"/>
  <c r="N14" i="21"/>
  <c r="AF206" i="13" s="1"/>
  <c r="AM108" i="21"/>
  <c r="G18" i="14"/>
  <c r="I154" i="21"/>
  <c r="M14" i="21"/>
  <c r="M16" i="21"/>
  <c r="C15" i="3"/>
  <c r="H113" i="26" l="1"/>
  <c r="C129" i="26"/>
  <c r="E129" i="26" s="1"/>
  <c r="F83" i="26"/>
  <c r="D85" i="26"/>
  <c r="U254" i="9"/>
  <c r="U250" i="9"/>
  <c r="V244" i="9"/>
  <c r="C16" i="3"/>
  <c r="C18" i="3" s="1"/>
  <c r="C20" i="3"/>
  <c r="C23" i="3"/>
  <c r="C22" i="3"/>
  <c r="C29" i="3"/>
  <c r="C24" i="3"/>
  <c r="C21" i="3"/>
  <c r="C6" i="5"/>
  <c r="C8" i="5" s="1"/>
  <c r="C18" i="5"/>
  <c r="C20" i="5" s="1"/>
  <c r="C19" i="6"/>
  <c r="C20" i="6"/>
  <c r="AN108" i="21"/>
  <c r="AK131" i="21"/>
  <c r="O14" i="21"/>
  <c r="N16" i="21"/>
  <c r="F85" i="26" l="1"/>
  <c r="D86" i="26"/>
  <c r="F86" i="26" s="1"/>
  <c r="D88" i="26"/>
  <c r="F88" i="26" s="1"/>
  <c r="D87" i="26"/>
  <c r="F87" i="26" s="1"/>
  <c r="V254" i="9"/>
  <c r="W254" i="9" s="1"/>
  <c r="W244" i="9"/>
  <c r="V250" i="9"/>
  <c r="W250" i="9" s="1"/>
  <c r="O16" i="21"/>
  <c r="G26" i="21" l="1"/>
  <c r="Q10" i="14"/>
  <c r="F26" i="21" s="1"/>
  <c r="G10" i="14"/>
  <c r="C26" i="21" s="1"/>
  <c r="V8" i="14"/>
  <c r="Q8" i="14"/>
  <c r="G8" i="14"/>
  <c r="U7" i="14"/>
  <c r="T7" i="14"/>
  <c r="R7" i="14"/>
  <c r="M7" i="14"/>
  <c r="K7" i="14"/>
  <c r="J7" i="14"/>
  <c r="I7" i="14"/>
  <c r="H7" i="14"/>
  <c r="E7" i="14"/>
  <c r="E18" i="6" s="1"/>
  <c r="D7" i="14"/>
  <c r="V6" i="14"/>
  <c r="Q6" i="14"/>
  <c r="G6" i="14"/>
  <c r="V5" i="14"/>
  <c r="Q5" i="14"/>
  <c r="L5" i="14"/>
  <c r="Z5" i="14" s="1"/>
  <c r="G5" i="14"/>
  <c r="Y5" i="14" s="1"/>
  <c r="F16" i="14" l="1"/>
  <c r="D16" i="14"/>
  <c r="O220" i="9" s="1"/>
  <c r="G44" i="21"/>
  <c r="P44" i="21"/>
  <c r="G32" i="21"/>
  <c r="F44" i="21"/>
  <c r="O44" i="21"/>
  <c r="F32" i="21"/>
  <c r="C44" i="21"/>
  <c r="L44" i="21"/>
  <c r="C32" i="21"/>
  <c r="H26" i="21"/>
  <c r="W220" i="9"/>
  <c r="E16" i="14"/>
  <c r="S220" i="9" s="1"/>
  <c r="G19" i="14"/>
  <c r="AC10" i="14" s="1"/>
  <c r="G15" i="14"/>
  <c r="G14" i="14"/>
  <c r="AC5" i="14" s="1"/>
  <c r="Q7" i="14"/>
  <c r="K110" i="9"/>
  <c r="C16" i="14"/>
  <c r="G17" i="14"/>
  <c r="H17" i="5"/>
  <c r="H6" i="5" s="1"/>
  <c r="H8" i="5" s="1"/>
  <c r="H18" i="6"/>
  <c r="H15" i="3"/>
  <c r="L7" i="14"/>
  <c r="M17" i="5"/>
  <c r="M6" i="5" s="1"/>
  <c r="M18" i="6"/>
  <c r="M15" i="3"/>
  <c r="V7" i="14"/>
  <c r="R17" i="5"/>
  <c r="R6" i="5" s="1"/>
  <c r="R18" i="6"/>
  <c r="R20" i="6" s="1"/>
  <c r="R15" i="3"/>
  <c r="D18" i="6"/>
  <c r="D17" i="5"/>
  <c r="D18" i="5" s="1"/>
  <c r="D20" i="5" s="1"/>
  <c r="D15" i="3"/>
  <c r="I18" i="6"/>
  <c r="I17" i="5"/>
  <c r="I15" i="3"/>
  <c r="N17" i="5"/>
  <c r="N18" i="6"/>
  <c r="N15" i="3"/>
  <c r="S17" i="5"/>
  <c r="S18" i="5" s="1"/>
  <c r="S20" i="5" s="1"/>
  <c r="S18" i="6"/>
  <c r="S15" i="3"/>
  <c r="E17" i="5"/>
  <c r="E15" i="3"/>
  <c r="J17" i="5"/>
  <c r="J18" i="6"/>
  <c r="J15" i="3"/>
  <c r="O17" i="5"/>
  <c r="O18" i="6"/>
  <c r="O15" i="3"/>
  <c r="T18" i="6"/>
  <c r="T17" i="5"/>
  <c r="T15" i="3"/>
  <c r="F18" i="6"/>
  <c r="F17" i="5"/>
  <c r="F15" i="3"/>
  <c r="K18" i="6"/>
  <c r="K17" i="5"/>
  <c r="K15" i="3"/>
  <c r="P18" i="6"/>
  <c r="P17" i="5"/>
  <c r="P15" i="3"/>
  <c r="U17" i="5"/>
  <c r="U18" i="5" s="1"/>
  <c r="U20" i="5" s="1"/>
  <c r="U18" i="6"/>
  <c r="U15" i="3"/>
  <c r="G7" i="14"/>
  <c r="Y7" i="14" s="1"/>
  <c r="O39" i="5" l="1"/>
  <c r="O44" i="3"/>
  <c r="O26" i="26"/>
  <c r="AC22" i="26" s="1"/>
  <c r="Z7" i="14"/>
  <c r="I147" i="21"/>
  <c r="T18" i="5"/>
  <c r="T20" i="5" s="1"/>
  <c r="T6" i="5"/>
  <c r="T8" i="5" s="1"/>
  <c r="D16" i="3"/>
  <c r="D18" i="3" s="1"/>
  <c r="D23" i="3"/>
  <c r="X221" i="9"/>
  <c r="F16" i="3"/>
  <c r="F18" i="3" s="1"/>
  <c r="F23" i="3"/>
  <c r="E16" i="3"/>
  <c r="E18" i="3" s="1"/>
  <c r="E23" i="3"/>
  <c r="N29" i="3"/>
  <c r="N24" i="3"/>
  <c r="N20" i="3"/>
  <c r="N23" i="3"/>
  <c r="N22" i="3"/>
  <c r="N21" i="3"/>
  <c r="N16" i="3"/>
  <c r="N18" i="3" s="1"/>
  <c r="T29" i="3"/>
  <c r="T24" i="3"/>
  <c r="T21" i="3"/>
  <c r="T23" i="3"/>
  <c r="T20" i="3"/>
  <c r="T22" i="3"/>
  <c r="T16" i="3"/>
  <c r="T18" i="3" s="1"/>
  <c r="P19" i="6"/>
  <c r="P20" i="6"/>
  <c r="R19" i="6"/>
  <c r="T20" i="6"/>
  <c r="T19" i="6"/>
  <c r="I23" i="3"/>
  <c r="I29" i="3"/>
  <c r="I24" i="3"/>
  <c r="I20" i="3"/>
  <c r="I16" i="3"/>
  <c r="I18" i="3" s="1"/>
  <c r="I21" i="3"/>
  <c r="I22" i="3"/>
  <c r="J44" i="3"/>
  <c r="AD17" i="5"/>
  <c r="Y17" i="5"/>
  <c r="AI17" i="5"/>
  <c r="J39" i="5"/>
  <c r="P24" i="3"/>
  <c r="P23" i="3"/>
  <c r="P29" i="3"/>
  <c r="P20" i="3"/>
  <c r="P21" i="3"/>
  <c r="P16" i="3"/>
  <c r="P18" i="3" s="1"/>
  <c r="P22" i="3"/>
  <c r="K44" i="3"/>
  <c r="AJ17" i="5"/>
  <c r="Z17" i="5"/>
  <c r="K39" i="5"/>
  <c r="AE17" i="5"/>
  <c r="F19" i="6"/>
  <c r="F20" i="6"/>
  <c r="H23" i="3"/>
  <c r="H24" i="3"/>
  <c r="H29" i="3"/>
  <c r="H20" i="3"/>
  <c r="H21" i="3"/>
  <c r="H16" i="3"/>
  <c r="H18" i="3" s="1"/>
  <c r="H22" i="3"/>
  <c r="E20" i="6"/>
  <c r="E19" i="6"/>
  <c r="O23" i="3"/>
  <c r="O29" i="3"/>
  <c r="O24" i="3"/>
  <c r="O21" i="3"/>
  <c r="O20" i="3"/>
  <c r="O22" i="3"/>
  <c r="O16" i="3"/>
  <c r="O18" i="3" s="1"/>
  <c r="K19" i="6"/>
  <c r="K20" i="6"/>
  <c r="O19" i="6"/>
  <c r="O20" i="6"/>
  <c r="S21" i="3"/>
  <c r="S23" i="3"/>
  <c r="S20" i="3"/>
  <c r="S29" i="3"/>
  <c r="S24" i="3"/>
  <c r="S16" i="3"/>
  <c r="S18" i="3" s="1"/>
  <c r="S22" i="3"/>
  <c r="I19" i="6"/>
  <c r="I20" i="6"/>
  <c r="M20" i="3"/>
  <c r="M21" i="3"/>
  <c r="M23" i="3"/>
  <c r="M29" i="3"/>
  <c r="M24" i="3"/>
  <c r="M22" i="3"/>
  <c r="M16" i="3"/>
  <c r="M18" i="3" s="1"/>
  <c r="H44" i="3"/>
  <c r="H39" i="5"/>
  <c r="AB17" i="5"/>
  <c r="C39" i="5"/>
  <c r="W17" i="5"/>
  <c r="AG17" i="5"/>
  <c r="C44" i="3"/>
  <c r="J20" i="6"/>
  <c r="J19" i="6"/>
  <c r="N19" i="6"/>
  <c r="N20" i="6"/>
  <c r="E20" i="3"/>
  <c r="E21" i="3"/>
  <c r="E29" i="3"/>
  <c r="E24" i="3"/>
  <c r="E22" i="3"/>
  <c r="H19" i="6"/>
  <c r="H20" i="6"/>
  <c r="K21" i="3"/>
  <c r="K23" i="3"/>
  <c r="K20" i="3"/>
  <c r="K29" i="3"/>
  <c r="K24" i="3"/>
  <c r="K16" i="3"/>
  <c r="K18" i="3" s="1"/>
  <c r="K22" i="3"/>
  <c r="U20" i="3"/>
  <c r="U21" i="3"/>
  <c r="U23" i="3"/>
  <c r="U29" i="3"/>
  <c r="U24" i="3"/>
  <c r="U22" i="3"/>
  <c r="U16" i="3"/>
  <c r="U18" i="3" s="1"/>
  <c r="U19" i="6"/>
  <c r="U20" i="6"/>
  <c r="F29" i="3"/>
  <c r="F24" i="3"/>
  <c r="F20" i="3"/>
  <c r="F22" i="3"/>
  <c r="F21" i="3"/>
  <c r="S19" i="6"/>
  <c r="S20" i="6"/>
  <c r="D29" i="3"/>
  <c r="D24" i="3"/>
  <c r="D21" i="3"/>
  <c r="D20" i="3"/>
  <c r="D22" i="3"/>
  <c r="M20" i="6"/>
  <c r="M19" i="6"/>
  <c r="D19" i="6"/>
  <c r="D20" i="6"/>
  <c r="R21" i="3"/>
  <c r="R23" i="3"/>
  <c r="R29" i="3"/>
  <c r="R24" i="3"/>
  <c r="R16" i="3"/>
  <c r="R18" i="3" s="1"/>
  <c r="R20" i="3"/>
  <c r="R22" i="3"/>
  <c r="J21" i="3"/>
  <c r="J23" i="3"/>
  <c r="J29" i="3"/>
  <c r="J24" i="3"/>
  <c r="J20" i="3"/>
  <c r="J22" i="3"/>
  <c r="J16" i="3"/>
  <c r="J18" i="3" s="1"/>
  <c r="I44" i="3"/>
  <c r="AC17" i="5"/>
  <c r="AH17" i="5"/>
  <c r="X17" i="5"/>
  <c r="I39" i="5"/>
  <c r="F6" i="5"/>
  <c r="F8" i="5" s="1"/>
  <c r="F18" i="5"/>
  <c r="F20" i="5" s="1"/>
  <c r="R8" i="5"/>
  <c r="R18" i="5"/>
  <c r="R20" i="5" s="1"/>
  <c r="M8" i="5"/>
  <c r="M18" i="5"/>
  <c r="M20" i="5" s="1"/>
  <c r="H18" i="5"/>
  <c r="H20" i="5" s="1"/>
  <c r="K6" i="5"/>
  <c r="K8" i="5" s="1"/>
  <c r="K18" i="5"/>
  <c r="K20" i="5" s="1"/>
  <c r="E6" i="5"/>
  <c r="E8" i="5" s="1"/>
  <c r="E18" i="5"/>
  <c r="E20" i="5" s="1"/>
  <c r="I6" i="5"/>
  <c r="I8" i="5" s="1"/>
  <c r="I18" i="5"/>
  <c r="I20" i="5" s="1"/>
  <c r="P6" i="5"/>
  <c r="P8" i="5" s="1"/>
  <c r="P20" i="5"/>
  <c r="J6" i="5"/>
  <c r="J8" i="5" s="1"/>
  <c r="J18" i="5"/>
  <c r="J20" i="5" s="1"/>
  <c r="O8" i="5"/>
  <c r="O18" i="5"/>
  <c r="O20" i="5" s="1"/>
  <c r="N6" i="5"/>
  <c r="N8" i="5" s="1"/>
  <c r="N18" i="5"/>
  <c r="N20" i="5" s="1"/>
  <c r="U6" i="5"/>
  <c r="U8" i="5" s="1"/>
  <c r="S6" i="5"/>
  <c r="S8" i="5" s="1"/>
  <c r="D6" i="5"/>
  <c r="V18" i="6"/>
  <c r="P124" i="21"/>
  <c r="G27" i="21"/>
  <c r="J124" i="21"/>
  <c r="F27" i="21"/>
  <c r="Q44" i="21"/>
  <c r="H44" i="21"/>
  <c r="H32" i="21"/>
  <c r="S180" i="13" s="1"/>
  <c r="Y124" i="21"/>
  <c r="C27" i="21"/>
  <c r="M11" i="21"/>
  <c r="N11" i="21"/>
  <c r="I26" i="21"/>
  <c r="E124" i="21"/>
  <c r="D27" i="21"/>
  <c r="M17" i="21"/>
  <c r="V17" i="5"/>
  <c r="J113" i="21"/>
  <c r="K113" i="21" s="1"/>
  <c r="Q18" i="6"/>
  <c r="E113" i="21"/>
  <c r="F113" i="21" s="1"/>
  <c r="AC7" i="14"/>
  <c r="V15" i="3"/>
  <c r="Q17" i="5"/>
  <c r="Q15" i="3"/>
  <c r="L15" i="3"/>
  <c r="L18" i="6"/>
  <c r="L17" i="5"/>
  <c r="F38" i="6"/>
  <c r="F39" i="5"/>
  <c r="F44" i="3"/>
  <c r="E39" i="5"/>
  <c r="E38" i="6"/>
  <c r="E44" i="3"/>
  <c r="D39" i="5"/>
  <c r="D44" i="3"/>
  <c r="D38" i="6"/>
  <c r="C38" i="6"/>
  <c r="G18" i="6"/>
  <c r="G17" i="5"/>
  <c r="G15" i="3"/>
  <c r="O50" i="3" l="1"/>
  <c r="O51" i="3"/>
  <c r="O52" i="3"/>
  <c r="O58" i="3"/>
  <c r="O53" i="3"/>
  <c r="O49" i="3"/>
  <c r="O45" i="3"/>
  <c r="O47" i="3" s="1"/>
  <c r="G18" i="5"/>
  <c r="G20" i="5" s="1"/>
  <c r="G6" i="5"/>
  <c r="O28" i="5"/>
  <c r="O30" i="5" s="1"/>
  <c r="O40" i="5"/>
  <c r="O42" i="5" s="1"/>
  <c r="N39" i="5"/>
  <c r="M44" i="3"/>
  <c r="P44" i="3"/>
  <c r="P39" i="5"/>
  <c r="K220" i="9"/>
  <c r="G16" i="3"/>
  <c r="G23" i="3"/>
  <c r="AH6" i="5"/>
  <c r="AH8" i="5" s="1"/>
  <c r="AH18" i="5"/>
  <c r="AH20" i="5" s="1"/>
  <c r="AG18" i="5"/>
  <c r="AG20" i="5" s="1"/>
  <c r="AG6" i="5"/>
  <c r="AG8" i="5" s="1"/>
  <c r="K52" i="3"/>
  <c r="K49" i="3"/>
  <c r="K50" i="3"/>
  <c r="K53" i="3"/>
  <c r="K58" i="3"/>
  <c r="K45" i="3"/>
  <c r="K47" i="3" s="1"/>
  <c r="K51" i="3"/>
  <c r="J28" i="5"/>
  <c r="J30" i="5" s="1"/>
  <c r="J40" i="5"/>
  <c r="J42" i="5" s="1"/>
  <c r="E40" i="6"/>
  <c r="E39" i="6"/>
  <c r="AC6" i="5"/>
  <c r="AC8" i="5" s="1"/>
  <c r="AC18" i="5"/>
  <c r="AC20" i="5" s="1"/>
  <c r="W18" i="5"/>
  <c r="W20" i="5" s="1"/>
  <c r="W6" i="5"/>
  <c r="W8" i="5" s="1"/>
  <c r="AI18" i="5"/>
  <c r="AI20" i="5" s="1"/>
  <c r="AI6" i="5"/>
  <c r="AI8" i="5" s="1"/>
  <c r="F52" i="3"/>
  <c r="F49" i="3"/>
  <c r="F58" i="3"/>
  <c r="F53" i="3"/>
  <c r="F50" i="3"/>
  <c r="F45" i="3"/>
  <c r="F47" i="3" s="1"/>
  <c r="F51" i="3"/>
  <c r="V19" i="6"/>
  <c r="V20" i="6"/>
  <c r="I52" i="3"/>
  <c r="I49" i="3"/>
  <c r="I58" i="3"/>
  <c r="I50" i="3"/>
  <c r="I53" i="3"/>
  <c r="I45" i="3"/>
  <c r="I47" i="3" s="1"/>
  <c r="I51" i="3"/>
  <c r="C28" i="5"/>
  <c r="C30" i="5" s="1"/>
  <c r="C40" i="5"/>
  <c r="C42" i="5" s="1"/>
  <c r="Y6" i="5"/>
  <c r="Y8" i="5" s="1"/>
  <c r="Y18" i="5"/>
  <c r="Y20" i="5" s="1"/>
  <c r="G24" i="3"/>
  <c r="G21" i="3"/>
  <c r="G29" i="3"/>
  <c r="G20" i="3"/>
  <c r="G22" i="3"/>
  <c r="Q23" i="3"/>
  <c r="Q16" i="3"/>
  <c r="Q18" i="3" s="1"/>
  <c r="Q24" i="3"/>
  <c r="Q29" i="3"/>
  <c r="Q20" i="3"/>
  <c r="Q21" i="3"/>
  <c r="Q22" i="3"/>
  <c r="G20" i="6"/>
  <c r="G19" i="6"/>
  <c r="V23" i="3"/>
  <c r="V24" i="3"/>
  <c r="V20" i="3"/>
  <c r="V29" i="3"/>
  <c r="V21" i="3"/>
  <c r="V16" i="3"/>
  <c r="V22" i="3"/>
  <c r="C39" i="6"/>
  <c r="C40" i="6"/>
  <c r="AK17" i="5"/>
  <c r="AA17" i="5"/>
  <c r="L39" i="5"/>
  <c r="L28" i="5" s="1"/>
  <c r="L30" i="5" s="1"/>
  <c r="AF17" i="5"/>
  <c r="AB18" i="5"/>
  <c r="AB20" i="5" s="1"/>
  <c r="AB6" i="5"/>
  <c r="AB8" i="5" s="1"/>
  <c r="AD6" i="5"/>
  <c r="AD8" i="5" s="1"/>
  <c r="AD18" i="5"/>
  <c r="AD20" i="5" s="1"/>
  <c r="D39" i="6"/>
  <c r="D40" i="6"/>
  <c r="H28" i="5"/>
  <c r="H30" i="5" s="1"/>
  <c r="H40" i="5"/>
  <c r="H42" i="5" s="1"/>
  <c r="AE18" i="5"/>
  <c r="AE20" i="5" s="1"/>
  <c r="AE6" i="5"/>
  <c r="AE8" i="5" s="1"/>
  <c r="J52" i="3"/>
  <c r="J49" i="3"/>
  <c r="J58" i="3"/>
  <c r="J50" i="3"/>
  <c r="J53" i="3"/>
  <c r="J45" i="3"/>
  <c r="J47" i="3" s="1"/>
  <c r="J51" i="3"/>
  <c r="F39" i="6"/>
  <c r="F40" i="6"/>
  <c r="D52" i="3"/>
  <c r="D49" i="3"/>
  <c r="D50" i="3"/>
  <c r="D58" i="3"/>
  <c r="D53" i="3"/>
  <c r="D45" i="3"/>
  <c r="D47" i="3" s="1"/>
  <c r="D51" i="3"/>
  <c r="H52" i="3"/>
  <c r="H49" i="3"/>
  <c r="H58" i="3"/>
  <c r="H50" i="3"/>
  <c r="H53" i="3"/>
  <c r="H45" i="3"/>
  <c r="H47" i="3" s="1"/>
  <c r="H51" i="3"/>
  <c r="K28" i="5"/>
  <c r="K30" i="5" s="1"/>
  <c r="K40" i="5"/>
  <c r="K42" i="5" s="1"/>
  <c r="Q19" i="6"/>
  <c r="Q20" i="6"/>
  <c r="L19" i="6"/>
  <c r="L20" i="6"/>
  <c r="I28" i="5"/>
  <c r="I30" i="5" s="1"/>
  <c r="I40" i="5"/>
  <c r="I42" i="5" s="1"/>
  <c r="Z18" i="5"/>
  <c r="Z20" i="5" s="1"/>
  <c r="Z6" i="5"/>
  <c r="Z8" i="5" s="1"/>
  <c r="E52" i="3"/>
  <c r="E49" i="3"/>
  <c r="E58" i="3"/>
  <c r="E53" i="3"/>
  <c r="E50" i="3"/>
  <c r="E45" i="3"/>
  <c r="E47" i="3" s="1"/>
  <c r="E51" i="3"/>
  <c r="L23" i="3"/>
  <c r="L16" i="3"/>
  <c r="L29" i="3"/>
  <c r="L24" i="3"/>
  <c r="L21" i="3"/>
  <c r="L22" i="3"/>
  <c r="X18" i="5"/>
  <c r="X20" i="5" s="1"/>
  <c r="X6" i="5"/>
  <c r="X8" i="5" s="1"/>
  <c r="C52" i="3"/>
  <c r="C49" i="3"/>
  <c r="C58" i="3"/>
  <c r="E40" i="26" s="1"/>
  <c r="C50" i="3"/>
  <c r="C53" i="3"/>
  <c r="C45" i="3"/>
  <c r="C47" i="3" s="1"/>
  <c r="C51" i="3"/>
  <c r="AJ6" i="5"/>
  <c r="AJ8" i="5" s="1"/>
  <c r="AJ18" i="5"/>
  <c r="AJ20" i="5" s="1"/>
  <c r="D28" i="5"/>
  <c r="D30" i="5" s="1"/>
  <c r="D40" i="5"/>
  <c r="D42" i="5" s="1"/>
  <c r="F28" i="5"/>
  <c r="F30" i="5" s="1"/>
  <c r="F40" i="5"/>
  <c r="F42" i="5" s="1"/>
  <c r="E28" i="5"/>
  <c r="E30" i="5" s="1"/>
  <c r="E40" i="5"/>
  <c r="E42" i="5" s="1"/>
  <c r="V6" i="5"/>
  <c r="V8" i="5" s="1"/>
  <c r="V20" i="5"/>
  <c r="D8" i="5"/>
  <c r="G8" i="5"/>
  <c r="L6" i="5"/>
  <c r="L8" i="5" s="1"/>
  <c r="L18" i="5"/>
  <c r="L20" i="5" s="1"/>
  <c r="Q6" i="5"/>
  <c r="Q8" i="5" s="1"/>
  <c r="Q18" i="5"/>
  <c r="Q20" i="5" s="1"/>
  <c r="X220" i="9"/>
  <c r="AK15" i="3"/>
  <c r="AF15" i="3"/>
  <c r="AA15" i="3"/>
  <c r="M147" i="21"/>
  <c r="Y135" i="21"/>
  <c r="Z135" i="21" s="1"/>
  <c r="Y134" i="21"/>
  <c r="Z134" i="21" s="1"/>
  <c r="Y133" i="21"/>
  <c r="Z133" i="21" s="1"/>
  <c r="Y136" i="21"/>
  <c r="Z136" i="21" s="1"/>
  <c r="R136" i="21"/>
  <c r="S136" i="21" s="1"/>
  <c r="R135" i="21"/>
  <c r="S135" i="21" s="1"/>
  <c r="R134" i="21"/>
  <c r="R124" i="21"/>
  <c r="R133" i="21"/>
  <c r="S133" i="21" s="1"/>
  <c r="G45" i="21"/>
  <c r="P45" i="21"/>
  <c r="G33" i="21"/>
  <c r="Q124" i="21"/>
  <c r="Q133" i="21"/>
  <c r="Q135" i="21"/>
  <c r="Q136" i="21"/>
  <c r="F45" i="21"/>
  <c r="O45" i="21"/>
  <c r="F33" i="21"/>
  <c r="J133" i="21"/>
  <c r="K133" i="21" s="1"/>
  <c r="J135" i="21"/>
  <c r="K135" i="21" s="1"/>
  <c r="J134" i="21"/>
  <c r="K134" i="21" s="1"/>
  <c r="J136" i="21"/>
  <c r="K136" i="21" s="1"/>
  <c r="C45" i="21"/>
  <c r="L45" i="21"/>
  <c r="C33" i="21"/>
  <c r="O11" i="21"/>
  <c r="N17" i="21"/>
  <c r="O17" i="21" s="1"/>
  <c r="L44" i="3"/>
  <c r="AL124" i="21"/>
  <c r="AM134" i="21" s="1"/>
  <c r="L85" i="21"/>
  <c r="M85" i="21" s="1"/>
  <c r="N12" i="21"/>
  <c r="I27" i="21"/>
  <c r="D45" i="21"/>
  <c r="M45" i="21"/>
  <c r="H27" i="21"/>
  <c r="D33" i="21"/>
  <c r="E134" i="21"/>
  <c r="F134" i="21" s="1"/>
  <c r="I159" i="21"/>
  <c r="P101" i="21"/>
  <c r="O113" i="21"/>
  <c r="O111" i="21"/>
  <c r="Y112" i="21"/>
  <c r="Z112" i="21" s="1"/>
  <c r="Y113" i="21"/>
  <c r="Z113" i="21" s="1"/>
  <c r="Y110" i="21"/>
  <c r="Z110" i="21" s="1"/>
  <c r="Y111" i="21"/>
  <c r="Z111" i="21" s="1"/>
  <c r="G38" i="6"/>
  <c r="G39" i="5"/>
  <c r="G44" i="3"/>
  <c r="E52" i="2"/>
  <c r="E51" i="2"/>
  <c r="D52" i="2"/>
  <c r="B51" i="2"/>
  <c r="C51" i="2"/>
  <c r="D51" i="2"/>
  <c r="G18" i="3" l="1"/>
  <c r="I38" i="26"/>
  <c r="K38" i="26" s="1"/>
  <c r="F6" i="26"/>
  <c r="F8" i="26" s="1"/>
  <c r="V18" i="3"/>
  <c r="AA38" i="26"/>
  <c r="AC38" i="26" s="1"/>
  <c r="L18" i="3"/>
  <c r="O38" i="26"/>
  <c r="Q38" i="26" s="1"/>
  <c r="P40" i="5"/>
  <c r="P42" i="5" s="1"/>
  <c r="P28" i="5"/>
  <c r="P30" i="5" s="1"/>
  <c r="P53" i="3"/>
  <c r="P45" i="3"/>
  <c r="P47" i="3" s="1"/>
  <c r="P50" i="3"/>
  <c r="P52" i="3"/>
  <c r="P58" i="3"/>
  <c r="P51" i="3"/>
  <c r="M58" i="3"/>
  <c r="M51" i="3"/>
  <c r="M53" i="3"/>
  <c r="M50" i="3"/>
  <c r="M52" i="3"/>
  <c r="N40" i="5"/>
  <c r="N42" i="5" s="1"/>
  <c r="N28" i="5"/>
  <c r="N30" i="5" s="1"/>
  <c r="G52" i="3"/>
  <c r="G53" i="3"/>
  <c r="G50" i="3"/>
  <c r="G58" i="3"/>
  <c r="G51" i="3"/>
  <c r="AF18" i="5"/>
  <c r="AF20" i="5" s="1"/>
  <c r="AF6" i="5"/>
  <c r="AF8" i="5" s="1"/>
  <c r="G40" i="6"/>
  <c r="G39" i="6"/>
  <c r="L40" i="5"/>
  <c r="AA16" i="3"/>
  <c r="AA18" i="3" s="1"/>
  <c r="AA22" i="3"/>
  <c r="AA20" i="3"/>
  <c r="AA18" i="5"/>
  <c r="AA20" i="5" s="1"/>
  <c r="AA6" i="5"/>
  <c r="AA8" i="5" s="1"/>
  <c r="AF20" i="3"/>
  <c r="AF22" i="3"/>
  <c r="AF16" i="3"/>
  <c r="AF18" i="3" s="1"/>
  <c r="AK6" i="5"/>
  <c r="AK8" i="5" s="1"/>
  <c r="AK18" i="5"/>
  <c r="AK20" i="5" s="1"/>
  <c r="L52" i="3"/>
  <c r="L53" i="3"/>
  <c r="L58" i="3"/>
  <c r="L50" i="3"/>
  <c r="L51" i="3"/>
  <c r="C45" i="26" s="1"/>
  <c r="E45" i="26" s="1"/>
  <c r="AK16" i="3"/>
  <c r="AK18" i="3" s="1"/>
  <c r="AK20" i="3"/>
  <c r="AK22" i="3"/>
  <c r="AK21" i="3"/>
  <c r="G28" i="5"/>
  <c r="G30" i="5" s="1"/>
  <c r="G40" i="5"/>
  <c r="N59" i="21"/>
  <c r="AF124" i="21"/>
  <c r="AN134" i="21"/>
  <c r="O157" i="21" s="1"/>
  <c r="N157" i="21"/>
  <c r="Q45" i="21"/>
  <c r="H45" i="21"/>
  <c r="H33" i="21"/>
  <c r="T180" i="13" s="1"/>
  <c r="AM124" i="21"/>
  <c r="AL134" i="21"/>
  <c r="M157" i="21" s="1"/>
  <c r="O12" i="21"/>
  <c r="N18" i="21"/>
  <c r="O18" i="21" s="1"/>
  <c r="AM101" i="21"/>
  <c r="AL113" i="21"/>
  <c r="AM113" i="21"/>
  <c r="M12" i="21"/>
  <c r="M18" i="21"/>
  <c r="L42" i="5" l="1"/>
  <c r="G42" i="5"/>
  <c r="AF134" i="21"/>
  <c r="AF135" i="21"/>
  <c r="AF133" i="21"/>
  <c r="AG133" i="21" s="1"/>
  <c r="AF136" i="21"/>
  <c r="AG136" i="21" s="1"/>
  <c r="S59" i="21"/>
  <c r="AN113" i="21"/>
  <c r="AK136" i="21"/>
  <c r="C142" i="7" l="1"/>
  <c r="V16" i="7" l="1"/>
  <c r="V20" i="7"/>
  <c r="V6" i="7"/>
  <c r="G47" i="7" s="1"/>
  <c r="K219" i="21" s="1"/>
  <c r="O177" i="9"/>
  <c r="O180" i="9" s="1"/>
  <c r="O181" i="9" s="1"/>
  <c r="S177" i="9"/>
  <c r="S180" i="9" s="1"/>
  <c r="S181" i="9" s="1"/>
  <c r="W177" i="9"/>
  <c r="W180" i="9" s="1"/>
  <c r="W181" i="9" s="1"/>
  <c r="K177" i="9"/>
  <c r="K180" i="9" s="1"/>
  <c r="K181" i="9" s="1"/>
  <c r="X180" i="9" l="1"/>
  <c r="Y181" i="9" s="1"/>
  <c r="L219" i="21"/>
  <c r="M219" i="21"/>
  <c r="Q234" i="21"/>
  <c r="G219" i="21"/>
  <c r="X177" i="9"/>
  <c r="Y180" i="9" s="1"/>
  <c r="X181" i="9" l="1"/>
  <c r="B125" i="24" s="1"/>
  <c r="K182" i="9"/>
  <c r="S183" i="9"/>
  <c r="C300" i="13" s="1"/>
  <c r="S182" i="9"/>
  <c r="W182" i="9"/>
  <c r="W183" i="9"/>
  <c r="O183" i="9"/>
  <c r="O182" i="9"/>
  <c r="Z180" i="9"/>
  <c r="Z181" i="9" s="1"/>
  <c r="K183" i="9"/>
  <c r="AH7" i="9" s="1"/>
  <c r="AH8" i="9" s="1"/>
  <c r="V29" i="7"/>
  <c r="V30" i="7" s="1"/>
  <c r="R234" i="21"/>
  <c r="T234" i="21" s="1"/>
  <c r="R59" i="21"/>
  <c r="I219" i="21"/>
  <c r="H219" i="21"/>
  <c r="G49" i="7"/>
  <c r="I49" i="7" s="1"/>
  <c r="I51" i="7" s="1"/>
  <c r="O112" i="21"/>
  <c r="G51" i="7" l="1"/>
  <c r="U234" i="21"/>
  <c r="V234" i="21"/>
  <c r="G221" i="21"/>
  <c r="I221" i="21" s="1"/>
  <c r="K221" i="21"/>
  <c r="Q235" i="21"/>
  <c r="G34" i="21"/>
  <c r="R27" i="3"/>
  <c r="S27" i="3"/>
  <c r="U27" i="3"/>
  <c r="C52" i="2"/>
  <c r="X182" i="9" l="1"/>
  <c r="X183" i="9"/>
  <c r="AH11" i="9" s="1"/>
  <c r="AH12" i="9" s="1"/>
  <c r="G36" i="21"/>
  <c r="G41" i="21" s="1"/>
  <c r="H221" i="21"/>
  <c r="L221" i="21"/>
  <c r="M221" i="21"/>
  <c r="AT22" i="9"/>
  <c r="AU19" i="9"/>
  <c r="AU21" i="9" s="1"/>
  <c r="AU27" i="9" s="1"/>
  <c r="O114" i="21"/>
  <c r="O110" i="21"/>
  <c r="V27" i="3"/>
  <c r="AT25" i="9" l="1"/>
  <c r="AT27" i="9" s="1"/>
  <c r="B38" i="24"/>
  <c r="G39" i="21"/>
  <c r="G38" i="21"/>
  <c r="P43" i="21" s="1"/>
  <c r="G37" i="21"/>
  <c r="C313" i="13" s="1"/>
  <c r="P41" i="21"/>
  <c r="AU20" i="9"/>
  <c r="AT24" i="9"/>
  <c r="H27" i="3"/>
  <c r="I27" i="3"/>
  <c r="G43" i="21" l="1"/>
  <c r="P42" i="21"/>
  <c r="G42" i="21"/>
  <c r="C72" i="8"/>
  <c r="N28" i="7" l="1"/>
  <c r="O28" i="7"/>
  <c r="P28" i="7"/>
  <c r="O141" i="9"/>
  <c r="O144" i="9" s="1"/>
  <c r="S141" i="9"/>
  <c r="S144" i="9" s="1"/>
  <c r="W141" i="9"/>
  <c r="W144" i="9" s="1"/>
  <c r="K141" i="9"/>
  <c r="K144" i="9" s="1"/>
  <c r="M28" i="7"/>
  <c r="O145" i="9" l="1"/>
  <c r="W145" i="9"/>
  <c r="S145" i="9"/>
  <c r="Q28" i="7"/>
  <c r="N29" i="7"/>
  <c r="D69" i="7"/>
  <c r="C69" i="7"/>
  <c r="M29" i="7"/>
  <c r="P29" i="7"/>
  <c r="P30" i="7" s="1"/>
  <c r="U240" i="13" s="1"/>
  <c r="F69" i="7"/>
  <c r="O29" i="7"/>
  <c r="O30" i="7" s="1"/>
  <c r="T240" i="13" s="1"/>
  <c r="E69" i="7"/>
  <c r="K145" i="9"/>
  <c r="K147" i="9" s="1"/>
  <c r="X141" i="9"/>
  <c r="F142" i="7"/>
  <c r="E142" i="7"/>
  <c r="I68" i="8"/>
  <c r="I69" i="8"/>
  <c r="I70" i="8"/>
  <c r="I71" i="8"/>
  <c r="I72" i="8"/>
  <c r="I67" i="8"/>
  <c r="Y144" i="9" l="1"/>
  <c r="Z144" i="9"/>
  <c r="S146" i="9"/>
  <c r="S147" i="9"/>
  <c r="C299" i="13" s="1"/>
  <c r="W147" i="9"/>
  <c r="W146" i="9"/>
  <c r="O147" i="9"/>
  <c r="O146" i="9"/>
  <c r="X144" i="9"/>
  <c r="M30" i="7"/>
  <c r="R240" i="13" s="1"/>
  <c r="N30" i="7"/>
  <c r="S240" i="13" s="1"/>
  <c r="K146" i="9"/>
  <c r="AG7" i="9"/>
  <c r="AG8" i="9" s="1"/>
  <c r="D70" i="7"/>
  <c r="D71" i="7" s="1"/>
  <c r="S242" i="13" s="1"/>
  <c r="F70" i="7"/>
  <c r="F71" i="7" s="1"/>
  <c r="U242" i="13" s="1"/>
  <c r="C70" i="7"/>
  <c r="C71" i="7" s="1"/>
  <c r="R242" i="13" s="1"/>
  <c r="E70" i="7"/>
  <c r="E71" i="7" s="1"/>
  <c r="T242" i="13" s="1"/>
  <c r="D142" i="7"/>
  <c r="L20" i="7"/>
  <c r="F34" i="21" l="1"/>
  <c r="F36" i="21" s="1"/>
  <c r="F41" i="21" s="1"/>
  <c r="Y145" i="9"/>
  <c r="F213" i="13"/>
  <c r="D213" i="13"/>
  <c r="E213" i="13"/>
  <c r="C213" i="13"/>
  <c r="G61" i="7"/>
  <c r="X145" i="9"/>
  <c r="B124" i="24" s="1"/>
  <c r="Q27" i="7"/>
  <c r="G68" i="7" s="1"/>
  <c r="Q26" i="7"/>
  <c r="G58" i="7"/>
  <c r="Q5" i="3"/>
  <c r="G5" i="3"/>
  <c r="K69" i="9"/>
  <c r="K72" i="9" s="1"/>
  <c r="J103" i="21" l="1"/>
  <c r="K103" i="21" s="1"/>
  <c r="J126" i="21"/>
  <c r="Y126" i="21"/>
  <c r="Z126" i="21" s="1"/>
  <c r="AM103" i="21"/>
  <c r="AK126" i="21" s="1"/>
  <c r="AR22" i="9"/>
  <c r="X146" i="9"/>
  <c r="X147" i="9"/>
  <c r="AG11" i="9" s="1"/>
  <c r="AG12" i="9" s="1"/>
  <c r="G57" i="7"/>
  <c r="K107" i="21"/>
  <c r="J111" i="21"/>
  <c r="K111" i="21" s="1"/>
  <c r="K104" i="21"/>
  <c r="J112" i="21"/>
  <c r="K112" i="21" s="1"/>
  <c r="K109" i="21"/>
  <c r="J110" i="21"/>
  <c r="K110" i="21" s="1"/>
  <c r="F37" i="21"/>
  <c r="C312" i="13" s="1"/>
  <c r="O41" i="21"/>
  <c r="F39" i="21"/>
  <c r="F38" i="21"/>
  <c r="S69" i="9"/>
  <c r="S72" i="9" s="1"/>
  <c r="O69" i="9"/>
  <c r="O72" i="9" s="1"/>
  <c r="W69" i="9"/>
  <c r="W72" i="9" s="1"/>
  <c r="K73" i="9"/>
  <c r="S232" i="21"/>
  <c r="B52" i="2"/>
  <c r="AR25" i="9" l="1"/>
  <c r="AR27" i="9" s="1"/>
  <c r="B37" i="24"/>
  <c r="X72" i="9"/>
  <c r="Y73" i="9" s="1"/>
  <c r="W73" i="9"/>
  <c r="O73" i="9"/>
  <c r="S73" i="9"/>
  <c r="R232" i="21"/>
  <c r="T232" i="21" s="1"/>
  <c r="U232" i="21" s="1"/>
  <c r="Q29" i="7"/>
  <c r="L70" i="7" s="1"/>
  <c r="L71" i="7" s="1"/>
  <c r="Q59" i="21"/>
  <c r="O43" i="21"/>
  <c r="F43" i="21"/>
  <c r="O42" i="21"/>
  <c r="F42" i="21"/>
  <c r="O232" i="21"/>
  <c r="K106" i="21"/>
  <c r="J114" i="21"/>
  <c r="AR24" i="9"/>
  <c r="X69" i="9"/>
  <c r="Y72" i="9" s="1"/>
  <c r="S74" i="9" l="1"/>
  <c r="S75" i="9"/>
  <c r="O75" i="9"/>
  <c r="X73" i="9"/>
  <c r="B122" i="24" s="1"/>
  <c r="O74" i="9"/>
  <c r="W74" i="9"/>
  <c r="W75" i="9"/>
  <c r="Q30" i="7"/>
  <c r="V232" i="21"/>
  <c r="K74" i="9"/>
  <c r="K75" i="9"/>
  <c r="AE7" i="9" s="1"/>
  <c r="AE8" i="9" s="1"/>
  <c r="C34" i="21" l="1"/>
  <c r="C36" i="21" s="1"/>
  <c r="C41" i="21" s="1"/>
  <c r="C301" i="13"/>
  <c r="C297" i="13"/>
  <c r="AP22" i="9"/>
  <c r="X74" i="9"/>
  <c r="X75" i="9"/>
  <c r="F134" i="7"/>
  <c r="B35" i="24" l="1"/>
  <c r="AE11" i="9"/>
  <c r="AE12" i="9" s="1"/>
  <c r="C37" i="21"/>
  <c r="C310" i="13" s="1"/>
  <c r="C38" i="21"/>
  <c r="L43" i="21" s="1"/>
  <c r="L41" i="21"/>
  <c r="C39" i="21"/>
  <c r="AP24" i="9"/>
  <c r="AP25" i="9"/>
  <c r="AP27" i="9" s="1"/>
  <c r="L42" i="21" l="1"/>
  <c r="C42" i="21"/>
  <c r="C43" i="21"/>
  <c r="F107" i="21"/>
  <c r="E111" i="21"/>
  <c r="F111" i="21" s="1"/>
  <c r="AN107" i="21" l="1"/>
  <c r="AM111" i="21"/>
  <c r="AL111" i="21"/>
  <c r="I153" i="21"/>
  <c r="I157" i="21" s="1"/>
  <c r="AN111" i="21" l="1"/>
  <c r="AK134" i="21"/>
  <c r="AO134" i="21" s="1"/>
  <c r="P157" i="21" l="1"/>
  <c r="O59" i="21"/>
  <c r="F106" i="21"/>
  <c r="AN106" i="21"/>
  <c r="I152" i="21" l="1"/>
  <c r="W105" i="9"/>
  <c r="W108" i="9" s="1"/>
  <c r="W33" i="9"/>
  <c r="S105" i="9"/>
  <c r="S108" i="9" s="1"/>
  <c r="S33" i="9"/>
  <c r="O105" i="9"/>
  <c r="O108" i="9" s="1"/>
  <c r="O109" i="9" s="1"/>
  <c r="O111" i="9" s="1"/>
  <c r="O33" i="9"/>
  <c r="O36" i="9" s="1"/>
  <c r="K33" i="9"/>
  <c r="K36" i="9" s="1"/>
  <c r="K37" i="9" s="1"/>
  <c r="S109" i="9" l="1"/>
  <c r="W36" i="9"/>
  <c r="W37" i="9" s="1"/>
  <c r="W39" i="9" s="1"/>
  <c r="W109" i="9"/>
  <c r="S36" i="9"/>
  <c r="O37" i="9"/>
  <c r="K38" i="9"/>
  <c r="X105" i="9"/>
  <c r="X33" i="9"/>
  <c r="B68" i="24" s="1"/>
  <c r="J27" i="3"/>
  <c r="W110" i="9" l="1"/>
  <c r="W111" i="9"/>
  <c r="S110" i="9"/>
  <c r="S111" i="9"/>
  <c r="C298" i="13" s="1"/>
  <c r="X108" i="9"/>
  <c r="X36" i="9"/>
  <c r="W38" i="9"/>
  <c r="Y33" i="9"/>
  <c r="Y108" i="9"/>
  <c r="S37" i="9"/>
  <c r="S38" i="9" s="1"/>
  <c r="O38" i="9"/>
  <c r="O39" i="9"/>
  <c r="Z33" i="9"/>
  <c r="K39" i="9"/>
  <c r="Z108" i="9"/>
  <c r="O110" i="9"/>
  <c r="M19" i="21"/>
  <c r="U246" i="9" l="1"/>
  <c r="D89" i="26"/>
  <c r="C6" i="24"/>
  <c r="Y36" i="9"/>
  <c r="Y109" i="9"/>
  <c r="S39" i="9"/>
  <c r="Z36" i="9"/>
  <c r="D34" i="21"/>
  <c r="D36" i="21" s="1"/>
  <c r="N42" i="21"/>
  <c r="N41" i="21"/>
  <c r="N43" i="21"/>
  <c r="Z109" i="9"/>
  <c r="X109" i="9"/>
  <c r="B123" i="24" s="1"/>
  <c r="AS22" i="9"/>
  <c r="AS25" i="9"/>
  <c r="AS27" i="9" s="1"/>
  <c r="U251" i="9" l="1"/>
  <c r="U252" i="9" s="1"/>
  <c r="U248" i="9"/>
  <c r="U255" i="9"/>
  <c r="V246" i="9"/>
  <c r="F89" i="26"/>
  <c r="D90" i="26"/>
  <c r="G76" i="26" s="1"/>
  <c r="Y37" i="9"/>
  <c r="AQ22" i="9"/>
  <c r="X111" i="9"/>
  <c r="X110" i="9"/>
  <c r="Z37" i="9"/>
  <c r="D41" i="21"/>
  <c r="H34" i="21"/>
  <c r="K27" i="3"/>
  <c r="L26" i="7"/>
  <c r="G67" i="7" s="1"/>
  <c r="V255" i="9" l="1"/>
  <c r="V251" i="9"/>
  <c r="V248" i="9"/>
  <c r="W248" i="9" s="1"/>
  <c r="W246" i="9"/>
  <c r="D92" i="26"/>
  <c r="F92" i="26" s="1"/>
  <c r="D91" i="26"/>
  <c r="F91" i="26" s="1"/>
  <c r="F90" i="26"/>
  <c r="D93" i="26"/>
  <c r="F93" i="26" s="1"/>
  <c r="B36" i="24"/>
  <c r="AF11" i="9"/>
  <c r="AF12" i="9" s="1"/>
  <c r="AQ25" i="9"/>
  <c r="AQ27" i="9" s="1"/>
  <c r="H36" i="21"/>
  <c r="H41" i="21" s="1"/>
  <c r="S231" i="21"/>
  <c r="S235" i="21" s="1"/>
  <c r="M41" i="21"/>
  <c r="D37" i="21"/>
  <c r="C311" i="13" s="1"/>
  <c r="D38" i="21"/>
  <c r="D39" i="21"/>
  <c r="M22" i="21"/>
  <c r="M21" i="21"/>
  <c r="M20" i="21"/>
  <c r="AS24" i="9"/>
  <c r="AQ24" i="9"/>
  <c r="E130" i="7"/>
  <c r="E139" i="7"/>
  <c r="V252" i="9" l="1"/>
  <c r="W252" i="9" s="1"/>
  <c r="W251" i="9"/>
  <c r="W255" i="9"/>
  <c r="V256" i="9"/>
  <c r="W256" i="9" s="1"/>
  <c r="H38" i="21"/>
  <c r="H43" i="21" s="1"/>
  <c r="H39" i="21"/>
  <c r="N23" i="21" s="1"/>
  <c r="O23" i="21" s="1"/>
  <c r="H37" i="21"/>
  <c r="Q42" i="21" s="1"/>
  <c r="Q41" i="21"/>
  <c r="M42" i="21"/>
  <c r="D42" i="21"/>
  <c r="M43" i="21"/>
  <c r="D43" i="21"/>
  <c r="G69" i="7"/>
  <c r="F27" i="3"/>
  <c r="E27" i="3"/>
  <c r="D27" i="3"/>
  <c r="Q43" i="21" l="1"/>
  <c r="H42" i="21"/>
  <c r="G223" i="21"/>
  <c r="I223" i="21" s="1"/>
  <c r="K223" i="21"/>
  <c r="D53" i="2"/>
  <c r="C53" i="2"/>
  <c r="E53" i="2"/>
  <c r="B53" i="2"/>
  <c r="H223" i="21" l="1"/>
  <c r="M223" i="21"/>
  <c r="L223" i="21"/>
  <c r="D140" i="7"/>
  <c r="F140" i="7"/>
  <c r="C143" i="7"/>
  <c r="D143" i="7"/>
  <c r="E143" i="7"/>
  <c r="D139" i="7"/>
  <c r="F139" i="7"/>
  <c r="D141" i="7"/>
  <c r="F141" i="7"/>
  <c r="L21" i="7"/>
  <c r="L22" i="7"/>
  <c r="G63" i="7" s="1"/>
  <c r="G62" i="7" l="1"/>
  <c r="C139" i="7"/>
  <c r="F143" i="7"/>
  <c r="C141" i="7"/>
  <c r="C133" i="7"/>
  <c r="G133" i="7" s="1"/>
  <c r="C132" i="7"/>
  <c r="C130" i="7"/>
  <c r="G130" i="7" s="1"/>
  <c r="R231" i="21" l="1"/>
  <c r="R235" i="21" s="1"/>
  <c r="T235" i="21" s="1"/>
  <c r="L29" i="7"/>
  <c r="L30" i="7" s="1"/>
  <c r="G65" i="7"/>
  <c r="I65" i="7" s="1"/>
  <c r="F144" i="7"/>
  <c r="F138" i="7"/>
  <c r="E138" i="7"/>
  <c r="E132" i="7"/>
  <c r="G132" i="7" s="1"/>
  <c r="E141" i="7"/>
  <c r="E131" i="7"/>
  <c r="E140" i="7"/>
  <c r="D144" i="7"/>
  <c r="D138" i="7"/>
  <c r="E129" i="7"/>
  <c r="K222" i="21" l="1"/>
  <c r="L222" i="21" s="1"/>
  <c r="T231" i="21"/>
  <c r="U231" i="21" s="1"/>
  <c r="U235" i="21"/>
  <c r="V235" i="21"/>
  <c r="O231" i="21"/>
  <c r="K236" i="21" s="1"/>
  <c r="G222" i="21"/>
  <c r="G70" i="7"/>
  <c r="C138" i="7"/>
  <c r="E144" i="7"/>
  <c r="D134" i="7"/>
  <c r="C129" i="7"/>
  <c r="G129" i="7" s="1"/>
  <c r="G71" i="7" l="1"/>
  <c r="C146" i="26"/>
  <c r="I70" i="7"/>
  <c r="I71" i="7" s="1"/>
  <c r="M222" i="21"/>
  <c r="V231" i="21"/>
  <c r="K224" i="21"/>
  <c r="M224" i="21" s="1"/>
  <c r="G213" i="13"/>
  <c r="G224" i="21"/>
  <c r="G225" i="21" s="1"/>
  <c r="H222" i="21"/>
  <c r="I222" i="21"/>
  <c r="H146" i="26" l="1"/>
  <c r="H149" i="26" s="1"/>
  <c r="C149" i="26"/>
  <c r="L224" i="21"/>
  <c r="K225" i="21"/>
  <c r="L225" i="21" s="1"/>
  <c r="I224" i="21"/>
  <c r="H224" i="21"/>
  <c r="I225" i="21"/>
  <c r="H225" i="21"/>
  <c r="C140" i="7"/>
  <c r="C144" i="7"/>
  <c r="C131" i="7"/>
  <c r="G131" i="7" s="1"/>
  <c r="C134" i="7" l="1"/>
  <c r="G134" i="7" s="1"/>
  <c r="C27" i="3" l="1"/>
  <c r="L9" i="8"/>
  <c r="G21" i="8" s="1"/>
  <c r="L5" i="4" l="1"/>
  <c r="G6" i="4"/>
  <c r="G13" i="4" l="1"/>
  <c r="L6" i="8"/>
  <c r="L7" i="8"/>
  <c r="G19" i="8" s="1"/>
  <c r="L12" i="8" l="1"/>
  <c r="G24" i="8" s="1"/>
  <c r="L11" i="8"/>
  <c r="G18" i="8"/>
  <c r="L6" i="3"/>
  <c r="L5" i="3"/>
  <c r="B56" i="26" l="1"/>
  <c r="B64" i="26" s="1"/>
  <c r="G64" i="26" s="1"/>
  <c r="P35" i="3"/>
  <c r="P49" i="3" s="1"/>
  <c r="E173" i="21"/>
  <c r="E177" i="21" s="1"/>
  <c r="G177" i="21" s="1"/>
  <c r="L20" i="3"/>
  <c r="E126" i="21"/>
  <c r="AM126" i="21" s="1"/>
  <c r="G34" i="3"/>
  <c r="L34" i="3" s="1"/>
  <c r="M34" i="3" s="1"/>
  <c r="E127" i="21"/>
  <c r="G35" i="3"/>
  <c r="AN103" i="21"/>
  <c r="G23" i="8"/>
  <c r="K85" i="21"/>
  <c r="G27" i="3"/>
  <c r="G173" i="21" l="1"/>
  <c r="G49" i="3"/>
  <c r="L35" i="3"/>
  <c r="F126" i="21"/>
  <c r="AO126" i="21"/>
  <c r="P149" i="21" s="1"/>
  <c r="AN126" i="21"/>
  <c r="O149" i="21" s="1"/>
  <c r="N149" i="21"/>
  <c r="AL126" i="21"/>
  <c r="M149" i="21" s="1"/>
  <c r="H201" i="21"/>
  <c r="E181" i="21"/>
  <c r="J181" i="21"/>
  <c r="B181" i="21"/>
  <c r="G181" i="21"/>
  <c r="D181" i="21"/>
  <c r="H181" i="21"/>
  <c r="AM127" i="21"/>
  <c r="AO127" i="21" s="1"/>
  <c r="P150" i="21" s="1"/>
  <c r="AL127" i="21"/>
  <c r="G42" i="3"/>
  <c r="G54" i="3" s="1"/>
  <c r="E132" i="21"/>
  <c r="E131" i="21"/>
  <c r="F127" i="21"/>
  <c r="E135" i="21"/>
  <c r="F135" i="21" s="1"/>
  <c r="F103" i="21"/>
  <c r="AL112" i="21"/>
  <c r="I150" i="21"/>
  <c r="I158" i="21" s="1"/>
  <c r="F104" i="21"/>
  <c r="E112" i="21"/>
  <c r="F112" i="21" s="1"/>
  <c r="I149" i="21"/>
  <c r="L27" i="3"/>
  <c r="L49" i="3" l="1"/>
  <c r="C41" i="26" s="1"/>
  <c r="E41" i="26" s="1"/>
  <c r="B60" i="26"/>
  <c r="M35" i="3"/>
  <c r="M49" i="3" s="1"/>
  <c r="X35" i="9"/>
  <c r="AA36" i="9" s="1"/>
  <c r="L42" i="3"/>
  <c r="G45" i="3"/>
  <c r="G47" i="3" s="1"/>
  <c r="N150" i="21"/>
  <c r="H202" i="21"/>
  <c r="I195" i="21"/>
  <c r="I196" i="21"/>
  <c r="I200" i="21"/>
  <c r="I197" i="21"/>
  <c r="I198" i="21"/>
  <c r="I199" i="21"/>
  <c r="N19" i="21"/>
  <c r="I34" i="21"/>
  <c r="I36" i="21" s="1"/>
  <c r="AN127" i="21"/>
  <c r="O150" i="21" s="1"/>
  <c r="AM135" i="21"/>
  <c r="N158" i="21" s="1"/>
  <c r="AM132" i="21"/>
  <c r="AM133" i="21" s="1"/>
  <c r="AL132" i="21"/>
  <c r="M155" i="21" s="1"/>
  <c r="L163" i="21" s="1"/>
  <c r="AM131" i="21"/>
  <c r="AO131" i="21" s="1"/>
  <c r="P154" i="21" s="1"/>
  <c r="AL131" i="21"/>
  <c r="AL135" i="21"/>
  <c r="M158" i="21" s="1"/>
  <c r="M150" i="21"/>
  <c r="F132" i="21"/>
  <c r="E137" i="21"/>
  <c r="F137" i="21" s="1"/>
  <c r="E133" i="21"/>
  <c r="F133" i="21" s="1"/>
  <c r="F131" i="21"/>
  <c r="E136" i="21"/>
  <c r="F136" i="21" s="1"/>
  <c r="AN104" i="21"/>
  <c r="AM112" i="21"/>
  <c r="F109" i="21"/>
  <c r="AM109" i="21"/>
  <c r="AK132" i="21" s="1"/>
  <c r="E114" i="21"/>
  <c r="F114" i="21" s="1"/>
  <c r="F110" i="21"/>
  <c r="I155" i="21"/>
  <c r="G140" i="7"/>
  <c r="G143" i="7"/>
  <c r="G139" i="7"/>
  <c r="L54" i="3" l="1"/>
  <c r="G60" i="26"/>
  <c r="H60" i="26" s="1"/>
  <c r="M42" i="3"/>
  <c r="L45" i="3"/>
  <c r="X37" i="9"/>
  <c r="B69" i="24"/>
  <c r="AN135" i="21"/>
  <c r="O158" i="21" s="1"/>
  <c r="AM137" i="21"/>
  <c r="N160" i="21" s="1"/>
  <c r="AO132" i="21"/>
  <c r="P155" i="21" s="1"/>
  <c r="N155" i="21"/>
  <c r="N161" i="21" s="1"/>
  <c r="O161" i="21" s="1"/>
  <c r="AN132" i="21"/>
  <c r="O155" i="21" s="1"/>
  <c r="N20" i="21"/>
  <c r="O19" i="21"/>
  <c r="P20" i="21"/>
  <c r="N154" i="21"/>
  <c r="AM136" i="21"/>
  <c r="AN136" i="21" s="1"/>
  <c r="O159" i="21" s="1"/>
  <c r="AN131" i="21"/>
  <c r="O154" i="21" s="1"/>
  <c r="AN112" i="21"/>
  <c r="AK135" i="21"/>
  <c r="AO135" i="21" s="1"/>
  <c r="P158" i="21" s="1"/>
  <c r="AL136" i="21"/>
  <c r="M159" i="21" s="1"/>
  <c r="M154" i="21"/>
  <c r="N156" i="21"/>
  <c r="AN133" i="21"/>
  <c r="O156" i="21" s="1"/>
  <c r="AL137" i="21"/>
  <c r="M160" i="21" s="1"/>
  <c r="AL133" i="21"/>
  <c r="M156" i="21" s="1"/>
  <c r="AN109" i="21"/>
  <c r="AM114" i="21"/>
  <c r="AK137" i="21" s="1"/>
  <c r="AM110" i="21"/>
  <c r="I156" i="21"/>
  <c r="I160" i="21"/>
  <c r="AL110" i="21"/>
  <c r="AL114" i="21"/>
  <c r="C39" i="26" l="1"/>
  <c r="E39" i="26" s="1"/>
  <c r="C38" i="26"/>
  <c r="E38" i="26" s="1"/>
  <c r="M54" i="3"/>
  <c r="M56" i="3" s="1"/>
  <c r="M45" i="3"/>
  <c r="M47" i="3" s="1"/>
  <c r="F62" i="26"/>
  <c r="D62" i="26"/>
  <c r="C62" i="26"/>
  <c r="B62" i="26"/>
  <c r="C43" i="26"/>
  <c r="E43" i="26" s="1"/>
  <c r="L56" i="3"/>
  <c r="B5" i="24"/>
  <c r="B127" i="24"/>
  <c r="C126" i="24" s="1"/>
  <c r="L47" i="3"/>
  <c r="B18" i="24"/>
  <c r="AO22" i="9"/>
  <c r="B17" i="24"/>
  <c r="X38" i="9"/>
  <c r="B99" i="24" s="1"/>
  <c r="B6" i="24"/>
  <c r="Z48" i="9"/>
  <c r="P234" i="9"/>
  <c r="B19" i="24"/>
  <c r="B20" i="24"/>
  <c r="X39" i="9"/>
  <c r="B4" i="24"/>
  <c r="B77" i="24"/>
  <c r="B21" i="24"/>
  <c r="AO137" i="21"/>
  <c r="P160" i="21" s="1"/>
  <c r="N162" i="21"/>
  <c r="AO136" i="21"/>
  <c r="P159" i="21" s="1"/>
  <c r="N22" i="21"/>
  <c r="O22" i="21" s="1"/>
  <c r="N21" i="21"/>
  <c r="O21" i="21" s="1"/>
  <c r="O20" i="21"/>
  <c r="N159" i="21"/>
  <c r="AN110" i="21"/>
  <c r="AK133" i="21"/>
  <c r="AO133" i="21" s="1"/>
  <c r="P156" i="21" s="1"/>
  <c r="G62" i="26" l="1"/>
  <c r="B94" i="24"/>
  <c r="AI11" i="9"/>
  <c r="AI12" i="9" s="1"/>
  <c r="AA40" i="9"/>
  <c r="AO24" i="9"/>
  <c r="AI7" i="9"/>
  <c r="AI8" i="9" s="1"/>
  <c r="B39" i="24"/>
  <c r="AO25" i="9"/>
  <c r="AO27" i="9" s="1"/>
  <c r="G141" i="7"/>
  <c r="G144" i="7" l="1"/>
  <c r="G138" i="7"/>
  <c r="G20" i="2"/>
  <c r="T39" i="5" l="1"/>
  <c r="Y39" i="5"/>
</calcChain>
</file>

<file path=xl/comments1.xml><?xml version="1.0" encoding="utf-8"?>
<comments xmlns="http://schemas.openxmlformats.org/spreadsheetml/2006/main">
  <authors>
    <author>Magda le Roux</author>
  </authors>
  <commentList>
    <comment ref="H5" authorId="0" shapeId="0">
      <text>
        <r>
          <rPr>
            <b/>
            <sz val="9"/>
            <color indexed="81"/>
            <rFont val="Tahoma"/>
            <family val="2"/>
          </rPr>
          <t>Magda le Roux:</t>
        </r>
        <r>
          <rPr>
            <sz val="9"/>
            <color indexed="81"/>
            <rFont val="Tahoma"/>
            <family val="2"/>
          </rPr>
          <t xml:space="preserve">
mine reported 813622.12</t>
        </r>
      </text>
    </comment>
    <comment ref="I5" authorId="0" shapeId="0">
      <text>
        <r>
          <rPr>
            <b/>
            <sz val="9"/>
            <color indexed="81"/>
            <rFont val="Tahoma"/>
            <family val="2"/>
          </rPr>
          <t>Magda le Roux:</t>
        </r>
        <r>
          <rPr>
            <sz val="9"/>
            <color indexed="81"/>
            <rFont val="Tahoma"/>
            <family val="2"/>
          </rPr>
          <t xml:space="preserve">
amend in Q4 from 719333 to 720635</t>
        </r>
      </text>
    </comment>
    <comment ref="H6" authorId="0" shapeId="0">
      <text>
        <r>
          <rPr>
            <b/>
            <sz val="9"/>
            <color indexed="81"/>
            <rFont val="Tahoma"/>
            <family val="2"/>
          </rPr>
          <t>Magda le Roux:</t>
        </r>
        <r>
          <rPr>
            <sz val="9"/>
            <color indexed="81"/>
            <rFont val="Tahoma"/>
            <family val="2"/>
          </rPr>
          <t xml:space="preserve">
discrepancy  mine and group values. Mine to sort out. (mine reported 81972.36
Final: mine to add the sample tons - reported 88537. Amended as perr amendment form 
NOTE; mine to amend in its own records</t>
        </r>
      </text>
    </comment>
    <comment ref="I6" authorId="0" shapeId="0">
      <text>
        <r>
          <rPr>
            <b/>
            <sz val="9"/>
            <color indexed="81"/>
            <rFont val="Tahoma"/>
            <family val="2"/>
          </rPr>
          <t>Magda le Roux:</t>
        </r>
        <r>
          <rPr>
            <sz val="9"/>
            <color indexed="81"/>
            <rFont val="Tahoma"/>
            <family val="2"/>
          </rPr>
          <t xml:space="preserve">
amend in Q4 from 86933 to85631 (deon)</t>
        </r>
      </text>
    </comment>
    <comment ref="T6" authorId="0" shapeId="0">
      <text>
        <r>
          <rPr>
            <b/>
            <sz val="9"/>
            <color indexed="81"/>
            <rFont val="Tahoma"/>
            <family val="2"/>
          </rPr>
          <t>Magda le Roux:</t>
        </r>
        <r>
          <rPr>
            <sz val="9"/>
            <color indexed="81"/>
            <rFont val="Tahoma"/>
            <family val="2"/>
          </rPr>
          <t xml:space="preserve">
mine reported 94402</t>
        </r>
      </text>
    </comment>
    <comment ref="G7" authorId="0" shapeId="0">
      <text>
        <r>
          <rPr>
            <b/>
            <sz val="9"/>
            <color indexed="81"/>
            <rFont val="Tahoma"/>
            <family val="2"/>
          </rPr>
          <t>Magda le Roux:</t>
        </r>
        <r>
          <rPr>
            <sz val="9"/>
            <color indexed="81"/>
            <rFont val="Tahoma"/>
            <family val="2"/>
          </rPr>
          <t xml:space="preserve">
amend in Jul tomofficial 4230231 from 4230232</t>
        </r>
      </text>
    </comment>
    <comment ref="H7" authorId="0" shapeId="0">
      <text>
        <r>
          <rPr>
            <b/>
            <sz val="9"/>
            <color indexed="81"/>
            <rFont val="Tahoma"/>
            <family val="2"/>
          </rPr>
          <t>Magda le Roux:</t>
        </r>
        <r>
          <rPr>
            <sz val="9"/>
            <color indexed="81"/>
            <rFont val="Tahoma"/>
            <family val="2"/>
          </rPr>
          <t xml:space="preserve">
mine reported 896 154.12</t>
        </r>
      </text>
    </comment>
    <comment ref="L7" authorId="0" shapeId="0">
      <text>
        <r>
          <rPr>
            <b/>
            <sz val="9"/>
            <color indexed="81"/>
            <rFont val="Tahoma"/>
            <family val="2"/>
          </rPr>
          <t>Magda le Roux:</t>
        </r>
        <r>
          <rPr>
            <sz val="9"/>
            <color indexed="81"/>
            <rFont val="Tahoma"/>
            <family val="2"/>
          </rPr>
          <t xml:space="preserve">
amend from 2930930 to official n2930929 inJul</t>
        </r>
      </text>
    </comment>
    <comment ref="T7" authorId="0" shapeId="0">
      <text>
        <r>
          <rPr>
            <b/>
            <sz val="9"/>
            <color indexed="81"/>
            <rFont val="Tahoma"/>
            <family val="2"/>
          </rPr>
          <t>Magda le Roux:</t>
        </r>
        <r>
          <rPr>
            <sz val="9"/>
            <color indexed="81"/>
            <rFont val="Tahoma"/>
            <family val="2"/>
          </rPr>
          <t xml:space="preserve">
mine reported 1319831</t>
        </r>
      </text>
    </comment>
    <comment ref="C10" authorId="0" shapeId="0">
      <text>
        <r>
          <rPr>
            <b/>
            <sz val="9"/>
            <color indexed="81"/>
            <rFont val="Tahoma"/>
            <family val="2"/>
          </rPr>
          <t>Magda le Roux:</t>
        </r>
        <r>
          <rPr>
            <sz val="9"/>
            <color indexed="81"/>
            <rFont val="Tahoma"/>
            <family val="2"/>
          </rPr>
          <t xml:space="preserve">
mine reported 465 692</t>
        </r>
      </text>
    </comment>
    <comment ref="H10" authorId="0" shapeId="0">
      <text>
        <r>
          <rPr>
            <b/>
            <sz val="9"/>
            <color indexed="81"/>
            <rFont val="Tahoma"/>
            <family val="2"/>
          </rPr>
          <t>Magda le Roux:</t>
        </r>
        <r>
          <rPr>
            <sz val="9"/>
            <color indexed="81"/>
            <rFont val="Tahoma"/>
            <family val="2"/>
          </rPr>
          <t xml:space="preserve">
mine reported 482 206.56</t>
        </r>
      </text>
    </comment>
    <comment ref="M10" authorId="0" shapeId="0">
      <text>
        <r>
          <rPr>
            <b/>
            <sz val="9"/>
            <color indexed="81"/>
            <rFont val="Tahoma"/>
            <family val="2"/>
          </rPr>
          <t>Magda le Roux:</t>
        </r>
        <r>
          <rPr>
            <sz val="9"/>
            <color indexed="81"/>
            <rFont val="Tahoma"/>
            <family val="2"/>
          </rPr>
          <t xml:space="preserve">
mine reported 20626</t>
        </r>
      </text>
    </comment>
    <comment ref="R10" authorId="0" shapeId="0">
      <text>
        <r>
          <rPr>
            <b/>
            <sz val="9"/>
            <color indexed="81"/>
            <rFont val="Tahoma"/>
            <family val="2"/>
          </rPr>
          <t>Magda le Roux:</t>
        </r>
        <r>
          <rPr>
            <sz val="9"/>
            <color indexed="81"/>
            <rFont val="Tahoma"/>
            <family val="2"/>
          </rPr>
          <t xml:space="preserve">
mine reported 116973</t>
        </r>
      </text>
    </comment>
    <comment ref="S10" authorId="0" shapeId="0">
      <text>
        <r>
          <rPr>
            <b/>
            <sz val="9"/>
            <color indexed="81"/>
            <rFont val="Tahoma"/>
            <family val="2"/>
          </rPr>
          <t>Magda le Roux:</t>
        </r>
        <r>
          <rPr>
            <sz val="9"/>
            <color indexed="81"/>
            <rFont val="Tahoma"/>
            <family val="2"/>
          </rPr>
          <t xml:space="preserve">
mine reported 105 717.95
MlR AMEND IN q4 FROM  105 296   to 105379 (Deon)</t>
        </r>
      </text>
    </comment>
    <comment ref="V10" authorId="0" shapeId="0">
      <text>
        <r>
          <rPr>
            <b/>
            <sz val="9"/>
            <color indexed="81"/>
            <rFont val="Tahoma"/>
            <family val="2"/>
          </rPr>
          <t>Magda le Roux:</t>
        </r>
        <r>
          <rPr>
            <sz val="9"/>
            <color indexed="81"/>
            <rFont val="Tahoma"/>
            <family val="2"/>
          </rPr>
          <t xml:space="preserve">
amend in jul from  298 042 to oficial298130</t>
        </r>
      </text>
    </comment>
    <comment ref="D14" authorId="0" shapeId="0">
      <text>
        <r>
          <rPr>
            <b/>
            <sz val="9"/>
            <color indexed="81"/>
            <rFont val="Tahoma"/>
            <family val="2"/>
          </rPr>
          <t>Magda le Roux:</t>
        </r>
        <r>
          <rPr>
            <sz val="9"/>
            <color indexed="81"/>
            <rFont val="Tahoma"/>
            <family val="2"/>
          </rPr>
          <t xml:space="preserve">
Deon3399013</t>
        </r>
      </text>
    </comment>
    <comment ref="D15" authorId="0" shapeId="0">
      <text>
        <r>
          <rPr>
            <b/>
            <sz val="9"/>
            <color indexed="81"/>
            <rFont val="Tahoma"/>
            <family val="2"/>
          </rPr>
          <t>Magda le Roux:</t>
        </r>
        <r>
          <rPr>
            <sz val="9"/>
            <color indexed="81"/>
            <rFont val="Tahoma"/>
            <family val="2"/>
          </rPr>
          <t xml:space="preserve">
Deon 228548</t>
        </r>
      </text>
    </comment>
    <comment ref="G16" authorId="0" shapeId="0">
      <text>
        <r>
          <rPr>
            <b/>
            <sz val="9"/>
            <color indexed="81"/>
            <rFont val="Tahoma"/>
            <family val="2"/>
          </rPr>
          <t>Magda le Roux:</t>
        </r>
        <r>
          <rPr>
            <sz val="9"/>
            <color indexed="81"/>
            <rFont val="Tahoma"/>
            <family val="2"/>
          </rPr>
          <t xml:space="preserve">
official 12335870 vs calculated 12335869
</t>
        </r>
      </text>
    </comment>
    <comment ref="E19" authorId="0" shapeId="0">
      <text>
        <r>
          <rPr>
            <b/>
            <sz val="9"/>
            <color indexed="81"/>
            <rFont val="Tahoma"/>
            <family val="2"/>
          </rPr>
          <t>Magda le Roux:</t>
        </r>
        <r>
          <rPr>
            <sz val="9"/>
            <color indexed="81"/>
            <rFont val="Tahoma"/>
            <family val="2"/>
          </rPr>
          <t xml:space="preserve">
Deon 932 456</t>
        </r>
      </text>
    </comment>
    <comment ref="G19" authorId="0" shapeId="0">
      <text>
        <r>
          <rPr>
            <b/>
            <sz val="9"/>
            <color indexed="81"/>
            <rFont val="Tahoma"/>
            <family val="2"/>
          </rPr>
          <t>Magda le Roux:</t>
        </r>
        <r>
          <rPr>
            <sz val="9"/>
            <color indexed="81"/>
            <rFont val="Tahoma"/>
            <family val="2"/>
          </rPr>
          <t xml:space="preserve">
changed inJul from 3589087 due to change in CDM carats</t>
        </r>
      </text>
    </comment>
    <comment ref="E30" authorId="0" shapeId="0">
      <text>
        <r>
          <rPr>
            <b/>
            <sz val="9"/>
            <color indexed="81"/>
            <rFont val="Tahoma"/>
            <family val="2"/>
          </rPr>
          <t>Magda le Roux:</t>
        </r>
        <r>
          <rPr>
            <sz val="9"/>
            <color indexed="81"/>
            <rFont val="Tahoma"/>
            <family val="2"/>
          </rPr>
          <t xml:space="preserve">
amended in Q3 from 160649 to 157877
</t>
        </r>
      </text>
    </comment>
    <comment ref="F30" authorId="0" shapeId="0">
      <text>
        <r>
          <rPr>
            <b/>
            <sz val="9"/>
            <color indexed="81"/>
            <rFont val="Tahoma"/>
            <family val="2"/>
          </rPr>
          <t>Magda le Roux:</t>
        </r>
        <r>
          <rPr>
            <sz val="9"/>
            <color indexed="81"/>
            <rFont val="Tahoma"/>
            <family val="2"/>
          </rPr>
          <t xml:space="preserve">
changed in Q3</t>
        </r>
      </text>
    </comment>
    <comment ref="E45" authorId="0" shapeId="0">
      <text>
        <r>
          <rPr>
            <b/>
            <sz val="9"/>
            <color indexed="81"/>
            <rFont val="Tahoma"/>
            <family val="2"/>
          </rPr>
          <t>Magda le Roux:</t>
        </r>
        <r>
          <rPr>
            <sz val="9"/>
            <color indexed="81"/>
            <rFont val="Tahoma"/>
            <family val="2"/>
          </rPr>
          <t xml:space="preserve">
deons total = 376869</t>
        </r>
      </text>
    </comment>
  </commentList>
</comments>
</file>

<file path=xl/comments10.xml><?xml version="1.0" encoding="utf-8"?>
<comments xmlns="http://schemas.openxmlformats.org/spreadsheetml/2006/main">
  <authors>
    <author>Magda le Roux</author>
  </authors>
  <commentList>
    <comment ref="W3" authorId="0" shapeId="0">
      <text>
        <r>
          <rPr>
            <b/>
            <sz val="9"/>
            <color indexed="81"/>
            <rFont val="Tahoma"/>
            <family val="2"/>
          </rPr>
          <t>Magda le Roux:</t>
        </r>
        <r>
          <rPr>
            <sz val="9"/>
            <color indexed="81"/>
            <rFont val="Tahoma"/>
            <family val="2"/>
          </rPr>
          <t xml:space="preserve">
Not added to total</t>
        </r>
      </text>
    </comment>
    <comment ref="Q5" authorId="0" shapeId="0">
      <text>
        <r>
          <rPr>
            <b/>
            <sz val="9"/>
            <color indexed="81"/>
            <rFont val="Tahoma"/>
            <family val="2"/>
          </rPr>
          <t>Magda le Roux:</t>
        </r>
        <r>
          <rPr>
            <sz val="9"/>
            <color indexed="81"/>
            <rFont val="Tahoma"/>
            <family val="2"/>
          </rPr>
          <t xml:space="preserve">
mine to confirm</t>
        </r>
      </text>
    </comment>
    <comment ref="N9" authorId="0" shapeId="0">
      <text>
        <r>
          <rPr>
            <b/>
            <sz val="9"/>
            <color indexed="81"/>
            <rFont val="Tahoma"/>
            <charset val="1"/>
          </rPr>
          <t>Magda le Roux:</t>
        </r>
        <r>
          <rPr>
            <sz val="9"/>
            <color indexed="81"/>
            <rFont val="Tahoma"/>
            <charset val="1"/>
          </rPr>
          <t xml:space="preserve">
audit: changed form 0 to 15.3 based on a 105decrease  from 17 used in Fy 2019- 10% in line with decrease in tonnes produced</t>
        </r>
      </text>
    </comment>
    <comment ref="D10" authorId="0" shapeId="0">
      <text>
        <r>
          <rPr>
            <b/>
            <sz val="9"/>
            <color indexed="81"/>
            <rFont val="Tahoma"/>
            <family val="2"/>
          </rPr>
          <t>Magda le Roux:</t>
        </r>
        <r>
          <rPr>
            <sz val="9"/>
            <color indexed="81"/>
            <rFont val="Tahoma"/>
            <family val="2"/>
          </rPr>
          <t xml:space="preserve">
audit: Oct changed form 23 to 2.3</t>
        </r>
      </text>
    </comment>
    <comment ref="H10" authorId="0" shapeId="0">
      <text>
        <r>
          <rPr>
            <b/>
            <sz val="9"/>
            <color indexed="81"/>
            <rFont val="Tahoma"/>
            <family val="2"/>
          </rPr>
          <t>Magda le Roux:</t>
        </r>
        <r>
          <rPr>
            <sz val="9"/>
            <color indexed="81"/>
            <rFont val="Tahoma"/>
            <family val="2"/>
          </rPr>
          <t xml:space="preserve">
amend in q2 from 4.5 to 18</t>
        </r>
      </text>
    </comment>
    <comment ref="H11" authorId="0" shapeId="0">
      <text>
        <r>
          <rPr>
            <b/>
            <sz val="9"/>
            <color indexed="81"/>
            <rFont val="Tahoma"/>
            <family val="2"/>
          </rPr>
          <t>Magda le Roux:</t>
        </r>
        <r>
          <rPr>
            <sz val="9"/>
            <color indexed="81"/>
            <rFont val="Tahoma"/>
            <family val="2"/>
          </rPr>
          <t xml:space="preserve">
amend in q2 from 0 to 26</t>
        </r>
      </text>
    </comment>
    <comment ref="H12" authorId="0" shapeId="0">
      <text>
        <r>
          <rPr>
            <b/>
            <sz val="9"/>
            <color indexed="81"/>
            <rFont val="Tahoma"/>
            <family val="2"/>
          </rPr>
          <t>Magda le Roux:</t>
        </r>
        <r>
          <rPr>
            <sz val="9"/>
            <color indexed="81"/>
            <rFont val="Tahoma"/>
            <family val="2"/>
          </rPr>
          <t xml:space="preserve">
amend in q2 from 0 to 7; audit: 7 to 8 (Aug 2-3)</t>
        </r>
      </text>
    </comment>
    <comment ref="H14" authorId="0" shapeId="0">
      <text>
        <r>
          <rPr>
            <b/>
            <sz val="9"/>
            <color indexed="81"/>
            <rFont val="Tahoma"/>
            <family val="2"/>
          </rPr>
          <t>Magda le Roux:</t>
        </r>
        <r>
          <rPr>
            <sz val="9"/>
            <color indexed="81"/>
            <rFont val="Tahoma"/>
            <family val="2"/>
          </rPr>
          <t xml:space="preserve">
amend in q2 from 0 to 29</t>
        </r>
      </text>
    </comment>
  </commentList>
</comments>
</file>

<file path=xl/comments11.xml><?xml version="1.0" encoding="utf-8"?>
<comments xmlns="http://schemas.openxmlformats.org/spreadsheetml/2006/main">
  <authors>
    <author>Magda le Roux</author>
  </authors>
  <commentList>
    <comment ref="H2" authorId="0" shapeId="0">
      <text>
        <r>
          <rPr>
            <b/>
            <sz val="9"/>
            <color indexed="81"/>
            <rFont val="Tahoma"/>
            <family val="2"/>
          </rPr>
          <t>Magda le Roux:</t>
        </r>
        <r>
          <rPr>
            <sz val="9"/>
            <color indexed="81"/>
            <rFont val="Tahoma"/>
            <family val="2"/>
          </rPr>
          <t xml:space="preserve">
pDSA and London office data has not been added to the Petra diamonds data.</t>
        </r>
      </text>
    </comment>
    <comment ref="C4" authorId="0" shapeId="0">
      <text>
        <r>
          <rPr>
            <b/>
            <sz val="9"/>
            <color indexed="81"/>
            <rFont val="Tahoma"/>
            <family val="2"/>
          </rPr>
          <t>Magda le Roux:</t>
        </r>
        <r>
          <rPr>
            <sz val="9"/>
            <color indexed="81"/>
            <rFont val="Tahoma"/>
            <family val="2"/>
          </rPr>
          <t xml:space="preserve">
table D1 Annexure D: Net calorific values of fuels provided by SA petroleum industry association. ( tech guidelines to GHG regs)</t>
        </r>
      </text>
    </comment>
    <comment ref="D7" authorId="0" shapeId="0">
      <text>
        <r>
          <rPr>
            <b/>
            <sz val="9"/>
            <color indexed="81"/>
            <rFont val="Tahoma"/>
            <family val="2"/>
          </rPr>
          <t>Magda le Roux:</t>
        </r>
        <r>
          <rPr>
            <sz val="9"/>
            <color indexed="81"/>
            <rFont val="Tahoma"/>
            <family val="2"/>
          </rPr>
          <t xml:space="preserve">
Obtained from technical guidelines to GHG Reporting Regs Annexure A, based on tables 1.4 and 2.2 vol 2 energy of 2006 IPCC Guidelines- default emission factors for stationary combustion </t>
        </r>
      </text>
    </comment>
    <comment ref="F7" authorId="0" shapeId="0">
      <text>
        <r>
          <rPr>
            <b/>
            <sz val="9"/>
            <color indexed="81"/>
            <rFont val="Tahoma"/>
            <family val="2"/>
          </rPr>
          <t>Magda le Roux:</t>
        </r>
        <r>
          <rPr>
            <sz val="9"/>
            <color indexed="81"/>
            <rFont val="Tahoma"/>
            <family val="2"/>
          </rPr>
          <t xml:space="preserve">
IPCC 2006 TABLE 2.2  ( ENERGY INDUSTRY)</t>
        </r>
      </text>
    </comment>
    <comment ref="G7" authorId="0" shapeId="0">
      <text>
        <r>
          <rPr>
            <b/>
            <sz val="9"/>
            <color indexed="81"/>
            <rFont val="Tahoma"/>
            <family val="2"/>
          </rPr>
          <t>Magda le Roux:</t>
        </r>
        <r>
          <rPr>
            <sz val="9"/>
            <color indexed="81"/>
            <rFont val="Tahoma"/>
            <family val="2"/>
          </rPr>
          <t xml:space="preserve">
IPCC 2006 TABLE 2.2  ( ENERGY INDUSTRY)</t>
        </r>
      </text>
    </comment>
    <comment ref="D8" authorId="0" shapeId="0">
      <text>
        <r>
          <rPr>
            <b/>
            <sz val="9"/>
            <color indexed="81"/>
            <rFont val="Tahoma"/>
            <family val="2"/>
          </rPr>
          <t>Magda le Roux:</t>
        </r>
        <r>
          <rPr>
            <sz val="9"/>
            <color indexed="81"/>
            <rFont val="Tahoma"/>
            <family val="2"/>
          </rPr>
          <t xml:space="preserve">
see comment D7</t>
        </r>
      </text>
    </comment>
    <comment ref="F8" authorId="0" shapeId="0">
      <text>
        <r>
          <rPr>
            <b/>
            <sz val="9"/>
            <color indexed="81"/>
            <rFont val="Tahoma"/>
            <family val="2"/>
          </rPr>
          <t>Magda le Roux:</t>
        </r>
        <r>
          <rPr>
            <sz val="9"/>
            <color indexed="81"/>
            <rFont val="Tahoma"/>
            <family val="2"/>
          </rPr>
          <t xml:space="preserve">
IPCC 2006 TABLE 2.2  ( ENERGY INDUSTRY)</t>
        </r>
      </text>
    </comment>
    <comment ref="G8" authorId="0" shapeId="0">
      <text>
        <r>
          <rPr>
            <b/>
            <sz val="9"/>
            <color indexed="81"/>
            <rFont val="Tahoma"/>
            <family val="2"/>
          </rPr>
          <t>Magda le Roux:</t>
        </r>
        <r>
          <rPr>
            <sz val="9"/>
            <color indexed="81"/>
            <rFont val="Tahoma"/>
            <family val="2"/>
          </rPr>
          <t xml:space="preserve">
IPCC 2006 TABLE 2.2  ( ENERGY INDUSTRY)</t>
        </r>
      </text>
    </comment>
    <comment ref="AO8" authorId="0" shapeId="0">
      <text>
        <r>
          <rPr>
            <b/>
            <sz val="9"/>
            <color indexed="81"/>
            <rFont val="Tahoma"/>
            <family val="2"/>
          </rPr>
          <t>Magda le Roux:</t>
        </r>
        <r>
          <rPr>
            <sz val="9"/>
            <color indexed="81"/>
            <rFont val="Tahoma"/>
            <family val="2"/>
          </rPr>
          <t xml:space="preserve">
2016SR reported as 0.18</t>
        </r>
      </text>
    </comment>
    <comment ref="D10" authorId="0" shapeId="0">
      <text>
        <r>
          <rPr>
            <b/>
            <sz val="9"/>
            <color indexed="81"/>
            <rFont val="Tahoma"/>
            <family val="2"/>
          </rPr>
          <t>Magda le Roux:</t>
        </r>
        <r>
          <rPr>
            <sz val="9"/>
            <color indexed="81"/>
            <rFont val="Tahoma"/>
            <family val="2"/>
          </rPr>
          <t xml:space="preserve">
IPCC 2006 TABLE 3.2.1</t>
        </r>
      </text>
    </comment>
    <comment ref="F10" authorId="0" shapeId="0">
      <text>
        <r>
          <rPr>
            <b/>
            <sz val="9"/>
            <color indexed="81"/>
            <rFont val="Tahoma"/>
            <family val="2"/>
          </rPr>
          <t>Magda le Roux:</t>
        </r>
        <r>
          <rPr>
            <sz val="9"/>
            <color indexed="81"/>
            <rFont val="Tahoma"/>
            <family val="2"/>
          </rPr>
          <t xml:space="preserve">
IPCC 2006: table 3.2.2</t>
        </r>
      </text>
    </comment>
    <comment ref="G10" authorId="0" shapeId="0">
      <text>
        <r>
          <rPr>
            <b/>
            <sz val="9"/>
            <color indexed="81"/>
            <rFont val="Tahoma"/>
            <family val="2"/>
          </rPr>
          <t>Magda le Roux:</t>
        </r>
        <r>
          <rPr>
            <sz val="9"/>
            <color indexed="81"/>
            <rFont val="Tahoma"/>
            <family val="2"/>
          </rPr>
          <t xml:space="preserve">
IPCC 2006: TABLE 3.2.2</t>
        </r>
      </text>
    </comment>
    <comment ref="D11" authorId="0" shapeId="0">
      <text>
        <r>
          <rPr>
            <b/>
            <sz val="9"/>
            <color indexed="81"/>
            <rFont val="Tahoma"/>
            <family val="2"/>
          </rPr>
          <t>Magda le Roux:</t>
        </r>
        <r>
          <rPr>
            <sz val="9"/>
            <color indexed="81"/>
            <rFont val="Tahoma"/>
            <family val="2"/>
          </rPr>
          <t xml:space="preserve">
IPCC 2006 TABLE3.2.1</t>
        </r>
      </text>
    </comment>
    <comment ref="F11" authorId="0" shapeId="0">
      <text>
        <r>
          <rPr>
            <b/>
            <sz val="9"/>
            <color indexed="81"/>
            <rFont val="Tahoma"/>
            <family val="2"/>
          </rPr>
          <t>Magda le Roux:</t>
        </r>
        <r>
          <rPr>
            <sz val="9"/>
            <color indexed="81"/>
            <rFont val="Tahoma"/>
            <family val="2"/>
          </rPr>
          <t xml:space="preserve">
IPCC 2006: table 3.2.2 
LDV 1995 or later = 3.8</t>
        </r>
      </text>
    </comment>
    <comment ref="G11" authorId="0" shapeId="0">
      <text>
        <r>
          <rPr>
            <b/>
            <sz val="9"/>
            <color indexed="81"/>
            <rFont val="Tahoma"/>
            <family val="2"/>
          </rPr>
          <t>Magda le Roux:</t>
        </r>
        <r>
          <rPr>
            <sz val="9"/>
            <color indexed="81"/>
            <rFont val="Tahoma"/>
            <family val="2"/>
          </rPr>
          <t xml:space="preserve">
IPCC 2006:
Table 3.2.2 
LDV 1995 or later = 5.7</t>
        </r>
      </text>
    </comment>
    <comment ref="D12" authorId="0" shapeId="0">
      <text>
        <r>
          <rPr>
            <b/>
            <sz val="9"/>
            <color indexed="81"/>
            <rFont val="Tahoma"/>
            <family val="2"/>
          </rPr>
          <t>Magda le Roux:</t>
        </r>
        <r>
          <rPr>
            <sz val="9"/>
            <color indexed="81"/>
            <rFont val="Tahoma"/>
            <family val="2"/>
          </rPr>
          <t xml:space="preserve">
IPCC 2006 TABLE 3.6.4 JET KEROSENE = 71500</t>
        </r>
      </text>
    </comment>
    <comment ref="F12" authorId="0" shapeId="0">
      <text>
        <r>
          <rPr>
            <b/>
            <sz val="9"/>
            <color indexed="81"/>
            <rFont val="Tahoma"/>
            <family val="2"/>
          </rPr>
          <t>Magda le Roux:</t>
        </r>
        <r>
          <rPr>
            <sz val="9"/>
            <color indexed="81"/>
            <rFont val="Tahoma"/>
            <family val="2"/>
          </rPr>
          <t xml:space="preserve">
IPCC 2006 TABLE 3.6.5</t>
        </r>
      </text>
    </comment>
    <comment ref="G12" authorId="0" shapeId="0">
      <text>
        <r>
          <rPr>
            <b/>
            <sz val="9"/>
            <color indexed="81"/>
            <rFont val="Tahoma"/>
            <family val="2"/>
          </rPr>
          <t>Magda le Roux:</t>
        </r>
        <r>
          <rPr>
            <sz val="9"/>
            <color indexed="81"/>
            <rFont val="Tahoma"/>
            <family val="2"/>
          </rPr>
          <t xml:space="preserve">
IPCC 2006 TABLE 3.6.5</t>
        </r>
      </text>
    </comment>
    <comment ref="AO13" authorId="0" shapeId="0">
      <text>
        <r>
          <rPr>
            <b/>
            <sz val="9"/>
            <color indexed="81"/>
            <rFont val="Tahoma"/>
            <family val="2"/>
          </rPr>
          <t>Magda le Roux:</t>
        </r>
        <r>
          <rPr>
            <sz val="9"/>
            <color indexed="81"/>
            <rFont val="Tahoma"/>
            <family val="2"/>
          </rPr>
          <t xml:space="preserve">
2016SR: reported as 0.17 (KEM inlcuded)</t>
        </r>
      </text>
    </comment>
    <comment ref="A15" authorId="0" shapeId="0">
      <text>
        <r>
          <rPr>
            <b/>
            <sz val="9"/>
            <color indexed="81"/>
            <rFont val="Tahoma"/>
            <family val="2"/>
          </rPr>
          <t>Magda le Roux:</t>
        </r>
        <r>
          <rPr>
            <sz val="9"/>
            <color indexed="81"/>
            <rFont val="Tahoma"/>
            <family val="2"/>
          </rPr>
          <t xml:space="preserve">
IPCC AR5</t>
        </r>
      </text>
    </comment>
    <comment ref="A16" authorId="0" shapeId="0">
      <text>
        <r>
          <rPr>
            <b/>
            <sz val="9"/>
            <color indexed="81"/>
            <rFont val="Tahoma"/>
            <family val="2"/>
          </rPr>
          <t>Magda le Roux:</t>
        </r>
        <r>
          <rPr>
            <sz val="9"/>
            <color indexed="81"/>
            <rFont val="Tahoma"/>
            <family val="2"/>
          </rPr>
          <t xml:space="preserve">
IPCC AR4</t>
        </r>
      </text>
    </comment>
    <comment ref="A17" authorId="0" shapeId="0">
      <text>
        <r>
          <rPr>
            <b/>
            <sz val="9"/>
            <color indexed="81"/>
            <rFont val="Tahoma"/>
            <family val="2"/>
          </rPr>
          <t>Magda le Roux:</t>
        </r>
        <r>
          <rPr>
            <sz val="9"/>
            <color indexed="81"/>
            <rFont val="Tahoma"/>
            <family val="2"/>
          </rPr>
          <t xml:space="preserve">
IPCC AR4</t>
        </r>
      </text>
    </comment>
    <comment ref="D18" authorId="0" shapeId="0">
      <text>
        <r>
          <rPr>
            <b/>
            <sz val="9"/>
            <color indexed="81"/>
            <rFont val="Tahoma"/>
            <family val="2"/>
          </rPr>
          <t>Magda le Roux:</t>
        </r>
        <r>
          <rPr>
            <sz val="9"/>
            <color indexed="81"/>
            <rFont val="Tahoma"/>
            <family val="2"/>
          </rPr>
          <t xml:space="preserve">
DEFRA 2019 EF</t>
        </r>
      </text>
    </comment>
    <comment ref="D21" authorId="0" shapeId="0">
      <text>
        <r>
          <rPr>
            <b/>
            <sz val="9"/>
            <color indexed="81"/>
            <rFont val="Tahoma"/>
            <family val="2"/>
          </rPr>
          <t>Magda le Roux:</t>
        </r>
        <r>
          <rPr>
            <sz val="9"/>
            <color indexed="81"/>
            <rFont val="Tahoma"/>
            <family val="2"/>
          </rPr>
          <t xml:space="preserve">
ESKOM grid emission factor 2019 = 1.04kgCO2-e/kWh)</t>
        </r>
      </text>
    </comment>
    <comment ref="AO21" authorId="0" shapeId="0">
      <text>
        <r>
          <rPr>
            <b/>
            <sz val="9"/>
            <color indexed="81"/>
            <rFont val="Tahoma"/>
            <family val="2"/>
          </rPr>
          <t>Magda le Roux:</t>
        </r>
        <r>
          <rPr>
            <sz val="9"/>
            <color indexed="81"/>
            <rFont val="Tahoma"/>
            <family val="2"/>
          </rPr>
          <t xml:space="preserve">
SR2017: reported as 0.15</t>
        </r>
      </text>
    </comment>
    <comment ref="D22" authorId="0" shapeId="0">
      <text>
        <r>
          <rPr>
            <b/>
            <sz val="9"/>
            <color indexed="81"/>
            <rFont val="Tahoma"/>
            <family val="2"/>
          </rPr>
          <t>Magda le Roux:</t>
        </r>
        <r>
          <rPr>
            <sz val="9"/>
            <color indexed="81"/>
            <rFont val="Tahoma"/>
            <family val="2"/>
          </rPr>
          <t xml:space="preserve">
IEA 2010 electricity emission factor for Tanzania = 0.2421504 replaced by Instittute for Global Env strategies's (IGES) registered CDM projects: combined grid emission factor of 0.529</t>
        </r>
      </text>
    </comment>
    <comment ref="D23" authorId="0" shapeId="0">
      <text>
        <r>
          <rPr>
            <b/>
            <sz val="9"/>
            <color indexed="81"/>
            <rFont val="Tahoma"/>
            <family val="2"/>
          </rPr>
          <t>Magda le Roux:</t>
        </r>
        <r>
          <rPr>
            <sz val="9"/>
            <color indexed="81"/>
            <rFont val="Tahoma"/>
            <family val="2"/>
          </rPr>
          <t xml:space="preserve">
DEFRA 2019 UK electricity </t>
        </r>
      </text>
    </comment>
    <comment ref="A28" authorId="0" shapeId="0">
      <text>
        <r>
          <rPr>
            <b/>
            <sz val="9"/>
            <color indexed="81"/>
            <rFont val="Tahoma"/>
            <family val="2"/>
          </rPr>
          <t>Magda le Roux:</t>
        </r>
        <r>
          <rPr>
            <sz val="9"/>
            <color indexed="81"/>
            <rFont val="Tahoma"/>
            <family val="2"/>
          </rPr>
          <t xml:space="preserve">
assume average petrol car DEFRA(Business travel land) = 0.18084</t>
        </r>
      </text>
    </comment>
    <comment ref="D28" authorId="0" shapeId="0">
      <text>
        <r>
          <rPr>
            <b/>
            <sz val="9"/>
            <color indexed="81"/>
            <rFont val="Tahoma"/>
            <family val="2"/>
          </rPr>
          <t>Magda le Roux:</t>
        </r>
        <r>
          <rPr>
            <sz val="9"/>
            <color indexed="81"/>
            <rFont val="Tahoma"/>
            <family val="2"/>
          </rPr>
          <t xml:space="preserve">
ssume average petrol car DEFRA(Business travel land) = 0.18084</t>
        </r>
      </text>
    </comment>
    <comment ref="C29" authorId="0" shapeId="0">
      <text>
        <r>
          <rPr>
            <b/>
            <sz val="9"/>
            <color indexed="81"/>
            <rFont val="Tahoma"/>
            <family val="2"/>
          </rPr>
          <t>Magda le Roux:</t>
        </r>
        <r>
          <rPr>
            <sz val="9"/>
            <color indexed="81"/>
            <rFont val="Tahoma"/>
            <family val="2"/>
          </rPr>
          <t xml:space="preserve">
fixed wing: Jet fuel A1- cal value = 37.5MJ/l and d = 0.79kg/l and EF = 70000; chopper: avgas- cal value = 33.9 MJ/l and d = 0.71kg/l) and EF = 70000</t>
        </r>
      </text>
    </comment>
    <comment ref="A31" authorId="0" shapeId="0">
      <text>
        <r>
          <rPr>
            <b/>
            <sz val="9"/>
            <color indexed="81"/>
            <rFont val="Tahoma"/>
            <family val="2"/>
          </rPr>
          <t>Magda le Roux:</t>
        </r>
        <r>
          <rPr>
            <sz val="9"/>
            <color indexed="81"/>
            <rFont val="Tahoma"/>
            <family val="2"/>
          </rPr>
          <t xml:space="preserve">
DEFRA 2018 Efs with RF for average passenger</t>
        </r>
      </text>
    </comment>
    <comment ref="C31" authorId="0" shapeId="0">
      <text>
        <r>
          <rPr>
            <b/>
            <sz val="9"/>
            <color indexed="81"/>
            <rFont val="Tahoma"/>
            <family val="2"/>
          </rPr>
          <t>Magda le Roux:</t>
        </r>
        <r>
          <rPr>
            <sz val="9"/>
            <color indexed="81"/>
            <rFont val="Tahoma"/>
            <family val="2"/>
          </rPr>
          <t xml:space="preserve">
Domestic passenger.km EF- DEFRA 2019</t>
        </r>
      </text>
    </comment>
    <comment ref="D31" authorId="0" shapeId="0">
      <text>
        <r>
          <rPr>
            <b/>
            <sz val="9"/>
            <color indexed="81"/>
            <rFont val="Tahoma"/>
            <family val="2"/>
          </rPr>
          <t>Magda le Roux:</t>
        </r>
        <r>
          <rPr>
            <sz val="9"/>
            <color indexed="81"/>
            <rFont val="Tahoma"/>
            <family val="2"/>
          </rPr>
          <t xml:space="preserve">
Short haul EF for passenger.km source data- DEFRA 2019</t>
        </r>
      </text>
    </comment>
    <comment ref="E31" authorId="0" shapeId="0">
      <text>
        <r>
          <rPr>
            <b/>
            <sz val="9"/>
            <color indexed="81"/>
            <rFont val="Tahoma"/>
            <family val="2"/>
          </rPr>
          <t>Magda le Roux:</t>
        </r>
        <r>
          <rPr>
            <sz val="9"/>
            <color indexed="81"/>
            <rFont val="Tahoma"/>
            <family val="2"/>
          </rPr>
          <t xml:space="preserve">
Long haul EF for average passenger with RF- DEFRA 2019</t>
        </r>
      </text>
    </comment>
    <comment ref="F31" authorId="0" shapeId="0">
      <text>
        <r>
          <rPr>
            <b/>
            <sz val="9"/>
            <color indexed="81"/>
            <rFont val="Tahoma"/>
            <family val="2"/>
          </rPr>
          <t>Magda le Roux:</t>
        </r>
        <r>
          <rPr>
            <sz val="9"/>
            <color indexed="81"/>
            <rFont val="Tahoma"/>
            <family val="2"/>
          </rPr>
          <t xml:space="preserve">
International flights Efaverage passenger- DEFRA 2019</t>
        </r>
      </text>
    </comment>
    <comment ref="D32" authorId="0" shapeId="0">
      <text>
        <r>
          <rPr>
            <b/>
            <sz val="9"/>
            <color indexed="81"/>
            <rFont val="Tahoma"/>
            <family val="2"/>
          </rPr>
          <t>Magda le Roux:</t>
        </r>
        <r>
          <rPr>
            <sz val="9"/>
            <color indexed="81"/>
            <rFont val="Tahoma"/>
            <family val="2"/>
          </rPr>
          <t xml:space="preserve">
DEFRA 2019 :material use, paper and board EF = 870.1kg CO2-e/tonne</t>
        </r>
      </text>
    </comment>
    <comment ref="D33" authorId="0" shapeId="0">
      <text>
        <r>
          <rPr>
            <b/>
            <sz val="9"/>
            <color indexed="81"/>
            <rFont val="Tahoma"/>
            <family val="2"/>
          </rPr>
          <t>Magda le Roux:</t>
        </r>
        <r>
          <rPr>
            <sz val="9"/>
            <color indexed="81"/>
            <rFont val="Tahoma"/>
            <family val="2"/>
          </rPr>
          <t xml:space="preserve">
DEFRA 2019 EF for municipal waste to landfill ((waste disposal section) = 586.514kg CO2e/t
</t>
        </r>
      </text>
    </comment>
    <comment ref="D34" authorId="0" shapeId="0">
      <text>
        <r>
          <rPr>
            <b/>
            <sz val="9"/>
            <color indexed="81"/>
            <rFont val="Tahoma"/>
            <family val="2"/>
          </rPr>
          <t>Magda le Roux:</t>
        </r>
        <r>
          <rPr>
            <sz val="9"/>
            <color indexed="81"/>
            <rFont val="Tahoma"/>
            <family val="2"/>
          </rPr>
          <t xml:space="preserve">
DEFRA 2019 EF for scrap metal recycled (closed loop: waste disposal section) = 21.354 kg CO2e/t</t>
        </r>
      </text>
    </comment>
    <comment ref="D35" authorId="0" shapeId="0">
      <text>
        <r>
          <rPr>
            <b/>
            <sz val="9"/>
            <color indexed="81"/>
            <rFont val="Tahoma"/>
            <family val="2"/>
          </rPr>
          <t>Magda le Roux:</t>
        </r>
        <r>
          <rPr>
            <sz val="9"/>
            <color indexed="81"/>
            <rFont val="Tahoma"/>
            <family val="2"/>
          </rPr>
          <t xml:space="preserve">
DEFRA 2019 EF for potable water use (pumped)</t>
        </r>
      </text>
    </comment>
    <comment ref="C43" authorId="0" shapeId="0">
      <text>
        <r>
          <rPr>
            <b/>
            <sz val="9"/>
            <color indexed="81"/>
            <rFont val="Tahoma"/>
            <family val="2"/>
          </rPr>
          <t>Magda le Roux:</t>
        </r>
        <r>
          <rPr>
            <sz val="9"/>
            <color indexed="81"/>
            <rFont val="Tahoma"/>
            <family val="2"/>
          </rPr>
          <t xml:space="preserve">
table D1 Annexure D: Net calorific values of fuels provided by SA petroleum industry association. ( tech guidelines to GHG regs)</t>
        </r>
      </text>
    </comment>
    <comment ref="D46" authorId="0" shapeId="0">
      <text>
        <r>
          <rPr>
            <b/>
            <sz val="9"/>
            <color indexed="81"/>
            <rFont val="Tahoma"/>
            <family val="2"/>
          </rPr>
          <t>Magda le Roux:</t>
        </r>
        <r>
          <rPr>
            <sz val="9"/>
            <color indexed="81"/>
            <rFont val="Tahoma"/>
            <family val="2"/>
          </rPr>
          <t xml:space="preserve">
Obtained from technical guidelines to GHG Reporting Regs Annexure A, based on tables 1.4 and 2.2 vol 2 energy of 2006 IPCC Guidelines- default emission factors for stationary combustion </t>
        </r>
      </text>
    </comment>
    <comment ref="F46" authorId="0" shapeId="0">
      <text>
        <r>
          <rPr>
            <b/>
            <sz val="9"/>
            <color indexed="81"/>
            <rFont val="Tahoma"/>
            <family val="2"/>
          </rPr>
          <t>Magda le Roux:</t>
        </r>
        <r>
          <rPr>
            <sz val="9"/>
            <color indexed="81"/>
            <rFont val="Tahoma"/>
            <family val="2"/>
          </rPr>
          <t xml:space="preserve">
IPCC 2006 TABLE 2.2  ( ENERGY INDUSTRY)</t>
        </r>
      </text>
    </comment>
    <comment ref="G46" authorId="0" shapeId="0">
      <text>
        <r>
          <rPr>
            <b/>
            <sz val="9"/>
            <color indexed="81"/>
            <rFont val="Tahoma"/>
            <family val="2"/>
          </rPr>
          <t>Magda le Roux:</t>
        </r>
        <r>
          <rPr>
            <sz val="9"/>
            <color indexed="81"/>
            <rFont val="Tahoma"/>
            <family val="2"/>
          </rPr>
          <t xml:space="preserve">
IPCC 2006 TABLE 2.2  ( ENERGY INDUSTRY)</t>
        </r>
      </text>
    </comment>
    <comment ref="D47" authorId="0" shapeId="0">
      <text>
        <r>
          <rPr>
            <b/>
            <sz val="9"/>
            <color indexed="81"/>
            <rFont val="Tahoma"/>
            <family val="2"/>
          </rPr>
          <t>Magda le Roux:</t>
        </r>
        <r>
          <rPr>
            <sz val="9"/>
            <color indexed="81"/>
            <rFont val="Tahoma"/>
            <family val="2"/>
          </rPr>
          <t xml:space="preserve">
see comment D7</t>
        </r>
      </text>
    </comment>
    <comment ref="F47" authorId="0" shapeId="0">
      <text>
        <r>
          <rPr>
            <b/>
            <sz val="9"/>
            <color indexed="81"/>
            <rFont val="Tahoma"/>
            <family val="2"/>
          </rPr>
          <t>Magda le Roux:</t>
        </r>
        <r>
          <rPr>
            <sz val="9"/>
            <color indexed="81"/>
            <rFont val="Tahoma"/>
            <family val="2"/>
          </rPr>
          <t xml:space="preserve">
IPCC 2006 TABLE 2.2  ( ENERGY INDUSTRY)</t>
        </r>
      </text>
    </comment>
    <comment ref="G47" authorId="0" shapeId="0">
      <text>
        <r>
          <rPr>
            <b/>
            <sz val="9"/>
            <color indexed="81"/>
            <rFont val="Tahoma"/>
            <family val="2"/>
          </rPr>
          <t>Magda le Roux:</t>
        </r>
        <r>
          <rPr>
            <sz val="9"/>
            <color indexed="81"/>
            <rFont val="Tahoma"/>
            <family val="2"/>
          </rPr>
          <t xml:space="preserve">
IPCC 2006 TABLE 2.2  ( ENERGY INDUSTRY)</t>
        </r>
      </text>
    </comment>
    <comment ref="D49" authorId="0" shapeId="0">
      <text>
        <r>
          <rPr>
            <b/>
            <sz val="9"/>
            <color indexed="81"/>
            <rFont val="Tahoma"/>
            <family val="2"/>
          </rPr>
          <t>Magda le Roux:</t>
        </r>
        <r>
          <rPr>
            <sz val="9"/>
            <color indexed="81"/>
            <rFont val="Tahoma"/>
            <family val="2"/>
          </rPr>
          <t xml:space="preserve">
IPCC 2006 TABLE 3.2.1</t>
        </r>
      </text>
    </comment>
    <comment ref="F49" authorId="0" shapeId="0">
      <text>
        <r>
          <rPr>
            <b/>
            <sz val="9"/>
            <color indexed="81"/>
            <rFont val="Tahoma"/>
            <family val="2"/>
          </rPr>
          <t>Magda le Roux:</t>
        </r>
        <r>
          <rPr>
            <sz val="9"/>
            <color indexed="81"/>
            <rFont val="Tahoma"/>
            <family val="2"/>
          </rPr>
          <t xml:space="preserve">
IPCC 2006: table 3.2.2</t>
        </r>
      </text>
    </comment>
    <comment ref="G49" authorId="0" shapeId="0">
      <text>
        <r>
          <rPr>
            <b/>
            <sz val="9"/>
            <color indexed="81"/>
            <rFont val="Tahoma"/>
            <family val="2"/>
          </rPr>
          <t>Magda le Roux:</t>
        </r>
        <r>
          <rPr>
            <sz val="9"/>
            <color indexed="81"/>
            <rFont val="Tahoma"/>
            <family val="2"/>
          </rPr>
          <t xml:space="preserve">
IPCC 2006: TABLE 3.2.2</t>
        </r>
      </text>
    </comment>
    <comment ref="D50" authorId="0" shapeId="0">
      <text>
        <r>
          <rPr>
            <b/>
            <sz val="9"/>
            <color indexed="81"/>
            <rFont val="Tahoma"/>
            <family val="2"/>
          </rPr>
          <t>Magda le Roux:</t>
        </r>
        <r>
          <rPr>
            <sz val="9"/>
            <color indexed="81"/>
            <rFont val="Tahoma"/>
            <family val="2"/>
          </rPr>
          <t xml:space="preserve">
IPCC 2006 TABLE3.2.1</t>
        </r>
      </text>
    </comment>
    <comment ref="F50" authorId="0" shapeId="0">
      <text>
        <r>
          <rPr>
            <b/>
            <sz val="9"/>
            <color indexed="81"/>
            <rFont val="Tahoma"/>
            <family val="2"/>
          </rPr>
          <t>Magda le Roux:</t>
        </r>
        <r>
          <rPr>
            <sz val="9"/>
            <color indexed="81"/>
            <rFont val="Tahoma"/>
            <family val="2"/>
          </rPr>
          <t xml:space="preserve">
IPCC 2006: table 3.2.2  
LDV 1995 or later = 3.8</t>
        </r>
      </text>
    </comment>
    <comment ref="G50" authorId="0" shapeId="0">
      <text>
        <r>
          <rPr>
            <b/>
            <sz val="9"/>
            <color indexed="81"/>
            <rFont val="Tahoma"/>
            <family val="2"/>
          </rPr>
          <t>Magda le Roux:</t>
        </r>
        <r>
          <rPr>
            <sz val="9"/>
            <color indexed="81"/>
            <rFont val="Tahoma"/>
            <family val="2"/>
          </rPr>
          <t xml:space="preserve">
IPCC 2006:
Table 3.2.2 
LDV 1995 or later = 5.7</t>
        </r>
      </text>
    </comment>
    <comment ref="D51" authorId="0" shapeId="0">
      <text>
        <r>
          <rPr>
            <b/>
            <sz val="9"/>
            <color indexed="81"/>
            <rFont val="Tahoma"/>
            <family val="2"/>
          </rPr>
          <t>Magda le Roux:</t>
        </r>
        <r>
          <rPr>
            <sz val="9"/>
            <color indexed="81"/>
            <rFont val="Tahoma"/>
            <family val="2"/>
          </rPr>
          <t xml:space="preserve">
IPCC 2006 TABLE 3.6.4 J</t>
        </r>
      </text>
    </comment>
    <comment ref="F51" authorId="0" shapeId="0">
      <text>
        <r>
          <rPr>
            <b/>
            <sz val="9"/>
            <color indexed="81"/>
            <rFont val="Tahoma"/>
            <family val="2"/>
          </rPr>
          <t>Magda le Roux:</t>
        </r>
        <r>
          <rPr>
            <sz val="9"/>
            <color indexed="81"/>
            <rFont val="Tahoma"/>
            <family val="2"/>
          </rPr>
          <t xml:space="preserve">
IPCC 2006 TABLE 3.6.5</t>
        </r>
      </text>
    </comment>
    <comment ref="G51" authorId="0" shapeId="0">
      <text>
        <r>
          <rPr>
            <b/>
            <sz val="9"/>
            <color indexed="81"/>
            <rFont val="Tahoma"/>
            <family val="2"/>
          </rPr>
          <t>Magda le Roux:</t>
        </r>
        <r>
          <rPr>
            <sz val="9"/>
            <color indexed="81"/>
            <rFont val="Tahoma"/>
            <family val="2"/>
          </rPr>
          <t xml:space="preserve">
IPCC 2006 TABLE 3.6.5</t>
        </r>
      </text>
    </comment>
    <comment ref="A56" authorId="0" shapeId="0">
      <text>
        <r>
          <rPr>
            <b/>
            <sz val="9"/>
            <color indexed="81"/>
            <rFont val="Tahoma"/>
            <family val="2"/>
          </rPr>
          <t>Magda le Roux:</t>
        </r>
        <r>
          <rPr>
            <sz val="9"/>
            <color indexed="81"/>
            <rFont val="Tahoma"/>
            <family val="2"/>
          </rPr>
          <t xml:space="preserve">
IPCC AR4</t>
        </r>
      </text>
    </comment>
    <comment ref="D57" authorId="0" shapeId="0">
      <text>
        <r>
          <rPr>
            <b/>
            <sz val="9"/>
            <color indexed="81"/>
            <rFont val="Tahoma"/>
            <family val="2"/>
          </rPr>
          <t>Magda le Roux:</t>
        </r>
        <r>
          <rPr>
            <sz val="9"/>
            <color indexed="81"/>
            <rFont val="Tahoma"/>
            <family val="2"/>
          </rPr>
          <t xml:space="preserve">
DEFRA 2019 EF</t>
        </r>
      </text>
    </comment>
    <comment ref="D60" authorId="0" shapeId="0">
      <text>
        <r>
          <rPr>
            <b/>
            <sz val="9"/>
            <color indexed="81"/>
            <rFont val="Tahoma"/>
            <family val="2"/>
          </rPr>
          <t>Magda le Roux:</t>
        </r>
        <r>
          <rPr>
            <sz val="9"/>
            <color indexed="81"/>
            <rFont val="Tahoma"/>
            <family val="2"/>
          </rPr>
          <t xml:space="preserve">
ESKOM grid emission factor 201 = 1.04kgCO2-e/kWh)</t>
        </r>
      </text>
    </comment>
    <comment ref="C66" authorId="0" shapeId="0">
      <text>
        <r>
          <rPr>
            <b/>
            <sz val="9"/>
            <color indexed="81"/>
            <rFont val="Tahoma"/>
            <family val="2"/>
          </rPr>
          <t>Magda le Roux:</t>
        </r>
        <r>
          <rPr>
            <sz val="9"/>
            <color indexed="81"/>
            <rFont val="Tahoma"/>
            <family val="2"/>
          </rPr>
          <t xml:space="preserve">
fixed wing: Jet fuel A1- cal value = 37.5MJ/l and d = 0.79kg/l and EF = 70000; chopper: avgas- cal value = 33.9 MJ/l and d = 0.71kg/l) and EF = 70000</t>
        </r>
      </text>
    </comment>
    <comment ref="A67" authorId="0" shapeId="0">
      <text>
        <r>
          <rPr>
            <b/>
            <sz val="9"/>
            <color indexed="81"/>
            <rFont val="Tahoma"/>
            <family val="2"/>
          </rPr>
          <t>Magda le Roux:</t>
        </r>
        <r>
          <rPr>
            <sz val="9"/>
            <color indexed="81"/>
            <rFont val="Tahoma"/>
            <family val="2"/>
          </rPr>
          <t xml:space="preserve">
DEFRA 2018 Efs with RF for average passenger</t>
        </r>
      </text>
    </comment>
    <comment ref="C67" authorId="0" shapeId="0">
      <text>
        <r>
          <rPr>
            <b/>
            <sz val="9"/>
            <color indexed="81"/>
            <rFont val="Tahoma"/>
            <family val="2"/>
          </rPr>
          <t>Magda le Roux:</t>
        </r>
        <r>
          <rPr>
            <sz val="9"/>
            <color indexed="81"/>
            <rFont val="Tahoma"/>
            <family val="2"/>
          </rPr>
          <t xml:space="preserve">
Domestic passenger.km EF- DEFRA 2019 business travel</t>
        </r>
      </text>
    </comment>
    <comment ref="D67" authorId="0" shapeId="0">
      <text>
        <r>
          <rPr>
            <b/>
            <sz val="9"/>
            <color indexed="81"/>
            <rFont val="Tahoma"/>
            <family val="2"/>
          </rPr>
          <t>Magda le Roux:</t>
        </r>
        <r>
          <rPr>
            <sz val="9"/>
            <color indexed="81"/>
            <rFont val="Tahoma"/>
            <family val="2"/>
          </rPr>
          <t xml:space="preserve">
Short haul EF fo rpassenger.km sourve dataDEFRA 2019 business travel</t>
        </r>
      </text>
    </comment>
    <comment ref="E67" authorId="0" shapeId="0">
      <text>
        <r>
          <rPr>
            <b/>
            <sz val="9"/>
            <color indexed="81"/>
            <rFont val="Tahoma"/>
            <family val="2"/>
          </rPr>
          <t>Magda le Roux:</t>
        </r>
        <r>
          <rPr>
            <sz val="9"/>
            <color indexed="81"/>
            <rFont val="Tahoma"/>
            <family val="2"/>
          </rPr>
          <t xml:space="preserve">
Long haul EF f0r average passenger with RF-DEFRA 2019 business travel</t>
        </r>
      </text>
    </comment>
    <comment ref="F67" authorId="0" shapeId="0">
      <text>
        <r>
          <rPr>
            <b/>
            <sz val="9"/>
            <color indexed="81"/>
            <rFont val="Tahoma"/>
            <family val="2"/>
          </rPr>
          <t>Magda le Roux:</t>
        </r>
        <r>
          <rPr>
            <sz val="9"/>
            <color indexed="81"/>
            <rFont val="Tahoma"/>
            <family val="2"/>
          </rPr>
          <t xml:space="preserve">
International flights EF-DEFRA 2019 business travel</t>
        </r>
      </text>
    </comment>
    <comment ref="D68" authorId="0" shapeId="0">
      <text>
        <r>
          <rPr>
            <b/>
            <sz val="9"/>
            <color indexed="81"/>
            <rFont val="Tahoma"/>
            <family val="2"/>
          </rPr>
          <t>Magda le Roux:</t>
        </r>
        <r>
          <rPr>
            <sz val="9"/>
            <color indexed="81"/>
            <rFont val="Tahoma"/>
            <family val="2"/>
          </rPr>
          <t xml:space="preserve">
DEFRA 2019 :material use, paper and board EF = 870.1kg CO2-e/tonn9</t>
        </r>
      </text>
    </comment>
    <comment ref="D69" authorId="0" shapeId="0">
      <text>
        <r>
          <rPr>
            <b/>
            <sz val="9"/>
            <color indexed="81"/>
            <rFont val="Tahoma"/>
            <family val="2"/>
          </rPr>
          <t>Magda le Roux:</t>
        </r>
        <r>
          <rPr>
            <sz val="9"/>
            <color indexed="81"/>
            <rFont val="Tahoma"/>
            <family val="2"/>
          </rPr>
          <t xml:space="preserve">
DEFFRA 2018 EF for municipal waste to landfill ((waste disposal section) = 586.5kg CO2e/t</t>
        </r>
      </text>
    </comment>
    <comment ref="D70" authorId="0" shapeId="0">
      <text>
        <r>
          <rPr>
            <b/>
            <sz val="9"/>
            <color indexed="81"/>
            <rFont val="Tahoma"/>
            <family val="2"/>
          </rPr>
          <t>Magda le Roux:</t>
        </r>
        <r>
          <rPr>
            <sz val="9"/>
            <color indexed="81"/>
            <rFont val="Tahoma"/>
            <family val="2"/>
          </rPr>
          <t xml:space="preserve">
DEFFRA 2019 EF for scrap metal recycled (closed loop: waste disposal section) = 21.354 kg CO2e/t</t>
        </r>
      </text>
    </comment>
    <comment ref="D71" authorId="0" shapeId="0">
      <text>
        <r>
          <rPr>
            <b/>
            <sz val="9"/>
            <color indexed="81"/>
            <rFont val="Tahoma"/>
            <family val="2"/>
          </rPr>
          <t>Magda le Roux:</t>
        </r>
        <r>
          <rPr>
            <sz val="9"/>
            <color indexed="81"/>
            <rFont val="Tahoma"/>
            <family val="2"/>
          </rPr>
          <t xml:space="preserve">
DEFRA 2016 EF for potable water use (pumped)</t>
        </r>
      </text>
    </comment>
    <comment ref="C79" authorId="0" shapeId="0">
      <text>
        <r>
          <rPr>
            <b/>
            <sz val="9"/>
            <color indexed="81"/>
            <rFont val="Tahoma"/>
            <family val="2"/>
          </rPr>
          <t>Magda le Roux:</t>
        </r>
        <r>
          <rPr>
            <sz val="9"/>
            <color indexed="81"/>
            <rFont val="Tahoma"/>
            <family val="2"/>
          </rPr>
          <t xml:space="preserve">
table D1 Annexure D: Net calorific values of fuels provided by SA petroleum industry association. ( tech guidelines to GHG regs)</t>
        </r>
      </text>
    </comment>
    <comment ref="D82" authorId="0" shapeId="0">
      <text>
        <r>
          <rPr>
            <b/>
            <sz val="9"/>
            <color indexed="81"/>
            <rFont val="Tahoma"/>
            <family val="2"/>
          </rPr>
          <t>Magda le Roux:</t>
        </r>
        <r>
          <rPr>
            <sz val="9"/>
            <color indexed="81"/>
            <rFont val="Tahoma"/>
            <family val="2"/>
          </rPr>
          <t xml:space="preserve">
Obtained from technical guidelines to GHG Reporting Regs Annexure A, based on tables 1.4 and 2.2 vol 2 energy of 2006 IPCC Guidelines- default emission factors for stationary combustion </t>
        </r>
      </text>
    </comment>
    <comment ref="F82" authorId="0" shapeId="0">
      <text>
        <r>
          <rPr>
            <b/>
            <sz val="9"/>
            <color indexed="81"/>
            <rFont val="Tahoma"/>
            <family val="2"/>
          </rPr>
          <t>Magda le Roux:</t>
        </r>
        <r>
          <rPr>
            <sz val="9"/>
            <color indexed="81"/>
            <rFont val="Tahoma"/>
            <family val="2"/>
          </rPr>
          <t xml:space="preserve">
IPCC 2006 TABLE 2.2  ( ENERGY INDUSTRY)</t>
        </r>
      </text>
    </comment>
    <comment ref="G82" authorId="0" shapeId="0">
      <text>
        <r>
          <rPr>
            <b/>
            <sz val="9"/>
            <color indexed="81"/>
            <rFont val="Tahoma"/>
            <family val="2"/>
          </rPr>
          <t>Magda le Roux:</t>
        </r>
        <r>
          <rPr>
            <sz val="9"/>
            <color indexed="81"/>
            <rFont val="Tahoma"/>
            <family val="2"/>
          </rPr>
          <t xml:space="preserve">
IPCC 2006 TABLE 2.2  ( ENERGY INDUSTRY)</t>
        </r>
      </text>
    </comment>
    <comment ref="D83" authorId="0" shapeId="0">
      <text>
        <r>
          <rPr>
            <b/>
            <sz val="9"/>
            <color indexed="81"/>
            <rFont val="Tahoma"/>
            <family val="2"/>
          </rPr>
          <t>Magda le Roux:</t>
        </r>
        <r>
          <rPr>
            <sz val="9"/>
            <color indexed="81"/>
            <rFont val="Tahoma"/>
            <family val="2"/>
          </rPr>
          <t xml:space="preserve">
see comment D7</t>
        </r>
      </text>
    </comment>
    <comment ref="F83" authorId="0" shapeId="0">
      <text>
        <r>
          <rPr>
            <b/>
            <sz val="9"/>
            <color indexed="81"/>
            <rFont val="Tahoma"/>
            <family val="2"/>
          </rPr>
          <t>Magda le Roux:</t>
        </r>
        <r>
          <rPr>
            <sz val="9"/>
            <color indexed="81"/>
            <rFont val="Tahoma"/>
            <family val="2"/>
          </rPr>
          <t xml:space="preserve">
IPCC 2006 TABLE 2.2  ( ENERGY INDUSTRY)</t>
        </r>
      </text>
    </comment>
    <comment ref="G83" authorId="0" shapeId="0">
      <text>
        <r>
          <rPr>
            <b/>
            <sz val="9"/>
            <color indexed="81"/>
            <rFont val="Tahoma"/>
            <family val="2"/>
          </rPr>
          <t>Magda le Roux:</t>
        </r>
        <r>
          <rPr>
            <sz val="9"/>
            <color indexed="81"/>
            <rFont val="Tahoma"/>
            <family val="2"/>
          </rPr>
          <t xml:space="preserve">
IPCC 2006 TABLE 2.2  ( ENERGY INDUSTRY)</t>
        </r>
      </text>
    </comment>
    <comment ref="D85" authorId="0" shapeId="0">
      <text>
        <r>
          <rPr>
            <b/>
            <sz val="9"/>
            <color indexed="81"/>
            <rFont val="Tahoma"/>
            <family val="2"/>
          </rPr>
          <t>Magda le Roux:</t>
        </r>
        <r>
          <rPr>
            <sz val="9"/>
            <color indexed="81"/>
            <rFont val="Tahoma"/>
            <family val="2"/>
          </rPr>
          <t xml:space="preserve">
IPCC 2006 TABLE 3.2.1</t>
        </r>
      </text>
    </comment>
    <comment ref="F85" authorId="0" shapeId="0">
      <text>
        <r>
          <rPr>
            <b/>
            <sz val="9"/>
            <color indexed="81"/>
            <rFont val="Tahoma"/>
            <family val="2"/>
          </rPr>
          <t>Magda le Roux:</t>
        </r>
        <r>
          <rPr>
            <sz val="9"/>
            <color indexed="81"/>
            <rFont val="Tahoma"/>
            <family val="2"/>
          </rPr>
          <t xml:space="preserve">
IPCC 2006: table 3.2.2</t>
        </r>
      </text>
    </comment>
    <comment ref="G85" authorId="0" shapeId="0">
      <text>
        <r>
          <rPr>
            <b/>
            <sz val="9"/>
            <color indexed="81"/>
            <rFont val="Tahoma"/>
            <family val="2"/>
          </rPr>
          <t>Magda le Roux:</t>
        </r>
        <r>
          <rPr>
            <sz val="9"/>
            <color indexed="81"/>
            <rFont val="Tahoma"/>
            <family val="2"/>
          </rPr>
          <t xml:space="preserve">
IPCC 2006: TABLE 3.2.2</t>
        </r>
      </text>
    </comment>
    <comment ref="D86" authorId="0" shapeId="0">
      <text>
        <r>
          <rPr>
            <b/>
            <sz val="9"/>
            <color indexed="81"/>
            <rFont val="Tahoma"/>
            <family val="2"/>
          </rPr>
          <t>Magda le Roux:</t>
        </r>
        <r>
          <rPr>
            <sz val="9"/>
            <color indexed="81"/>
            <rFont val="Tahoma"/>
            <family val="2"/>
          </rPr>
          <t xml:space="preserve">
IPCC 2006 TABLE3.2.1</t>
        </r>
      </text>
    </comment>
    <comment ref="F86" authorId="0" shapeId="0">
      <text>
        <r>
          <rPr>
            <b/>
            <sz val="9"/>
            <color indexed="81"/>
            <rFont val="Tahoma"/>
            <family val="2"/>
          </rPr>
          <t>Magda le Roux:</t>
        </r>
        <r>
          <rPr>
            <sz val="9"/>
            <color indexed="81"/>
            <rFont val="Tahoma"/>
            <family val="2"/>
          </rPr>
          <t xml:space="preserve">
IPCC 2006: table 3.2.2 uncontrolled = 33 and oxidation catalyst = 25
LDV 1995 or later = 3.8</t>
        </r>
      </text>
    </comment>
    <comment ref="G86" authorId="0" shapeId="0">
      <text>
        <r>
          <rPr>
            <b/>
            <sz val="9"/>
            <color indexed="81"/>
            <rFont val="Tahoma"/>
            <family val="2"/>
          </rPr>
          <t>Magda le Roux:</t>
        </r>
        <r>
          <rPr>
            <sz val="9"/>
            <color indexed="81"/>
            <rFont val="Tahoma"/>
            <family val="2"/>
          </rPr>
          <t xml:space="preserve">
IPCC 2006:
Table 3.2.2 
uncontrolled = 3.2 and oxidation catalyst = 8.0
LDV 1995 or later = 5.7</t>
        </r>
      </text>
    </comment>
    <comment ref="D87" authorId="0" shapeId="0">
      <text>
        <r>
          <rPr>
            <b/>
            <sz val="9"/>
            <color indexed="81"/>
            <rFont val="Tahoma"/>
            <family val="2"/>
          </rPr>
          <t>Magda le Roux:</t>
        </r>
        <r>
          <rPr>
            <sz val="9"/>
            <color indexed="81"/>
            <rFont val="Tahoma"/>
            <family val="2"/>
          </rPr>
          <t xml:space="preserve">
IPCC 2006 TABLE 3.6.4 JET KEROSENE = 71500</t>
        </r>
      </text>
    </comment>
    <comment ref="F87" authorId="0" shapeId="0">
      <text>
        <r>
          <rPr>
            <b/>
            <sz val="9"/>
            <color indexed="81"/>
            <rFont val="Tahoma"/>
            <family val="2"/>
          </rPr>
          <t>Magda le Roux:</t>
        </r>
        <r>
          <rPr>
            <sz val="9"/>
            <color indexed="81"/>
            <rFont val="Tahoma"/>
            <family val="2"/>
          </rPr>
          <t xml:space="preserve">
IPCC 2006 TABLE 3.6.5</t>
        </r>
      </text>
    </comment>
    <comment ref="G87" authorId="0" shapeId="0">
      <text>
        <r>
          <rPr>
            <b/>
            <sz val="9"/>
            <color indexed="81"/>
            <rFont val="Tahoma"/>
            <family val="2"/>
          </rPr>
          <t>Magda le Roux:</t>
        </r>
        <r>
          <rPr>
            <sz val="9"/>
            <color indexed="81"/>
            <rFont val="Tahoma"/>
            <family val="2"/>
          </rPr>
          <t xml:space="preserve">
IPCC 2006 TABLE 3.6.5</t>
        </r>
      </text>
    </comment>
    <comment ref="A92" authorId="0" shapeId="0">
      <text>
        <r>
          <rPr>
            <b/>
            <sz val="9"/>
            <color indexed="81"/>
            <rFont val="Tahoma"/>
            <family val="2"/>
          </rPr>
          <t>Magda le Roux:</t>
        </r>
        <r>
          <rPr>
            <sz val="9"/>
            <color indexed="81"/>
            <rFont val="Tahoma"/>
            <family val="2"/>
          </rPr>
          <t xml:space="preserve">
IPCC AR4</t>
        </r>
      </text>
    </comment>
    <comment ref="D93" authorId="0" shapeId="0">
      <text>
        <r>
          <rPr>
            <b/>
            <sz val="9"/>
            <color indexed="81"/>
            <rFont val="Tahoma"/>
            <family val="2"/>
          </rPr>
          <t>Magda le Roux:</t>
        </r>
        <r>
          <rPr>
            <sz val="9"/>
            <color indexed="81"/>
            <rFont val="Tahoma"/>
            <family val="2"/>
          </rPr>
          <t xml:space="preserve">
DEFRA 2019 EF</t>
        </r>
      </text>
    </comment>
    <comment ref="D96" authorId="0" shapeId="0">
      <text>
        <r>
          <rPr>
            <b/>
            <sz val="9"/>
            <color indexed="81"/>
            <rFont val="Tahoma"/>
            <family val="2"/>
          </rPr>
          <t>Magda le Roux:</t>
        </r>
        <r>
          <rPr>
            <sz val="9"/>
            <color indexed="81"/>
            <rFont val="Tahoma"/>
            <family val="2"/>
          </rPr>
          <t xml:space="preserve">
ESKOM grid emission factor 2019=1.04kgCO2-e/kWh)</t>
        </r>
      </text>
    </comment>
    <comment ref="C102" authorId="0" shapeId="0">
      <text>
        <r>
          <rPr>
            <b/>
            <sz val="9"/>
            <color indexed="81"/>
            <rFont val="Tahoma"/>
            <family val="2"/>
          </rPr>
          <t>Magda le Roux:</t>
        </r>
        <r>
          <rPr>
            <sz val="9"/>
            <color indexed="81"/>
            <rFont val="Tahoma"/>
            <family val="2"/>
          </rPr>
          <t xml:space="preserve">
fixed wing: Jet fuel A1- cal value = 37.5MJ/l and d = 0.79kg/l and EF = 70000; chopper: avgas- cal value = 33.9 MJ/l and d = 0.71kg/l) and EF = 70000</t>
        </r>
      </text>
    </comment>
    <comment ref="A103" authorId="0" shapeId="0">
      <text>
        <r>
          <rPr>
            <b/>
            <sz val="9"/>
            <color indexed="81"/>
            <rFont val="Tahoma"/>
            <family val="2"/>
          </rPr>
          <t>Magda le Roux:</t>
        </r>
        <r>
          <rPr>
            <sz val="9"/>
            <color indexed="81"/>
            <rFont val="Tahoma"/>
            <family val="2"/>
          </rPr>
          <t xml:space="preserve">
DEFRA 2018 Efs with RF for average passenger</t>
        </r>
      </text>
    </comment>
    <comment ref="C103" authorId="0" shapeId="0">
      <text>
        <r>
          <rPr>
            <b/>
            <sz val="9"/>
            <color indexed="81"/>
            <rFont val="Tahoma"/>
            <family val="2"/>
          </rPr>
          <t>Magda le Roux:</t>
        </r>
        <r>
          <rPr>
            <sz val="9"/>
            <color indexed="81"/>
            <rFont val="Tahoma"/>
            <family val="2"/>
          </rPr>
          <t xml:space="preserve">
Domestic passenger.km EF-DEFRA 2019 business travel</t>
        </r>
      </text>
    </comment>
    <comment ref="D103" authorId="0" shapeId="0">
      <text>
        <r>
          <rPr>
            <b/>
            <sz val="9"/>
            <color indexed="81"/>
            <rFont val="Tahoma"/>
            <family val="2"/>
          </rPr>
          <t>Magda le Roux:</t>
        </r>
        <r>
          <rPr>
            <sz val="9"/>
            <color indexed="81"/>
            <rFont val="Tahoma"/>
            <family val="2"/>
          </rPr>
          <t xml:space="preserve">
Short haul EF fo rpassenger.km sourve data-DEFRA 2019 business travel</t>
        </r>
      </text>
    </comment>
    <comment ref="E103" authorId="0" shapeId="0">
      <text>
        <r>
          <rPr>
            <b/>
            <sz val="9"/>
            <color indexed="81"/>
            <rFont val="Tahoma"/>
            <family val="2"/>
          </rPr>
          <t>Magda le Roux:</t>
        </r>
        <r>
          <rPr>
            <sz val="9"/>
            <color indexed="81"/>
            <rFont val="Tahoma"/>
            <family val="2"/>
          </rPr>
          <t xml:space="preserve">
Long haul EF f0r average passenger with RF-DEFRA 2019 business travel</t>
        </r>
      </text>
    </comment>
    <comment ref="F103" authorId="0" shapeId="0">
      <text>
        <r>
          <rPr>
            <b/>
            <sz val="9"/>
            <color indexed="81"/>
            <rFont val="Tahoma"/>
            <family val="2"/>
          </rPr>
          <t>Magda le Roux:</t>
        </r>
        <r>
          <rPr>
            <sz val="9"/>
            <color indexed="81"/>
            <rFont val="Tahoma"/>
            <family val="2"/>
          </rPr>
          <t xml:space="preserve">
International flights EF-DEFRA 2019 business travel</t>
        </r>
      </text>
    </comment>
    <comment ref="D104" authorId="0" shapeId="0">
      <text>
        <r>
          <rPr>
            <b/>
            <sz val="9"/>
            <color indexed="81"/>
            <rFont val="Tahoma"/>
            <family val="2"/>
          </rPr>
          <t>Magda le Roux:</t>
        </r>
        <r>
          <rPr>
            <sz val="9"/>
            <color indexed="81"/>
            <rFont val="Tahoma"/>
            <family val="2"/>
          </rPr>
          <t xml:space="preserve">
DEFRA 2019 :material use, paper and board EF = 870.10kg CO2-e/tonne</t>
        </r>
      </text>
    </comment>
    <comment ref="D105" authorId="0" shapeId="0">
      <text>
        <r>
          <rPr>
            <b/>
            <sz val="9"/>
            <color indexed="81"/>
            <rFont val="Tahoma"/>
            <family val="2"/>
          </rPr>
          <t>Magda le Roux:</t>
        </r>
        <r>
          <rPr>
            <sz val="9"/>
            <color indexed="81"/>
            <rFont val="Tahoma"/>
            <family val="2"/>
          </rPr>
          <t xml:space="preserve">
DEFFRA 2019 EF for municipal waste to landfill ((waste disposal section) = 586.514kg CO2e/t</t>
        </r>
      </text>
    </comment>
    <comment ref="D106" authorId="0" shapeId="0">
      <text>
        <r>
          <rPr>
            <b/>
            <sz val="9"/>
            <color indexed="81"/>
            <rFont val="Tahoma"/>
            <family val="2"/>
          </rPr>
          <t>Magda le Roux:</t>
        </r>
        <r>
          <rPr>
            <sz val="9"/>
            <color indexed="81"/>
            <rFont val="Tahoma"/>
            <family val="2"/>
          </rPr>
          <t xml:space="preserve">
DEFFRA 2019 EF for scrap metal recycled (closed loop: waste disposal section) = 21.354 kg CO2e/t</t>
        </r>
      </text>
    </comment>
    <comment ref="D107" authorId="0" shapeId="0">
      <text>
        <r>
          <rPr>
            <b/>
            <sz val="9"/>
            <color indexed="81"/>
            <rFont val="Tahoma"/>
            <family val="2"/>
          </rPr>
          <t>Magda le Roux:</t>
        </r>
        <r>
          <rPr>
            <sz val="9"/>
            <color indexed="81"/>
            <rFont val="Tahoma"/>
            <family val="2"/>
          </rPr>
          <t xml:space="preserve">
DEFRA 2019 EF for potable water use (pumped)</t>
        </r>
      </text>
    </comment>
    <comment ref="C115" authorId="0" shapeId="0">
      <text>
        <r>
          <rPr>
            <b/>
            <sz val="9"/>
            <color indexed="81"/>
            <rFont val="Tahoma"/>
            <family val="2"/>
          </rPr>
          <t>Magda le Roux:</t>
        </r>
        <r>
          <rPr>
            <sz val="9"/>
            <color indexed="81"/>
            <rFont val="Tahoma"/>
            <family val="2"/>
          </rPr>
          <t xml:space="preserve">
table D1 Annexure D: Net calorific values of fuels provided by SA petroleum industry association. ( tech guidelines to GHG regs)</t>
        </r>
      </text>
    </comment>
    <comment ref="D118" authorId="0" shapeId="0">
      <text>
        <r>
          <rPr>
            <b/>
            <sz val="9"/>
            <color indexed="81"/>
            <rFont val="Tahoma"/>
            <family val="2"/>
          </rPr>
          <t>Magda le Roux:</t>
        </r>
        <r>
          <rPr>
            <sz val="9"/>
            <color indexed="81"/>
            <rFont val="Tahoma"/>
            <family val="2"/>
          </rPr>
          <t xml:space="preserve">
Obtained from technical guidelines to GHG Reporting Regs Annexure A, based on tables 1.4 and 2.2 vol 2 energy of 2006 IPCC Guidelines- default emission factors for stationary combustion </t>
        </r>
      </text>
    </comment>
    <comment ref="F118" authorId="0" shapeId="0">
      <text>
        <r>
          <rPr>
            <b/>
            <sz val="9"/>
            <color indexed="81"/>
            <rFont val="Tahoma"/>
            <family val="2"/>
          </rPr>
          <t>Magda le Roux:</t>
        </r>
        <r>
          <rPr>
            <sz val="9"/>
            <color indexed="81"/>
            <rFont val="Tahoma"/>
            <family val="2"/>
          </rPr>
          <t xml:space="preserve">
IPCC 2006 TABLE 2.2  ( ENERGY INDUSTRY)</t>
        </r>
      </text>
    </comment>
    <comment ref="G118" authorId="0" shapeId="0">
      <text>
        <r>
          <rPr>
            <b/>
            <sz val="9"/>
            <color indexed="81"/>
            <rFont val="Tahoma"/>
            <family val="2"/>
          </rPr>
          <t>Magda le Roux:</t>
        </r>
        <r>
          <rPr>
            <sz val="9"/>
            <color indexed="81"/>
            <rFont val="Tahoma"/>
            <family val="2"/>
          </rPr>
          <t xml:space="preserve">
IPCC 2006 TABLE 2.2  ( ENERGY INDUSTRY)</t>
        </r>
      </text>
    </comment>
    <comment ref="D119" authorId="0" shapeId="0">
      <text>
        <r>
          <rPr>
            <b/>
            <sz val="9"/>
            <color indexed="81"/>
            <rFont val="Tahoma"/>
            <family val="2"/>
          </rPr>
          <t>Magda le Roux:</t>
        </r>
        <r>
          <rPr>
            <sz val="9"/>
            <color indexed="81"/>
            <rFont val="Tahoma"/>
            <family val="2"/>
          </rPr>
          <t xml:space="preserve">
see comment D7</t>
        </r>
      </text>
    </comment>
    <comment ref="F119" authorId="0" shapeId="0">
      <text>
        <r>
          <rPr>
            <b/>
            <sz val="9"/>
            <color indexed="81"/>
            <rFont val="Tahoma"/>
            <family val="2"/>
          </rPr>
          <t>Magda le Roux:</t>
        </r>
        <r>
          <rPr>
            <sz val="9"/>
            <color indexed="81"/>
            <rFont val="Tahoma"/>
            <family val="2"/>
          </rPr>
          <t xml:space="preserve">
IPCC 2006 TABLE 2.2  ( ENERGY INDUSTRY)</t>
        </r>
      </text>
    </comment>
    <comment ref="G119" authorId="0" shapeId="0">
      <text>
        <r>
          <rPr>
            <b/>
            <sz val="9"/>
            <color indexed="81"/>
            <rFont val="Tahoma"/>
            <family val="2"/>
          </rPr>
          <t>Magda le Roux:</t>
        </r>
        <r>
          <rPr>
            <sz val="9"/>
            <color indexed="81"/>
            <rFont val="Tahoma"/>
            <family val="2"/>
          </rPr>
          <t xml:space="preserve">
IPCC 2006 TABLE 2.2  ( ENERGY INDUSTRY)</t>
        </r>
      </text>
    </comment>
    <comment ref="D121" authorId="0" shapeId="0">
      <text>
        <r>
          <rPr>
            <b/>
            <sz val="9"/>
            <color indexed="81"/>
            <rFont val="Tahoma"/>
            <family val="2"/>
          </rPr>
          <t>Magda le Roux:</t>
        </r>
        <r>
          <rPr>
            <sz val="9"/>
            <color indexed="81"/>
            <rFont val="Tahoma"/>
            <family val="2"/>
          </rPr>
          <t xml:space="preserve">
IPCC 2006 TABLE 3.2.1</t>
        </r>
      </text>
    </comment>
    <comment ref="F121" authorId="0" shapeId="0">
      <text>
        <r>
          <rPr>
            <b/>
            <sz val="9"/>
            <color indexed="81"/>
            <rFont val="Tahoma"/>
            <family val="2"/>
          </rPr>
          <t>Magda le Roux:</t>
        </r>
        <r>
          <rPr>
            <sz val="9"/>
            <color indexed="81"/>
            <rFont val="Tahoma"/>
            <family val="2"/>
          </rPr>
          <t xml:space="preserve">
IPCC 2006: table 3.2.2</t>
        </r>
      </text>
    </comment>
    <comment ref="G121" authorId="0" shapeId="0">
      <text>
        <r>
          <rPr>
            <b/>
            <sz val="9"/>
            <color indexed="81"/>
            <rFont val="Tahoma"/>
            <family val="2"/>
          </rPr>
          <t>Magda le Roux:</t>
        </r>
        <r>
          <rPr>
            <sz val="9"/>
            <color indexed="81"/>
            <rFont val="Tahoma"/>
            <family val="2"/>
          </rPr>
          <t xml:space="preserve">
IPCC 2006: TABLE 3.2.2</t>
        </r>
      </text>
    </comment>
    <comment ref="D122" authorId="0" shapeId="0">
      <text>
        <r>
          <rPr>
            <b/>
            <sz val="9"/>
            <color indexed="81"/>
            <rFont val="Tahoma"/>
            <family val="2"/>
          </rPr>
          <t>Magda le Roux:</t>
        </r>
        <r>
          <rPr>
            <sz val="9"/>
            <color indexed="81"/>
            <rFont val="Tahoma"/>
            <family val="2"/>
          </rPr>
          <t xml:space="preserve">
IPCC 2006 TABLE3.2.1</t>
        </r>
      </text>
    </comment>
    <comment ref="F122" authorId="0" shapeId="0">
      <text>
        <r>
          <rPr>
            <b/>
            <sz val="9"/>
            <color indexed="81"/>
            <rFont val="Tahoma"/>
            <family val="2"/>
          </rPr>
          <t>Magda le Roux:</t>
        </r>
        <r>
          <rPr>
            <sz val="9"/>
            <color indexed="81"/>
            <rFont val="Tahoma"/>
            <family val="2"/>
          </rPr>
          <t xml:space="preserve">
IPCC 2006: table 3.2.2 uncontrolled = 33 and oxidation catalyst = 25
LDV 1995 or later = 3.8</t>
        </r>
      </text>
    </comment>
    <comment ref="G122" authorId="0" shapeId="0">
      <text>
        <r>
          <rPr>
            <b/>
            <sz val="9"/>
            <color indexed="81"/>
            <rFont val="Tahoma"/>
            <family val="2"/>
          </rPr>
          <t>Magda le Roux:</t>
        </r>
        <r>
          <rPr>
            <sz val="9"/>
            <color indexed="81"/>
            <rFont val="Tahoma"/>
            <family val="2"/>
          </rPr>
          <t xml:space="preserve">
IPCC 2006:
Table 3.2.2 
uncontrolled = 3.2 and oxidation catalyst = 8.0
LDV 1995 or later = 5.7</t>
        </r>
      </text>
    </comment>
    <comment ref="D123" authorId="0" shapeId="0">
      <text>
        <r>
          <rPr>
            <b/>
            <sz val="9"/>
            <color indexed="81"/>
            <rFont val="Tahoma"/>
            <family val="2"/>
          </rPr>
          <t>Magda le Roux:</t>
        </r>
        <r>
          <rPr>
            <sz val="9"/>
            <color indexed="81"/>
            <rFont val="Tahoma"/>
            <family val="2"/>
          </rPr>
          <t xml:space="preserve">
IPCC 2006 TABLE 3.6.4 JET KEROSENE = 71500</t>
        </r>
      </text>
    </comment>
    <comment ref="F123" authorId="0" shapeId="0">
      <text>
        <r>
          <rPr>
            <b/>
            <sz val="9"/>
            <color indexed="81"/>
            <rFont val="Tahoma"/>
            <family val="2"/>
          </rPr>
          <t>Magda le Roux:</t>
        </r>
        <r>
          <rPr>
            <sz val="9"/>
            <color indexed="81"/>
            <rFont val="Tahoma"/>
            <family val="2"/>
          </rPr>
          <t xml:space="preserve">
IPCC 2006 TABLE 3.6.5</t>
        </r>
      </text>
    </comment>
    <comment ref="G123" authorId="0" shapeId="0">
      <text>
        <r>
          <rPr>
            <b/>
            <sz val="9"/>
            <color indexed="81"/>
            <rFont val="Tahoma"/>
            <family val="2"/>
          </rPr>
          <t>Magda le Roux:</t>
        </r>
        <r>
          <rPr>
            <sz val="9"/>
            <color indexed="81"/>
            <rFont val="Tahoma"/>
            <family val="2"/>
          </rPr>
          <t xml:space="preserve">
IPCC 2006 TABLE 3.6.5</t>
        </r>
      </text>
    </comment>
    <comment ref="A128" authorId="0" shapeId="0">
      <text>
        <r>
          <rPr>
            <b/>
            <sz val="9"/>
            <color indexed="81"/>
            <rFont val="Tahoma"/>
            <family val="2"/>
          </rPr>
          <t>Magda le Roux:</t>
        </r>
        <r>
          <rPr>
            <sz val="9"/>
            <color indexed="81"/>
            <rFont val="Tahoma"/>
            <family val="2"/>
          </rPr>
          <t xml:space="preserve">
IPCC AR4</t>
        </r>
      </text>
    </comment>
    <comment ref="D129" authorId="0" shapeId="0">
      <text>
        <r>
          <rPr>
            <b/>
            <sz val="9"/>
            <color indexed="81"/>
            <rFont val="Tahoma"/>
            <family val="2"/>
          </rPr>
          <t>Magda le Roux:</t>
        </r>
        <r>
          <rPr>
            <sz val="9"/>
            <color indexed="81"/>
            <rFont val="Tahoma"/>
            <family val="2"/>
          </rPr>
          <t xml:space="preserve">
DEFRA 2019 EF</t>
        </r>
      </text>
    </comment>
    <comment ref="D132" authorId="0" shapeId="0">
      <text>
        <r>
          <rPr>
            <b/>
            <sz val="9"/>
            <color indexed="81"/>
            <rFont val="Tahoma"/>
            <family val="2"/>
          </rPr>
          <t>Magda le Roux:</t>
        </r>
        <r>
          <rPr>
            <sz val="9"/>
            <color indexed="81"/>
            <rFont val="Tahoma"/>
            <family val="2"/>
          </rPr>
          <t xml:space="preserve">
ESKOM grid emission factor 201 9= 1.04kgCO2-e/kWh)</t>
        </r>
      </text>
    </comment>
    <comment ref="C138" authorId="0" shapeId="0">
      <text>
        <r>
          <rPr>
            <b/>
            <sz val="9"/>
            <color indexed="81"/>
            <rFont val="Tahoma"/>
            <family val="2"/>
          </rPr>
          <t>Magda le Roux:</t>
        </r>
        <r>
          <rPr>
            <sz val="9"/>
            <color indexed="81"/>
            <rFont val="Tahoma"/>
            <family val="2"/>
          </rPr>
          <t xml:space="preserve">
fixed wing: Jet fuel A1- cal value = 37.5MJ/l and d = 0.79kg/l and EF = 70000; chopper: avgas- cal value = 33.9 MJ/l and d = 0.71kg/l) and EF = 70000</t>
        </r>
      </text>
    </comment>
    <comment ref="A139" authorId="0" shapeId="0">
      <text>
        <r>
          <rPr>
            <b/>
            <sz val="9"/>
            <color indexed="81"/>
            <rFont val="Tahoma"/>
            <family val="2"/>
          </rPr>
          <t>Magda le Roux:</t>
        </r>
        <r>
          <rPr>
            <sz val="9"/>
            <color indexed="81"/>
            <rFont val="Tahoma"/>
            <family val="2"/>
          </rPr>
          <t xml:space="preserve">
DEFRA 2018 Efs with RF for average passenger</t>
        </r>
      </text>
    </comment>
    <comment ref="C139" authorId="0" shapeId="0">
      <text>
        <r>
          <rPr>
            <b/>
            <sz val="9"/>
            <color indexed="81"/>
            <rFont val="Tahoma"/>
            <family val="2"/>
          </rPr>
          <t>Magda le Roux:</t>
        </r>
        <r>
          <rPr>
            <sz val="9"/>
            <color indexed="81"/>
            <rFont val="Tahoma"/>
            <family val="2"/>
          </rPr>
          <t xml:space="preserve">
Domestic passenger.km EF-DEFRA 2019 business travel</t>
        </r>
      </text>
    </comment>
    <comment ref="D139" authorId="0" shapeId="0">
      <text>
        <r>
          <rPr>
            <b/>
            <sz val="9"/>
            <color indexed="81"/>
            <rFont val="Tahoma"/>
            <family val="2"/>
          </rPr>
          <t>Magda le Roux:</t>
        </r>
        <r>
          <rPr>
            <sz val="9"/>
            <color indexed="81"/>
            <rFont val="Tahoma"/>
            <family val="2"/>
          </rPr>
          <t xml:space="preserve">
Short haul EF fo rpassenger.km sourve data-DEFRA 2019 business travel</t>
        </r>
      </text>
    </comment>
    <comment ref="E139" authorId="0" shapeId="0">
      <text>
        <r>
          <rPr>
            <b/>
            <sz val="9"/>
            <color indexed="81"/>
            <rFont val="Tahoma"/>
            <family val="2"/>
          </rPr>
          <t>Magda le Roux:</t>
        </r>
        <r>
          <rPr>
            <sz val="9"/>
            <color indexed="81"/>
            <rFont val="Tahoma"/>
            <family val="2"/>
          </rPr>
          <t xml:space="preserve">
Long haul EF f0r average passenger with RF-DEFRA 2019 business travel</t>
        </r>
      </text>
    </comment>
    <comment ref="F139" authorId="0" shapeId="0">
      <text>
        <r>
          <rPr>
            <b/>
            <sz val="9"/>
            <color indexed="81"/>
            <rFont val="Tahoma"/>
            <family val="2"/>
          </rPr>
          <t>Magda le Roux:</t>
        </r>
        <r>
          <rPr>
            <sz val="9"/>
            <color indexed="81"/>
            <rFont val="Tahoma"/>
            <family val="2"/>
          </rPr>
          <t xml:space="preserve">
International flights EF-DEFRA 2019 business travel</t>
        </r>
      </text>
    </comment>
    <comment ref="D140" authorId="0" shapeId="0">
      <text>
        <r>
          <rPr>
            <b/>
            <sz val="9"/>
            <color indexed="81"/>
            <rFont val="Tahoma"/>
            <family val="2"/>
          </rPr>
          <t>Magda le Roux:</t>
        </r>
        <r>
          <rPr>
            <sz val="9"/>
            <color indexed="81"/>
            <rFont val="Tahoma"/>
            <family val="2"/>
          </rPr>
          <t xml:space="preserve">
DEFRA 2019 :material use, paper and board EF = 870.10kg CO2-e/tonne</t>
        </r>
      </text>
    </comment>
    <comment ref="D141" authorId="0" shapeId="0">
      <text>
        <r>
          <rPr>
            <b/>
            <sz val="9"/>
            <color indexed="81"/>
            <rFont val="Tahoma"/>
            <family val="2"/>
          </rPr>
          <t>Magda le Roux:</t>
        </r>
        <r>
          <rPr>
            <sz val="9"/>
            <color indexed="81"/>
            <rFont val="Tahoma"/>
            <family val="2"/>
          </rPr>
          <t xml:space="preserve">
DEFFRA 20189EF for municipal waste to landfill ((waste disposal section) = 586.514kg CO2e/t</t>
        </r>
      </text>
    </comment>
    <comment ref="D142" authorId="0" shapeId="0">
      <text>
        <r>
          <rPr>
            <b/>
            <sz val="9"/>
            <color indexed="81"/>
            <rFont val="Tahoma"/>
            <family val="2"/>
          </rPr>
          <t>Magda le Roux:</t>
        </r>
        <r>
          <rPr>
            <sz val="9"/>
            <color indexed="81"/>
            <rFont val="Tahoma"/>
            <family val="2"/>
          </rPr>
          <t xml:space="preserve">
DEFFRA 2018 EF for scrap metal recycled (closed loop: waste disposal section) = 21.4 kg CO2e/t</t>
        </r>
      </text>
    </comment>
    <comment ref="D143" authorId="0" shapeId="0">
      <text>
        <r>
          <rPr>
            <b/>
            <sz val="9"/>
            <color indexed="81"/>
            <rFont val="Tahoma"/>
            <family val="2"/>
          </rPr>
          <t>Magda le Roux:</t>
        </r>
        <r>
          <rPr>
            <sz val="9"/>
            <color indexed="81"/>
            <rFont val="Tahoma"/>
            <family val="2"/>
          </rPr>
          <t xml:space="preserve">
DEFRA 2019 EF for potable water use (pumped)</t>
        </r>
      </text>
    </comment>
    <comment ref="C151" authorId="0" shapeId="0">
      <text>
        <r>
          <rPr>
            <b/>
            <sz val="9"/>
            <color indexed="81"/>
            <rFont val="Tahoma"/>
            <family val="2"/>
          </rPr>
          <t>Magda le Roux:</t>
        </r>
        <r>
          <rPr>
            <sz val="9"/>
            <color indexed="81"/>
            <rFont val="Tahoma"/>
            <family val="2"/>
          </rPr>
          <t xml:space="preserve">
table D1 Annexure D: Net calorific values of fuels provided by SA petroleum industry association. ( tech guidelines to GHG regs)</t>
        </r>
      </text>
    </comment>
    <comment ref="D154" authorId="0" shapeId="0">
      <text>
        <r>
          <rPr>
            <b/>
            <sz val="9"/>
            <color indexed="81"/>
            <rFont val="Tahoma"/>
            <family val="2"/>
          </rPr>
          <t>Magda le Roux:</t>
        </r>
        <r>
          <rPr>
            <sz val="9"/>
            <color indexed="81"/>
            <rFont val="Tahoma"/>
            <family val="2"/>
          </rPr>
          <t xml:space="preserve">
Obtained from technical guidelines to GHG Reporting Regs Annexure A, based on tables 1.4 and 2.2 vol 2 energy of 2006 IPCC Guidelines- default emission factors for stationary combustion </t>
        </r>
      </text>
    </comment>
    <comment ref="F154" authorId="0" shapeId="0">
      <text>
        <r>
          <rPr>
            <b/>
            <sz val="9"/>
            <color indexed="81"/>
            <rFont val="Tahoma"/>
            <family val="2"/>
          </rPr>
          <t>Magda le Roux:</t>
        </r>
        <r>
          <rPr>
            <sz val="9"/>
            <color indexed="81"/>
            <rFont val="Tahoma"/>
            <family val="2"/>
          </rPr>
          <t xml:space="preserve">
IPCC 2006 TABLE 2.2  ( ENERGY INDUSTRY)</t>
        </r>
      </text>
    </comment>
    <comment ref="G154" authorId="0" shapeId="0">
      <text>
        <r>
          <rPr>
            <b/>
            <sz val="9"/>
            <color indexed="81"/>
            <rFont val="Tahoma"/>
            <family val="2"/>
          </rPr>
          <t>Magda le Roux:</t>
        </r>
        <r>
          <rPr>
            <sz val="9"/>
            <color indexed="81"/>
            <rFont val="Tahoma"/>
            <family val="2"/>
          </rPr>
          <t xml:space="preserve">
IPCC 2006 TABLE 2.2  ( ENERGY INDUSTRY)</t>
        </r>
      </text>
    </comment>
    <comment ref="D155" authorId="0" shapeId="0">
      <text>
        <r>
          <rPr>
            <b/>
            <sz val="9"/>
            <color indexed="81"/>
            <rFont val="Tahoma"/>
            <family val="2"/>
          </rPr>
          <t>Magda le Roux:</t>
        </r>
        <r>
          <rPr>
            <sz val="9"/>
            <color indexed="81"/>
            <rFont val="Tahoma"/>
            <family val="2"/>
          </rPr>
          <t xml:space="preserve">
see comment D7</t>
        </r>
      </text>
    </comment>
    <comment ref="F155" authorId="0" shapeId="0">
      <text>
        <r>
          <rPr>
            <b/>
            <sz val="9"/>
            <color indexed="81"/>
            <rFont val="Tahoma"/>
            <family val="2"/>
          </rPr>
          <t>Magda le Roux:</t>
        </r>
        <r>
          <rPr>
            <sz val="9"/>
            <color indexed="81"/>
            <rFont val="Tahoma"/>
            <family val="2"/>
          </rPr>
          <t xml:space="preserve">
IPCC 2006 TABLE 2.2  ( ENERGY INDUSTRY)</t>
        </r>
      </text>
    </comment>
    <comment ref="G155" authorId="0" shapeId="0">
      <text>
        <r>
          <rPr>
            <b/>
            <sz val="9"/>
            <color indexed="81"/>
            <rFont val="Tahoma"/>
            <family val="2"/>
          </rPr>
          <t>Magda le Roux:</t>
        </r>
        <r>
          <rPr>
            <sz val="9"/>
            <color indexed="81"/>
            <rFont val="Tahoma"/>
            <family val="2"/>
          </rPr>
          <t xml:space="preserve">
IPCC 2006 TABLE 2.2  ( ENERGY INDUSTRY)</t>
        </r>
      </text>
    </comment>
    <comment ref="D157" authorId="0" shapeId="0">
      <text>
        <r>
          <rPr>
            <b/>
            <sz val="9"/>
            <color indexed="81"/>
            <rFont val="Tahoma"/>
            <family val="2"/>
          </rPr>
          <t>Magda le Roux:</t>
        </r>
        <r>
          <rPr>
            <sz val="9"/>
            <color indexed="81"/>
            <rFont val="Tahoma"/>
            <family val="2"/>
          </rPr>
          <t xml:space="preserve">
IPCC 2006 TABLE 3.2.1</t>
        </r>
      </text>
    </comment>
    <comment ref="F157" authorId="0" shapeId="0">
      <text>
        <r>
          <rPr>
            <b/>
            <sz val="9"/>
            <color indexed="81"/>
            <rFont val="Tahoma"/>
            <family val="2"/>
          </rPr>
          <t>Magda le Roux:</t>
        </r>
        <r>
          <rPr>
            <sz val="9"/>
            <color indexed="81"/>
            <rFont val="Tahoma"/>
            <family val="2"/>
          </rPr>
          <t xml:space="preserve">
IPCC 2006: table 3.2.2</t>
        </r>
      </text>
    </comment>
    <comment ref="G157" authorId="0" shapeId="0">
      <text>
        <r>
          <rPr>
            <b/>
            <sz val="9"/>
            <color indexed="81"/>
            <rFont val="Tahoma"/>
            <family val="2"/>
          </rPr>
          <t>Magda le Roux:</t>
        </r>
        <r>
          <rPr>
            <sz val="9"/>
            <color indexed="81"/>
            <rFont val="Tahoma"/>
            <family val="2"/>
          </rPr>
          <t xml:space="preserve">
IPCC 2006: TABLE 3.2.2</t>
        </r>
      </text>
    </comment>
    <comment ref="D158" authorId="0" shapeId="0">
      <text>
        <r>
          <rPr>
            <b/>
            <sz val="9"/>
            <color indexed="81"/>
            <rFont val="Tahoma"/>
            <family val="2"/>
          </rPr>
          <t>Magda le Roux:</t>
        </r>
        <r>
          <rPr>
            <sz val="9"/>
            <color indexed="81"/>
            <rFont val="Tahoma"/>
            <family val="2"/>
          </rPr>
          <t xml:space="preserve">
IPCC 2006 TABLE3.2.1</t>
        </r>
      </text>
    </comment>
    <comment ref="F158" authorId="0" shapeId="0">
      <text>
        <r>
          <rPr>
            <b/>
            <sz val="9"/>
            <color indexed="81"/>
            <rFont val="Tahoma"/>
            <family val="2"/>
          </rPr>
          <t>Magda le Roux:</t>
        </r>
        <r>
          <rPr>
            <sz val="9"/>
            <color indexed="81"/>
            <rFont val="Tahoma"/>
            <family val="2"/>
          </rPr>
          <t xml:space="preserve">
IPCC 2006: table 3.2.2 uncontrolled = 33 and oxidation catalyst = 25
LDV 1995 or later = 3.8</t>
        </r>
      </text>
    </comment>
    <comment ref="G158" authorId="0" shapeId="0">
      <text>
        <r>
          <rPr>
            <b/>
            <sz val="9"/>
            <color indexed="81"/>
            <rFont val="Tahoma"/>
            <family val="2"/>
          </rPr>
          <t>Magda le Roux:</t>
        </r>
        <r>
          <rPr>
            <sz val="9"/>
            <color indexed="81"/>
            <rFont val="Tahoma"/>
            <family val="2"/>
          </rPr>
          <t xml:space="preserve">
IPCC 2006:
Table 3.2.2 
uncontrolled = 3.2 and oxidation catalyst = 8.0
LDV 1995 or later = 5.7</t>
        </r>
      </text>
    </comment>
    <comment ref="D159" authorId="0" shapeId="0">
      <text>
        <r>
          <rPr>
            <b/>
            <sz val="9"/>
            <color indexed="81"/>
            <rFont val="Tahoma"/>
            <family val="2"/>
          </rPr>
          <t>Magda le Roux:</t>
        </r>
        <r>
          <rPr>
            <sz val="9"/>
            <color indexed="81"/>
            <rFont val="Tahoma"/>
            <family val="2"/>
          </rPr>
          <t xml:space="preserve">
IPCC 2006 TABLE 3.6.4 JET KEROSENE = 71500</t>
        </r>
      </text>
    </comment>
    <comment ref="F159" authorId="0" shapeId="0">
      <text>
        <r>
          <rPr>
            <b/>
            <sz val="9"/>
            <color indexed="81"/>
            <rFont val="Tahoma"/>
            <family val="2"/>
          </rPr>
          <t>Magda le Roux:</t>
        </r>
        <r>
          <rPr>
            <sz val="9"/>
            <color indexed="81"/>
            <rFont val="Tahoma"/>
            <family val="2"/>
          </rPr>
          <t xml:space="preserve">
IPCC 2006 TABLE 3.6.5</t>
        </r>
      </text>
    </comment>
    <comment ref="G159" authorId="0" shapeId="0">
      <text>
        <r>
          <rPr>
            <b/>
            <sz val="9"/>
            <color indexed="81"/>
            <rFont val="Tahoma"/>
            <family val="2"/>
          </rPr>
          <t>Magda le Roux:</t>
        </r>
        <r>
          <rPr>
            <sz val="9"/>
            <color indexed="81"/>
            <rFont val="Tahoma"/>
            <family val="2"/>
          </rPr>
          <t xml:space="preserve">
IPCC 2006 TABLE 3.6.5</t>
        </r>
      </text>
    </comment>
    <comment ref="A164" authorId="0" shapeId="0">
      <text>
        <r>
          <rPr>
            <b/>
            <sz val="9"/>
            <color indexed="81"/>
            <rFont val="Tahoma"/>
            <family val="2"/>
          </rPr>
          <t>Magda le Roux:</t>
        </r>
        <r>
          <rPr>
            <sz val="9"/>
            <color indexed="81"/>
            <rFont val="Tahoma"/>
            <family val="2"/>
          </rPr>
          <t xml:space="preserve">
IPCC AR4</t>
        </r>
      </text>
    </comment>
    <comment ref="D165" authorId="0" shapeId="0">
      <text>
        <r>
          <rPr>
            <b/>
            <sz val="9"/>
            <color indexed="81"/>
            <rFont val="Tahoma"/>
            <family val="2"/>
          </rPr>
          <t>Magda le Roux:</t>
        </r>
        <r>
          <rPr>
            <sz val="9"/>
            <color indexed="81"/>
            <rFont val="Tahoma"/>
            <family val="2"/>
          </rPr>
          <t xml:space="preserve">
DEFRA 2019 EF</t>
        </r>
      </text>
    </comment>
    <comment ref="D168" authorId="0" shapeId="0">
      <text>
        <r>
          <rPr>
            <b/>
            <sz val="9"/>
            <color indexed="81"/>
            <rFont val="Tahoma"/>
            <family val="2"/>
          </rPr>
          <t>Magda le Roux:</t>
        </r>
        <r>
          <rPr>
            <sz val="9"/>
            <color indexed="81"/>
            <rFont val="Tahoma"/>
            <family val="2"/>
          </rPr>
          <t xml:space="preserve">
IMagda le Roux:
IEA 2010 electricity emission factor for Tanzania = 0.2421504 replaced by Instittute for Global Env strategies's (IGES) registered CDM projects: combined grid emission factor of 0.529</t>
        </r>
      </text>
    </comment>
    <comment ref="C174" authorId="0" shapeId="0">
      <text>
        <r>
          <rPr>
            <b/>
            <sz val="9"/>
            <color indexed="81"/>
            <rFont val="Tahoma"/>
            <family val="2"/>
          </rPr>
          <t>Magda le Roux:</t>
        </r>
        <r>
          <rPr>
            <sz val="9"/>
            <color indexed="81"/>
            <rFont val="Tahoma"/>
            <family val="2"/>
          </rPr>
          <t xml:space="preserve">
fixed wing: Jet fuel A1- cal value = 37.5MJ/l and d = 0.79kg/l and EF = 70000; chopper: avgas- cal value = 33.9 MJ/l and d = 0.71kg/l) and EF = 70000</t>
        </r>
      </text>
    </comment>
    <comment ref="A175" authorId="0" shapeId="0">
      <text>
        <r>
          <rPr>
            <b/>
            <sz val="9"/>
            <color indexed="81"/>
            <rFont val="Tahoma"/>
            <family val="2"/>
          </rPr>
          <t>Magda le Roux:</t>
        </r>
        <r>
          <rPr>
            <sz val="9"/>
            <color indexed="81"/>
            <rFont val="Tahoma"/>
            <family val="2"/>
          </rPr>
          <t xml:space="preserve">
DEFRA 2018 Efs with RF for average passenger</t>
        </r>
      </text>
    </comment>
    <comment ref="C175" authorId="0" shapeId="0">
      <text>
        <r>
          <rPr>
            <b/>
            <sz val="9"/>
            <color indexed="81"/>
            <rFont val="Tahoma"/>
            <family val="2"/>
          </rPr>
          <t>Magda le Roux:</t>
        </r>
        <r>
          <rPr>
            <sz val="9"/>
            <color indexed="81"/>
            <rFont val="Tahoma"/>
            <family val="2"/>
          </rPr>
          <t xml:space="preserve">
Domestic passenger.km EF-DEFRA 2019 business travel</t>
        </r>
      </text>
    </comment>
    <comment ref="D175" authorId="0" shapeId="0">
      <text>
        <r>
          <rPr>
            <b/>
            <sz val="9"/>
            <color indexed="81"/>
            <rFont val="Tahoma"/>
            <family val="2"/>
          </rPr>
          <t>Magda le Roux:</t>
        </r>
        <r>
          <rPr>
            <sz val="9"/>
            <color indexed="81"/>
            <rFont val="Tahoma"/>
            <family val="2"/>
          </rPr>
          <t xml:space="preserve">
Short haul EF fo rpassenger.km sourve data-DEFRA 2019 business travel</t>
        </r>
      </text>
    </comment>
    <comment ref="E175" authorId="0" shapeId="0">
      <text>
        <r>
          <rPr>
            <b/>
            <sz val="9"/>
            <color indexed="81"/>
            <rFont val="Tahoma"/>
            <family val="2"/>
          </rPr>
          <t>Magda le Roux:</t>
        </r>
        <r>
          <rPr>
            <sz val="9"/>
            <color indexed="81"/>
            <rFont val="Tahoma"/>
            <family val="2"/>
          </rPr>
          <t xml:space="preserve">
Long haul EF f0r average passenger with RF-DEFRA 2019 business travel</t>
        </r>
      </text>
    </comment>
    <comment ref="F175" authorId="0" shapeId="0">
      <text>
        <r>
          <rPr>
            <b/>
            <sz val="9"/>
            <color indexed="81"/>
            <rFont val="Tahoma"/>
            <family val="2"/>
          </rPr>
          <t>Magda le Roux:</t>
        </r>
        <r>
          <rPr>
            <sz val="9"/>
            <color indexed="81"/>
            <rFont val="Tahoma"/>
            <family val="2"/>
          </rPr>
          <t xml:space="preserve">
International flights EF-DEFRA 2019 business travel</t>
        </r>
      </text>
    </comment>
    <comment ref="D176" authorId="0" shapeId="0">
      <text>
        <r>
          <rPr>
            <b/>
            <sz val="9"/>
            <color indexed="81"/>
            <rFont val="Tahoma"/>
            <family val="2"/>
          </rPr>
          <t>Magda le Roux:</t>
        </r>
        <r>
          <rPr>
            <sz val="9"/>
            <color indexed="81"/>
            <rFont val="Tahoma"/>
            <family val="2"/>
          </rPr>
          <t xml:space="preserve">
DEFRA 2019 :material use, paper and board EF = 870.1kg CO2-e/tonne</t>
        </r>
      </text>
    </comment>
    <comment ref="D177" authorId="0" shapeId="0">
      <text>
        <r>
          <rPr>
            <b/>
            <sz val="9"/>
            <color indexed="81"/>
            <rFont val="Tahoma"/>
            <family val="2"/>
          </rPr>
          <t>Magda le Roux:</t>
        </r>
        <r>
          <rPr>
            <sz val="9"/>
            <color indexed="81"/>
            <rFont val="Tahoma"/>
            <family val="2"/>
          </rPr>
          <t xml:space="preserve">
DEFFRA 2019EF for municipal waste to landfill ((waste disposal section) = 586.514kg CO2e/t</t>
        </r>
      </text>
    </comment>
    <comment ref="D178" authorId="0" shapeId="0">
      <text>
        <r>
          <rPr>
            <b/>
            <sz val="9"/>
            <color indexed="81"/>
            <rFont val="Tahoma"/>
            <family val="2"/>
          </rPr>
          <t>Magda le Roux:</t>
        </r>
        <r>
          <rPr>
            <sz val="9"/>
            <color indexed="81"/>
            <rFont val="Tahoma"/>
            <family val="2"/>
          </rPr>
          <t xml:space="preserve">
DEFFRA 2019EF for scrap metal recycled (closed loop: waste disposal section) = 21.354 kg CO2e/t</t>
        </r>
      </text>
    </comment>
    <comment ref="D179" authorId="0" shapeId="0">
      <text>
        <r>
          <rPr>
            <b/>
            <sz val="9"/>
            <color indexed="81"/>
            <rFont val="Tahoma"/>
            <family val="2"/>
          </rPr>
          <t>Magda le Roux:</t>
        </r>
        <r>
          <rPr>
            <sz val="9"/>
            <color indexed="81"/>
            <rFont val="Tahoma"/>
            <family val="2"/>
          </rPr>
          <t xml:space="preserve">
DEFRA 2019 EF for potable water use (pumped)</t>
        </r>
      </text>
    </comment>
    <comment ref="X179" authorId="0" shapeId="0">
      <text>
        <r>
          <rPr>
            <b/>
            <sz val="9"/>
            <color indexed="81"/>
            <rFont val="Tahoma"/>
            <family val="2"/>
          </rPr>
          <t>Magda le Roux:</t>
        </r>
        <r>
          <rPr>
            <sz val="9"/>
            <color indexed="81"/>
            <rFont val="Tahoma"/>
            <family val="2"/>
          </rPr>
          <t xml:space="preserve">
amended annual figure x EF</t>
        </r>
      </text>
    </comment>
    <comment ref="C187" authorId="0" shapeId="0">
      <text>
        <r>
          <rPr>
            <b/>
            <sz val="9"/>
            <color indexed="81"/>
            <rFont val="Tahoma"/>
            <family val="2"/>
          </rPr>
          <t>Magda le Roux:</t>
        </r>
        <r>
          <rPr>
            <sz val="9"/>
            <color indexed="81"/>
            <rFont val="Tahoma"/>
            <family val="2"/>
          </rPr>
          <t xml:space="preserve">
table D1 Annexure D: Net calorific values of fuels provided by SA petroleum industry association. ( tech guidelines to GHG regs)</t>
        </r>
      </text>
    </comment>
    <comment ref="D190" authorId="0" shapeId="0">
      <text>
        <r>
          <rPr>
            <b/>
            <sz val="9"/>
            <color indexed="81"/>
            <rFont val="Tahoma"/>
            <family val="2"/>
          </rPr>
          <t>Magda le Roux:</t>
        </r>
        <r>
          <rPr>
            <sz val="9"/>
            <color indexed="81"/>
            <rFont val="Tahoma"/>
            <family val="2"/>
          </rPr>
          <t xml:space="preserve">
Obtained from technical guidelines to GHG Reporting Regs Annexure A, based on tables 1.4 and 2.2 vol 2 energy of 2006 IPCC Guidelines- default emission factors for stationary combustion </t>
        </r>
      </text>
    </comment>
    <comment ref="F190" authorId="0" shapeId="0">
      <text>
        <r>
          <rPr>
            <b/>
            <sz val="9"/>
            <color indexed="81"/>
            <rFont val="Tahoma"/>
            <family val="2"/>
          </rPr>
          <t>Magda le Roux:</t>
        </r>
        <r>
          <rPr>
            <sz val="9"/>
            <color indexed="81"/>
            <rFont val="Tahoma"/>
            <family val="2"/>
          </rPr>
          <t xml:space="preserve">
IPCC 2006 TABLE 2.2  ( ENERGY INDUSTRY)</t>
        </r>
      </text>
    </comment>
    <comment ref="G190" authorId="0" shapeId="0">
      <text>
        <r>
          <rPr>
            <b/>
            <sz val="9"/>
            <color indexed="81"/>
            <rFont val="Tahoma"/>
            <family val="2"/>
          </rPr>
          <t>Magda le Roux:</t>
        </r>
        <r>
          <rPr>
            <sz val="9"/>
            <color indexed="81"/>
            <rFont val="Tahoma"/>
            <family val="2"/>
          </rPr>
          <t xml:space="preserve">
IPCC 2006 TABLE 2.2  ( ENERGY INDUSTRY)</t>
        </r>
      </text>
    </comment>
    <comment ref="D191" authorId="0" shapeId="0">
      <text>
        <r>
          <rPr>
            <b/>
            <sz val="9"/>
            <color indexed="81"/>
            <rFont val="Tahoma"/>
            <family val="2"/>
          </rPr>
          <t>Magda le Roux:</t>
        </r>
        <r>
          <rPr>
            <sz val="9"/>
            <color indexed="81"/>
            <rFont val="Tahoma"/>
            <family val="2"/>
          </rPr>
          <t xml:space="preserve">
see comment D7</t>
        </r>
      </text>
    </comment>
    <comment ref="F191" authorId="0" shapeId="0">
      <text>
        <r>
          <rPr>
            <b/>
            <sz val="9"/>
            <color indexed="81"/>
            <rFont val="Tahoma"/>
            <family val="2"/>
          </rPr>
          <t>Magda le Roux:</t>
        </r>
        <r>
          <rPr>
            <sz val="9"/>
            <color indexed="81"/>
            <rFont val="Tahoma"/>
            <family val="2"/>
          </rPr>
          <t xml:space="preserve">
IPCC 2006 TABLE 2.2  ( ENERGY INDUSTRY)</t>
        </r>
      </text>
    </comment>
    <comment ref="G191" authorId="0" shapeId="0">
      <text>
        <r>
          <rPr>
            <b/>
            <sz val="9"/>
            <color indexed="81"/>
            <rFont val="Tahoma"/>
            <family val="2"/>
          </rPr>
          <t>Magda le Roux:</t>
        </r>
        <r>
          <rPr>
            <sz val="9"/>
            <color indexed="81"/>
            <rFont val="Tahoma"/>
            <family val="2"/>
          </rPr>
          <t xml:space="preserve">
IPCC 2006 TABLE 2.2  ( ENERGY INDUSTRY)</t>
        </r>
      </text>
    </comment>
    <comment ref="D193" authorId="0" shapeId="0">
      <text>
        <r>
          <rPr>
            <b/>
            <sz val="9"/>
            <color indexed="81"/>
            <rFont val="Tahoma"/>
            <family val="2"/>
          </rPr>
          <t>Magda le Roux:</t>
        </r>
        <r>
          <rPr>
            <sz val="9"/>
            <color indexed="81"/>
            <rFont val="Tahoma"/>
            <family val="2"/>
          </rPr>
          <t xml:space="preserve">
IPCC 2006 TABLE 3.2.1</t>
        </r>
      </text>
    </comment>
    <comment ref="F193" authorId="0" shapeId="0">
      <text>
        <r>
          <rPr>
            <b/>
            <sz val="9"/>
            <color indexed="81"/>
            <rFont val="Tahoma"/>
            <family val="2"/>
          </rPr>
          <t>Magda le Roux:</t>
        </r>
        <r>
          <rPr>
            <sz val="9"/>
            <color indexed="81"/>
            <rFont val="Tahoma"/>
            <family val="2"/>
          </rPr>
          <t xml:space="preserve">
IPCC 2006: table 3.2.2</t>
        </r>
      </text>
    </comment>
    <comment ref="G193" authorId="0" shapeId="0">
      <text>
        <r>
          <rPr>
            <b/>
            <sz val="9"/>
            <color indexed="81"/>
            <rFont val="Tahoma"/>
            <family val="2"/>
          </rPr>
          <t>Magda le Roux:</t>
        </r>
        <r>
          <rPr>
            <sz val="9"/>
            <color indexed="81"/>
            <rFont val="Tahoma"/>
            <family val="2"/>
          </rPr>
          <t xml:space="preserve">
IPCC 2006: TABLE 3.2.2</t>
        </r>
      </text>
    </comment>
    <comment ref="D194" authorId="0" shapeId="0">
      <text>
        <r>
          <rPr>
            <b/>
            <sz val="9"/>
            <color indexed="81"/>
            <rFont val="Tahoma"/>
            <family val="2"/>
          </rPr>
          <t>Magda le Roux:</t>
        </r>
        <r>
          <rPr>
            <sz val="9"/>
            <color indexed="81"/>
            <rFont val="Tahoma"/>
            <family val="2"/>
          </rPr>
          <t xml:space="preserve">
IPCC 2006 TABLE3.2.1</t>
        </r>
      </text>
    </comment>
    <comment ref="F194" authorId="0" shapeId="0">
      <text>
        <r>
          <rPr>
            <b/>
            <sz val="9"/>
            <color indexed="81"/>
            <rFont val="Tahoma"/>
            <family val="2"/>
          </rPr>
          <t>Magda le Roux:</t>
        </r>
        <r>
          <rPr>
            <sz val="9"/>
            <color indexed="81"/>
            <rFont val="Tahoma"/>
            <family val="2"/>
          </rPr>
          <t xml:space="preserve">
IPCC 2006: table 3.2.2 uncontrolled = 33 and oxidation catalyst = 25
LDV 1995 or later = 3.8</t>
        </r>
      </text>
    </comment>
    <comment ref="G194" authorId="0" shapeId="0">
      <text>
        <r>
          <rPr>
            <b/>
            <sz val="9"/>
            <color indexed="81"/>
            <rFont val="Tahoma"/>
            <family val="2"/>
          </rPr>
          <t>Magda le Roux:</t>
        </r>
        <r>
          <rPr>
            <sz val="9"/>
            <color indexed="81"/>
            <rFont val="Tahoma"/>
            <family val="2"/>
          </rPr>
          <t xml:space="preserve">
IPCC 2006:
Table 3.2.2 
uncontrolled = 3.2 and oxidation catalyst = 8.0
LDV 1995 or later = 5.7</t>
        </r>
      </text>
    </comment>
    <comment ref="D195" authorId="0" shapeId="0">
      <text>
        <r>
          <rPr>
            <b/>
            <sz val="9"/>
            <color indexed="81"/>
            <rFont val="Tahoma"/>
            <family val="2"/>
          </rPr>
          <t>Magda le Roux:</t>
        </r>
        <r>
          <rPr>
            <sz val="9"/>
            <color indexed="81"/>
            <rFont val="Tahoma"/>
            <family val="2"/>
          </rPr>
          <t xml:space="preserve">
IPCC 2006 TABLE 3.6.4 JET KEROSENE = 71500</t>
        </r>
      </text>
    </comment>
    <comment ref="F195" authorId="0" shapeId="0">
      <text>
        <r>
          <rPr>
            <b/>
            <sz val="9"/>
            <color indexed="81"/>
            <rFont val="Tahoma"/>
            <family val="2"/>
          </rPr>
          <t>Magda le Roux:</t>
        </r>
        <r>
          <rPr>
            <sz val="9"/>
            <color indexed="81"/>
            <rFont val="Tahoma"/>
            <family val="2"/>
          </rPr>
          <t xml:space="preserve">
IPCC 2006 TABLE 3.6.5</t>
        </r>
      </text>
    </comment>
    <comment ref="G195" authorId="0" shapeId="0">
      <text>
        <r>
          <rPr>
            <b/>
            <sz val="9"/>
            <color indexed="81"/>
            <rFont val="Tahoma"/>
            <family val="2"/>
          </rPr>
          <t>Magda le Roux:</t>
        </r>
        <r>
          <rPr>
            <sz val="9"/>
            <color indexed="81"/>
            <rFont val="Tahoma"/>
            <family val="2"/>
          </rPr>
          <t xml:space="preserve">
IPCC 2006 TABLE 3.6.5</t>
        </r>
      </text>
    </comment>
    <comment ref="A200" authorId="0" shapeId="0">
      <text>
        <r>
          <rPr>
            <b/>
            <sz val="9"/>
            <color indexed="81"/>
            <rFont val="Tahoma"/>
            <family val="2"/>
          </rPr>
          <t>Magda le Roux:</t>
        </r>
        <r>
          <rPr>
            <sz val="9"/>
            <color indexed="81"/>
            <rFont val="Tahoma"/>
            <family val="2"/>
          </rPr>
          <t xml:space="preserve">
IPCC AR4</t>
        </r>
      </text>
    </comment>
    <comment ref="D201" authorId="0" shapeId="0">
      <text>
        <r>
          <rPr>
            <b/>
            <sz val="9"/>
            <color indexed="81"/>
            <rFont val="Tahoma"/>
            <family val="2"/>
          </rPr>
          <t>Magda le Roux:</t>
        </r>
        <r>
          <rPr>
            <sz val="9"/>
            <color indexed="81"/>
            <rFont val="Tahoma"/>
            <family val="2"/>
          </rPr>
          <t xml:space="preserve">
DEFRA 2019 EF</t>
        </r>
      </text>
    </comment>
    <comment ref="D204" authorId="0" shapeId="0">
      <text>
        <r>
          <rPr>
            <b/>
            <sz val="9"/>
            <color indexed="81"/>
            <rFont val="Tahoma"/>
            <family val="2"/>
          </rPr>
          <t>Magda le Roux:</t>
        </r>
        <r>
          <rPr>
            <sz val="9"/>
            <color indexed="81"/>
            <rFont val="Tahoma"/>
            <family val="2"/>
          </rPr>
          <t xml:space="preserve">
ESKOM grid emission factor 2019= 1.04kgCO2-e/kWh)</t>
        </r>
      </text>
    </comment>
    <comment ref="C211" authorId="0" shapeId="0">
      <text>
        <r>
          <rPr>
            <b/>
            <sz val="9"/>
            <color indexed="81"/>
            <rFont val="Tahoma"/>
            <family val="2"/>
          </rPr>
          <t>Magda le Roux:</t>
        </r>
        <r>
          <rPr>
            <sz val="9"/>
            <color indexed="81"/>
            <rFont val="Tahoma"/>
            <family val="2"/>
          </rPr>
          <t xml:space="preserve">
fixed wing: Jet fuel A1- cal value = 37.5MJ/l and d = 0.79kg/l and EF = 70000; chopper: avgas- cal value = 33.9 MJ/l and d = 0.71kg/l) and EF = 70000</t>
        </r>
      </text>
    </comment>
    <comment ref="A212" authorId="0" shapeId="0">
      <text>
        <r>
          <rPr>
            <b/>
            <sz val="9"/>
            <color indexed="81"/>
            <rFont val="Tahoma"/>
            <family val="2"/>
          </rPr>
          <t>Magda le Roux:</t>
        </r>
        <r>
          <rPr>
            <sz val="9"/>
            <color indexed="81"/>
            <rFont val="Tahoma"/>
            <family val="2"/>
          </rPr>
          <t xml:space="preserve">
DEFRA 2018 Efs with RF for average passenger</t>
        </r>
      </text>
    </comment>
    <comment ref="C212" authorId="0" shapeId="0">
      <text>
        <r>
          <rPr>
            <b/>
            <sz val="9"/>
            <color indexed="81"/>
            <rFont val="Tahoma"/>
            <family val="2"/>
          </rPr>
          <t>Magda le Roux:</t>
        </r>
        <r>
          <rPr>
            <sz val="9"/>
            <color indexed="81"/>
            <rFont val="Tahoma"/>
            <family val="2"/>
          </rPr>
          <t xml:space="preserve">
Domestic passenger.km EF-DEFRA 2019 business travel</t>
        </r>
      </text>
    </comment>
    <comment ref="D212" authorId="0" shapeId="0">
      <text>
        <r>
          <rPr>
            <b/>
            <sz val="9"/>
            <color indexed="81"/>
            <rFont val="Tahoma"/>
            <family val="2"/>
          </rPr>
          <t>Magda le Roux:</t>
        </r>
        <r>
          <rPr>
            <sz val="9"/>
            <color indexed="81"/>
            <rFont val="Tahoma"/>
            <family val="2"/>
          </rPr>
          <t xml:space="preserve">
Short haul EF fo rpassenger.km sourve data-DEFRA 2019 business travel</t>
        </r>
      </text>
    </comment>
    <comment ref="E212" authorId="0" shapeId="0">
      <text>
        <r>
          <rPr>
            <b/>
            <sz val="9"/>
            <color indexed="81"/>
            <rFont val="Tahoma"/>
            <family val="2"/>
          </rPr>
          <t>Magda le Roux:</t>
        </r>
        <r>
          <rPr>
            <sz val="9"/>
            <color indexed="81"/>
            <rFont val="Tahoma"/>
            <family val="2"/>
          </rPr>
          <t xml:space="preserve">
Long haul EF f0r average passenger with RF-DEFRA 2019 business travel</t>
        </r>
      </text>
    </comment>
    <comment ref="F212" authorId="0" shapeId="0">
      <text>
        <r>
          <rPr>
            <b/>
            <sz val="9"/>
            <color indexed="81"/>
            <rFont val="Tahoma"/>
            <family val="2"/>
          </rPr>
          <t>Magda le Roux:</t>
        </r>
        <r>
          <rPr>
            <sz val="9"/>
            <color indexed="81"/>
            <rFont val="Tahoma"/>
            <family val="2"/>
          </rPr>
          <t xml:space="preserve">
International flights EF-DEFRA 2019 business travel</t>
        </r>
      </text>
    </comment>
    <comment ref="D213" authorId="0" shapeId="0">
      <text>
        <r>
          <rPr>
            <b/>
            <sz val="9"/>
            <color indexed="81"/>
            <rFont val="Tahoma"/>
            <family val="2"/>
          </rPr>
          <t>Magda le Roux:</t>
        </r>
        <r>
          <rPr>
            <sz val="9"/>
            <color indexed="81"/>
            <rFont val="Tahoma"/>
            <family val="2"/>
          </rPr>
          <t xml:space="preserve">
DEFRA 2019 :material use, paper and board EF = 870.1kg CO2-e/tonne</t>
        </r>
      </text>
    </comment>
    <comment ref="D214" authorId="0" shapeId="0">
      <text>
        <r>
          <rPr>
            <b/>
            <sz val="9"/>
            <color indexed="81"/>
            <rFont val="Tahoma"/>
            <family val="2"/>
          </rPr>
          <t>Magda le Roux:</t>
        </r>
        <r>
          <rPr>
            <sz val="9"/>
            <color indexed="81"/>
            <rFont val="Tahoma"/>
            <family val="2"/>
          </rPr>
          <t xml:space="preserve">
DEFFRA 2019 EF for municipal waste to landfill ((waste disposal section) = 586.514kg CO2e/t</t>
        </r>
      </text>
    </comment>
    <comment ref="D215" authorId="0" shapeId="0">
      <text>
        <r>
          <rPr>
            <b/>
            <sz val="9"/>
            <color indexed="81"/>
            <rFont val="Tahoma"/>
            <family val="2"/>
          </rPr>
          <t>Magda le Roux:</t>
        </r>
        <r>
          <rPr>
            <sz val="9"/>
            <color indexed="81"/>
            <rFont val="Tahoma"/>
            <family val="2"/>
          </rPr>
          <t xml:space="preserve">
DEFFRA 2018 EF for scrap metal recycled (closed loop: waste disposal section) = 21.4 kg CO2e/t</t>
        </r>
      </text>
    </comment>
    <comment ref="D216" authorId="0" shapeId="0">
      <text>
        <r>
          <rPr>
            <b/>
            <sz val="9"/>
            <color indexed="81"/>
            <rFont val="Tahoma"/>
            <family val="2"/>
          </rPr>
          <t>Magda le Roux:</t>
        </r>
        <r>
          <rPr>
            <sz val="9"/>
            <color indexed="81"/>
            <rFont val="Tahoma"/>
            <family val="2"/>
          </rPr>
          <t xml:space="preserve">
DEFRA 2019 EF</t>
        </r>
      </text>
    </comment>
    <comment ref="D217" authorId="0" shapeId="0">
      <text>
        <r>
          <rPr>
            <b/>
            <sz val="9"/>
            <color indexed="81"/>
            <rFont val="Tahoma"/>
            <family val="2"/>
          </rPr>
          <t>Magda le Roux:</t>
        </r>
        <r>
          <rPr>
            <sz val="9"/>
            <color indexed="81"/>
            <rFont val="Tahoma"/>
            <family val="2"/>
          </rPr>
          <t xml:space="preserve">
DEFRA 2019 EF for potable water use (pumped)</t>
        </r>
      </text>
    </comment>
    <comment ref="J242" authorId="0" shapeId="0">
      <text>
        <r>
          <rPr>
            <b/>
            <sz val="9"/>
            <color indexed="81"/>
            <rFont val="Tahoma"/>
            <family val="2"/>
          </rPr>
          <t>Magda le Roux:</t>
        </r>
        <r>
          <rPr>
            <sz val="9"/>
            <color indexed="81"/>
            <rFont val="Tahoma"/>
            <family val="2"/>
          </rPr>
          <t xml:space="preserve">
baseline 2016 = 0.20 tCO2-e/ct</t>
        </r>
      </text>
    </comment>
    <comment ref="R242" authorId="0" shapeId="0">
      <text>
        <r>
          <rPr>
            <b/>
            <sz val="9"/>
            <color indexed="81"/>
            <rFont val="Tahoma"/>
            <family val="2"/>
          </rPr>
          <t>Magda le Roux:</t>
        </r>
        <r>
          <rPr>
            <sz val="9"/>
            <color indexed="81"/>
            <rFont val="Tahoma"/>
            <family val="2"/>
          </rPr>
          <t xml:space="preserve">
baseline 2016 = 0.2024 tCO2-e/ct</t>
        </r>
      </text>
    </comment>
  </commentList>
</comments>
</file>

<file path=xl/comments12.xml><?xml version="1.0" encoding="utf-8"?>
<comments xmlns="http://schemas.openxmlformats.org/spreadsheetml/2006/main">
  <authors>
    <author>Magda le Roux</author>
  </authors>
  <commentList>
    <comment ref="A12" authorId="0" shapeId="0">
      <text>
        <r>
          <rPr>
            <b/>
            <sz val="9"/>
            <color indexed="81"/>
            <rFont val="Tahoma"/>
            <family val="2"/>
          </rPr>
          <t>Magda le Roux:</t>
        </r>
        <r>
          <rPr>
            <sz val="9"/>
            <color indexed="81"/>
            <rFont val="Tahoma"/>
            <family val="2"/>
          </rPr>
          <t xml:space="preserve">
A4 ream = 2.5 kg
A5 ream =  5 kg as per Comvoc paper conversion factors</t>
        </r>
      </text>
    </comment>
  </commentList>
</comments>
</file>

<file path=xl/comments13.xml><?xml version="1.0" encoding="utf-8"?>
<comments xmlns="http://schemas.openxmlformats.org/spreadsheetml/2006/main">
  <authors>
    <author>Magda le Roux</author>
  </authors>
  <commentList>
    <comment ref="F4" authorId="0" shapeId="0">
      <text>
        <r>
          <rPr>
            <b/>
            <sz val="9"/>
            <color indexed="81"/>
            <rFont val="Tahoma"/>
            <family val="2"/>
          </rPr>
          <t>Magda le Roux:</t>
        </r>
        <r>
          <rPr>
            <sz val="9"/>
            <color indexed="81"/>
            <rFont val="Tahoma"/>
            <family val="2"/>
          </rPr>
          <t xml:space="preserve">
assumption: divide total by 4 to obtain  SA operational value;
Audit: 39 706 to 39 806</t>
        </r>
      </text>
    </comment>
    <comment ref="J4" authorId="0" shapeId="0">
      <text>
        <r>
          <rPr>
            <b/>
            <sz val="9"/>
            <color indexed="81"/>
            <rFont val="Tahoma"/>
            <family val="2"/>
          </rPr>
          <t>Magda le Roux:</t>
        </r>
        <r>
          <rPr>
            <sz val="9"/>
            <color indexed="81"/>
            <rFont val="Tahoma"/>
            <family val="2"/>
          </rPr>
          <t xml:space="preserve">
assumption: divide by 4 to get operationla SA value</t>
        </r>
      </text>
    </comment>
    <comment ref="M4" authorId="0" shapeId="0">
      <text>
        <r>
          <rPr>
            <b/>
            <sz val="9"/>
            <color indexed="81"/>
            <rFont val="Tahoma"/>
            <family val="2"/>
          </rPr>
          <t>Magda le Roux:</t>
        </r>
        <r>
          <rPr>
            <sz val="9"/>
            <color indexed="81"/>
            <rFont val="Tahoma"/>
            <family val="2"/>
          </rPr>
          <t xml:space="preserve">
For 14 March 880 km was added as the amount paid had a small deviation form the amount paid for the 880l of 8 march</t>
        </r>
      </text>
    </comment>
    <comment ref="S4" authorId="0" shapeId="0">
      <text>
        <r>
          <rPr>
            <b/>
            <sz val="9"/>
            <color indexed="81"/>
            <rFont val="Tahoma"/>
            <family val="2"/>
          </rPr>
          <t>Magda le Roux:</t>
        </r>
        <r>
          <rPr>
            <sz val="9"/>
            <color indexed="81"/>
            <rFont val="Tahoma"/>
            <family val="2"/>
          </rPr>
          <t xml:space="preserve">
divide by 4 (CDM, KDM, FDM, PDSA)</t>
        </r>
      </text>
    </comment>
    <comment ref="K6" authorId="0" shapeId="0">
      <text>
        <r>
          <rPr>
            <b/>
            <sz val="9"/>
            <color indexed="81"/>
            <rFont val="Tahoma"/>
            <family val="2"/>
          </rPr>
          <t>Magda le Roux:</t>
        </r>
        <r>
          <rPr>
            <sz val="9"/>
            <color indexed="81"/>
            <rFont val="Tahoma"/>
            <family val="2"/>
          </rPr>
          <t xml:space="preserve">
do not add as Swift chartered the Petra plane for other customers on 3 Jan</t>
        </r>
      </text>
    </comment>
    <comment ref="I15" authorId="0" shapeId="0">
      <text>
        <r>
          <rPr>
            <b/>
            <sz val="9"/>
            <color indexed="81"/>
            <rFont val="Tahoma"/>
            <family val="2"/>
          </rPr>
          <t>Magda le Roux:</t>
        </r>
        <r>
          <rPr>
            <sz val="9"/>
            <color indexed="81"/>
            <rFont val="Tahoma"/>
            <family val="2"/>
          </rPr>
          <t xml:space="preserve">
do not add as Swift chartered the Petra plane for other customers- 13 dec</t>
        </r>
      </text>
    </comment>
    <comment ref="L16" authorId="0" shapeId="0">
      <text>
        <r>
          <rPr>
            <b/>
            <sz val="9"/>
            <color indexed="81"/>
            <rFont val="Tahoma"/>
            <family val="2"/>
          </rPr>
          <t>Magda le Roux:</t>
        </r>
        <r>
          <rPr>
            <sz val="9"/>
            <color indexed="81"/>
            <rFont val="Tahoma"/>
            <family val="2"/>
          </rPr>
          <t xml:space="preserve">
do not add as Swift chartered the Petra plane for other customers on13 feb (732l) and 14 feb (687)</t>
        </r>
      </text>
    </comment>
    <comment ref="F38" authorId="0" shapeId="0">
      <text>
        <r>
          <rPr>
            <b/>
            <sz val="9"/>
            <color indexed="81"/>
            <rFont val="Tahoma"/>
            <family val="2"/>
          </rPr>
          <t>Magda le Roux:</t>
        </r>
        <r>
          <rPr>
            <sz val="9"/>
            <color indexed="81"/>
            <rFont val="Tahoma"/>
            <family val="2"/>
          </rPr>
          <t xml:space="preserve">
assumption: divide total by 4 to obtain  SA operational value</t>
        </r>
      </text>
    </comment>
    <comment ref="J38" authorId="0" shapeId="0">
      <text>
        <r>
          <rPr>
            <b/>
            <sz val="9"/>
            <color indexed="81"/>
            <rFont val="Tahoma"/>
            <family val="2"/>
          </rPr>
          <t>Magda le Roux:</t>
        </r>
        <r>
          <rPr>
            <sz val="9"/>
            <color indexed="81"/>
            <rFont val="Tahoma"/>
            <family val="2"/>
          </rPr>
          <t xml:space="preserve">
assumption: divide by 4 to get operationla SA value</t>
        </r>
      </text>
    </comment>
    <comment ref="N38" authorId="0" shapeId="0">
      <text>
        <r>
          <rPr>
            <b/>
            <sz val="9"/>
            <color indexed="81"/>
            <rFont val="Tahoma"/>
            <family val="2"/>
          </rPr>
          <t>Magda le Roux:</t>
        </r>
        <r>
          <rPr>
            <sz val="9"/>
            <color indexed="81"/>
            <rFont val="Tahoma"/>
            <family val="2"/>
          </rPr>
          <t xml:space="preserve">
divide by 4 to get SA value</t>
        </r>
      </text>
    </comment>
    <comment ref="R38" authorId="0" shapeId="0">
      <text>
        <r>
          <rPr>
            <b/>
            <sz val="9"/>
            <color indexed="81"/>
            <rFont val="Tahoma"/>
            <family val="2"/>
          </rPr>
          <t>Magda le Roux:</t>
        </r>
        <r>
          <rPr>
            <sz val="9"/>
            <color indexed="81"/>
            <rFont val="Tahoma"/>
            <family val="2"/>
          </rPr>
          <t xml:space="preserve">
divide by 4</t>
        </r>
      </text>
    </comment>
    <comment ref="S38" authorId="0" shapeId="0">
      <text>
        <r>
          <rPr>
            <b/>
            <sz val="9"/>
            <color indexed="81"/>
            <rFont val="Tahoma"/>
            <family val="2"/>
          </rPr>
          <t>Magda le Roux:</t>
        </r>
        <r>
          <rPr>
            <sz val="9"/>
            <color indexed="81"/>
            <rFont val="Tahoma"/>
            <family val="2"/>
          </rPr>
          <t xml:space="preserve">
divide by 4</t>
        </r>
      </text>
    </comment>
  </commentList>
</comments>
</file>

<file path=xl/comments14.xml><?xml version="1.0" encoding="utf-8"?>
<comments xmlns="http://schemas.openxmlformats.org/spreadsheetml/2006/main">
  <authors>
    <author>Magda le Roux</author>
  </authors>
  <commentList>
    <comment ref="F1" authorId="0" shapeId="0">
      <text>
        <r>
          <rPr>
            <b/>
            <sz val="9"/>
            <color indexed="81"/>
            <rFont val="Tahoma"/>
            <family val="2"/>
          </rPr>
          <t>Magda le Roux:</t>
        </r>
        <r>
          <rPr>
            <sz val="9"/>
            <color indexed="81"/>
            <rFont val="Tahoma"/>
            <family val="2"/>
          </rPr>
          <t xml:space="preserve">
duplicated FDm's data that was obtained per questionnaire. 1800 employees</t>
        </r>
      </text>
    </comment>
    <comment ref="K1" authorId="0" shapeId="0">
      <text>
        <r>
          <rPr>
            <b/>
            <sz val="9"/>
            <color indexed="81"/>
            <rFont val="Tahoma"/>
            <family val="2"/>
          </rPr>
          <t>Magda le Roux:</t>
        </r>
        <r>
          <rPr>
            <sz val="9"/>
            <color indexed="81"/>
            <rFont val="Tahoma"/>
            <family val="2"/>
          </rPr>
          <t xml:space="preserve">
2000 employees. Questionnaire submitted in Q3 and data extrapolated</t>
        </r>
      </text>
    </comment>
    <comment ref="P1" authorId="0" shapeId="0">
      <text>
        <r>
          <rPr>
            <b/>
            <sz val="9"/>
            <color indexed="81"/>
            <rFont val="Tahoma"/>
            <family val="2"/>
          </rPr>
          <t>Magda le Roux:</t>
        </r>
        <r>
          <rPr>
            <sz val="9"/>
            <color indexed="81"/>
            <rFont val="Tahoma"/>
            <family val="2"/>
          </rPr>
          <t xml:space="preserve">
data obtained as per questionnaire in Q3 and extrapolated ot other quarters</t>
        </r>
      </text>
    </comment>
    <comment ref="U1" authorId="0" shapeId="0">
      <text>
        <r>
          <rPr>
            <b/>
            <sz val="9"/>
            <color indexed="81"/>
            <rFont val="Tahoma"/>
            <family val="2"/>
          </rPr>
          <t>Magda le Roux:</t>
        </r>
        <r>
          <rPr>
            <sz val="9"/>
            <color indexed="81"/>
            <rFont val="Tahoma"/>
            <family val="2"/>
          </rPr>
          <t xml:space="preserve">
Duplicate KDM's data as the two operations have similar employee numbers and mine towns</t>
        </r>
      </text>
    </comment>
    <comment ref="S15" authorId="0" shapeId="0">
      <text>
        <r>
          <rPr>
            <b/>
            <sz val="9"/>
            <color indexed="81"/>
            <rFont val="Tahoma"/>
            <family val="2"/>
          </rPr>
          <t>Magda le Roux:</t>
        </r>
        <r>
          <rPr>
            <sz val="9"/>
            <color indexed="81"/>
            <rFont val="Tahoma"/>
            <family val="2"/>
          </rPr>
          <t xml:space="preserve">
DEFRA 2018 business travel land. Unit= kg CO2-e/km</t>
        </r>
      </text>
    </comment>
    <comment ref="S16" authorId="0" shapeId="0">
      <text>
        <r>
          <rPr>
            <b/>
            <sz val="9"/>
            <color indexed="81"/>
            <rFont val="Tahoma"/>
            <family val="2"/>
          </rPr>
          <t>Magda le Roux:</t>
        </r>
        <r>
          <rPr>
            <sz val="9"/>
            <color indexed="81"/>
            <rFont val="Tahoma"/>
            <family val="2"/>
          </rPr>
          <t xml:space="preserve">
unit kg CO2-e /passenger.km 
assume one passenger as  number of passengers are not known.  </t>
        </r>
      </text>
    </comment>
    <comment ref="F26" authorId="0" shapeId="0">
      <text>
        <r>
          <rPr>
            <b/>
            <sz val="9"/>
            <color indexed="81"/>
            <rFont val="Tahoma"/>
            <family val="2"/>
          </rPr>
          <t>Magda le Roux:</t>
        </r>
        <r>
          <rPr>
            <sz val="9"/>
            <color indexed="81"/>
            <rFont val="Tahoma"/>
            <family val="2"/>
          </rPr>
          <t xml:space="preserve">
duplicated FDm's data that was obtained per questionnaire. 1800 employees</t>
        </r>
      </text>
    </comment>
    <comment ref="K26" authorId="0" shapeId="0">
      <text>
        <r>
          <rPr>
            <b/>
            <sz val="9"/>
            <color indexed="81"/>
            <rFont val="Tahoma"/>
            <family val="2"/>
          </rPr>
          <t>Magda le Roux:</t>
        </r>
        <r>
          <rPr>
            <sz val="9"/>
            <color indexed="81"/>
            <rFont val="Tahoma"/>
            <family val="2"/>
          </rPr>
          <t xml:space="preserve">
2000 employees. Questionnaire submitted in Q3 and data extrapolated</t>
        </r>
      </text>
    </comment>
    <comment ref="P26" authorId="0" shapeId="0">
      <text>
        <r>
          <rPr>
            <b/>
            <sz val="9"/>
            <color indexed="81"/>
            <rFont val="Tahoma"/>
            <family val="2"/>
          </rPr>
          <t>Magda le Roux:</t>
        </r>
        <r>
          <rPr>
            <sz val="9"/>
            <color indexed="81"/>
            <rFont val="Tahoma"/>
            <family val="2"/>
          </rPr>
          <t xml:space="preserve">
data obtained as per questionnaire in Q3 and extrapolated ot other quarters</t>
        </r>
      </text>
    </comment>
    <comment ref="U26" authorId="0" shapeId="0">
      <text>
        <r>
          <rPr>
            <b/>
            <sz val="9"/>
            <color indexed="81"/>
            <rFont val="Tahoma"/>
            <family val="2"/>
          </rPr>
          <t>Magda le Roux:</t>
        </r>
        <r>
          <rPr>
            <sz val="9"/>
            <color indexed="81"/>
            <rFont val="Tahoma"/>
            <family val="2"/>
          </rPr>
          <t xml:space="preserve">
Duplicate KDM's data as the two operations have similar employee numbers and mine towns</t>
        </r>
      </text>
    </comment>
    <comment ref="E27" authorId="0" shapeId="0">
      <text>
        <r>
          <rPr>
            <b/>
            <sz val="9"/>
            <color indexed="81"/>
            <rFont val="Tahoma"/>
            <family val="2"/>
          </rPr>
          <t>Magda le Roux:</t>
        </r>
        <r>
          <rPr>
            <sz val="9"/>
            <color indexed="81"/>
            <rFont val="Tahoma"/>
            <family val="2"/>
          </rPr>
          <t xml:space="preserve">
DEFRA 2018 business travel land. Unit= kg CO2-e/km</t>
        </r>
      </text>
    </comment>
    <comment ref="E28" authorId="0" shapeId="0">
      <text>
        <r>
          <rPr>
            <b/>
            <sz val="9"/>
            <color indexed="81"/>
            <rFont val="Tahoma"/>
            <family val="2"/>
          </rPr>
          <t>Magda le Roux:</t>
        </r>
        <r>
          <rPr>
            <sz val="9"/>
            <color indexed="81"/>
            <rFont val="Tahoma"/>
            <family val="2"/>
          </rPr>
          <t xml:space="preserve">
unit kg CO2-e /passenger.km 
assume one passenger as  number of passengers are not known.  </t>
        </r>
      </text>
    </comment>
    <comment ref="E32" authorId="0" shapeId="0">
      <text>
        <r>
          <rPr>
            <b/>
            <sz val="9"/>
            <color indexed="81"/>
            <rFont val="Tahoma"/>
            <family val="2"/>
          </rPr>
          <t>Magda le Roux:</t>
        </r>
        <r>
          <rPr>
            <sz val="9"/>
            <color indexed="81"/>
            <rFont val="Tahoma"/>
            <family val="2"/>
          </rPr>
          <t xml:space="preserve">
assumption 70% of private owned vehciles</t>
        </r>
      </text>
    </comment>
    <comment ref="E33" authorId="0" shapeId="0">
      <text>
        <r>
          <rPr>
            <b/>
            <sz val="9"/>
            <color indexed="81"/>
            <rFont val="Tahoma"/>
            <family val="2"/>
          </rPr>
          <t>Magda le Roux:</t>
        </r>
        <r>
          <rPr>
            <sz val="9"/>
            <color indexed="81"/>
            <rFont val="Tahoma"/>
            <family val="2"/>
          </rPr>
          <t xml:space="preserve">
assumption 30% of private owned vehicles</t>
        </r>
      </text>
    </comment>
    <comment ref="A42" authorId="0" shapeId="0">
      <text>
        <r>
          <rPr>
            <b/>
            <sz val="9"/>
            <color indexed="81"/>
            <rFont val="Tahoma"/>
            <family val="2"/>
          </rPr>
          <t>Magda le Roux:</t>
        </r>
        <r>
          <rPr>
            <sz val="9"/>
            <color indexed="81"/>
            <rFont val="Tahoma"/>
            <family val="2"/>
          </rPr>
          <t xml:space="preserve">
43 security, including 20 guards </t>
        </r>
      </text>
    </comment>
    <comment ref="A44" authorId="0" shapeId="0">
      <text>
        <r>
          <rPr>
            <b/>
            <sz val="9"/>
            <color indexed="81"/>
            <rFont val="Tahoma"/>
            <family val="2"/>
          </rPr>
          <t>Magda le Roux:</t>
        </r>
        <r>
          <rPr>
            <sz val="9"/>
            <color indexed="81"/>
            <rFont val="Tahoma"/>
            <family val="2"/>
          </rPr>
          <t xml:space="preserve">
security etc product handling</t>
        </r>
      </text>
    </comment>
    <comment ref="A45" authorId="0" shapeId="0">
      <text>
        <r>
          <rPr>
            <b/>
            <sz val="9"/>
            <color indexed="81"/>
            <rFont val="Tahoma"/>
            <family val="2"/>
          </rPr>
          <t>Magda le Roux:</t>
        </r>
        <r>
          <rPr>
            <sz val="9"/>
            <color indexed="81"/>
            <rFont val="Tahoma"/>
            <family val="2"/>
          </rPr>
          <t xml:space="preserve">
Sales and marketing: diamond sorting</t>
        </r>
      </text>
    </comment>
    <comment ref="E46" authorId="0" shapeId="0">
      <text>
        <r>
          <rPr>
            <b/>
            <sz val="9"/>
            <color indexed="81"/>
            <rFont val="Tahoma"/>
            <family val="2"/>
          </rPr>
          <t>Magda le Roux:</t>
        </r>
        <r>
          <rPr>
            <sz val="9"/>
            <color indexed="81"/>
            <rFont val="Tahoma"/>
            <family val="2"/>
          </rPr>
          <t xml:space="preserve">
DEFRA 2018 EF = 0.18071 kg CO2e/km</t>
        </r>
      </text>
    </comment>
    <comment ref="F46" authorId="0" shapeId="0">
      <text>
        <r>
          <rPr>
            <b/>
            <sz val="9"/>
            <color indexed="81"/>
            <rFont val="Tahoma"/>
            <family val="2"/>
          </rPr>
          <t>Magda le Roux:</t>
        </r>
        <r>
          <rPr>
            <sz val="9"/>
            <color indexed="81"/>
            <rFont val="Tahoma"/>
            <family val="2"/>
          </rPr>
          <t xml:space="preserve">
Total sc 3 = 3756.41</t>
        </r>
      </text>
    </comment>
    <comment ref="A47" authorId="0" shapeId="0">
      <text>
        <r>
          <rPr>
            <b/>
            <sz val="9"/>
            <color indexed="81"/>
            <rFont val="Tahoma"/>
            <family val="2"/>
          </rPr>
          <t>Magda le Roux:</t>
        </r>
        <r>
          <rPr>
            <sz val="9"/>
            <color indexed="81"/>
            <rFont val="Tahoma"/>
            <family val="2"/>
          </rPr>
          <t xml:space="preserve">
Sold in 2019</t>
        </r>
      </text>
    </comment>
  </commentList>
</comments>
</file>

<file path=xl/comments15.xml><?xml version="1.0" encoding="utf-8"?>
<comments xmlns="http://schemas.openxmlformats.org/spreadsheetml/2006/main">
  <authors>
    <author>Magda le Roux</author>
  </authors>
  <commentList>
    <comment ref="A11" authorId="0" shapeId="0">
      <text>
        <r>
          <rPr>
            <b/>
            <sz val="9"/>
            <color indexed="81"/>
            <rFont val="Tahoma"/>
            <family val="2"/>
          </rPr>
          <t>Magda le Roux:</t>
        </r>
        <r>
          <rPr>
            <sz val="9"/>
            <color indexed="81"/>
            <rFont val="Tahoma"/>
            <family val="2"/>
          </rPr>
          <t xml:space="preserve">
Dec = average of Oct and Nov  for SA was taken in q3. amended in Q4 as per data received. as no data was avaiable.</t>
        </r>
      </text>
    </comment>
    <comment ref="A16" authorId="0" shapeId="0">
      <text>
        <r>
          <rPr>
            <b/>
            <sz val="9"/>
            <color indexed="81"/>
            <rFont val="Tahoma"/>
            <family val="2"/>
          </rPr>
          <t>Magda le Roux:</t>
        </r>
        <r>
          <rPr>
            <sz val="9"/>
            <color indexed="81"/>
            <rFont val="Tahoma"/>
            <family val="2"/>
          </rPr>
          <t xml:space="preserve">
average values Q1 and Q2  reported in Q3. Amended to values as per data received in Q4.</t>
        </r>
      </text>
    </comment>
    <comment ref="D26" authorId="0" shapeId="0">
      <text>
        <r>
          <rPr>
            <b/>
            <sz val="9"/>
            <color indexed="81"/>
            <rFont val="Tahoma"/>
            <family val="2"/>
          </rPr>
          <t>Magda le Roux:</t>
        </r>
        <r>
          <rPr>
            <sz val="9"/>
            <color indexed="81"/>
            <rFont val="Tahoma"/>
            <family val="2"/>
          </rPr>
          <t xml:space="preserve">
1NM = 1.852 km</t>
        </r>
      </text>
    </comment>
    <comment ref="E26" authorId="0" shapeId="0">
      <text>
        <r>
          <rPr>
            <b/>
            <sz val="9"/>
            <color indexed="81"/>
            <rFont val="Tahoma"/>
            <family val="2"/>
          </rPr>
          <t>Magda le Roux:</t>
        </r>
        <r>
          <rPr>
            <sz val="9"/>
            <color indexed="81"/>
            <rFont val="Tahoma"/>
            <family val="2"/>
          </rPr>
          <t xml:space="preserve">
conversion factor NM to km</t>
        </r>
      </text>
    </comment>
    <comment ref="F27" authorId="0" shapeId="0">
      <text>
        <r>
          <rPr>
            <b/>
            <sz val="9"/>
            <color indexed="81"/>
            <rFont val="Tahoma"/>
            <family val="2"/>
          </rPr>
          <t>Magda le Roux:</t>
        </r>
        <r>
          <rPr>
            <sz val="9"/>
            <color indexed="81"/>
            <rFont val="Tahoma"/>
            <family val="2"/>
          </rPr>
          <t xml:space="preserve">
conversion to return distances</t>
        </r>
      </text>
    </comment>
    <comment ref="H57" authorId="0" shapeId="0">
      <text>
        <r>
          <rPr>
            <b/>
            <sz val="9"/>
            <color indexed="81"/>
            <rFont val="Tahoma"/>
            <family val="2"/>
          </rPr>
          <t>Magda le Roux:</t>
        </r>
        <r>
          <rPr>
            <sz val="9"/>
            <color indexed="81"/>
            <rFont val="Tahoma"/>
            <family val="2"/>
          </rPr>
          <t xml:space="preserve">
average of Jul-nov </t>
        </r>
      </text>
    </comment>
    <comment ref="M57" authorId="0" shapeId="0">
      <text>
        <r>
          <rPr>
            <b/>
            <sz val="9"/>
            <color indexed="81"/>
            <rFont val="Tahoma"/>
            <family val="2"/>
          </rPr>
          <t>Magda le Roux:</t>
        </r>
        <r>
          <rPr>
            <sz val="9"/>
            <color indexed="81"/>
            <rFont val="Tahoma"/>
            <family val="2"/>
          </rPr>
          <t xml:space="preserve">
New travel agent and info was not available. Use average fo Q1 and Q2</t>
        </r>
      </text>
    </comment>
    <comment ref="Q57" authorId="0" shapeId="0">
      <text>
        <r>
          <rPr>
            <b/>
            <sz val="9"/>
            <color indexed="81"/>
            <rFont val="Tahoma"/>
            <family val="2"/>
          </rPr>
          <t>Magda le Roux:</t>
        </r>
        <r>
          <rPr>
            <sz val="9"/>
            <color indexed="81"/>
            <rFont val="Tahoma"/>
            <family val="2"/>
          </rPr>
          <t xml:space="preserve">
no car rentals  in SA - Covid lockdown</t>
        </r>
      </text>
    </comment>
  </commentList>
</comments>
</file>

<file path=xl/comments16.xml><?xml version="1.0" encoding="utf-8"?>
<comments xmlns="http://schemas.openxmlformats.org/spreadsheetml/2006/main">
  <authors>
    <author>Magda le Roux</author>
  </authors>
  <commentList>
    <comment ref="E5" authorId="0" shapeId="0">
      <text>
        <r>
          <rPr>
            <b/>
            <sz val="9"/>
            <color indexed="81"/>
            <rFont val="Tahoma"/>
            <family val="2"/>
          </rPr>
          <t>Magda le Roux:</t>
        </r>
        <r>
          <rPr>
            <sz val="9"/>
            <color indexed="81"/>
            <rFont val="Tahoma"/>
            <family val="2"/>
          </rPr>
          <t xml:space="preserve">
production decreased 2.57%</t>
        </r>
      </text>
    </comment>
    <comment ref="G5" authorId="0" shapeId="0">
      <text>
        <r>
          <rPr>
            <b/>
            <sz val="9"/>
            <color indexed="81"/>
            <rFont val="Tahoma"/>
            <family val="2"/>
          </rPr>
          <t>Magda le Roux:</t>
        </r>
        <r>
          <rPr>
            <sz val="9"/>
            <color indexed="81"/>
            <rFont val="Tahoma"/>
            <family val="2"/>
          </rPr>
          <t xml:space="preserve">
production decreased 3.10%</t>
        </r>
      </text>
    </comment>
    <comment ref="I5" authorId="0" shapeId="0">
      <text>
        <r>
          <rPr>
            <b/>
            <sz val="9"/>
            <color indexed="81"/>
            <rFont val="Tahoma"/>
            <family val="2"/>
          </rPr>
          <t>Magda le Roux:</t>
        </r>
        <r>
          <rPr>
            <sz val="9"/>
            <color indexed="81"/>
            <rFont val="Tahoma"/>
            <family val="2"/>
          </rPr>
          <t xml:space="preserve">
production decreased 2.54%</t>
        </r>
      </text>
    </comment>
    <comment ref="K5" authorId="0" shapeId="0">
      <text>
        <r>
          <rPr>
            <b/>
            <sz val="9"/>
            <color indexed="81"/>
            <rFont val="Tahoma"/>
            <family val="2"/>
          </rPr>
          <t>Magda le Roux:</t>
        </r>
        <r>
          <rPr>
            <sz val="9"/>
            <color indexed="81"/>
            <rFont val="Tahoma"/>
            <family val="2"/>
          </rPr>
          <t xml:space="preserve">
production  in april 0, thus no difference in production.</t>
        </r>
      </text>
    </comment>
    <comment ref="M5" authorId="0" shapeId="0">
      <text>
        <r>
          <rPr>
            <b/>
            <sz val="9"/>
            <color indexed="81"/>
            <rFont val="Tahoma"/>
            <family val="2"/>
          </rPr>
          <t>Magda le Roux:</t>
        </r>
        <r>
          <rPr>
            <sz val="9"/>
            <color indexed="81"/>
            <rFont val="Tahoma"/>
            <family val="2"/>
          </rPr>
          <t xml:space="preserve">
production decreased 2.62%</t>
        </r>
      </text>
    </comment>
    <comment ref="S5" authorId="0" shapeId="0">
      <text>
        <r>
          <rPr>
            <b/>
            <sz val="9"/>
            <color indexed="81"/>
            <rFont val="Tahoma"/>
            <family val="2"/>
          </rPr>
          <t>Magda le Roux:</t>
        </r>
        <r>
          <rPr>
            <sz val="9"/>
            <color indexed="81"/>
            <rFont val="Tahoma"/>
            <family val="2"/>
          </rPr>
          <t xml:space="preserve">
production decreased 2.57%</t>
        </r>
      </text>
    </comment>
    <comment ref="U5" authorId="0" shapeId="0">
      <text>
        <r>
          <rPr>
            <b/>
            <sz val="9"/>
            <color indexed="81"/>
            <rFont val="Tahoma"/>
            <family val="2"/>
          </rPr>
          <t>Magda le Roux:</t>
        </r>
        <r>
          <rPr>
            <sz val="9"/>
            <color indexed="81"/>
            <rFont val="Tahoma"/>
            <family val="2"/>
          </rPr>
          <t xml:space="preserve">
production decreased 3.10%</t>
        </r>
      </text>
    </comment>
    <comment ref="W5" authorId="0" shapeId="0">
      <text>
        <r>
          <rPr>
            <b/>
            <sz val="9"/>
            <color indexed="81"/>
            <rFont val="Tahoma"/>
            <family val="2"/>
          </rPr>
          <t>Magda le Roux:</t>
        </r>
        <r>
          <rPr>
            <sz val="9"/>
            <color indexed="81"/>
            <rFont val="Tahoma"/>
            <family val="2"/>
          </rPr>
          <t xml:space="preserve">
production decreased 2.54%</t>
        </r>
      </text>
    </comment>
    <comment ref="Y5" authorId="0" shapeId="0">
      <text>
        <r>
          <rPr>
            <b/>
            <sz val="9"/>
            <color indexed="81"/>
            <rFont val="Tahoma"/>
            <family val="2"/>
          </rPr>
          <t>Magda le Roux:</t>
        </r>
        <r>
          <rPr>
            <sz val="9"/>
            <color indexed="81"/>
            <rFont val="Tahoma"/>
            <family val="2"/>
          </rPr>
          <t xml:space="preserve">
production  in april 0, thus no difference in production.</t>
        </r>
      </text>
    </comment>
    <comment ref="AA5" authorId="0" shapeId="0">
      <text>
        <r>
          <rPr>
            <b/>
            <sz val="9"/>
            <color indexed="81"/>
            <rFont val="Tahoma"/>
            <family val="2"/>
          </rPr>
          <t>Magda le Roux:</t>
        </r>
        <r>
          <rPr>
            <sz val="9"/>
            <color indexed="81"/>
            <rFont val="Tahoma"/>
            <family val="2"/>
          </rPr>
          <t xml:space="preserve">
production decreased 2.62%</t>
        </r>
      </text>
    </comment>
    <comment ref="A7" authorId="0" shapeId="0">
      <text>
        <r>
          <rPr>
            <b/>
            <sz val="9"/>
            <color indexed="81"/>
            <rFont val="Tahoma"/>
            <family val="2"/>
          </rPr>
          <t>Magda le Roux:</t>
        </r>
        <r>
          <rPr>
            <sz val="9"/>
            <color indexed="81"/>
            <rFont val="Tahoma"/>
            <family val="2"/>
          </rPr>
          <t xml:space="preserve">
Recycled water deducted from total water usein 2019  as per 2020def</t>
        </r>
      </text>
    </comment>
    <comment ref="D16" authorId="0" shapeId="0">
      <text>
        <r>
          <rPr>
            <b/>
            <sz val="9"/>
            <color indexed="81"/>
            <rFont val="Tahoma"/>
            <family val="2"/>
          </rPr>
          <t>Magda le Roux:</t>
        </r>
        <r>
          <rPr>
            <sz val="9"/>
            <color indexed="81"/>
            <rFont val="Tahoma"/>
            <family val="2"/>
          </rPr>
          <t xml:space="preserve">
FY 2019=</t>
        </r>
      </text>
    </comment>
    <comment ref="E16" authorId="0" shapeId="0">
      <text>
        <r>
          <rPr>
            <b/>
            <sz val="9"/>
            <color indexed="81"/>
            <rFont val="Tahoma"/>
            <family val="2"/>
          </rPr>
          <t>Magda le Roux:</t>
        </r>
        <r>
          <rPr>
            <sz val="9"/>
            <color indexed="81"/>
            <rFont val="Tahoma"/>
            <family val="2"/>
          </rPr>
          <t xml:space="preserve">
499812784.07</t>
        </r>
      </text>
    </comment>
    <comment ref="A27" authorId="0" shapeId="0">
      <text>
        <r>
          <rPr>
            <b/>
            <sz val="9"/>
            <color indexed="81"/>
            <rFont val="Tahoma"/>
            <family val="2"/>
          </rPr>
          <t>Magda le Roux:</t>
        </r>
        <r>
          <rPr>
            <sz val="9"/>
            <color indexed="81"/>
            <rFont val="Tahoma"/>
            <family val="2"/>
          </rPr>
          <t xml:space="preserve">
discrepancies between sum of mines water and Petra total wter is a s result of 1539m3 used by Br/Lo offices)</t>
        </r>
      </text>
    </comment>
    <comment ref="A36" authorId="0" shapeId="0">
      <text>
        <r>
          <rPr>
            <b/>
            <sz val="9"/>
            <color indexed="81"/>
            <rFont val="Tahoma"/>
            <family val="2"/>
          </rPr>
          <t>Magda le Roux:</t>
        </r>
        <r>
          <rPr>
            <sz val="9"/>
            <color indexed="81"/>
            <rFont val="Tahoma"/>
            <family val="2"/>
          </rPr>
          <t xml:space="preserve">
potable on mine + raw since 2018. Before 2018 potable +raw+ dewatering</t>
        </r>
      </text>
    </comment>
    <comment ref="A37" authorId="0" shapeId="0">
      <text>
        <r>
          <rPr>
            <b/>
            <sz val="9"/>
            <color indexed="81"/>
            <rFont val="Tahoma"/>
            <family val="2"/>
          </rPr>
          <t>Magda le Roux:</t>
        </r>
        <r>
          <rPr>
            <sz val="9"/>
            <color indexed="81"/>
            <rFont val="Tahoma"/>
            <family val="2"/>
          </rPr>
          <t xml:space="preserve">
From 2020: onmine potable+raw+dewatering used. Recycled water was inlcuded up to 2019</t>
        </r>
      </text>
    </comment>
    <comment ref="A38" authorId="0" shapeId="0">
      <text>
        <r>
          <rPr>
            <b/>
            <sz val="9"/>
            <color indexed="81"/>
            <rFont val="Tahoma"/>
            <family val="2"/>
          </rPr>
          <t>Magda le Roux:</t>
        </r>
        <r>
          <rPr>
            <sz val="9"/>
            <color indexed="81"/>
            <rFont val="Tahoma"/>
            <family val="2"/>
          </rPr>
          <t xml:space="preserve">
differences due to change in definitions </t>
        </r>
      </text>
    </comment>
    <comment ref="AD38" authorId="0" shapeId="0">
      <text>
        <r>
          <rPr>
            <b/>
            <sz val="9"/>
            <color indexed="81"/>
            <rFont val="Tahoma"/>
            <family val="2"/>
          </rPr>
          <t>Magda le Roux:</t>
        </r>
        <r>
          <rPr>
            <sz val="9"/>
            <color indexed="81"/>
            <rFont val="Tahoma"/>
            <family val="2"/>
          </rPr>
          <t xml:space="preserve">
3.69?</t>
        </r>
      </text>
    </comment>
    <comment ref="A42" authorId="0" shapeId="0">
      <text>
        <r>
          <rPr>
            <b/>
            <sz val="9"/>
            <color indexed="81"/>
            <rFont val="Tahoma"/>
            <family val="2"/>
          </rPr>
          <t>Magda le Roux:</t>
        </r>
        <r>
          <rPr>
            <sz val="9"/>
            <color indexed="81"/>
            <rFont val="Tahoma"/>
            <family val="2"/>
          </rPr>
          <t xml:space="preserve">
potable on mine and raw</t>
        </r>
      </text>
    </comment>
    <comment ref="A53" authorId="0" shapeId="0">
      <text>
        <r>
          <rPr>
            <b/>
            <sz val="9"/>
            <color indexed="81"/>
            <rFont val="Tahoma"/>
            <family val="2"/>
          </rPr>
          <t>Magda le Roux:</t>
        </r>
        <r>
          <rPr>
            <sz val="9"/>
            <color indexed="81"/>
            <rFont val="Tahoma"/>
            <family val="2"/>
          </rPr>
          <t xml:space="preserve">
wDL values = Fy 2018 restated x 1.09</t>
        </r>
      </text>
    </comment>
    <comment ref="J53" authorId="0" shapeId="0">
      <text>
        <r>
          <rPr>
            <b/>
            <sz val="9"/>
            <color indexed="81"/>
            <rFont val="Tahoma"/>
            <family val="2"/>
          </rPr>
          <t>Magda le Roux:</t>
        </r>
        <r>
          <rPr>
            <sz val="9"/>
            <color indexed="81"/>
            <rFont val="Tahoma"/>
            <family val="2"/>
          </rPr>
          <t xml:space="preserve">
wDL values = Fy 2018 restated x 1.09</t>
        </r>
      </text>
    </comment>
    <comment ref="S53" authorId="0" shapeId="0">
      <text>
        <r>
          <rPr>
            <b/>
            <sz val="9"/>
            <color indexed="81"/>
            <rFont val="Tahoma"/>
            <family val="2"/>
          </rPr>
          <t>Magda le Roux:</t>
        </r>
        <r>
          <rPr>
            <sz val="9"/>
            <color indexed="81"/>
            <rFont val="Tahoma"/>
            <family val="2"/>
          </rPr>
          <t xml:space="preserve">
wDL values = Fy 2018 restated x 1.09</t>
        </r>
      </text>
    </comment>
    <comment ref="B54" authorId="0" shapeId="0">
      <text>
        <r>
          <rPr>
            <b/>
            <sz val="9"/>
            <color indexed="81"/>
            <rFont val="Tahoma"/>
            <family val="2"/>
          </rPr>
          <t>Magda le Roux:</t>
        </r>
        <r>
          <rPr>
            <sz val="9"/>
            <color indexed="81"/>
            <rFont val="Tahoma"/>
            <family val="2"/>
          </rPr>
          <t xml:space="preserve">
On mine potable</t>
        </r>
      </text>
    </comment>
    <comment ref="C54" authorId="0" shapeId="0">
      <text>
        <r>
          <rPr>
            <b/>
            <sz val="9"/>
            <color indexed="81"/>
            <rFont val="Tahoma"/>
            <family val="2"/>
          </rPr>
          <t>Magda le Roux:</t>
        </r>
        <r>
          <rPr>
            <sz val="9"/>
            <color indexed="81"/>
            <rFont val="Tahoma"/>
            <family val="2"/>
          </rPr>
          <t xml:space="preserve">
raw water</t>
        </r>
      </text>
    </comment>
    <comment ref="D54" authorId="0" shapeId="0">
      <text>
        <r>
          <rPr>
            <b/>
            <sz val="9"/>
            <color indexed="81"/>
            <rFont val="Tahoma"/>
            <family val="2"/>
          </rPr>
          <t>Magda le Roux:</t>
        </r>
        <r>
          <rPr>
            <sz val="9"/>
            <color indexed="81"/>
            <rFont val="Tahoma"/>
            <family val="2"/>
          </rPr>
          <t xml:space="preserve">
ewatering water</t>
        </r>
      </text>
    </comment>
    <comment ref="G54" authorId="0" shapeId="0">
      <text>
        <r>
          <rPr>
            <b/>
            <sz val="9"/>
            <color indexed="81"/>
            <rFont val="Tahoma"/>
            <family val="2"/>
          </rPr>
          <t>Magda le Roux:</t>
        </r>
        <r>
          <rPr>
            <sz val="9"/>
            <color indexed="81"/>
            <rFont val="Tahoma"/>
            <family val="2"/>
          </rPr>
          <t xml:space="preserve">
New def: potable, raw, underground</t>
        </r>
      </text>
    </comment>
    <comment ref="H54" authorId="0" shapeId="0">
      <text>
        <r>
          <rPr>
            <b/>
            <sz val="9"/>
            <color indexed="81"/>
            <rFont val="Tahoma"/>
            <family val="2"/>
          </rPr>
          <t>Magda le Roux:</t>
        </r>
        <r>
          <rPr>
            <sz val="9"/>
            <color indexed="81"/>
            <rFont val="Tahoma"/>
            <family val="2"/>
          </rPr>
          <t xml:space="preserve">
potable, raw, underground, recycling </t>
        </r>
      </text>
    </comment>
    <comment ref="K54" authorId="0" shapeId="0">
      <text>
        <r>
          <rPr>
            <b/>
            <sz val="9"/>
            <color indexed="81"/>
            <rFont val="Tahoma"/>
            <family val="2"/>
          </rPr>
          <t>Magda le Roux:</t>
        </r>
        <r>
          <rPr>
            <sz val="9"/>
            <color indexed="81"/>
            <rFont val="Tahoma"/>
            <family val="2"/>
          </rPr>
          <t xml:space="preserve">
On mine potable</t>
        </r>
      </text>
    </comment>
    <comment ref="L54" authorId="0" shapeId="0">
      <text>
        <r>
          <rPr>
            <b/>
            <sz val="9"/>
            <color indexed="81"/>
            <rFont val="Tahoma"/>
            <family val="2"/>
          </rPr>
          <t>Magda le Roux:</t>
        </r>
        <r>
          <rPr>
            <sz val="9"/>
            <color indexed="81"/>
            <rFont val="Tahoma"/>
            <family val="2"/>
          </rPr>
          <t xml:space="preserve">
raw water</t>
        </r>
      </text>
    </comment>
    <comment ref="M54" authorId="0" shapeId="0">
      <text>
        <r>
          <rPr>
            <b/>
            <sz val="9"/>
            <color indexed="81"/>
            <rFont val="Tahoma"/>
            <family val="2"/>
          </rPr>
          <t>Magda le Roux:</t>
        </r>
        <r>
          <rPr>
            <sz val="9"/>
            <color indexed="81"/>
            <rFont val="Tahoma"/>
            <family val="2"/>
          </rPr>
          <t xml:space="preserve">
ewatering water</t>
        </r>
      </text>
    </comment>
    <comment ref="P54" authorId="0" shapeId="0">
      <text>
        <r>
          <rPr>
            <b/>
            <sz val="9"/>
            <color indexed="81"/>
            <rFont val="Tahoma"/>
            <family val="2"/>
          </rPr>
          <t>Magda le Roux:</t>
        </r>
        <r>
          <rPr>
            <sz val="9"/>
            <color indexed="81"/>
            <rFont val="Tahoma"/>
            <family val="2"/>
          </rPr>
          <t xml:space="preserve">
potable, raw, grond + recycling (new + recycling)</t>
        </r>
      </text>
    </comment>
    <comment ref="Q54" authorId="0" shapeId="0">
      <text>
        <r>
          <rPr>
            <b/>
            <sz val="9"/>
            <color indexed="81"/>
            <rFont val="Tahoma"/>
            <family val="2"/>
          </rPr>
          <t>Magda le Roux:</t>
        </r>
        <r>
          <rPr>
            <sz val="9"/>
            <color indexed="81"/>
            <rFont val="Tahoma"/>
            <family val="2"/>
          </rPr>
          <t xml:space="preserve">
potable, raw and groundwater</t>
        </r>
      </text>
    </comment>
    <comment ref="T54" authorId="0" shapeId="0">
      <text>
        <r>
          <rPr>
            <b/>
            <sz val="9"/>
            <color indexed="81"/>
            <rFont val="Tahoma"/>
            <family val="2"/>
          </rPr>
          <t>Magda le Roux:</t>
        </r>
        <r>
          <rPr>
            <sz val="9"/>
            <color indexed="81"/>
            <rFont val="Tahoma"/>
            <family val="2"/>
          </rPr>
          <t xml:space="preserve">
On mine potable</t>
        </r>
      </text>
    </comment>
    <comment ref="U54" authorId="0" shapeId="0">
      <text>
        <r>
          <rPr>
            <b/>
            <sz val="9"/>
            <color indexed="81"/>
            <rFont val="Tahoma"/>
            <family val="2"/>
          </rPr>
          <t>Magda le Roux:</t>
        </r>
        <r>
          <rPr>
            <sz val="9"/>
            <color indexed="81"/>
            <rFont val="Tahoma"/>
            <family val="2"/>
          </rPr>
          <t xml:space="preserve">
raw water</t>
        </r>
      </text>
    </comment>
    <comment ref="V54" authorId="0" shapeId="0">
      <text>
        <r>
          <rPr>
            <b/>
            <sz val="9"/>
            <color indexed="81"/>
            <rFont val="Tahoma"/>
            <family val="2"/>
          </rPr>
          <t>Magda le Roux:</t>
        </r>
        <r>
          <rPr>
            <sz val="9"/>
            <color indexed="81"/>
            <rFont val="Tahoma"/>
            <family val="2"/>
          </rPr>
          <t xml:space="preserve">
ewatering water</t>
        </r>
      </text>
    </comment>
    <comment ref="Y54" authorId="0" shapeId="0">
      <text>
        <r>
          <rPr>
            <b/>
            <sz val="9"/>
            <color indexed="81"/>
            <rFont val="Tahoma"/>
            <family val="2"/>
          </rPr>
          <t>Magda le Roux:</t>
        </r>
        <r>
          <rPr>
            <sz val="9"/>
            <color indexed="81"/>
            <rFont val="Tahoma"/>
            <family val="2"/>
          </rPr>
          <t xml:space="preserve">
potable, raw, grond + recycling (new + recycling)</t>
        </r>
      </text>
    </comment>
    <comment ref="Z54" authorId="0" shapeId="0">
      <text>
        <r>
          <rPr>
            <b/>
            <sz val="9"/>
            <color indexed="81"/>
            <rFont val="Tahoma"/>
            <family val="2"/>
          </rPr>
          <t>Magda le Roux:</t>
        </r>
        <r>
          <rPr>
            <sz val="9"/>
            <color indexed="81"/>
            <rFont val="Tahoma"/>
            <family val="2"/>
          </rPr>
          <t xml:space="preserve">
potable, raw and groundwater</t>
        </r>
      </text>
    </comment>
    <comment ref="L55" authorId="0" shapeId="0">
      <text>
        <r>
          <rPr>
            <b/>
            <sz val="9"/>
            <color indexed="81"/>
            <rFont val="Tahoma"/>
            <family val="2"/>
          </rPr>
          <t>Magda le Roux:</t>
        </r>
        <r>
          <rPr>
            <sz val="9"/>
            <color indexed="81"/>
            <rFont val="Tahoma"/>
            <family val="2"/>
          </rPr>
          <t xml:space="preserve">
raw water</t>
        </r>
      </text>
    </comment>
    <comment ref="U55" authorId="0" shapeId="0">
      <text>
        <r>
          <rPr>
            <b/>
            <sz val="9"/>
            <color indexed="81"/>
            <rFont val="Tahoma"/>
            <family val="2"/>
          </rPr>
          <t>Magda le Roux:</t>
        </r>
        <r>
          <rPr>
            <sz val="9"/>
            <color indexed="81"/>
            <rFont val="Tahoma"/>
            <family val="2"/>
          </rPr>
          <t xml:space="preserve">
raw water</t>
        </r>
      </text>
    </comment>
    <comment ref="H60" authorId="0" shapeId="0">
      <text>
        <r>
          <rPr>
            <b/>
            <sz val="9"/>
            <color indexed="81"/>
            <rFont val="Tahoma"/>
            <family val="2"/>
          </rPr>
          <t>Magda le Roux:</t>
        </r>
        <r>
          <rPr>
            <sz val="9"/>
            <color indexed="81"/>
            <rFont val="Tahoma"/>
            <family val="2"/>
          </rPr>
          <t xml:space="preserve">
potable+ raw+ underground- new defintiion</t>
        </r>
      </text>
    </comment>
    <comment ref="P60" authorId="0" shapeId="0">
      <text>
        <r>
          <rPr>
            <b/>
            <sz val="9"/>
            <color indexed="81"/>
            <rFont val="Tahoma"/>
            <family val="2"/>
          </rPr>
          <t>Magda le Roux:</t>
        </r>
        <r>
          <rPr>
            <sz val="9"/>
            <color indexed="81"/>
            <rFont val="Tahoma"/>
            <family val="2"/>
          </rPr>
          <t xml:space="preserve">
reported in sR</t>
        </r>
      </text>
    </comment>
    <comment ref="Q60" authorId="0" shapeId="0">
      <text>
        <r>
          <rPr>
            <b/>
            <sz val="9"/>
            <color indexed="81"/>
            <rFont val="Tahoma"/>
            <family val="2"/>
          </rPr>
          <t>Magda le Roux:</t>
        </r>
        <r>
          <rPr>
            <sz val="9"/>
            <color indexed="81"/>
            <rFont val="Tahoma"/>
            <family val="2"/>
          </rPr>
          <t xml:space="preserve">
potabel + raw -old definition</t>
        </r>
      </text>
    </comment>
    <comment ref="Y60" authorId="0" shapeId="0">
      <text>
        <r>
          <rPr>
            <b/>
            <sz val="9"/>
            <color indexed="81"/>
            <rFont val="Tahoma"/>
            <family val="2"/>
          </rPr>
          <t>Magda le Roux:</t>
        </r>
        <r>
          <rPr>
            <sz val="9"/>
            <color indexed="81"/>
            <rFont val="Tahoma"/>
            <family val="2"/>
          </rPr>
          <t xml:space="preserve">
reported in sR</t>
        </r>
      </text>
    </comment>
    <comment ref="G79" authorId="0" shapeId="0">
      <text>
        <r>
          <rPr>
            <b/>
            <sz val="9"/>
            <color indexed="81"/>
            <rFont val="Tahoma"/>
            <family val="2"/>
          </rPr>
          <t>Magda le Roux:</t>
        </r>
        <r>
          <rPr>
            <sz val="9"/>
            <color indexed="81"/>
            <rFont val="Tahoma"/>
            <family val="2"/>
          </rPr>
          <t xml:space="preserve">
494 805 878 Kem excl</t>
        </r>
      </text>
    </comment>
    <comment ref="D80" authorId="0" shapeId="0">
      <text>
        <r>
          <rPr>
            <b/>
            <sz val="9"/>
            <color indexed="81"/>
            <rFont val="Tahoma"/>
            <family val="2"/>
          </rPr>
          <t>Magda le Roux:</t>
        </r>
        <r>
          <rPr>
            <sz val="9"/>
            <color indexed="81"/>
            <rFont val="Tahoma"/>
            <family val="2"/>
          </rPr>
          <t xml:space="preserve">
3589175.55084525?</t>
        </r>
      </text>
    </comment>
    <comment ref="G80" authorId="0" shapeId="0">
      <text>
        <r>
          <rPr>
            <b/>
            <sz val="9"/>
            <color indexed="81"/>
            <rFont val="Tahoma"/>
            <family val="2"/>
          </rPr>
          <t>Magda le Roux:</t>
        </r>
        <r>
          <rPr>
            <sz val="9"/>
            <color indexed="81"/>
            <rFont val="Tahoma"/>
            <family val="2"/>
          </rPr>
          <t xml:space="preserve">
3835836 Kem excl</t>
        </r>
      </text>
    </comment>
    <comment ref="H80" authorId="0" shapeId="0">
      <text>
        <r>
          <rPr>
            <b/>
            <sz val="9"/>
            <color indexed="81"/>
            <rFont val="Tahoma"/>
            <family val="2"/>
          </rPr>
          <t>Magda le Roux:</t>
        </r>
        <r>
          <rPr>
            <sz val="9"/>
            <color indexed="81"/>
            <rFont val="Tahoma"/>
            <family val="2"/>
          </rPr>
          <t xml:space="preserve">
4 013 213 (Kem excl</t>
        </r>
      </text>
    </comment>
    <comment ref="I80" authorId="0" shapeId="0">
      <text>
        <r>
          <rPr>
            <b/>
            <sz val="9"/>
            <color indexed="81"/>
            <rFont val="Tahoma"/>
            <family val="2"/>
          </rPr>
          <t>Magda le Roux:</t>
        </r>
        <r>
          <rPr>
            <sz val="9"/>
            <color indexed="81"/>
            <rFont val="Tahoma"/>
            <family val="2"/>
          </rPr>
          <t xml:space="preserve">
3701019</t>
        </r>
      </text>
    </comment>
    <comment ref="G81" authorId="0" shapeId="0">
      <text>
        <r>
          <rPr>
            <b/>
            <sz val="9"/>
            <color indexed="81"/>
            <rFont val="Tahoma"/>
            <family val="2"/>
          </rPr>
          <t>Magda le Roux:</t>
        </r>
        <r>
          <rPr>
            <sz val="9"/>
            <color indexed="81"/>
            <rFont val="Tahoma"/>
            <family val="2"/>
          </rPr>
          <t xml:space="preserve">
13727745 kem excl</t>
        </r>
      </text>
    </comment>
    <comment ref="H81" authorId="0" shapeId="0">
      <text>
        <r>
          <rPr>
            <b/>
            <sz val="9"/>
            <color indexed="81"/>
            <rFont val="Tahoma"/>
            <family val="2"/>
          </rPr>
          <t>Magda le Roux:</t>
        </r>
        <r>
          <rPr>
            <sz val="9"/>
            <color indexed="81"/>
            <rFont val="Tahoma"/>
            <family val="2"/>
          </rPr>
          <t xml:space="preserve">
1 8742 441 Kem excl</t>
        </r>
      </text>
    </comment>
    <comment ref="I81" authorId="0" shapeId="0">
      <text>
        <r>
          <rPr>
            <b/>
            <sz val="9"/>
            <color indexed="81"/>
            <rFont val="Tahoma"/>
            <family val="2"/>
          </rPr>
          <t>Magda le Roux:</t>
        </r>
        <r>
          <rPr>
            <sz val="9"/>
            <color indexed="81"/>
            <rFont val="Tahoma"/>
            <family val="2"/>
          </rPr>
          <t xml:space="preserve">
deon 18888677</t>
        </r>
      </text>
    </comment>
    <comment ref="T86" authorId="0" shapeId="0">
      <text>
        <r>
          <rPr>
            <b/>
            <sz val="9"/>
            <color indexed="81"/>
            <rFont val="Tahoma"/>
            <family val="2"/>
          </rPr>
          <t>Magda le Roux:</t>
        </r>
        <r>
          <rPr>
            <sz val="9"/>
            <color indexed="81"/>
            <rFont val="Tahoma"/>
            <family val="2"/>
          </rPr>
          <t xml:space="preserve">
Values for PDSA excl</t>
        </r>
      </text>
    </comment>
    <comment ref="F90" authorId="0" shapeId="0">
      <text>
        <r>
          <rPr>
            <b/>
            <sz val="9"/>
            <color indexed="81"/>
            <rFont val="Tahoma"/>
            <family val="2"/>
          </rPr>
          <t>Magda le Roux:</t>
        </r>
        <r>
          <rPr>
            <sz val="9"/>
            <color indexed="81"/>
            <rFont val="Tahoma"/>
            <family val="2"/>
          </rPr>
          <t xml:space="preserve">
total CO2e increased, while both tonnes and carats decreased</t>
        </r>
      </text>
    </comment>
    <comment ref="Q100" authorId="0" shapeId="0">
      <text>
        <r>
          <rPr>
            <b/>
            <sz val="9"/>
            <color indexed="81"/>
            <rFont val="Tahoma"/>
            <family val="2"/>
          </rPr>
          <t>Magda le Roux:</t>
        </r>
        <r>
          <rPr>
            <sz val="9"/>
            <color indexed="81"/>
            <rFont val="Tahoma"/>
            <family val="2"/>
          </rPr>
          <t xml:space="preserve">
carats decreased by 25% while electricity use increased by</t>
        </r>
      </text>
    </comment>
    <comment ref="T101" authorId="0" shapeId="0">
      <text>
        <r>
          <rPr>
            <b/>
            <sz val="9"/>
            <color indexed="81"/>
            <rFont val="Tahoma"/>
            <family val="2"/>
          </rPr>
          <t>Magda le Roux:</t>
        </r>
        <r>
          <rPr>
            <sz val="9"/>
            <color indexed="81"/>
            <rFont val="Tahoma"/>
            <family val="2"/>
          </rPr>
          <t xml:space="preserve">
PDSa excl</t>
        </r>
      </text>
    </comment>
    <comment ref="K103" authorId="0" shapeId="0">
      <text>
        <r>
          <rPr>
            <b/>
            <sz val="9"/>
            <color indexed="81"/>
            <rFont val="Tahoma"/>
            <family val="2"/>
          </rPr>
          <t>Magda le Roux:</t>
        </r>
        <r>
          <rPr>
            <sz val="9"/>
            <color indexed="81"/>
            <rFont val="Tahoma"/>
            <family val="2"/>
          </rPr>
          <t xml:space="preserve">
decrease at mines due to business travel that was allocated to each mine and company plane divided by 4 (PDSA in) and not 3 as in 2019</t>
        </r>
      </text>
    </comment>
    <comment ref="Q104" authorId="0" shapeId="0">
      <text>
        <r>
          <rPr>
            <b/>
            <sz val="9"/>
            <color indexed="81"/>
            <rFont val="Tahoma"/>
            <family val="2"/>
          </rPr>
          <t>Magda le Roux:</t>
        </r>
        <r>
          <rPr>
            <sz val="9"/>
            <color indexed="81"/>
            <rFont val="Tahoma"/>
            <family val="2"/>
          </rPr>
          <t xml:space="preserve">
EF of IEA 2010 electricity emission factor for Tanzania = 0.2421504 replaced by Instittute for Global Env strategies's (IGES) registered CDM projects: combined grid emission factor of 0.529</t>
        </r>
      </text>
    </comment>
    <comment ref="F136" authorId="0" shapeId="0">
      <text>
        <r>
          <rPr>
            <b/>
            <sz val="9"/>
            <color indexed="81"/>
            <rFont val="Tahoma"/>
            <family val="2"/>
          </rPr>
          <t>Magda le Roux:</t>
        </r>
        <r>
          <rPr>
            <sz val="9"/>
            <color indexed="81"/>
            <rFont val="Tahoma"/>
            <family val="2"/>
          </rPr>
          <t xml:space="preserve">
USD </t>
        </r>
      </text>
    </comment>
    <comment ref="P136" authorId="0" shapeId="0">
      <text>
        <r>
          <rPr>
            <b/>
            <sz val="9"/>
            <color indexed="81"/>
            <rFont val="Tahoma"/>
            <family val="2"/>
          </rPr>
          <t>Magda le Roux:</t>
        </r>
        <r>
          <rPr>
            <sz val="9"/>
            <color indexed="81"/>
            <rFont val="Tahoma"/>
            <family val="2"/>
          </rPr>
          <t xml:space="preserve">
verage R14.19 /USD; TZS 2270/$USD</t>
        </r>
      </text>
    </comment>
    <comment ref="M148" authorId="0" shapeId="0">
      <text>
        <r>
          <rPr>
            <b/>
            <sz val="9"/>
            <color indexed="81"/>
            <rFont val="Tahoma"/>
            <family val="2"/>
          </rPr>
          <t>Magda le Roux:</t>
        </r>
        <r>
          <rPr>
            <sz val="9"/>
            <color indexed="81"/>
            <rFont val="Tahoma"/>
            <family val="2"/>
          </rPr>
          <t xml:space="preserve">
total due to rebate at CDM = 429 446.26</t>
        </r>
      </text>
    </comment>
    <comment ref="M149" authorId="0" shapeId="0">
      <text>
        <r>
          <rPr>
            <b/>
            <sz val="9"/>
            <color indexed="81"/>
            <rFont val="Tahoma"/>
            <family val="2"/>
          </rPr>
          <t>Magda le Roux:</t>
        </r>
        <r>
          <rPr>
            <sz val="9"/>
            <color indexed="81"/>
            <rFont val="Tahoma"/>
            <family val="2"/>
          </rPr>
          <t xml:space="preserve">
If amended FY 2019 value ( include CDM rebate) is used, percentage change =
 --21.18% </t>
        </r>
      </text>
    </comment>
    <comment ref="L154" authorId="0" shapeId="0">
      <text>
        <r>
          <rPr>
            <b/>
            <sz val="9"/>
            <color indexed="81"/>
            <rFont val="Tahoma"/>
            <family val="2"/>
          </rPr>
          <t>Magda le Roux:</t>
        </r>
        <r>
          <rPr>
            <sz val="9"/>
            <color indexed="81"/>
            <rFont val="Tahoma"/>
            <family val="2"/>
          </rPr>
          <t xml:space="preserve">
Total 304172.59, but rebated = 219349.18</t>
        </r>
      </text>
    </comment>
    <comment ref="L155" authorId="0" shapeId="0">
      <text>
        <r>
          <rPr>
            <b/>
            <sz val="9"/>
            <color indexed="81"/>
            <rFont val="Tahoma"/>
            <family val="2"/>
          </rPr>
          <t>Magda le Roux:</t>
        </r>
        <r>
          <rPr>
            <sz val="9"/>
            <color indexed="81"/>
            <rFont val="Tahoma"/>
            <family val="2"/>
          </rPr>
          <t xml:space="preserve">
Total 650 180, but rebated = 218 833.21</t>
        </r>
      </text>
    </comment>
    <comment ref="M155" authorId="0" shapeId="0">
      <text>
        <r>
          <rPr>
            <b/>
            <sz val="9"/>
            <color indexed="81"/>
            <rFont val="Tahoma"/>
            <family val="2"/>
          </rPr>
          <t>Magda le Roux:</t>
        </r>
        <r>
          <rPr>
            <sz val="9"/>
            <color indexed="81"/>
            <rFont val="Tahoma"/>
            <family val="2"/>
          </rPr>
          <t xml:space="preserve">
218833.21/14.19=15 421.65</t>
        </r>
      </text>
    </comment>
    <comment ref="L163" authorId="0" shapeId="0">
      <text>
        <r>
          <rPr>
            <b/>
            <sz val="9"/>
            <color indexed="81"/>
            <rFont val="Tahoma"/>
            <family val="2"/>
          </rPr>
          <t>Magda le Roux:</t>
        </r>
        <r>
          <rPr>
            <sz val="9"/>
            <color indexed="81"/>
            <rFont val="Tahoma"/>
            <family val="2"/>
          </rPr>
          <t xml:space="preserve">
TZS </t>
        </r>
      </text>
    </comment>
    <comment ref="M167" authorId="0" shapeId="0">
      <text>
        <r>
          <rPr>
            <b/>
            <sz val="9"/>
            <color indexed="81"/>
            <rFont val="Tahoma"/>
            <family val="2"/>
          </rPr>
          <t>Magda le Roux:</t>
        </r>
        <r>
          <rPr>
            <sz val="9"/>
            <color indexed="81"/>
            <rFont val="Tahoma"/>
            <family val="2"/>
          </rPr>
          <t xml:space="preserve">
with CDM rebate considered =429 446.26</t>
        </r>
      </text>
    </comment>
    <comment ref="A176" authorId="0" shapeId="0">
      <text>
        <r>
          <rPr>
            <b/>
            <sz val="9"/>
            <color indexed="81"/>
            <rFont val="Tahoma"/>
            <family val="2"/>
          </rPr>
          <t>Magda le Roux:</t>
        </r>
        <r>
          <rPr>
            <sz val="9"/>
            <color indexed="81"/>
            <rFont val="Tahoma"/>
            <family val="2"/>
          </rPr>
          <t xml:space="preserve">
no info for fY 2016 JS an WTN; CTP estimate: do 700000t/month; 700000X 12 = 8 400 000t/a; 50% coarse and 50% fines</t>
        </r>
      </text>
    </comment>
    <comment ref="S182" authorId="0" shapeId="0">
      <text>
        <r>
          <rPr>
            <b/>
            <sz val="9"/>
            <color indexed="81"/>
            <rFont val="Tahoma"/>
            <family val="2"/>
          </rPr>
          <t>Magda le Roux:</t>
        </r>
        <r>
          <rPr>
            <sz val="9"/>
            <color indexed="81"/>
            <rFont val="Tahoma"/>
            <family val="2"/>
          </rPr>
          <t xml:space="preserve">
de beerspit = 28.6ha excluded</t>
        </r>
      </text>
    </comment>
    <comment ref="T183" authorId="0" shapeId="0">
      <text>
        <r>
          <rPr>
            <b/>
            <sz val="9"/>
            <color indexed="81"/>
            <rFont val="Tahoma"/>
            <family val="2"/>
          </rPr>
          <t>Magda le Roux:</t>
        </r>
        <r>
          <rPr>
            <sz val="9"/>
            <color indexed="81"/>
            <rFont val="Tahoma"/>
            <family val="2"/>
          </rPr>
          <t xml:space="preserve">
amended in Jul 2020 from 42.7 to 48.94</t>
        </r>
      </text>
    </comment>
    <comment ref="T184" authorId="0" shapeId="0">
      <text>
        <r>
          <rPr>
            <b/>
            <sz val="9"/>
            <color indexed="81"/>
            <rFont val="Tahoma"/>
            <family val="2"/>
          </rPr>
          <t>Magda le Roux:</t>
        </r>
        <r>
          <rPr>
            <sz val="9"/>
            <color indexed="81"/>
            <rFont val="Tahoma"/>
            <family val="2"/>
          </rPr>
          <t xml:space="preserve">
amend in fY 2020 from 43.4 to 49.5</t>
        </r>
      </text>
    </comment>
    <comment ref="E185" authorId="0" shapeId="0">
      <text>
        <r>
          <rPr>
            <b/>
            <sz val="9"/>
            <color indexed="81"/>
            <rFont val="Tahoma"/>
            <family val="2"/>
          </rPr>
          <t>Magda le Roux:</t>
        </r>
        <r>
          <rPr>
            <sz val="9"/>
            <color indexed="81"/>
            <rFont val="Tahoma"/>
            <family val="2"/>
          </rPr>
          <t xml:space="preserve">
INCREASED AREA </t>
        </r>
      </text>
    </comment>
    <comment ref="R186" authorId="0" shapeId="0">
      <text>
        <r>
          <rPr>
            <b/>
            <sz val="9"/>
            <color indexed="81"/>
            <rFont val="Tahoma"/>
            <family val="2"/>
          </rPr>
          <t>Magda le Roux:</t>
        </r>
        <r>
          <rPr>
            <sz val="9"/>
            <color indexed="81"/>
            <rFont val="Tahoma"/>
            <family val="2"/>
          </rPr>
          <t xml:space="preserve">
amend in 2020 from 256.54 to361.16 as per Jul 2020 survey figures</t>
        </r>
      </text>
    </comment>
    <comment ref="T186" authorId="0" shapeId="0">
      <text>
        <r>
          <rPr>
            <b/>
            <sz val="9"/>
            <color indexed="81"/>
            <rFont val="Tahoma"/>
            <family val="2"/>
          </rPr>
          <t>Magda le Roux:</t>
        </r>
        <r>
          <rPr>
            <sz val="9"/>
            <color indexed="81"/>
            <rFont val="Tahoma"/>
            <family val="2"/>
          </rPr>
          <t xml:space="preserve">
amend in Jul 2020 from 415. 2 to 415.4</t>
        </r>
      </text>
    </comment>
    <comment ref="R187" authorId="0" shapeId="0">
      <text>
        <r>
          <rPr>
            <b/>
            <sz val="9"/>
            <color indexed="81"/>
            <rFont val="Tahoma"/>
            <family val="2"/>
          </rPr>
          <t>Magda le Roux:</t>
        </r>
        <r>
          <rPr>
            <sz val="9"/>
            <color indexed="81"/>
            <rFont val="Tahoma"/>
            <family val="2"/>
          </rPr>
          <t xml:space="preserve">
amend from 185.25 to 231.37 survey values Jul 2020</t>
        </r>
      </text>
    </comment>
    <comment ref="T187" authorId="0" shapeId="0">
      <text>
        <r>
          <rPr>
            <b/>
            <sz val="9"/>
            <color indexed="81"/>
            <rFont val="Tahoma"/>
            <family val="2"/>
          </rPr>
          <t>Magda le Roux:</t>
        </r>
        <r>
          <rPr>
            <sz val="9"/>
            <color indexed="81"/>
            <rFont val="Tahoma"/>
            <family val="2"/>
          </rPr>
          <t xml:space="preserve">
amend in Jul 2020 from 210.8 to 211.3</t>
        </r>
      </text>
    </comment>
    <comment ref="S188" authorId="0" shapeId="0">
      <text>
        <r>
          <rPr>
            <b/>
            <sz val="9"/>
            <color indexed="81"/>
            <rFont val="Tahoma"/>
            <family val="2"/>
          </rPr>
          <t>Magda le Roux:</t>
        </r>
        <r>
          <rPr>
            <sz val="9"/>
            <color indexed="81"/>
            <rFont val="Tahoma"/>
            <family val="2"/>
          </rPr>
          <t xml:space="preserve">
amend in Jul 2020 from 8.01 to0</t>
        </r>
      </text>
    </comment>
    <comment ref="R189" authorId="0" shapeId="0">
      <text>
        <r>
          <rPr>
            <b/>
            <sz val="9"/>
            <color indexed="81"/>
            <rFont val="Tahoma"/>
            <family val="2"/>
          </rPr>
          <t>Magda le Roux:</t>
        </r>
        <r>
          <rPr>
            <sz val="9"/>
            <color indexed="81"/>
            <rFont val="Tahoma"/>
            <family val="2"/>
          </rPr>
          <t xml:space="preserve">
amend in 2020 from 7.25 to 10.42 as per table 18 from elrina - new stockpile ws added</t>
        </r>
      </text>
    </comment>
    <comment ref="T190" authorId="0" shapeId="0">
      <text>
        <r>
          <rPr>
            <b/>
            <sz val="9"/>
            <color indexed="81"/>
            <rFont val="Tahoma"/>
            <family val="2"/>
          </rPr>
          <t>Magda le Roux:</t>
        </r>
        <r>
          <rPr>
            <sz val="9"/>
            <color indexed="81"/>
            <rFont val="Tahoma"/>
            <family val="2"/>
          </rPr>
          <t xml:space="preserve">
amend in FY 2020 from 46.6 to 46.8</t>
        </r>
      </text>
    </comment>
    <comment ref="D208" authorId="0" shapeId="0">
      <text>
        <r>
          <rPr>
            <b/>
            <sz val="9"/>
            <color indexed="81"/>
            <rFont val="Tahoma"/>
            <family val="2"/>
          </rPr>
          <t>Magda le Roux:</t>
        </r>
        <r>
          <rPr>
            <sz val="9"/>
            <color indexed="81"/>
            <rFont val="Tahoma"/>
            <family val="2"/>
          </rPr>
          <t xml:space="preserve">
R-22 excluded</t>
        </r>
      </text>
    </comment>
  </commentList>
</comments>
</file>

<file path=xl/comments17.xml><?xml version="1.0" encoding="utf-8"?>
<comments xmlns="http://schemas.openxmlformats.org/spreadsheetml/2006/main">
  <authors>
    <author>Marietjie Reynecke</author>
    <author>Magda le Roux</author>
  </authors>
  <commentList>
    <comment ref="L3" authorId="0" shapeId="0">
      <text>
        <r>
          <rPr>
            <b/>
            <sz val="9"/>
            <color indexed="81"/>
            <rFont val="Tahoma"/>
            <family val="2"/>
          </rPr>
          <t>Marietjie Reynecke:</t>
        </r>
        <r>
          <rPr>
            <sz val="9"/>
            <color indexed="81"/>
            <rFont val="Tahoma"/>
            <family val="2"/>
          </rPr>
          <t xml:space="preserve">
Only Helam included as Star and Sedibeng were sold</t>
        </r>
      </text>
    </comment>
    <comment ref="L13" authorId="1" shapeId="0">
      <text>
        <r>
          <rPr>
            <b/>
            <sz val="9"/>
            <color indexed="81"/>
            <rFont val="Tahoma"/>
            <family val="2"/>
          </rPr>
          <t>Magda le Roux:</t>
        </r>
        <r>
          <rPr>
            <sz val="9"/>
            <color indexed="81"/>
            <rFont val="Tahoma"/>
            <family val="2"/>
          </rPr>
          <t xml:space="preserve">
not audited</t>
        </r>
      </text>
    </comment>
    <comment ref="N13" authorId="1" shapeId="0">
      <text>
        <r>
          <rPr>
            <b/>
            <sz val="9"/>
            <color indexed="81"/>
            <rFont val="Tahoma"/>
            <family val="2"/>
          </rPr>
          <t>Magda le Roux:</t>
        </r>
        <r>
          <rPr>
            <sz val="9"/>
            <color indexed="81"/>
            <rFont val="Tahoma"/>
            <family val="2"/>
          </rPr>
          <t xml:space="preserve">
not audited</t>
        </r>
      </text>
    </comment>
    <comment ref="C14" authorId="1" shapeId="0">
      <text>
        <r>
          <rPr>
            <b/>
            <sz val="9"/>
            <color indexed="81"/>
            <rFont val="Tahoma"/>
            <family val="2"/>
          </rPr>
          <t>Magda le Roux:</t>
        </r>
        <r>
          <rPr>
            <sz val="9"/>
            <color indexed="81"/>
            <rFont val="Tahoma"/>
            <family val="2"/>
          </rPr>
          <t xml:space="preserve">
SR 2013= 49529</t>
        </r>
      </text>
    </comment>
    <comment ref="D14" authorId="1" shapeId="0">
      <text>
        <r>
          <rPr>
            <b/>
            <sz val="9"/>
            <color indexed="81"/>
            <rFont val="Tahoma"/>
            <family val="2"/>
          </rPr>
          <t>Magda le Roux:</t>
        </r>
        <r>
          <rPr>
            <sz val="9"/>
            <color indexed="81"/>
            <rFont val="Tahoma"/>
            <family val="2"/>
          </rPr>
          <t xml:space="preserve">
SR 2013, 2014, 2016 =60 906</t>
        </r>
      </text>
    </comment>
    <comment ref="E14" authorId="1" shapeId="0">
      <text>
        <r>
          <rPr>
            <b/>
            <sz val="9"/>
            <color indexed="81"/>
            <rFont val="Tahoma"/>
            <family val="2"/>
          </rPr>
          <t>Magda le Roux:</t>
        </r>
        <r>
          <rPr>
            <sz val="9"/>
            <color indexed="81"/>
            <rFont val="Tahoma"/>
            <family val="2"/>
          </rPr>
          <t xml:space="preserve">
SR 2014 en 2016 = 44 201.23</t>
        </r>
      </text>
    </comment>
    <comment ref="F14" authorId="1" shapeId="0">
      <text>
        <r>
          <rPr>
            <b/>
            <sz val="9"/>
            <color indexed="81"/>
            <rFont val="Tahoma"/>
            <family val="2"/>
          </rPr>
          <t>Magda le Roux:</t>
        </r>
        <r>
          <rPr>
            <sz val="9"/>
            <color indexed="81"/>
            <rFont val="Tahoma"/>
            <family val="2"/>
          </rPr>
          <t xml:space="preserve">
reported as 55 047.79; audited value 55036.51 (WDL in)</t>
        </r>
      </text>
    </comment>
    <comment ref="I14" authorId="1" shapeId="0">
      <text>
        <r>
          <rPr>
            <b/>
            <sz val="9"/>
            <color indexed="81"/>
            <rFont val="Tahoma"/>
            <family val="2"/>
          </rPr>
          <t>Magda le Roux:</t>
        </r>
        <r>
          <rPr>
            <sz val="9"/>
            <color indexed="81"/>
            <rFont val="Tahoma"/>
            <family val="2"/>
          </rPr>
          <t xml:space="preserve">
reported unaudited value of 56026.64</t>
        </r>
      </text>
    </comment>
    <comment ref="C15" authorId="1" shapeId="0">
      <text>
        <r>
          <rPr>
            <b/>
            <sz val="9"/>
            <color indexed="81"/>
            <rFont val="Tahoma"/>
            <family val="2"/>
          </rPr>
          <t>Magda le Roux:</t>
        </r>
        <r>
          <rPr>
            <sz val="9"/>
            <color indexed="81"/>
            <rFont val="Tahoma"/>
            <family val="2"/>
          </rPr>
          <t xml:space="preserve">
427 023 as pre previous SR</t>
        </r>
      </text>
    </comment>
    <comment ref="D15" authorId="1" shapeId="0">
      <text>
        <r>
          <rPr>
            <b/>
            <sz val="9"/>
            <color indexed="81"/>
            <rFont val="Tahoma"/>
            <family val="2"/>
          </rPr>
          <t>Magda le Roux:</t>
        </r>
        <r>
          <rPr>
            <sz val="9"/>
            <color indexed="81"/>
            <rFont val="Tahoma"/>
            <family val="2"/>
          </rPr>
          <t xml:space="preserve">
SR 2014 and 2016 = 523 480</t>
        </r>
      </text>
    </comment>
    <comment ref="E15" authorId="1" shapeId="0">
      <text>
        <r>
          <rPr>
            <b/>
            <sz val="9"/>
            <color indexed="81"/>
            <rFont val="Tahoma"/>
            <family val="2"/>
          </rPr>
          <t>Magda le Roux:</t>
        </r>
        <r>
          <rPr>
            <sz val="9"/>
            <color indexed="81"/>
            <rFont val="Tahoma"/>
            <family val="2"/>
          </rPr>
          <t xml:space="preserve">
SR 2014 en 2016 = 518 733.3</t>
        </r>
      </text>
    </comment>
    <comment ref="F15" authorId="1" shapeId="0">
      <text>
        <r>
          <rPr>
            <b/>
            <sz val="9"/>
            <color indexed="81"/>
            <rFont val="Tahoma"/>
            <family val="2"/>
          </rPr>
          <t>Magda le Roux:</t>
        </r>
        <r>
          <rPr>
            <sz val="9"/>
            <color indexed="81"/>
            <rFont val="Tahoma"/>
            <family val="2"/>
          </rPr>
          <t xml:space="preserve">
reported as 523024.69; audited value 530 823.73 (WDL in)</t>
        </r>
      </text>
    </comment>
    <comment ref="I15" authorId="1" shapeId="0">
      <text>
        <r>
          <rPr>
            <b/>
            <sz val="9"/>
            <color indexed="81"/>
            <rFont val="Tahoma"/>
            <family val="2"/>
          </rPr>
          <t>Magda le Roux:</t>
        </r>
        <r>
          <rPr>
            <sz val="9"/>
            <color indexed="81"/>
            <rFont val="Tahoma"/>
            <family val="2"/>
          </rPr>
          <t xml:space="preserve">
unaudited value reported was 579455.79</t>
        </r>
      </text>
    </comment>
    <comment ref="C16" authorId="1" shapeId="0">
      <text>
        <r>
          <rPr>
            <b/>
            <sz val="9"/>
            <color indexed="81"/>
            <rFont val="Tahoma"/>
            <family val="2"/>
          </rPr>
          <t>Magda le Roux:</t>
        </r>
        <r>
          <rPr>
            <sz val="9"/>
            <color indexed="81"/>
            <rFont val="Tahoma"/>
            <family val="2"/>
          </rPr>
          <t xml:space="preserve">
SR 2013</t>
        </r>
      </text>
    </comment>
    <comment ref="D16" authorId="1" shapeId="0">
      <text>
        <r>
          <rPr>
            <b/>
            <sz val="9"/>
            <color indexed="81"/>
            <rFont val="Tahoma"/>
            <family val="2"/>
          </rPr>
          <t>Magda le Roux:</t>
        </r>
        <r>
          <rPr>
            <sz val="9"/>
            <color indexed="81"/>
            <rFont val="Tahoma"/>
            <family val="2"/>
          </rPr>
          <t xml:space="preserve">
SR 2013 = 584 386</t>
        </r>
      </text>
    </comment>
    <comment ref="E16" authorId="1" shapeId="0">
      <text>
        <r>
          <rPr>
            <b/>
            <sz val="9"/>
            <color indexed="81"/>
            <rFont val="Tahoma"/>
            <family val="2"/>
          </rPr>
          <t>Magda le Roux:</t>
        </r>
        <r>
          <rPr>
            <sz val="9"/>
            <color indexed="81"/>
            <rFont val="Tahoma"/>
            <family val="2"/>
          </rPr>
          <t xml:space="preserve">
PREVIOUS sr = 562 934.53</t>
        </r>
      </text>
    </comment>
    <comment ref="F17" authorId="1" shapeId="0">
      <text>
        <r>
          <rPr>
            <b/>
            <sz val="9"/>
            <color indexed="81"/>
            <rFont val="Tahoma"/>
            <family val="2"/>
          </rPr>
          <t>Magda le Roux:</t>
        </r>
        <r>
          <rPr>
            <sz val="9"/>
            <color indexed="81"/>
            <rFont val="Tahoma"/>
            <family val="2"/>
          </rPr>
          <t xml:space="preserve">
reproted in 2017SR as 0.20. Unaudited value = 0.18</t>
        </r>
      </text>
    </comment>
    <comment ref="G17" authorId="1" shapeId="0">
      <text>
        <r>
          <rPr>
            <b/>
            <sz val="9"/>
            <color indexed="81"/>
            <rFont val="Tahoma"/>
            <family val="2"/>
          </rPr>
          <t>Magda le Roux:</t>
        </r>
        <r>
          <rPr>
            <sz val="9"/>
            <color indexed="81"/>
            <rFont val="Tahoma"/>
            <family val="2"/>
          </rPr>
          <t xml:space="preserve">
reported in 2016SR as 0.21, tus amend from 0.19 to 0.21</t>
        </r>
      </text>
    </comment>
    <comment ref="G18" authorId="1" shapeId="0">
      <text>
        <r>
          <rPr>
            <b/>
            <sz val="9"/>
            <color indexed="81"/>
            <rFont val="Tahoma"/>
            <family val="2"/>
          </rPr>
          <t>Magda le Roux:</t>
        </r>
        <r>
          <rPr>
            <sz val="9"/>
            <color indexed="81"/>
            <rFont val="Tahoma"/>
            <family val="2"/>
          </rPr>
          <t xml:space="preserve">
amend from 0.04 to 0.03 as reported in 2016SR</t>
        </r>
      </text>
    </comment>
    <comment ref="F19" authorId="1" shapeId="0">
      <text>
        <r>
          <rPr>
            <b/>
            <sz val="9"/>
            <color indexed="81"/>
            <rFont val="Tahoma"/>
            <family val="2"/>
          </rPr>
          <t>Magda le Roux:</t>
        </r>
        <r>
          <rPr>
            <sz val="9"/>
            <color indexed="81"/>
            <rFont val="Tahoma"/>
            <family val="2"/>
          </rPr>
          <t xml:space="preserve">
Sc 3 not audited</t>
        </r>
      </text>
    </comment>
    <comment ref="I19" authorId="1" shapeId="0">
      <text>
        <r>
          <rPr>
            <b/>
            <sz val="9"/>
            <color indexed="81"/>
            <rFont val="Tahoma"/>
            <family val="2"/>
          </rPr>
          <t>Magda le Roux:</t>
        </r>
        <r>
          <rPr>
            <sz val="9"/>
            <color indexed="81"/>
            <rFont val="Tahoma"/>
            <family val="2"/>
          </rPr>
          <t xml:space="preserve">
decreased 5% 2016--&gt;2017</t>
        </r>
      </text>
    </comment>
    <comment ref="G20" authorId="1" shapeId="0">
      <text>
        <r>
          <rPr>
            <b/>
            <sz val="9"/>
            <color indexed="81"/>
            <rFont val="Tahoma"/>
            <family val="2"/>
          </rPr>
          <t>Magda le Roux:</t>
        </r>
        <r>
          <rPr>
            <sz val="9"/>
            <color indexed="81"/>
            <rFont val="Tahoma"/>
            <family val="2"/>
          </rPr>
          <t xml:space="preserve">
REPORTED AS 663 289.89</t>
        </r>
      </text>
    </comment>
    <comment ref="H20" authorId="1" shapeId="0">
      <text>
        <r>
          <rPr>
            <b/>
            <sz val="9"/>
            <color indexed="81"/>
            <rFont val="Tahoma"/>
            <family val="2"/>
          </rPr>
          <t>Magda le Roux:</t>
        </r>
        <r>
          <rPr>
            <sz val="9"/>
            <color indexed="81"/>
            <rFont val="Tahoma"/>
            <family val="2"/>
          </rPr>
          <t xml:space="preserve">
CDP audited values: 700 162.36</t>
        </r>
      </text>
    </comment>
    <comment ref="K20" authorId="1" shapeId="0">
      <text>
        <r>
          <rPr>
            <b/>
            <sz val="9"/>
            <color indexed="81"/>
            <rFont val="Tahoma"/>
            <family val="2"/>
          </rPr>
          <t>Magda le Roux:</t>
        </r>
        <r>
          <rPr>
            <sz val="9"/>
            <color indexed="81"/>
            <rFont val="Tahoma"/>
            <family val="2"/>
          </rPr>
          <t xml:space="preserve">
0.235% increase as apercentage of old method</t>
        </r>
      </text>
    </comment>
    <comment ref="N20" authorId="1" shapeId="0">
      <text>
        <r>
          <rPr>
            <b/>
            <sz val="9"/>
            <color indexed="81"/>
            <rFont val="Tahoma"/>
            <family val="2"/>
          </rPr>
          <t>Magda le Roux:</t>
        </r>
        <r>
          <rPr>
            <sz val="9"/>
            <color indexed="81"/>
            <rFont val="Tahoma"/>
            <family val="2"/>
          </rPr>
          <t xml:space="preserve">
R-22 . = 227 tCO2-e</t>
        </r>
      </text>
    </comment>
    <comment ref="F21" authorId="1" shapeId="0">
      <text>
        <r>
          <rPr>
            <b/>
            <sz val="9"/>
            <color indexed="81"/>
            <rFont val="Tahoma"/>
            <family val="2"/>
          </rPr>
          <t>Magda le Roux:</t>
        </r>
        <r>
          <rPr>
            <sz val="9"/>
            <color indexed="81"/>
            <rFont val="Tahoma"/>
            <family val="2"/>
          </rPr>
          <t xml:space="preserve">
was reproted as 0.20</t>
        </r>
      </text>
    </comment>
    <comment ref="H21" authorId="1" shapeId="0">
      <text>
        <r>
          <rPr>
            <b/>
            <sz val="9"/>
            <color indexed="81"/>
            <rFont val="Tahoma"/>
            <family val="2"/>
          </rPr>
          <t>Magda le Roux:</t>
        </r>
        <r>
          <rPr>
            <sz val="9"/>
            <color indexed="81"/>
            <rFont val="Tahoma"/>
            <family val="2"/>
          </rPr>
          <t xml:space="preserve">
CDP audited value= 0.18</t>
        </r>
      </text>
    </comment>
    <comment ref="D23" authorId="1" shapeId="0">
      <text>
        <r>
          <rPr>
            <b/>
            <sz val="9"/>
            <color indexed="81"/>
            <rFont val="Tahoma"/>
            <family val="2"/>
          </rPr>
          <t>Magda le Roux:</t>
        </r>
        <r>
          <rPr>
            <sz val="9"/>
            <color indexed="81"/>
            <rFont val="Tahoma"/>
            <family val="2"/>
          </rPr>
          <t xml:space="preserve">
revenue402.7mUSD</t>
        </r>
      </text>
    </comment>
    <comment ref="E23" authorId="1" shapeId="0">
      <text>
        <r>
          <rPr>
            <b/>
            <sz val="9"/>
            <color indexed="81"/>
            <rFont val="Tahoma"/>
            <family val="2"/>
          </rPr>
          <t>Magda le Roux:</t>
        </r>
        <r>
          <rPr>
            <sz val="9"/>
            <color indexed="81"/>
            <rFont val="Tahoma"/>
            <family val="2"/>
          </rPr>
          <t xml:space="preserve">
revenue USD 471.8</t>
        </r>
      </text>
    </comment>
    <comment ref="F23" authorId="1" shapeId="0">
      <text>
        <r>
          <rPr>
            <b/>
            <sz val="9"/>
            <color indexed="81"/>
            <rFont val="Tahoma"/>
            <family val="2"/>
          </rPr>
          <t>Magda le Roux:</t>
        </r>
        <r>
          <rPr>
            <sz val="9"/>
            <color indexed="81"/>
            <rFont val="Tahoma"/>
            <family val="2"/>
          </rPr>
          <t xml:space="preserve">
revenue USD 425m</t>
        </r>
      </text>
    </comment>
    <comment ref="G23" authorId="1" shapeId="0">
      <text>
        <r>
          <rPr>
            <b/>
            <sz val="9"/>
            <color indexed="81"/>
            <rFont val="Tahoma"/>
            <family val="2"/>
          </rPr>
          <t>Magda le Roux:</t>
        </r>
        <r>
          <rPr>
            <sz val="9"/>
            <color indexed="81"/>
            <rFont val="Tahoma"/>
            <family val="2"/>
          </rPr>
          <t xml:space="preserve">
tCO2-e/$</t>
        </r>
      </text>
    </comment>
    <comment ref="I23" authorId="1" shapeId="0">
      <text>
        <r>
          <rPr>
            <b/>
            <sz val="9"/>
            <color indexed="81"/>
            <rFont val="Tahoma"/>
            <family val="2"/>
          </rPr>
          <t>Magda le Roux:</t>
        </r>
        <r>
          <rPr>
            <sz val="9"/>
            <color indexed="81"/>
            <rFont val="Tahoma"/>
            <family val="2"/>
          </rPr>
          <t xml:space="preserve">
</t>
        </r>
      </text>
    </comment>
    <comment ref="L23" authorId="1" shapeId="0">
      <text>
        <r>
          <rPr>
            <b/>
            <sz val="9"/>
            <color indexed="81"/>
            <rFont val="Tahoma"/>
            <family val="2"/>
          </rPr>
          <t>Magda le Roux:</t>
        </r>
        <r>
          <rPr>
            <sz val="9"/>
            <color indexed="81"/>
            <rFont val="Tahoma"/>
            <family val="2"/>
          </rPr>
          <t xml:space="preserve">
revenue = USD 576418479</t>
        </r>
      </text>
    </comment>
    <comment ref="K25" authorId="1" shapeId="0">
      <text>
        <r>
          <rPr>
            <b/>
            <sz val="9"/>
            <color indexed="81"/>
            <rFont val="Tahoma"/>
            <family val="2"/>
          </rPr>
          <t>Magda le Roux:</t>
        </r>
        <r>
          <rPr>
            <sz val="9"/>
            <color indexed="81"/>
            <rFont val="Tahoma"/>
            <family val="2"/>
          </rPr>
          <t xml:space="preserve">
Note: conversion factor for electricity use was amended in 2018 to be more accurate from 3 599 000 to 3 599 997</t>
        </r>
      </text>
    </comment>
    <comment ref="B26" authorId="1" shapeId="0">
      <text>
        <r>
          <rPr>
            <b/>
            <sz val="9"/>
            <color indexed="81"/>
            <rFont val="Tahoma"/>
            <family val="2"/>
          </rPr>
          <t>Magda le Roux:</t>
        </r>
        <r>
          <rPr>
            <sz val="9"/>
            <color indexed="81"/>
            <rFont val="Tahoma"/>
            <family val="2"/>
          </rPr>
          <t xml:space="preserve">
Total GHG company plane</t>
        </r>
      </text>
    </comment>
    <comment ref="K26" authorId="1" shapeId="0">
      <text>
        <r>
          <rPr>
            <b/>
            <sz val="9"/>
            <color indexed="81"/>
            <rFont val="Tahoma"/>
            <family val="2"/>
          </rPr>
          <t>Magda le Roux:</t>
        </r>
        <r>
          <rPr>
            <sz val="9"/>
            <color indexed="81"/>
            <rFont val="Tahoma"/>
            <family val="2"/>
          </rPr>
          <t xml:space="preserve">
Total GHG company plane</t>
        </r>
      </text>
    </comment>
    <comment ref="S26" authorId="1" shapeId="0">
      <text>
        <r>
          <rPr>
            <b/>
            <sz val="9"/>
            <color indexed="81"/>
            <rFont val="Tahoma"/>
            <family val="2"/>
          </rPr>
          <t>Magda le Roux:</t>
        </r>
        <r>
          <rPr>
            <sz val="9"/>
            <color indexed="81"/>
            <rFont val="Tahoma"/>
            <family val="2"/>
          </rPr>
          <t xml:space="preserve">
company plane ghg </t>
        </r>
      </text>
    </comment>
    <comment ref="Y26" authorId="1" shapeId="0">
      <text>
        <r>
          <rPr>
            <b/>
            <sz val="9"/>
            <color indexed="81"/>
            <rFont val="Tahoma"/>
            <family val="2"/>
          </rPr>
          <t>Magda le Roux:</t>
        </r>
        <r>
          <rPr>
            <sz val="9"/>
            <color indexed="81"/>
            <rFont val="Tahoma"/>
            <family val="2"/>
          </rPr>
          <t xml:space="preserve">
Official values used for all previous calculations- although it does not add up from the operational values.</t>
        </r>
      </text>
    </comment>
    <comment ref="B27" authorId="1" shapeId="0">
      <text>
        <r>
          <rPr>
            <b/>
            <sz val="9"/>
            <color indexed="81"/>
            <rFont val="Tahoma"/>
            <family val="2"/>
          </rPr>
          <t>Magda le Roux:</t>
        </r>
        <r>
          <rPr>
            <sz val="9"/>
            <color indexed="81"/>
            <rFont val="Tahoma"/>
            <family val="2"/>
          </rPr>
          <t xml:space="preserve">
25% of company plane GHG added to each operation's sc 1 </t>
        </r>
      </text>
    </comment>
    <comment ref="K27" authorId="1" shapeId="0">
      <text>
        <r>
          <rPr>
            <b/>
            <sz val="9"/>
            <color indexed="81"/>
            <rFont val="Tahoma"/>
            <family val="2"/>
          </rPr>
          <t>Magda le Roux:</t>
        </r>
        <r>
          <rPr>
            <sz val="9"/>
            <color indexed="81"/>
            <rFont val="Tahoma"/>
            <family val="2"/>
          </rPr>
          <t xml:space="preserve">
25% of company plane GHG added to each operation's sc 1 </t>
        </r>
      </text>
    </comment>
    <comment ref="S27" authorId="1" shapeId="0">
      <text>
        <r>
          <rPr>
            <b/>
            <sz val="9"/>
            <color indexed="81"/>
            <rFont val="Tahoma"/>
            <family val="2"/>
          </rPr>
          <t>Magda le Roux:</t>
        </r>
        <r>
          <rPr>
            <sz val="9"/>
            <color indexed="81"/>
            <rFont val="Tahoma"/>
            <family val="2"/>
          </rPr>
          <t xml:space="preserve">
company plane ghg  divided by 4- added to  each SA operation sc 1</t>
        </r>
      </text>
    </comment>
    <comment ref="E31" authorId="1" shapeId="0">
      <text>
        <r>
          <rPr>
            <b/>
            <sz val="9"/>
            <color indexed="81"/>
            <rFont val="Tahoma"/>
            <family val="2"/>
          </rPr>
          <t>Magda le Roux:</t>
        </r>
        <r>
          <rPr>
            <sz val="9"/>
            <color indexed="81"/>
            <rFont val="Tahoma"/>
            <family val="2"/>
          </rPr>
          <t xml:space="preserve">
bryanstn = 1447 en Lonond = 1.2</t>
        </r>
      </text>
    </comment>
    <comment ref="A46" authorId="1" shapeId="0">
      <text>
        <r>
          <rPr>
            <b/>
            <sz val="9"/>
            <color indexed="81"/>
            <rFont val="Tahoma"/>
            <family val="2"/>
          </rPr>
          <t>Magda le Roux:</t>
        </r>
        <r>
          <rPr>
            <sz val="9"/>
            <color indexed="81"/>
            <rFont val="Tahoma"/>
            <family val="2"/>
          </rPr>
          <t xml:space="preserve">
conversion factor for electricity use was amended in 2018 to be more accurate from 3 599 000 to 3 599 997</t>
        </r>
      </text>
    </comment>
    <comment ref="G47" authorId="1" shapeId="0">
      <text>
        <r>
          <rPr>
            <b/>
            <sz val="9"/>
            <color indexed="81"/>
            <rFont val="Tahoma"/>
            <family val="2"/>
          </rPr>
          <t>Magda le Roux:</t>
        </r>
        <r>
          <rPr>
            <sz val="9"/>
            <color indexed="81"/>
            <rFont val="Tahoma"/>
            <family val="2"/>
          </rPr>
          <t xml:space="preserve">
amended in 2018 with audited values</t>
        </r>
      </text>
    </comment>
    <comment ref="H47" authorId="1" shapeId="0">
      <text>
        <r>
          <rPr>
            <b/>
            <sz val="9"/>
            <color indexed="81"/>
            <rFont val="Tahoma"/>
            <family val="2"/>
          </rPr>
          <t>Magda le Roux:</t>
        </r>
        <r>
          <rPr>
            <sz val="9"/>
            <color indexed="81"/>
            <rFont val="Tahoma"/>
            <family val="2"/>
          </rPr>
          <t xml:space="preserve">
audited values</t>
        </r>
      </text>
    </comment>
    <comment ref="H48" authorId="1" shapeId="0">
      <text>
        <r>
          <rPr>
            <b/>
            <sz val="9"/>
            <color indexed="81"/>
            <rFont val="Tahoma"/>
            <family val="2"/>
          </rPr>
          <t>Magda le Roux:</t>
        </r>
        <r>
          <rPr>
            <sz val="9"/>
            <color indexed="81"/>
            <rFont val="Tahoma"/>
            <family val="2"/>
          </rPr>
          <t xml:space="preserve">
audited value</t>
        </r>
      </text>
    </comment>
    <comment ref="H50" authorId="1" shapeId="0">
      <text>
        <r>
          <rPr>
            <b/>
            <sz val="9"/>
            <color indexed="81"/>
            <rFont val="Tahoma"/>
            <family val="2"/>
          </rPr>
          <t>Magda le Roux:</t>
        </r>
        <r>
          <rPr>
            <sz val="9"/>
            <color indexed="81"/>
            <rFont val="Tahoma"/>
            <family val="2"/>
          </rPr>
          <t xml:space="preserve">
audited value</t>
        </r>
      </text>
    </comment>
    <comment ref="N50" authorId="1" shapeId="0">
      <text>
        <r>
          <rPr>
            <b/>
            <sz val="9"/>
            <color indexed="81"/>
            <rFont val="Tahoma"/>
            <family val="2"/>
          </rPr>
          <t>Magda le Roux:</t>
        </r>
        <r>
          <rPr>
            <sz val="9"/>
            <color indexed="81"/>
            <rFont val="Tahoma"/>
            <family val="2"/>
          </rPr>
          <t xml:space="preserve">
jet fuel not yet calculated</t>
        </r>
      </text>
    </comment>
    <comment ref="H52" authorId="1" shapeId="0">
      <text>
        <r>
          <rPr>
            <b/>
            <sz val="9"/>
            <color indexed="81"/>
            <rFont val="Tahoma"/>
            <family val="2"/>
          </rPr>
          <t>Magda le Roux:</t>
        </r>
        <r>
          <rPr>
            <sz val="9"/>
            <color indexed="81"/>
            <rFont val="Tahoma"/>
            <family val="2"/>
          </rPr>
          <t xml:space="preserve">
audited value</t>
        </r>
      </text>
    </comment>
    <comment ref="H56" authorId="1" shapeId="0">
      <text>
        <r>
          <rPr>
            <b/>
            <sz val="9"/>
            <color indexed="81"/>
            <rFont val="Tahoma"/>
            <family val="2"/>
          </rPr>
          <t>Magda le Roux:</t>
        </r>
        <r>
          <rPr>
            <sz val="9"/>
            <color indexed="81"/>
            <rFont val="Tahoma"/>
            <family val="2"/>
          </rPr>
          <t xml:space="preserve">
audited value</t>
        </r>
      </text>
    </comment>
    <comment ref="X60" authorId="1" shapeId="0">
      <text>
        <r>
          <rPr>
            <b/>
            <sz val="9"/>
            <color indexed="81"/>
            <rFont val="Tahoma"/>
            <family val="2"/>
          </rPr>
          <t>Magda le Roux:</t>
        </r>
        <r>
          <rPr>
            <sz val="9"/>
            <color indexed="81"/>
            <rFont val="Tahoma"/>
            <family val="2"/>
          </rPr>
          <t xml:space="preserve">
kem 12.44 AND kum 52.90 AVERAGE= 32.62</t>
        </r>
      </text>
    </comment>
    <comment ref="E72" authorId="1" shapeId="0">
      <text>
        <r>
          <rPr>
            <b/>
            <sz val="9"/>
            <color indexed="81"/>
            <rFont val="Tahoma"/>
            <family val="2"/>
          </rPr>
          <t>Magda le Roux:</t>
        </r>
        <r>
          <rPr>
            <sz val="9"/>
            <color indexed="81"/>
            <rFont val="Tahoma"/>
            <family val="2"/>
          </rPr>
          <t xml:space="preserve">
London 3300kWh</t>
        </r>
      </text>
    </comment>
    <comment ref="E78" authorId="1" shapeId="0">
      <text>
        <r>
          <rPr>
            <b/>
            <sz val="9"/>
            <color indexed="81"/>
            <rFont val="Tahoma"/>
            <family val="2"/>
          </rPr>
          <t>Magda le Roux:</t>
        </r>
        <r>
          <rPr>
            <sz val="9"/>
            <color indexed="81"/>
            <rFont val="Tahoma"/>
            <family val="2"/>
          </rPr>
          <t xml:space="preserve">
electrcity Bryanston kWh</t>
        </r>
      </text>
    </comment>
    <comment ref="H78" authorId="1" shapeId="0">
      <text>
        <r>
          <rPr>
            <b/>
            <sz val="9"/>
            <color indexed="81"/>
            <rFont val="Tahoma"/>
            <family val="2"/>
          </rPr>
          <t>Magda le Roux:</t>
        </r>
        <r>
          <rPr>
            <sz val="9"/>
            <color indexed="81"/>
            <rFont val="Tahoma"/>
            <family val="2"/>
          </rPr>
          <t xml:space="preserve">
total fuel in l</t>
        </r>
      </text>
    </comment>
    <comment ref="J78" authorId="1" shapeId="0">
      <text>
        <r>
          <rPr>
            <b/>
            <sz val="9"/>
            <color indexed="81"/>
            <rFont val="Tahoma"/>
            <family val="2"/>
          </rPr>
          <t>Magda le Roux:</t>
        </r>
        <r>
          <rPr>
            <sz val="9"/>
            <color indexed="81"/>
            <rFont val="Tahoma"/>
            <family val="2"/>
          </rPr>
          <t xml:space="preserve">
diesel l perentage change</t>
        </r>
      </text>
    </comment>
    <comment ref="N78" authorId="1" shapeId="0">
      <text>
        <r>
          <rPr>
            <b/>
            <sz val="9"/>
            <color indexed="81"/>
            <rFont val="Tahoma"/>
            <family val="2"/>
          </rPr>
          <t>Magda le Roux:</t>
        </r>
        <r>
          <rPr>
            <sz val="9"/>
            <color indexed="81"/>
            <rFont val="Tahoma"/>
            <family val="2"/>
          </rPr>
          <t xml:space="preserve">
tol fuel Fy 2018</t>
        </r>
      </text>
    </comment>
    <comment ref="D79" authorId="1" shapeId="0">
      <text>
        <r>
          <rPr>
            <b/>
            <sz val="9"/>
            <color indexed="81"/>
            <rFont val="Tahoma"/>
            <family val="2"/>
          </rPr>
          <t>Magda le Roux:</t>
        </r>
        <r>
          <rPr>
            <sz val="9"/>
            <color indexed="81"/>
            <rFont val="Tahoma"/>
            <family val="2"/>
          </rPr>
          <t xml:space="preserve">
electrciity in J London</t>
        </r>
      </text>
    </comment>
    <comment ref="E79" authorId="1" shapeId="0">
      <text>
        <r>
          <rPr>
            <b/>
            <sz val="9"/>
            <color indexed="81"/>
            <rFont val="Tahoma"/>
            <family val="2"/>
          </rPr>
          <t>Magda le Roux:</t>
        </r>
        <r>
          <rPr>
            <sz val="9"/>
            <color indexed="81"/>
            <rFont val="Tahoma"/>
            <family val="2"/>
          </rPr>
          <t xml:space="preserve">
electricity bryanston J</t>
        </r>
      </text>
    </comment>
    <comment ref="D80" authorId="1" shapeId="0">
      <text>
        <r>
          <rPr>
            <b/>
            <sz val="9"/>
            <color indexed="81"/>
            <rFont val="Tahoma"/>
            <family val="2"/>
          </rPr>
          <t>Magda le Roux:</t>
        </r>
        <r>
          <rPr>
            <sz val="9"/>
            <color indexed="81"/>
            <rFont val="Tahoma"/>
            <family val="2"/>
          </rPr>
          <t xml:space="preserve">
Totl energy bryanston</t>
        </r>
      </text>
    </comment>
    <comment ref="G81" authorId="0" shapeId="0">
      <text>
        <r>
          <rPr>
            <b/>
            <sz val="9"/>
            <color indexed="81"/>
            <rFont val="Tahoma"/>
            <family val="2"/>
          </rPr>
          <t>Marietjie Reynecke:</t>
        </r>
        <r>
          <rPr>
            <sz val="9"/>
            <color indexed="81"/>
            <rFont val="Tahoma"/>
            <family val="2"/>
          </rPr>
          <t xml:space="preserve">
Data for KEM-JV (Ekapa + Super Stone) included for Q 3 + Q4)</t>
        </r>
      </text>
    </comment>
    <comment ref="H81" authorId="1" shapeId="0">
      <text>
        <r>
          <rPr>
            <b/>
            <sz val="9"/>
            <color indexed="81"/>
            <rFont val="Tahoma"/>
            <family val="2"/>
          </rPr>
          <t>Magda le Roux:</t>
        </r>
        <r>
          <rPr>
            <sz val="9"/>
            <color indexed="81"/>
            <rFont val="Tahoma"/>
            <family val="2"/>
          </rPr>
          <t xml:space="preserve">
audited values</t>
        </r>
      </text>
    </comment>
    <comment ref="H85" authorId="1" shapeId="0">
      <text>
        <r>
          <rPr>
            <b/>
            <sz val="9"/>
            <color indexed="81"/>
            <rFont val="Tahoma"/>
            <family val="2"/>
          </rPr>
          <t>Magda le Roux:</t>
        </r>
        <r>
          <rPr>
            <sz val="9"/>
            <color indexed="81"/>
            <rFont val="Tahoma"/>
            <family val="2"/>
          </rPr>
          <t xml:space="preserve">
6.47% improvement from 2016</t>
        </r>
      </text>
    </comment>
    <comment ref="I85" authorId="1" shapeId="0">
      <text>
        <r>
          <rPr>
            <b/>
            <sz val="9"/>
            <color indexed="81"/>
            <rFont val="Tahoma"/>
            <family val="2"/>
          </rPr>
          <t>Magda le Roux:</t>
        </r>
        <r>
          <rPr>
            <sz val="9"/>
            <color indexed="81"/>
            <rFont val="Tahoma"/>
            <family val="2"/>
          </rPr>
          <t xml:space="preserve">
6.47% reported as 7%</t>
        </r>
      </text>
    </comment>
    <comment ref="A87" authorId="1" shapeId="0">
      <text>
        <r>
          <rPr>
            <b/>
            <sz val="9"/>
            <color indexed="81"/>
            <rFont val="Tahoma"/>
            <family val="2"/>
          </rPr>
          <t>Magda le Roux:</t>
        </r>
        <r>
          <rPr>
            <sz val="9"/>
            <color indexed="81"/>
            <rFont val="Tahoma"/>
            <family val="2"/>
          </rPr>
          <t xml:space="preserve">
eRate = R14.19/USD </t>
        </r>
      </text>
    </comment>
    <comment ref="C89" authorId="1" shapeId="0">
      <text>
        <r>
          <rPr>
            <b/>
            <sz val="9"/>
            <color indexed="81"/>
            <rFont val="Tahoma"/>
            <family val="2"/>
          </rPr>
          <t>Magda le Roux:</t>
        </r>
        <r>
          <rPr>
            <sz val="9"/>
            <color indexed="81"/>
            <rFont val="Tahoma"/>
            <family val="2"/>
          </rPr>
          <t xml:space="preserve">
working costs: R186 687182.38; Capital costs R6020869.28</t>
        </r>
      </text>
    </comment>
    <comment ref="F89" authorId="1" shapeId="0">
      <text>
        <r>
          <rPr>
            <b/>
            <sz val="9"/>
            <color indexed="81"/>
            <rFont val="Tahoma"/>
            <family val="2"/>
          </rPr>
          <t>Magda le Roux:</t>
        </r>
        <r>
          <rPr>
            <sz val="9"/>
            <color indexed="81"/>
            <rFont val="Tahoma"/>
            <family val="2"/>
          </rPr>
          <t xml:space="preserve">
USD </t>
        </r>
      </text>
    </comment>
    <comment ref="F105" authorId="1" shapeId="0">
      <text>
        <r>
          <rPr>
            <b/>
            <sz val="9"/>
            <color indexed="81"/>
            <rFont val="Tahoma"/>
            <family val="2"/>
          </rPr>
          <t>Magda le Roux:</t>
        </r>
        <r>
          <rPr>
            <sz val="9"/>
            <color indexed="81"/>
            <rFont val="Tahoma"/>
            <family val="2"/>
          </rPr>
          <t xml:space="preserve">
raw water not indicated prior 2018</t>
        </r>
      </text>
    </comment>
    <comment ref="G105" authorId="1" shapeId="0">
      <text>
        <r>
          <rPr>
            <b/>
            <sz val="9"/>
            <color indexed="81"/>
            <rFont val="Tahoma"/>
            <family val="2"/>
          </rPr>
          <t>Magda le Roux:</t>
        </r>
        <r>
          <rPr>
            <sz val="9"/>
            <color indexed="81"/>
            <rFont val="Tahoma"/>
            <family val="2"/>
          </rPr>
          <t xml:space="preserve">
amendin 2017 fY from 219612 to 2196120 due wron readings in 2016</t>
        </r>
      </text>
    </comment>
    <comment ref="L105" authorId="1" shapeId="0">
      <text>
        <r>
          <rPr>
            <b/>
            <sz val="9"/>
            <color indexed="81"/>
            <rFont val="Tahoma"/>
            <family val="2"/>
          </rPr>
          <t>Magda le Roux:</t>
        </r>
        <r>
          <rPr>
            <sz val="9"/>
            <color indexed="81"/>
            <rFont val="Tahoma"/>
            <family val="2"/>
          </rPr>
          <t xml:space="preserve">
reproted in 2016 as groundwater</t>
        </r>
      </text>
    </comment>
    <comment ref="AA106" authorId="0" shapeId="0">
      <text>
        <r>
          <rPr>
            <b/>
            <sz val="9"/>
            <color indexed="81"/>
            <rFont val="Tahoma"/>
            <family val="2"/>
          </rPr>
          <t>Marietjie Reynecke:</t>
        </r>
        <r>
          <rPr>
            <sz val="9"/>
            <color indexed="81"/>
            <rFont val="Tahoma"/>
            <family val="2"/>
          </rPr>
          <t xml:space="preserve">
16 641 369 m3 error removed.
No data was recorded for re-used water at KEM for FY 2016</t>
        </r>
      </text>
    </comment>
    <comment ref="AD106" authorId="1" shapeId="0">
      <text>
        <r>
          <rPr>
            <b/>
            <sz val="9"/>
            <color indexed="81"/>
            <rFont val="Tahoma"/>
            <family val="2"/>
          </rPr>
          <t>Magda le Roux:</t>
        </r>
        <r>
          <rPr>
            <sz val="9"/>
            <color indexed="81"/>
            <rFont val="Tahoma"/>
            <family val="2"/>
          </rPr>
          <t xml:space="preserve">
80% waste water; 205 wetland (surface)</t>
        </r>
      </text>
    </comment>
    <comment ref="G107" authorId="1" shapeId="0">
      <text>
        <r>
          <rPr>
            <b/>
            <sz val="9"/>
            <color indexed="81"/>
            <rFont val="Tahoma"/>
            <family val="2"/>
          </rPr>
          <t>Magda le Roux:</t>
        </r>
        <r>
          <rPr>
            <sz val="9"/>
            <color indexed="81"/>
            <rFont val="Tahoma"/>
            <family val="2"/>
          </rPr>
          <t xml:space="preserve">
exxtraolated value mlr as a result of faulty meters in Q2 and Q4: amended from reported 428500</t>
        </r>
      </text>
    </comment>
    <comment ref="E108" authorId="0" shapeId="0">
      <text>
        <r>
          <rPr>
            <b/>
            <sz val="9"/>
            <color indexed="81"/>
            <rFont val="Tahoma"/>
            <family val="2"/>
          </rPr>
          <t>Marietjie Reynecke:</t>
        </r>
        <r>
          <rPr>
            <sz val="9"/>
            <color indexed="81"/>
            <rFont val="Tahoma"/>
            <family val="2"/>
          </rPr>
          <t xml:space="preserve">
Updated calculation to exclude dewatering</t>
        </r>
      </text>
    </comment>
    <comment ref="A109" authorId="1" shapeId="0">
      <text>
        <r>
          <rPr>
            <b/>
            <sz val="9"/>
            <color indexed="81"/>
            <rFont val="Tahoma"/>
            <family val="2"/>
          </rPr>
          <t>Magda le Roux:</t>
        </r>
        <r>
          <rPr>
            <sz val="9"/>
            <color indexed="81"/>
            <rFont val="Tahoma"/>
            <family val="2"/>
          </rPr>
          <t xml:space="preserve">
in past  (2012-2015) off mine's potable water included in sSR. Not included in these totals</t>
        </r>
      </text>
    </comment>
    <comment ref="G109" authorId="1" shapeId="0">
      <text>
        <r>
          <rPr>
            <b/>
            <sz val="9"/>
            <color indexed="81"/>
            <rFont val="Tahoma"/>
            <family val="2"/>
          </rPr>
          <t>Magda le Roux:</t>
        </r>
        <r>
          <rPr>
            <sz val="9"/>
            <color indexed="81"/>
            <rFont val="Tahoma"/>
            <family val="2"/>
          </rPr>
          <t xml:space="preserve">
amended from 1982857 due to extrpolated dewatering</t>
        </r>
      </text>
    </comment>
    <comment ref="H109" authorId="1" shapeId="0">
      <text>
        <r>
          <rPr>
            <b/>
            <sz val="9"/>
            <color indexed="81"/>
            <rFont val="Tahoma"/>
            <family val="2"/>
          </rPr>
          <t>Magda le Roux:</t>
        </r>
        <r>
          <rPr>
            <sz val="9"/>
            <color indexed="81"/>
            <rFont val="Tahoma"/>
            <family val="2"/>
          </rPr>
          <t xml:space="preserve">
amended to 3181768 from reported value of 1430249</t>
        </r>
      </text>
    </comment>
    <comment ref="L109" authorId="1" shapeId="0">
      <text>
        <r>
          <rPr>
            <b/>
            <sz val="9"/>
            <color indexed="81"/>
            <rFont val="Tahoma"/>
            <family val="2"/>
          </rPr>
          <t>Magda le Roux:</t>
        </r>
        <r>
          <rPr>
            <sz val="9"/>
            <color indexed="81"/>
            <rFont val="Tahoma"/>
            <family val="2"/>
          </rPr>
          <t xml:space="preserve">
wDL to amend from 9553186</t>
        </r>
      </text>
    </comment>
    <comment ref="AH109" authorId="1" shapeId="0">
      <text>
        <r>
          <rPr>
            <b/>
            <sz val="9"/>
            <color indexed="81"/>
            <rFont val="Tahoma"/>
            <family val="2"/>
          </rPr>
          <t>Magda le Roux:</t>
        </r>
        <r>
          <rPr>
            <sz val="9"/>
            <color indexed="81"/>
            <rFont val="Tahoma"/>
            <family val="2"/>
          </rPr>
          <t xml:space="preserve">
reported in 2016 SR as 40179468- off mine potable wter included Edit from 39217351 (2015=  39,442,203)</t>
        </r>
      </text>
    </comment>
    <comment ref="A110" authorId="1" shapeId="0">
      <text>
        <r>
          <rPr>
            <b/>
            <sz val="9"/>
            <color indexed="81"/>
            <rFont val="Tahoma"/>
            <family val="2"/>
          </rPr>
          <t>Magda le Roux:</t>
        </r>
        <r>
          <rPr>
            <sz val="9"/>
            <color indexed="81"/>
            <rFont val="Tahoma"/>
            <family val="2"/>
          </rPr>
          <t xml:space="preserve">
target = 1.55m3/t  by 2020</t>
        </r>
      </text>
    </comment>
    <comment ref="AH110" authorId="1" shapeId="0">
      <text>
        <r>
          <rPr>
            <b/>
            <sz val="9"/>
            <color indexed="81"/>
            <rFont val="Tahoma"/>
            <family val="2"/>
          </rPr>
          <t>Magda le Roux:</t>
        </r>
        <r>
          <rPr>
            <sz val="9"/>
            <color indexed="81"/>
            <rFont val="Tahoma"/>
            <family val="2"/>
          </rPr>
          <t xml:space="preserve">
decreased from 2015 2.23 with 11%</t>
        </r>
      </text>
    </comment>
    <comment ref="P125" authorId="1" shapeId="0">
      <text>
        <r>
          <rPr>
            <b/>
            <sz val="9"/>
            <color indexed="81"/>
            <rFont val="Tahoma"/>
            <family val="2"/>
          </rPr>
          <t>Magda le Roux:</t>
        </r>
        <r>
          <rPr>
            <sz val="9"/>
            <color indexed="81"/>
            <rFont val="Tahoma"/>
            <family val="2"/>
          </rPr>
          <t xml:space="preserve">
in line with reproted quarterly values. Thes values were replaced  by the re-stated values in the excel water data base as well as annual sustainaibility reporting</t>
        </r>
      </text>
    </comment>
    <comment ref="R125" authorId="1" shapeId="0">
      <text>
        <r>
          <rPr>
            <b/>
            <sz val="9"/>
            <color indexed="81"/>
            <rFont val="Tahoma"/>
            <family val="2"/>
          </rPr>
          <t>Magda le Roux:</t>
        </r>
        <r>
          <rPr>
            <sz val="9"/>
            <color indexed="81"/>
            <rFont val="Tahoma"/>
            <family val="2"/>
          </rPr>
          <t xml:space="preserve">
transferred to WDL annual values in water data sheet for FY 2019</t>
        </r>
      </text>
    </comment>
    <comment ref="T125" authorId="1" shapeId="0">
      <text>
        <r>
          <rPr>
            <b/>
            <sz val="9"/>
            <color indexed="81"/>
            <rFont val="Tahoma"/>
            <family val="2"/>
          </rPr>
          <t>Magda le Roux:</t>
        </r>
        <r>
          <rPr>
            <sz val="9"/>
            <color indexed="81"/>
            <rFont val="Tahoma"/>
            <family val="2"/>
          </rPr>
          <t xml:space="preserve">
in line with reproted quarterly values. Thes values were replaced  by the re-stated values in the excel water data base as well as annual sustainaibility reporting</t>
        </r>
      </text>
    </comment>
    <comment ref="F128" authorId="1" shapeId="0">
      <text>
        <r>
          <rPr>
            <b/>
            <sz val="9"/>
            <color indexed="81"/>
            <rFont val="Tahoma"/>
            <family val="2"/>
          </rPr>
          <t>Magda le Roux:</t>
        </r>
        <r>
          <rPr>
            <sz val="9"/>
            <color indexed="81"/>
            <rFont val="Tahoma"/>
            <family val="2"/>
          </rPr>
          <t xml:space="preserve">
raw water not indicated prior 2018</t>
        </r>
      </text>
    </comment>
    <comment ref="G128" authorId="1" shapeId="0">
      <text>
        <r>
          <rPr>
            <b/>
            <sz val="9"/>
            <color indexed="81"/>
            <rFont val="Tahoma"/>
            <family val="2"/>
          </rPr>
          <t>Magda le Roux:</t>
        </r>
        <r>
          <rPr>
            <sz val="9"/>
            <color indexed="81"/>
            <rFont val="Tahoma"/>
            <family val="2"/>
          </rPr>
          <t xml:space="preserve">
amendin 2017 fY from 219612 to 2196120 due wron readings in 2016</t>
        </r>
      </text>
    </comment>
    <comment ref="L128" authorId="1" shapeId="0">
      <text>
        <r>
          <rPr>
            <b/>
            <sz val="9"/>
            <color indexed="81"/>
            <rFont val="Tahoma"/>
            <family val="2"/>
          </rPr>
          <t>Magda le Roux:</t>
        </r>
        <r>
          <rPr>
            <sz val="9"/>
            <color indexed="81"/>
            <rFont val="Tahoma"/>
            <family val="2"/>
          </rPr>
          <t xml:space="preserve">
reproted in 2016 as groundwater</t>
        </r>
      </text>
    </comment>
    <comment ref="AD128" authorId="1" shapeId="0">
      <text>
        <r>
          <rPr>
            <b/>
            <sz val="9"/>
            <color indexed="81"/>
            <rFont val="Tahoma"/>
            <family val="2"/>
          </rPr>
          <t>Magda le Roux:</t>
        </r>
        <r>
          <rPr>
            <sz val="9"/>
            <color indexed="81"/>
            <rFont val="Tahoma"/>
            <family val="2"/>
          </rPr>
          <t xml:space="preserve">
80% waste water; 205 wetland (surface)</t>
        </r>
      </text>
    </comment>
    <comment ref="AA129" authorId="0" shapeId="0">
      <text>
        <r>
          <rPr>
            <b/>
            <sz val="9"/>
            <color indexed="81"/>
            <rFont val="Tahoma"/>
            <family val="2"/>
          </rPr>
          <t>Marietjie Reynecke:</t>
        </r>
        <r>
          <rPr>
            <sz val="9"/>
            <color indexed="81"/>
            <rFont val="Tahoma"/>
            <family val="2"/>
          </rPr>
          <t xml:space="preserve">
16 641 369 m3 error removed.
No data was recorded for re-used water at KEM for FY 2016</t>
        </r>
      </text>
    </comment>
    <comment ref="G130" authorId="1" shapeId="0">
      <text>
        <r>
          <rPr>
            <b/>
            <sz val="9"/>
            <color indexed="81"/>
            <rFont val="Tahoma"/>
            <family val="2"/>
          </rPr>
          <t>Magda le Roux:</t>
        </r>
        <r>
          <rPr>
            <sz val="9"/>
            <color indexed="81"/>
            <rFont val="Tahoma"/>
            <family val="2"/>
          </rPr>
          <t xml:space="preserve">
exxtraolated value mlr as a result of faulty meters in Q2 and Q4: amended from reported 428500</t>
        </r>
      </text>
    </comment>
    <comment ref="E131" authorId="0" shapeId="0">
      <text>
        <r>
          <rPr>
            <b/>
            <sz val="9"/>
            <color indexed="81"/>
            <rFont val="Tahoma"/>
            <family val="2"/>
          </rPr>
          <t>Marietjie Reynecke:</t>
        </r>
        <r>
          <rPr>
            <sz val="9"/>
            <color indexed="81"/>
            <rFont val="Tahoma"/>
            <family val="2"/>
          </rPr>
          <t xml:space="preserve">
Updated calculation to exclude dewatering</t>
        </r>
      </text>
    </comment>
    <comment ref="A132" authorId="1" shapeId="0">
      <text>
        <r>
          <rPr>
            <b/>
            <sz val="9"/>
            <color indexed="81"/>
            <rFont val="Tahoma"/>
            <family val="2"/>
          </rPr>
          <t>Magda le Roux:</t>
        </r>
        <r>
          <rPr>
            <sz val="9"/>
            <color indexed="81"/>
            <rFont val="Tahoma"/>
            <family val="2"/>
          </rPr>
          <t xml:space="preserve">
in past  (2012-2015) off mine's potable water included in sSR. Not included in these totals</t>
        </r>
      </text>
    </comment>
    <comment ref="G132" authorId="1" shapeId="0">
      <text>
        <r>
          <rPr>
            <b/>
            <sz val="9"/>
            <color indexed="81"/>
            <rFont val="Tahoma"/>
            <family val="2"/>
          </rPr>
          <t>Magda le Roux:</t>
        </r>
        <r>
          <rPr>
            <sz val="9"/>
            <color indexed="81"/>
            <rFont val="Tahoma"/>
            <family val="2"/>
          </rPr>
          <t xml:space="preserve">
amended from 1982857 due to extrpolated dewatering</t>
        </r>
      </text>
    </comment>
    <comment ref="H132" authorId="1" shapeId="0">
      <text>
        <r>
          <rPr>
            <b/>
            <sz val="9"/>
            <color indexed="81"/>
            <rFont val="Tahoma"/>
            <family val="2"/>
          </rPr>
          <t>Magda le Roux:</t>
        </r>
        <r>
          <rPr>
            <sz val="9"/>
            <color indexed="81"/>
            <rFont val="Tahoma"/>
            <family val="2"/>
          </rPr>
          <t xml:space="preserve">
amended to 3181768 from reported value of 1430249</t>
        </r>
      </text>
    </comment>
    <comment ref="L132" authorId="1" shapeId="0">
      <text>
        <r>
          <rPr>
            <b/>
            <sz val="9"/>
            <color indexed="81"/>
            <rFont val="Tahoma"/>
            <family val="2"/>
          </rPr>
          <t>Magda le Roux:</t>
        </r>
        <r>
          <rPr>
            <sz val="9"/>
            <color indexed="81"/>
            <rFont val="Tahoma"/>
            <family val="2"/>
          </rPr>
          <t xml:space="preserve">
wDL to amend from 9553186</t>
        </r>
      </text>
    </comment>
    <comment ref="AH132" authorId="1" shapeId="0">
      <text>
        <r>
          <rPr>
            <b/>
            <sz val="9"/>
            <color indexed="81"/>
            <rFont val="Tahoma"/>
            <family val="2"/>
          </rPr>
          <t>Magda le Roux:</t>
        </r>
        <r>
          <rPr>
            <sz val="9"/>
            <color indexed="81"/>
            <rFont val="Tahoma"/>
            <family val="2"/>
          </rPr>
          <t xml:space="preserve">
reported in 2016 SR as 40179468- off mine potable wter included Edit from 39217351 (2015=  39,442,203)</t>
        </r>
      </text>
    </comment>
    <comment ref="A133" authorId="1" shapeId="0">
      <text>
        <r>
          <rPr>
            <b/>
            <sz val="9"/>
            <color indexed="81"/>
            <rFont val="Tahoma"/>
            <family val="2"/>
          </rPr>
          <t>Magda le Roux:</t>
        </r>
        <r>
          <rPr>
            <sz val="9"/>
            <color indexed="81"/>
            <rFont val="Tahoma"/>
            <family val="2"/>
          </rPr>
          <t xml:space="preserve">
target = 1.55m3/t  by 2020</t>
        </r>
      </text>
    </comment>
    <comment ref="AH133" authorId="1" shapeId="0">
      <text>
        <r>
          <rPr>
            <b/>
            <sz val="9"/>
            <color indexed="81"/>
            <rFont val="Tahoma"/>
            <family val="2"/>
          </rPr>
          <t>Magda le Roux:</t>
        </r>
        <r>
          <rPr>
            <sz val="9"/>
            <color indexed="81"/>
            <rFont val="Tahoma"/>
            <family val="2"/>
          </rPr>
          <t xml:space="preserve">
decreased from 2015 2.23 with 11%</t>
        </r>
      </text>
    </comment>
    <comment ref="S152" authorId="1" shapeId="0">
      <text>
        <r>
          <rPr>
            <b/>
            <sz val="9"/>
            <color indexed="81"/>
            <rFont val="Tahoma"/>
            <family val="2"/>
          </rPr>
          <t>Magda le Roux:</t>
        </r>
        <r>
          <rPr>
            <sz val="9"/>
            <color indexed="81"/>
            <rFont val="Tahoma"/>
            <family val="2"/>
          </rPr>
          <t xml:space="preserve">
amended from 12948 202.35</t>
        </r>
      </text>
    </comment>
    <comment ref="B154" authorId="1" shapeId="0">
      <text>
        <r>
          <rPr>
            <b/>
            <sz val="9"/>
            <color indexed="81"/>
            <rFont val="Tahoma"/>
            <family val="2"/>
          </rPr>
          <t>Magda le Roux:</t>
        </r>
        <r>
          <rPr>
            <sz val="9"/>
            <color indexed="81"/>
            <rFont val="Tahoma"/>
            <family val="2"/>
          </rPr>
          <t xml:space="preserve">
include off and on mine pot water, raw wter and dewatering</t>
        </r>
      </text>
    </comment>
    <comment ref="C154" authorId="1" shapeId="0">
      <text>
        <r>
          <rPr>
            <b/>
            <sz val="9"/>
            <color indexed="81"/>
            <rFont val="Tahoma"/>
            <family val="2"/>
          </rPr>
          <t>Magda le Roux:</t>
        </r>
        <r>
          <rPr>
            <sz val="9"/>
            <color indexed="81"/>
            <rFont val="Tahoma"/>
            <family val="2"/>
          </rPr>
          <t xml:space="preserve">
exclude off mine potable water</t>
        </r>
      </text>
    </comment>
    <comment ref="N162" authorId="1" shapeId="0">
      <text>
        <r>
          <rPr>
            <b/>
            <sz val="9"/>
            <color indexed="81"/>
            <rFont val="Tahoma"/>
            <family val="2"/>
          </rPr>
          <t>Magda le Roux:</t>
        </r>
        <r>
          <rPr>
            <sz val="9"/>
            <color indexed="81"/>
            <rFont val="Tahoma"/>
            <family val="2"/>
          </rPr>
          <t xml:space="preserve">
amended from 12948 202.35</t>
        </r>
      </text>
    </comment>
    <comment ref="N164" authorId="1" shapeId="0">
      <text>
        <r>
          <rPr>
            <b/>
            <sz val="9"/>
            <color indexed="81"/>
            <rFont val="Tahoma"/>
            <family val="2"/>
          </rPr>
          <t>Magda le Roux:</t>
        </r>
        <r>
          <rPr>
            <sz val="9"/>
            <color indexed="81"/>
            <rFont val="Tahoma"/>
            <family val="2"/>
          </rPr>
          <t xml:space="preserve">
amended from 12948 202.35</t>
        </r>
      </text>
    </comment>
    <comment ref="A170" authorId="1" shapeId="0">
      <text>
        <r>
          <rPr>
            <b/>
            <sz val="9"/>
            <color indexed="81"/>
            <rFont val="Tahoma"/>
            <family val="2"/>
          </rPr>
          <t>Magda le Roux:</t>
        </r>
        <r>
          <rPr>
            <sz val="9"/>
            <color indexed="81"/>
            <rFont val="Tahoma"/>
            <family val="2"/>
          </rPr>
          <t xml:space="preserve">
wDL values = Fy 2018 restated x 1.09</t>
        </r>
      </text>
    </comment>
    <comment ref="C171" authorId="1" shapeId="0">
      <text>
        <r>
          <rPr>
            <b/>
            <sz val="9"/>
            <color indexed="81"/>
            <rFont val="Tahoma"/>
            <family val="2"/>
          </rPr>
          <t>Magda le Roux:</t>
        </r>
        <r>
          <rPr>
            <sz val="9"/>
            <color indexed="81"/>
            <rFont val="Tahoma"/>
            <family val="2"/>
          </rPr>
          <t xml:space="preserve">
dewatering water</t>
        </r>
      </text>
    </comment>
    <comment ref="D171" authorId="1" shapeId="0">
      <text>
        <r>
          <rPr>
            <b/>
            <sz val="9"/>
            <color indexed="81"/>
            <rFont val="Tahoma"/>
            <family val="2"/>
          </rPr>
          <t>Magda le Roux:</t>
        </r>
        <r>
          <rPr>
            <sz val="9"/>
            <color indexed="81"/>
            <rFont val="Tahoma"/>
            <family val="2"/>
          </rPr>
          <t xml:space="preserve">
appliable ot KEM</t>
        </r>
      </text>
    </comment>
    <comment ref="E171" authorId="1" shapeId="0">
      <text>
        <r>
          <rPr>
            <b/>
            <sz val="9"/>
            <color indexed="81"/>
            <rFont val="Tahoma"/>
            <family val="2"/>
          </rPr>
          <t>Magda le Roux:</t>
        </r>
        <r>
          <rPr>
            <sz val="9"/>
            <color indexed="81"/>
            <rFont val="Tahoma"/>
            <family val="2"/>
          </rPr>
          <t xml:space="preserve">
on mine potable</t>
        </r>
      </text>
    </comment>
    <comment ref="F171" authorId="1" shapeId="0">
      <text>
        <r>
          <rPr>
            <b/>
            <sz val="9"/>
            <color indexed="81"/>
            <rFont val="Tahoma"/>
            <family val="2"/>
          </rPr>
          <t>Magda le Roux:</t>
        </r>
        <r>
          <rPr>
            <sz val="9"/>
            <color indexed="81"/>
            <rFont val="Tahoma"/>
            <family val="2"/>
          </rPr>
          <t xml:space="preserve">
re-use/recycled</t>
        </r>
      </text>
    </comment>
    <comment ref="B172" authorId="1" shapeId="0">
      <text>
        <r>
          <rPr>
            <b/>
            <sz val="9"/>
            <color indexed="81"/>
            <rFont val="Tahoma"/>
            <family val="2"/>
          </rPr>
          <t>Magda le Roux:</t>
        </r>
        <r>
          <rPr>
            <sz val="9"/>
            <color indexed="81"/>
            <rFont val="Tahoma"/>
            <family val="2"/>
          </rPr>
          <t xml:space="preserve">
raw water</t>
        </r>
      </text>
    </comment>
    <comment ref="B176" authorId="1" shapeId="0">
      <text>
        <r>
          <rPr>
            <b/>
            <sz val="9"/>
            <color indexed="81"/>
            <rFont val="Tahoma"/>
            <family val="2"/>
          </rPr>
          <t>Magda le Roux:</t>
        </r>
        <r>
          <rPr>
            <sz val="9"/>
            <color indexed="81"/>
            <rFont val="Tahoma"/>
            <family val="2"/>
          </rPr>
          <t xml:space="preserve">
=WDL 2018 restated x 1.09 (2019 restated)</t>
        </r>
      </text>
    </comment>
    <comment ref="H179" authorId="1" shapeId="0">
      <text>
        <r>
          <rPr>
            <b/>
            <sz val="9"/>
            <color indexed="81"/>
            <rFont val="Tahoma"/>
            <family val="2"/>
          </rPr>
          <t>Magda le Roux:</t>
        </r>
        <r>
          <rPr>
            <sz val="9"/>
            <color indexed="81"/>
            <rFont val="Tahoma"/>
            <family val="2"/>
          </rPr>
          <t xml:space="preserve">
surface water - CDM surface ( river)</t>
        </r>
      </text>
    </comment>
    <comment ref="G180" authorId="1" shapeId="0">
      <text>
        <r>
          <rPr>
            <b/>
            <sz val="9"/>
            <color indexed="81"/>
            <rFont val="Tahoma"/>
            <family val="2"/>
          </rPr>
          <t>Magda le Roux:</t>
        </r>
        <r>
          <rPr>
            <sz val="9"/>
            <color indexed="81"/>
            <rFont val="Tahoma"/>
            <family val="2"/>
          </rPr>
          <t xml:space="preserve">
cdm surface or raw water</t>
        </r>
      </text>
    </comment>
    <comment ref="G182" authorId="1" shapeId="0">
      <text>
        <r>
          <rPr>
            <b/>
            <sz val="9"/>
            <color indexed="81"/>
            <rFont val="Tahoma"/>
            <family val="2"/>
          </rPr>
          <t>Magda le Roux:</t>
        </r>
        <r>
          <rPr>
            <sz val="9"/>
            <color indexed="81"/>
            <rFont val="Tahoma"/>
            <family val="2"/>
          </rPr>
          <t xml:space="preserve">
CDM raw water</t>
        </r>
      </text>
    </comment>
    <comment ref="G186" authorId="1" shapeId="0">
      <text>
        <r>
          <rPr>
            <b/>
            <sz val="9"/>
            <color indexed="81"/>
            <rFont val="Tahoma"/>
            <family val="2"/>
          </rPr>
          <t>Magda le Roux:</t>
        </r>
        <r>
          <rPr>
            <sz val="9"/>
            <color indexed="81"/>
            <rFont val="Tahoma"/>
            <family val="2"/>
          </rPr>
          <t xml:space="preserve">
surface water</t>
        </r>
      </text>
    </comment>
    <comment ref="E199" authorId="1" shapeId="0">
      <text>
        <r>
          <rPr>
            <b/>
            <sz val="9"/>
            <color indexed="81"/>
            <rFont val="Tahoma"/>
            <family val="2"/>
          </rPr>
          <t>Magda le Roux:</t>
        </r>
        <r>
          <rPr>
            <sz val="9"/>
            <color indexed="81"/>
            <rFont val="Tahoma"/>
            <family val="2"/>
          </rPr>
          <t xml:space="preserve">
re stated value</t>
        </r>
      </text>
    </comment>
    <comment ref="H201" authorId="1" shapeId="0">
      <text>
        <r>
          <rPr>
            <b/>
            <sz val="9"/>
            <color indexed="81"/>
            <rFont val="Tahoma"/>
            <family val="2"/>
          </rPr>
          <t>Magda le Roux:</t>
        </r>
        <r>
          <rPr>
            <sz val="9"/>
            <color indexed="81"/>
            <rFont val="Tahoma"/>
            <family val="2"/>
          </rPr>
          <t xml:space="preserve">
do not add up as  this colums  clean water intake is also reported as surface water</t>
        </r>
      </text>
    </comment>
    <comment ref="A218" authorId="1" shapeId="0">
      <text>
        <r>
          <rPr>
            <b/>
            <sz val="9"/>
            <color indexed="81"/>
            <rFont val="Tahoma"/>
            <family val="2"/>
          </rPr>
          <t>Magda le Roux:</t>
        </r>
        <r>
          <rPr>
            <sz val="9"/>
            <color indexed="81"/>
            <rFont val="Tahoma"/>
            <family val="2"/>
          </rPr>
          <t xml:space="preserve">
CONVERSION factor = 2.079 (m3/2.079 = tonnes)</t>
        </r>
      </text>
    </comment>
    <comment ref="F219" authorId="1" shapeId="0">
      <text>
        <r>
          <rPr>
            <b/>
            <sz val="9"/>
            <color indexed="81"/>
            <rFont val="Tahoma"/>
            <family val="2"/>
          </rPr>
          <t>Magda le Roux:</t>
        </r>
        <r>
          <rPr>
            <sz val="9"/>
            <color indexed="81"/>
            <rFont val="Tahoma"/>
            <family val="2"/>
          </rPr>
          <t xml:space="preserve">
1185-354.96 =830.04 t less in 2017</t>
        </r>
      </text>
    </comment>
    <comment ref="A220" authorId="1" shapeId="0">
      <text>
        <r>
          <rPr>
            <b/>
            <sz val="9"/>
            <color indexed="81"/>
            <rFont val="Tahoma"/>
            <family val="2"/>
          </rPr>
          <t>Magda le Roux:</t>
        </r>
        <r>
          <rPr>
            <sz val="9"/>
            <color indexed="81"/>
            <rFont val="Tahoma"/>
            <family val="2"/>
          </rPr>
          <t xml:space="preserve">
Replace non-haz waste with domestic waste?</t>
        </r>
      </text>
    </comment>
    <comment ref="E220" authorId="1" shapeId="0">
      <text>
        <r>
          <rPr>
            <b/>
            <sz val="9"/>
            <color indexed="81"/>
            <rFont val="Tahoma"/>
            <family val="2"/>
          </rPr>
          <t>Magda le Roux:</t>
        </r>
        <r>
          <rPr>
            <sz val="9"/>
            <color indexed="81"/>
            <rFont val="Tahoma"/>
            <family val="2"/>
          </rPr>
          <t xml:space="preserve">
19371.70-9503.92 = 9868 t less in 2017</t>
        </r>
      </text>
    </comment>
    <comment ref="A227" authorId="1" shapeId="0">
      <text>
        <r>
          <rPr>
            <b/>
            <sz val="9"/>
            <color indexed="81"/>
            <rFont val="Tahoma"/>
            <family val="2"/>
          </rPr>
          <t>Magda le Roux:</t>
        </r>
        <r>
          <rPr>
            <sz val="9"/>
            <color indexed="81"/>
            <rFont val="Tahoma"/>
            <family val="2"/>
          </rPr>
          <t xml:space="preserve">
VAT increased from 2018 1= 14% to 2019 =15%</t>
        </r>
      </text>
    </comment>
    <comment ref="D228" authorId="1" shapeId="0">
      <text>
        <r>
          <rPr>
            <b/>
            <sz val="9"/>
            <color indexed="81"/>
            <rFont val="Tahoma"/>
            <family val="2"/>
          </rPr>
          <t>Magda le Roux:</t>
        </r>
        <r>
          <rPr>
            <sz val="9"/>
            <color indexed="81"/>
            <rFont val="Tahoma"/>
            <family val="2"/>
          </rPr>
          <t xml:space="preserve">
vat inlcusive</t>
        </r>
      </text>
    </comment>
    <comment ref="F228" authorId="1" shapeId="0">
      <text>
        <r>
          <rPr>
            <b/>
            <sz val="9"/>
            <color indexed="81"/>
            <rFont val="Tahoma"/>
            <family val="2"/>
          </rPr>
          <t>Magda le Roux:</t>
        </r>
        <r>
          <rPr>
            <sz val="9"/>
            <color indexed="81"/>
            <rFont val="Tahoma"/>
            <family val="2"/>
          </rPr>
          <t xml:space="preserve">
vat inlcusive</t>
        </r>
      </text>
    </comment>
    <comment ref="G228" authorId="1" shapeId="0">
      <text>
        <r>
          <rPr>
            <b/>
            <sz val="9"/>
            <color indexed="81"/>
            <rFont val="Tahoma"/>
            <family val="2"/>
          </rPr>
          <t>Magda le Roux:</t>
        </r>
        <r>
          <rPr>
            <sz val="9"/>
            <color indexed="81"/>
            <rFont val="Tahoma"/>
            <family val="2"/>
          </rPr>
          <t xml:space="preserve">
average R14.19 /USD; TZS 2270/$USD</t>
        </r>
      </text>
    </comment>
    <comment ref="C229" authorId="1" shapeId="0">
      <text>
        <r>
          <rPr>
            <b/>
            <sz val="9"/>
            <color indexed="81"/>
            <rFont val="Tahoma"/>
            <family val="2"/>
          </rPr>
          <t>Magda le Roux:</t>
        </r>
        <r>
          <rPr>
            <sz val="9"/>
            <color indexed="81"/>
            <rFont val="Tahoma"/>
            <family val="2"/>
          </rPr>
          <t xml:space="preserve">
conversion factor  (rand to dollar)= 0.076</t>
        </r>
      </text>
    </comment>
    <comment ref="E229" authorId="1" shapeId="0">
      <text>
        <r>
          <rPr>
            <b/>
            <sz val="9"/>
            <color indexed="81"/>
            <rFont val="Tahoma"/>
            <family val="2"/>
          </rPr>
          <t>Magda le Roux:</t>
        </r>
        <r>
          <rPr>
            <sz val="9"/>
            <color indexed="81"/>
            <rFont val="Tahoma"/>
            <family val="2"/>
          </rPr>
          <t xml:space="preserve">
1 USD = TZS 2 229.00;
1USD = ZAR 12.8557 (average rate)</t>
        </r>
      </text>
    </comment>
    <comment ref="F229" authorId="1" shapeId="0">
      <text>
        <r>
          <rPr>
            <b/>
            <sz val="9"/>
            <color indexed="81"/>
            <rFont val="Tahoma"/>
            <family val="2"/>
          </rPr>
          <t>Magda le Roux:</t>
        </r>
        <r>
          <rPr>
            <sz val="9"/>
            <color indexed="81"/>
            <rFont val="Tahoma"/>
            <family val="2"/>
          </rPr>
          <t xml:space="preserve">
exchange rate 1$USD = 2270TZS; 1USD = ZAR14.19</t>
        </r>
      </text>
    </comment>
    <comment ref="G229" authorId="1" shapeId="0">
      <text>
        <r>
          <rPr>
            <b/>
            <sz val="9"/>
            <color indexed="81"/>
            <rFont val="Tahoma"/>
            <family val="2"/>
          </rPr>
          <t>Magda le Roux:</t>
        </r>
        <r>
          <rPr>
            <sz val="9"/>
            <color indexed="81"/>
            <rFont val="Tahoma"/>
            <family val="2"/>
          </rPr>
          <t xml:space="preserve">
1 USD = TZS 2 270.00;
1USD = ZAR 14.19 (average rate)</t>
        </r>
      </text>
    </comment>
    <comment ref="F230" authorId="1" shapeId="0">
      <text>
        <r>
          <rPr>
            <b/>
            <sz val="9"/>
            <color indexed="81"/>
            <rFont val="Tahoma"/>
            <family val="2"/>
          </rPr>
          <t>Magda le Roux:</t>
        </r>
        <r>
          <rPr>
            <sz val="9"/>
            <color indexed="81"/>
            <rFont val="Tahoma"/>
            <family val="2"/>
          </rPr>
          <t xml:space="preserve">
general = 539 804; hazardous = 110 376</t>
        </r>
      </text>
    </comment>
    <comment ref="D231" authorId="1" shapeId="0">
      <text>
        <r>
          <rPr>
            <b/>
            <sz val="9"/>
            <color indexed="81"/>
            <rFont val="Tahoma"/>
            <family val="2"/>
          </rPr>
          <t>Magda le Roux:</t>
        </r>
        <r>
          <rPr>
            <sz val="9"/>
            <color indexed="81"/>
            <rFont val="Tahoma"/>
            <family val="2"/>
          </rPr>
          <t xml:space="preserve">
without vAT= 3178856.61</t>
        </r>
      </text>
    </comment>
    <comment ref="F231" authorId="1" shapeId="0">
      <text>
        <r>
          <rPr>
            <b/>
            <sz val="9"/>
            <color indexed="81"/>
            <rFont val="Tahoma"/>
            <family val="2"/>
          </rPr>
          <t>Magda le Roux:</t>
        </r>
        <r>
          <rPr>
            <sz val="9"/>
            <color indexed="81"/>
            <rFont val="Tahoma"/>
            <family val="2"/>
          </rPr>
          <t xml:space="preserve">
without 15% VAT = 3 178 856.61</t>
        </r>
      </text>
    </comment>
    <comment ref="F232" authorId="1" shapeId="0">
      <text>
        <r>
          <rPr>
            <b/>
            <sz val="9"/>
            <color indexed="81"/>
            <rFont val="Tahoma"/>
            <family val="2"/>
          </rPr>
          <t>Magda le Roux:</t>
        </r>
        <r>
          <rPr>
            <sz val="9"/>
            <color indexed="81"/>
            <rFont val="Tahoma"/>
            <family val="2"/>
          </rPr>
          <t xml:space="preserve">
inlcude contract, equipment and hazardous costs. No costs for disposal of general waste- disposed by mine at municipla landfill site. Mlr split in ration 1:4 in line with 2018 ration of 1:4.6 Mine dispose itself o</t>
        </r>
      </text>
    </comment>
    <comment ref="F233" authorId="1" shapeId="0">
      <text>
        <r>
          <rPr>
            <b/>
            <sz val="9"/>
            <color indexed="81"/>
            <rFont val="Tahoma"/>
            <family val="2"/>
          </rPr>
          <t>Magda le Roux:</t>
        </r>
        <r>
          <rPr>
            <sz val="9"/>
            <color indexed="81"/>
            <rFont val="Tahoma"/>
            <family val="2"/>
          </rPr>
          <t xml:space="preserve">
10034240.98 Tsh/month refuce collection/disposal in mine camp; Tsh1812740.07/month incineration medical waste </t>
        </r>
      </text>
    </comment>
    <comment ref="F235" authorId="1" shapeId="0">
      <text>
        <r>
          <rPr>
            <b/>
            <sz val="9"/>
            <color indexed="81"/>
            <rFont val="Tahoma"/>
            <family val="2"/>
          </rPr>
          <t>Magda le Roux:</t>
        </r>
        <r>
          <rPr>
            <sz val="9"/>
            <color indexed="81"/>
            <rFont val="Tahoma"/>
            <family val="2"/>
          </rPr>
          <t xml:space="preserve">
10034240.98 Tsh/month refuce collection/disposal in mine camp; Tsh1812740.07/month incineration medical waste </t>
        </r>
      </text>
    </comment>
    <comment ref="K236" authorId="1" shapeId="0">
      <text>
        <r>
          <rPr>
            <b/>
            <sz val="9"/>
            <color indexed="81"/>
            <rFont val="Tahoma"/>
            <family val="2"/>
          </rPr>
          <t>Magda le Roux:</t>
        </r>
        <r>
          <rPr>
            <sz val="9"/>
            <color indexed="81"/>
            <rFont val="Tahoma"/>
            <family val="2"/>
          </rPr>
          <t xml:space="preserve">
decrease in total waste produced as % from 2017 to 2018 excluding WDl scrap steel 2018</t>
        </r>
      </text>
    </comment>
    <comment ref="D240" authorId="1" shapeId="0">
      <text>
        <r>
          <rPr>
            <b/>
            <sz val="9"/>
            <color indexed="81"/>
            <rFont val="Tahoma"/>
            <family val="2"/>
          </rPr>
          <t>Magda le Roux:</t>
        </r>
        <r>
          <rPr>
            <sz val="9"/>
            <color indexed="81"/>
            <rFont val="Tahoma"/>
            <family val="2"/>
          </rPr>
          <t xml:space="preserve">
without vat=792953.42
</t>
        </r>
      </text>
    </comment>
    <comment ref="F241" authorId="1" shapeId="0">
      <text>
        <r>
          <rPr>
            <b/>
            <sz val="9"/>
            <color indexed="81"/>
            <rFont val="Tahoma"/>
            <family val="2"/>
          </rPr>
          <t>Magda le Roux:</t>
        </r>
        <r>
          <rPr>
            <sz val="9"/>
            <color indexed="81"/>
            <rFont val="Tahoma"/>
            <family val="2"/>
          </rPr>
          <t xml:space="preserve">
no split available. Mlr split in ration 1:4 in line with 2018 ration of 1:4.6 Mine dispose itself of general waste to local landfill site</t>
        </r>
      </text>
    </comment>
    <comment ref="B242" authorId="1" shapeId="0">
      <text>
        <r>
          <rPr>
            <b/>
            <sz val="9"/>
            <color indexed="81"/>
            <rFont val="Tahoma"/>
            <family val="2"/>
          </rPr>
          <t>Magda le Roux:</t>
        </r>
        <r>
          <rPr>
            <sz val="9"/>
            <color indexed="81"/>
            <rFont val="Tahoma"/>
            <family val="2"/>
          </rPr>
          <t xml:space="preserve">
was reported as 135641256 initially and later as 19547880</t>
        </r>
      </text>
    </comment>
    <comment ref="C242" authorId="1" shapeId="0">
      <text>
        <r>
          <rPr>
            <b/>
            <sz val="9"/>
            <color indexed="81"/>
            <rFont val="Tahoma"/>
            <family val="2"/>
          </rPr>
          <t>Magda le Roux:</t>
        </r>
        <r>
          <rPr>
            <sz val="9"/>
            <color indexed="81"/>
            <rFont val="Tahoma"/>
            <family val="2"/>
          </rPr>
          <t xml:space="preserve">
1 dollar = 2239 T shilling; initially 60 581  that changed to8730.63</t>
        </r>
      </text>
    </comment>
    <comment ref="D247" authorId="1" shapeId="0">
      <text>
        <r>
          <rPr>
            <b/>
            <sz val="9"/>
            <color indexed="81"/>
            <rFont val="Tahoma"/>
            <family val="2"/>
          </rPr>
          <t>Magda le Roux:</t>
        </r>
        <r>
          <rPr>
            <sz val="9"/>
            <color indexed="81"/>
            <rFont val="Tahoma"/>
            <family val="2"/>
          </rPr>
          <t xml:space="preserve">
split of Interwaste payments not available</t>
        </r>
      </text>
    </comment>
    <comment ref="F247" authorId="1" shapeId="0">
      <text>
        <r>
          <rPr>
            <b/>
            <sz val="9"/>
            <color indexed="81"/>
            <rFont val="Tahoma"/>
            <family val="2"/>
          </rPr>
          <t>Magda le Roux:</t>
        </r>
        <r>
          <rPr>
            <sz val="9"/>
            <color indexed="81"/>
            <rFont val="Tahoma"/>
            <family val="2"/>
          </rPr>
          <t xml:space="preserve">
total 650 180, but rebated = 218 833.21</t>
        </r>
      </text>
    </comment>
    <comment ref="F248" authorId="1" shapeId="0">
      <text>
        <r>
          <rPr>
            <b/>
            <sz val="9"/>
            <color indexed="81"/>
            <rFont val="Tahoma"/>
            <family val="2"/>
          </rPr>
          <t>Magda le Roux:</t>
        </r>
        <r>
          <rPr>
            <sz val="9"/>
            <color indexed="81"/>
            <rFont val="Tahoma"/>
            <family val="2"/>
          </rPr>
          <t xml:space="preserve">
3926 430.11 witout 15% VAT</t>
        </r>
      </text>
    </comment>
    <comment ref="D250" authorId="1" shapeId="0">
      <text>
        <r>
          <rPr>
            <b/>
            <sz val="9"/>
            <color indexed="81"/>
            <rFont val="Tahoma"/>
            <family val="2"/>
          </rPr>
          <t>Magda le Roux:</t>
        </r>
        <r>
          <rPr>
            <sz val="9"/>
            <color indexed="81"/>
            <rFont val="Tahoma"/>
            <family val="2"/>
          </rPr>
          <t xml:space="preserve">
1USD = TZS 2 229.00</t>
        </r>
      </text>
    </comment>
    <comment ref="D252" authorId="1" shapeId="0">
      <text>
        <r>
          <rPr>
            <b/>
            <sz val="9"/>
            <color indexed="81"/>
            <rFont val="Tahoma"/>
            <family val="2"/>
          </rPr>
          <t>Magda le Roux:</t>
        </r>
        <r>
          <rPr>
            <sz val="9"/>
            <color indexed="81"/>
            <rFont val="Tahoma"/>
            <family val="2"/>
          </rPr>
          <t xml:space="preserve">
1USD = TZS 2 229.00</t>
        </r>
      </text>
    </comment>
    <comment ref="A263" authorId="1" shapeId="0">
      <text>
        <r>
          <rPr>
            <b/>
            <sz val="9"/>
            <color indexed="81"/>
            <rFont val="Tahoma"/>
            <family val="2"/>
          </rPr>
          <t>Magda le Roux:</t>
        </r>
        <r>
          <rPr>
            <sz val="9"/>
            <color indexed="81"/>
            <rFont val="Tahoma"/>
            <family val="2"/>
          </rPr>
          <t xml:space="preserve">
no info for fY 2016 JS an WTN; CTP estimate: do 700000t/month; 700000X 12 = 8 400 000t/a; 50% coarse and 50% fines</t>
        </r>
      </text>
    </comment>
    <comment ref="Q267" authorId="1" shapeId="0">
      <text>
        <r>
          <rPr>
            <b/>
            <sz val="9"/>
            <color indexed="81"/>
            <rFont val="Tahoma"/>
            <family val="2"/>
          </rPr>
          <t>Magda le Roux:</t>
        </r>
        <r>
          <rPr>
            <sz val="9"/>
            <color indexed="81"/>
            <rFont val="Tahoma"/>
            <family val="2"/>
          </rPr>
          <t xml:space="preserve">
de beerspit = 28.6ha excluded</t>
        </r>
      </text>
    </comment>
    <comment ref="I272" authorId="1" shapeId="0">
      <text>
        <r>
          <rPr>
            <b/>
            <sz val="9"/>
            <color indexed="81"/>
            <rFont val="Tahoma"/>
            <family val="2"/>
          </rPr>
          <t>Magda le Roux:</t>
        </r>
        <r>
          <rPr>
            <sz val="9"/>
            <color indexed="81"/>
            <rFont val="Tahoma"/>
            <family val="2"/>
          </rPr>
          <t xml:space="preserve">
0.15 ha rock stockpile not inlcuded - stored in plant</t>
        </r>
      </text>
    </comment>
    <comment ref="G282" authorId="1" shapeId="0">
      <text>
        <r>
          <rPr>
            <b/>
            <sz val="9"/>
            <color indexed="81"/>
            <rFont val="Tahoma"/>
            <family val="2"/>
          </rPr>
          <t>Magda le Roux:</t>
        </r>
        <r>
          <rPr>
            <sz val="9"/>
            <color indexed="81"/>
            <rFont val="Tahoma"/>
            <family val="2"/>
          </rPr>
          <t xml:space="preserve">
reported in 2018 SR</t>
        </r>
      </text>
    </comment>
    <comment ref="J283" authorId="1" shapeId="0">
      <text>
        <r>
          <rPr>
            <b/>
            <sz val="9"/>
            <color indexed="81"/>
            <rFont val="Tahoma"/>
            <family val="2"/>
          </rPr>
          <t>Magda le Roux:</t>
        </r>
        <r>
          <rPr>
            <sz val="9"/>
            <color indexed="81"/>
            <rFont val="Tahoma"/>
            <family val="2"/>
          </rPr>
          <t xml:space="preserve">
3274 reported and not 3600 as was reproted</t>
        </r>
      </text>
    </comment>
    <comment ref="M283" authorId="1" shapeId="0">
      <text>
        <r>
          <rPr>
            <b/>
            <sz val="9"/>
            <color indexed="81"/>
            <rFont val="Tahoma"/>
            <family val="2"/>
          </rPr>
          <t>Magda le Roux:</t>
        </r>
        <r>
          <rPr>
            <sz val="9"/>
            <color indexed="81"/>
            <rFont val="Tahoma"/>
            <family val="2"/>
          </rPr>
          <t xml:space="preserve">
3274 reported and not 3600 as was reproted</t>
        </r>
      </text>
    </comment>
    <comment ref="M289" authorId="1" shapeId="0">
      <text>
        <r>
          <rPr>
            <b/>
            <sz val="9"/>
            <color indexed="81"/>
            <rFont val="Tahoma"/>
            <family val="2"/>
          </rPr>
          <t>Magda le Roux:</t>
        </r>
        <r>
          <rPr>
            <sz val="9"/>
            <color indexed="81"/>
            <rFont val="Tahoma"/>
            <family val="2"/>
          </rPr>
          <t xml:space="preserve">
FY 2019 exchange rate = 1USD= R14.19</t>
        </r>
      </text>
    </comment>
    <comment ref="I290" authorId="1" shapeId="0">
      <text>
        <r>
          <rPr>
            <b/>
            <sz val="9"/>
            <color indexed="81"/>
            <rFont val="Tahoma"/>
            <family val="2"/>
          </rPr>
          <t>Magda le Roux:</t>
        </r>
        <r>
          <rPr>
            <sz val="9"/>
            <color indexed="81"/>
            <rFont val="Tahoma"/>
            <family val="2"/>
          </rPr>
          <t xml:space="preserve">
exc rate = 12.86 (12.8557)</t>
        </r>
      </text>
    </comment>
    <comment ref="J290" authorId="1" shapeId="0">
      <text>
        <r>
          <rPr>
            <b/>
            <sz val="9"/>
            <color indexed="81"/>
            <rFont val="Tahoma"/>
            <family val="2"/>
          </rPr>
          <t>Magda le Roux:</t>
        </r>
        <r>
          <rPr>
            <sz val="9"/>
            <color indexed="81"/>
            <rFont val="Tahoma"/>
            <family val="2"/>
          </rPr>
          <t xml:space="preserve">
used average exchange rate of 1 USD = ZAR 12.8557</t>
        </r>
      </text>
    </comment>
    <comment ref="K290" authorId="1" shapeId="0">
      <text>
        <r>
          <rPr>
            <b/>
            <sz val="9"/>
            <color indexed="81"/>
            <rFont val="Tahoma"/>
            <family val="2"/>
          </rPr>
          <t>Magda le Roux:</t>
        </r>
        <r>
          <rPr>
            <sz val="9"/>
            <color indexed="81"/>
            <rFont val="Tahoma"/>
            <family val="2"/>
          </rPr>
          <t xml:space="preserve">
exchange rate Y 2018</t>
        </r>
      </text>
    </comment>
  </commentList>
</comments>
</file>

<file path=xl/comments18.xml><?xml version="1.0" encoding="utf-8"?>
<comments xmlns="http://schemas.openxmlformats.org/spreadsheetml/2006/main">
  <authors>
    <author>Magda le Roux</author>
  </authors>
  <commentList>
    <comment ref="V9" authorId="0" shapeId="0">
      <text>
        <r>
          <rPr>
            <b/>
            <sz val="9"/>
            <color indexed="81"/>
            <rFont val="Tahoma"/>
            <family val="2"/>
          </rPr>
          <t>Magda le Roux:</t>
        </r>
        <r>
          <rPr>
            <sz val="9"/>
            <color indexed="81"/>
            <rFont val="Tahoma"/>
            <family val="2"/>
          </rPr>
          <t xml:space="preserve">
Excl VAT values used for calculation</t>
        </r>
      </text>
    </comment>
    <comment ref="F21" authorId="0" shapeId="0">
      <text>
        <r>
          <rPr>
            <b/>
            <sz val="9"/>
            <color indexed="81"/>
            <rFont val="Tahoma"/>
            <family val="2"/>
          </rPr>
          <t>Magda le Roux:</t>
        </r>
        <r>
          <rPr>
            <sz val="9"/>
            <color indexed="81"/>
            <rFont val="Tahoma"/>
            <family val="2"/>
          </rPr>
          <t xml:space="preserve">
Tech Guidelines GHG reporting: Annex D (SA cal values: tier 1= 38.1MJ/l)and Annex A (IPCC default EF: tier 1= 74100kg CO2/TJ)</t>
        </r>
      </text>
    </comment>
    <comment ref="G21" authorId="0" shapeId="0">
      <text>
        <r>
          <rPr>
            <b/>
            <sz val="9"/>
            <color indexed="81"/>
            <rFont val="Tahoma"/>
            <family val="2"/>
          </rPr>
          <t>Magda le Roux:</t>
        </r>
        <r>
          <rPr>
            <sz val="9"/>
            <color indexed="81"/>
            <rFont val="Tahoma"/>
            <family val="2"/>
          </rPr>
          <t xml:space="preserve">
Tech Guidelines GHG reporting: Annex D (SA cal values: tier 1= 38.1 MJ/l)and Annex A (IPCC default EF: tier 1 = 3 kg CH4/TJ</t>
        </r>
      </text>
    </comment>
    <comment ref="H21" authorId="0" shapeId="0">
      <text>
        <r>
          <rPr>
            <b/>
            <sz val="9"/>
            <color indexed="81"/>
            <rFont val="Tahoma"/>
            <family val="2"/>
          </rPr>
          <t>Magda le Roux:</t>
        </r>
        <r>
          <rPr>
            <sz val="9"/>
            <color indexed="81"/>
            <rFont val="Tahoma"/>
            <family val="2"/>
          </rPr>
          <t xml:space="preserve">
Tech Guidelines GHG reporting: Annex D (SA cal values: tier 1= 38.1 MJ/l)and Annex A (IPCC default EF: tier 1 = 0.6 kg  N2O/TJ)</t>
        </r>
      </text>
    </comment>
    <comment ref="F22" authorId="0" shapeId="0">
      <text>
        <r>
          <rPr>
            <b/>
            <sz val="9"/>
            <color indexed="81"/>
            <rFont val="Tahoma"/>
            <family val="2"/>
          </rPr>
          <t>Magda le Roux:</t>
        </r>
        <r>
          <rPr>
            <sz val="9"/>
            <color indexed="81"/>
            <rFont val="Tahoma"/>
            <family val="2"/>
          </rPr>
          <t xml:space="preserve">
Tech Guidelines GHG reporting: Annex D (SA cal values: tier 1= 38.1MJ/l)and Annex A (IPCC default EF: tier 1= 74100kg CO2/TJ)</t>
        </r>
      </text>
    </comment>
    <comment ref="G22" authorId="0" shapeId="0">
      <text>
        <r>
          <rPr>
            <b/>
            <sz val="9"/>
            <color indexed="81"/>
            <rFont val="Tahoma"/>
            <family val="2"/>
          </rPr>
          <t>Magda le Roux:</t>
        </r>
        <r>
          <rPr>
            <sz val="9"/>
            <color indexed="81"/>
            <rFont val="Tahoma"/>
            <family val="2"/>
          </rPr>
          <t xml:space="preserve">
Tech Guidelines GHG reporting: Annex D (SA cal values: tier 1= 38.1 MJ/l)and Annex A (IPCC default EF: tier 1 = 3 kg CH4/TJ</t>
        </r>
      </text>
    </comment>
    <comment ref="H22" authorId="0" shapeId="0">
      <text>
        <r>
          <rPr>
            <b/>
            <sz val="9"/>
            <color indexed="81"/>
            <rFont val="Tahoma"/>
            <family val="2"/>
          </rPr>
          <t>Magda le Roux:</t>
        </r>
        <r>
          <rPr>
            <sz val="9"/>
            <color indexed="81"/>
            <rFont val="Tahoma"/>
            <family val="2"/>
          </rPr>
          <t xml:space="preserve">
reporting: Annex D (SA cal values: tier 1= 38.1 MJ/l)and Annex A (IPCC default EF: tier 1 = 0.6 kg  N2O/TJ)</t>
        </r>
      </text>
    </comment>
    <comment ref="I22" authorId="0" shapeId="0">
      <text>
        <r>
          <rPr>
            <b/>
            <sz val="9"/>
            <color indexed="81"/>
            <rFont val="Tahoma"/>
            <family val="2"/>
          </rPr>
          <t>Magda le Roux:</t>
        </r>
        <r>
          <rPr>
            <sz val="9"/>
            <color indexed="81"/>
            <rFont val="Tahoma"/>
            <family val="2"/>
          </rPr>
          <t xml:space="preserve">
d= 0.845kg/l, thus 1l = 0.845kg=0.000845t; NCV = 38.1MJ/l =0.0000381TJ/l=0.0000381TJ/0.000845t =0.045089 TJ/T</t>
        </r>
      </text>
    </comment>
    <comment ref="F23" authorId="0" shapeId="0">
      <text>
        <r>
          <rPr>
            <b/>
            <sz val="9"/>
            <color indexed="81"/>
            <rFont val="Tahoma"/>
            <family val="2"/>
          </rPr>
          <t>Magda le Roux:</t>
        </r>
        <r>
          <rPr>
            <sz val="9"/>
            <color indexed="81"/>
            <rFont val="Tahoma"/>
            <family val="2"/>
          </rPr>
          <t xml:space="preserve">
Tech Guidelines GHG reporting: Annex D (SA cal values: tier 1= 46.1 MJ/kg)and Annex A (IPCC default EF: tier 1= 63100kg CO2/TJ)</t>
        </r>
      </text>
    </comment>
    <comment ref="G23" authorId="0" shapeId="0">
      <text>
        <r>
          <rPr>
            <b/>
            <sz val="9"/>
            <color indexed="81"/>
            <rFont val="Tahoma"/>
            <family val="2"/>
          </rPr>
          <t>Magda le Roux:</t>
        </r>
        <r>
          <rPr>
            <sz val="9"/>
            <color indexed="81"/>
            <rFont val="Tahoma"/>
            <family val="2"/>
          </rPr>
          <t xml:space="preserve">
Tech Guidelines GHG reporting: Annex D (SA cal values: tier 1= 46.1 MJ/kg)and Annex A (IPCC default EF: tier 1 = 1 kg CH4/TJ)</t>
        </r>
      </text>
    </comment>
    <comment ref="H23" authorId="0" shapeId="0">
      <text>
        <r>
          <rPr>
            <b/>
            <sz val="9"/>
            <color indexed="81"/>
            <rFont val="Tahoma"/>
            <family val="2"/>
          </rPr>
          <t>Magda le Roux:</t>
        </r>
        <r>
          <rPr>
            <sz val="9"/>
            <color indexed="81"/>
            <rFont val="Tahoma"/>
            <family val="2"/>
          </rPr>
          <t xml:space="preserve">
Tech Guidelines GHG reporting: Annex D (SA cal values: tier 1= 46.1 MJ/kg)and Annex A (IPCC default EF: tier 1 = 0.1 kg N2O/TJ)</t>
        </r>
      </text>
    </comment>
    <comment ref="I23" authorId="0" shapeId="0">
      <text>
        <r>
          <rPr>
            <b/>
            <sz val="9"/>
            <color indexed="81"/>
            <rFont val="Tahoma"/>
            <family val="2"/>
          </rPr>
          <t>Magda le Roux:</t>
        </r>
        <r>
          <rPr>
            <sz val="9"/>
            <color indexed="81"/>
            <rFont val="Tahoma"/>
            <family val="2"/>
          </rPr>
          <t xml:space="preserve">
cal value SA = 46.1MJ/kg, thus 0.0000461TJ/kg = 0.0461 TJ/T</t>
        </r>
      </text>
    </comment>
    <comment ref="Q23" authorId="0" shapeId="0">
      <text>
        <r>
          <rPr>
            <b/>
            <sz val="9"/>
            <color indexed="81"/>
            <rFont val="Tahoma"/>
            <family val="2"/>
          </rPr>
          <t>Magda le Roux:</t>
        </r>
        <r>
          <rPr>
            <sz val="9"/>
            <color indexed="81"/>
            <rFont val="Tahoma"/>
            <family val="2"/>
          </rPr>
          <t xml:space="preserve">
MJ/kg</t>
        </r>
      </text>
    </comment>
    <comment ref="R23" authorId="0" shapeId="0">
      <text>
        <r>
          <rPr>
            <b/>
            <sz val="9"/>
            <color indexed="81"/>
            <rFont val="Tahoma"/>
            <family val="2"/>
          </rPr>
          <t>Magda le Roux:</t>
        </r>
        <r>
          <rPr>
            <sz val="9"/>
            <color indexed="81"/>
            <rFont val="Tahoma"/>
            <family val="2"/>
          </rPr>
          <t xml:space="preserve">
TJ/kg</t>
        </r>
      </text>
    </comment>
    <comment ref="V23" authorId="0" shapeId="0">
      <text>
        <r>
          <rPr>
            <b/>
            <sz val="9"/>
            <color indexed="81"/>
            <rFont val="Tahoma"/>
            <family val="2"/>
          </rPr>
          <t>Magda le Roux:</t>
        </r>
        <r>
          <rPr>
            <sz val="9"/>
            <color indexed="81"/>
            <rFont val="Tahoma"/>
            <family val="2"/>
          </rPr>
          <t xml:space="preserve">
KG</t>
        </r>
      </text>
    </comment>
    <comment ref="G24" authorId="0" shapeId="0">
      <text>
        <r>
          <rPr>
            <b/>
            <sz val="9"/>
            <color indexed="81"/>
            <rFont val="Tahoma"/>
            <family val="2"/>
          </rPr>
          <t>Magda le Roux:</t>
        </r>
        <r>
          <rPr>
            <sz val="9"/>
            <color indexed="81"/>
            <rFont val="Tahoma"/>
            <family val="2"/>
          </rPr>
          <t xml:space="preserve">
Tech Guidelines GHG reporting: Annex D (SA cal values: tier 1= 38.1 MJ/l)and Annex A (IPCC default EF: tier 1 = 3 kg CH4/TJ</t>
        </r>
      </text>
    </comment>
    <comment ref="H24" authorId="0" shapeId="0">
      <text>
        <r>
          <rPr>
            <b/>
            <sz val="9"/>
            <color indexed="81"/>
            <rFont val="Tahoma"/>
            <family val="2"/>
          </rPr>
          <t>Magda le Roux:</t>
        </r>
        <r>
          <rPr>
            <sz val="9"/>
            <color indexed="81"/>
            <rFont val="Tahoma"/>
            <family val="2"/>
          </rPr>
          <t xml:space="preserve">
reporting: Annex D (SA cal values: tier 1= 38.1 MJ/l)and Annex A (IPCC default EF: tier 1 = 0.6 kg  N2O/TJ)</t>
        </r>
      </text>
    </comment>
    <comment ref="I24" authorId="0" shapeId="0">
      <text>
        <r>
          <rPr>
            <b/>
            <sz val="9"/>
            <color indexed="81"/>
            <rFont val="Tahoma"/>
            <family val="2"/>
          </rPr>
          <t>Magda le Roux:</t>
        </r>
        <r>
          <rPr>
            <sz val="9"/>
            <color indexed="81"/>
            <rFont val="Tahoma"/>
            <family val="2"/>
          </rPr>
          <t xml:space="preserve">
d= 0.845kg/l, thus 1l = 0.845kg=0.000845t; NCV = 38.1MJ/l =0.0000381TJ/l=0.0000381TJ/0.000845t =0.045089 TJ/T</t>
        </r>
      </text>
    </comment>
    <comment ref="F25" authorId="0" shapeId="0">
      <text>
        <r>
          <rPr>
            <b/>
            <sz val="9"/>
            <color indexed="81"/>
            <rFont val="Tahoma"/>
            <family val="2"/>
          </rPr>
          <t>Magda le Roux:</t>
        </r>
        <r>
          <rPr>
            <sz val="9"/>
            <color indexed="81"/>
            <rFont val="Tahoma"/>
            <family val="2"/>
          </rPr>
          <t xml:space="preserve">
Tech Guidelines GHG reporting: Annex D (SA cal values: tier 1= 46.1 MJ/kg)and Annex A (IPCC default EF: tier 1= 63100kg CO2/TJ)</t>
        </r>
      </text>
    </comment>
    <comment ref="G25" authorId="0" shapeId="0">
      <text>
        <r>
          <rPr>
            <b/>
            <sz val="9"/>
            <color indexed="81"/>
            <rFont val="Tahoma"/>
            <family val="2"/>
          </rPr>
          <t>Magda le Roux:</t>
        </r>
        <r>
          <rPr>
            <sz val="9"/>
            <color indexed="81"/>
            <rFont val="Tahoma"/>
            <family val="2"/>
          </rPr>
          <t xml:space="preserve">
Tech Guidelines GHG reporting: Annex D (SA cal values: tier 1= 46.1 MJ/kg)and Annex A (IPCC default EF: tier 1 = 1 kg CH4/TJ)</t>
        </r>
      </text>
    </comment>
    <comment ref="H25" authorId="0" shapeId="0">
      <text>
        <r>
          <rPr>
            <b/>
            <sz val="9"/>
            <color indexed="81"/>
            <rFont val="Tahoma"/>
            <family val="2"/>
          </rPr>
          <t>Magda le Roux:</t>
        </r>
        <r>
          <rPr>
            <sz val="9"/>
            <color indexed="81"/>
            <rFont val="Tahoma"/>
            <family val="2"/>
          </rPr>
          <t xml:space="preserve">
Tech Guidelines GHG reporting: Annex D (SA cal values: tier 1= 46.1 MJ/kg)and Annex A (IPCC default EF: tier 1 = 0.1 kg N2O/TJ)</t>
        </r>
      </text>
    </comment>
    <comment ref="I25" authorId="0" shapeId="0">
      <text>
        <r>
          <rPr>
            <b/>
            <sz val="9"/>
            <color indexed="81"/>
            <rFont val="Tahoma"/>
            <family val="2"/>
          </rPr>
          <t>Magda le Roux:</t>
        </r>
        <r>
          <rPr>
            <sz val="9"/>
            <color indexed="81"/>
            <rFont val="Tahoma"/>
            <family val="2"/>
          </rPr>
          <t xml:space="preserve">
cal value SA = 46.1MJ/kg, thus 0.0000461TJ/kg = 0.0461 TJ/T</t>
        </r>
      </text>
    </comment>
    <comment ref="Q25" authorId="0" shapeId="0">
      <text>
        <r>
          <rPr>
            <b/>
            <sz val="9"/>
            <color indexed="81"/>
            <rFont val="Tahoma"/>
            <family val="2"/>
          </rPr>
          <t>Magda le Roux:</t>
        </r>
        <r>
          <rPr>
            <sz val="9"/>
            <color indexed="81"/>
            <rFont val="Tahoma"/>
            <family val="2"/>
          </rPr>
          <t xml:space="preserve">
MJ/kg</t>
        </r>
      </text>
    </comment>
    <comment ref="R25" authorId="0" shapeId="0">
      <text>
        <r>
          <rPr>
            <b/>
            <sz val="9"/>
            <color indexed="81"/>
            <rFont val="Tahoma"/>
            <family val="2"/>
          </rPr>
          <t>Magda le Roux:</t>
        </r>
        <r>
          <rPr>
            <sz val="9"/>
            <color indexed="81"/>
            <rFont val="Tahoma"/>
            <family val="2"/>
          </rPr>
          <t xml:space="preserve">
TJ/kg</t>
        </r>
      </text>
    </comment>
    <comment ref="V25" authorId="0" shapeId="0">
      <text>
        <r>
          <rPr>
            <b/>
            <sz val="9"/>
            <color indexed="81"/>
            <rFont val="Tahoma"/>
            <family val="2"/>
          </rPr>
          <t>Magda le Roux:</t>
        </r>
        <r>
          <rPr>
            <sz val="9"/>
            <color indexed="81"/>
            <rFont val="Tahoma"/>
            <family val="2"/>
          </rPr>
          <t xml:space="preserve">
KG</t>
        </r>
      </text>
    </comment>
    <comment ref="G26" authorId="0" shapeId="0">
      <text>
        <r>
          <rPr>
            <b/>
            <sz val="9"/>
            <color indexed="81"/>
            <rFont val="Tahoma"/>
            <family val="2"/>
          </rPr>
          <t>Magda le Roux:</t>
        </r>
        <r>
          <rPr>
            <sz val="9"/>
            <color indexed="81"/>
            <rFont val="Tahoma"/>
            <family val="2"/>
          </rPr>
          <t xml:space="preserve">
Tech Guidelines GHG reporting: Annex D (SA cal values: tier 1= 38.1 MJ/l)and Annex A (IPCC default EF: tier 1 = 3 kg CH4/TJ</t>
        </r>
      </text>
    </comment>
    <comment ref="H26" authorId="0" shapeId="0">
      <text>
        <r>
          <rPr>
            <b/>
            <sz val="9"/>
            <color indexed="81"/>
            <rFont val="Tahoma"/>
            <family val="2"/>
          </rPr>
          <t>Magda le Roux:</t>
        </r>
        <r>
          <rPr>
            <sz val="9"/>
            <color indexed="81"/>
            <rFont val="Tahoma"/>
            <family val="2"/>
          </rPr>
          <t xml:space="preserve">
reporting: Annex D (SA cal values: tier 1= 38.1 MJ/l)and Annex A (IPCC default EF: tier 1 = 0.6 kg  N2O/TJ)</t>
        </r>
      </text>
    </comment>
    <comment ref="I26" authorId="0" shapeId="0">
      <text>
        <r>
          <rPr>
            <b/>
            <sz val="9"/>
            <color indexed="81"/>
            <rFont val="Tahoma"/>
            <family val="2"/>
          </rPr>
          <t>Magda le Roux:</t>
        </r>
        <r>
          <rPr>
            <sz val="9"/>
            <color indexed="81"/>
            <rFont val="Tahoma"/>
            <family val="2"/>
          </rPr>
          <t xml:space="preserve">
d= 0.845kg/l, thus 1l = 0.845kg=0.000845t; NCV = 38.1MJ/l =0.0000381TJ/l=0.0000381TJ/0.000845t =0.045089 TJ/T</t>
        </r>
      </text>
    </comment>
    <comment ref="F27" authorId="0" shapeId="0">
      <text>
        <r>
          <rPr>
            <b/>
            <sz val="9"/>
            <color indexed="81"/>
            <rFont val="Tahoma"/>
            <family val="2"/>
          </rPr>
          <t>Magda le Roux:</t>
        </r>
        <r>
          <rPr>
            <sz val="9"/>
            <color indexed="81"/>
            <rFont val="Tahoma"/>
            <family val="2"/>
          </rPr>
          <t xml:space="preserve">
Tech Guidelines GHG reporting: Annex D (SA cal values: tier 1= 46.1 MJ/kg)and Annex A (IPCC default EF: tier 1= 63100kg CO2/TJ)</t>
        </r>
      </text>
    </comment>
    <comment ref="G27" authorId="0" shapeId="0">
      <text>
        <r>
          <rPr>
            <b/>
            <sz val="9"/>
            <color indexed="81"/>
            <rFont val="Tahoma"/>
            <family val="2"/>
          </rPr>
          <t>Magda le Roux:</t>
        </r>
        <r>
          <rPr>
            <sz val="9"/>
            <color indexed="81"/>
            <rFont val="Tahoma"/>
            <family val="2"/>
          </rPr>
          <t xml:space="preserve">
Tech Guidelines GHG reporting: Annex D (SA cal values: tier 1= 46.1 MJ/kg)and Annex A (IPCC default EF: tier 1 = 1 kg CH4/TJ)</t>
        </r>
      </text>
    </comment>
    <comment ref="H27" authorId="0" shapeId="0">
      <text>
        <r>
          <rPr>
            <b/>
            <sz val="9"/>
            <color indexed="81"/>
            <rFont val="Tahoma"/>
            <family val="2"/>
          </rPr>
          <t>Magda le Roux:</t>
        </r>
        <r>
          <rPr>
            <sz val="9"/>
            <color indexed="81"/>
            <rFont val="Tahoma"/>
            <family val="2"/>
          </rPr>
          <t xml:space="preserve">
Tech Guidelines GHG reporting: Annex D (SA cal values: tier 1= 46.1 MJ/kg)and Annex A (IPCC default EF: tier 1 = 0.1 kg N2O/TJ)</t>
        </r>
      </text>
    </comment>
    <comment ref="I27" authorId="0" shapeId="0">
      <text>
        <r>
          <rPr>
            <b/>
            <sz val="9"/>
            <color indexed="81"/>
            <rFont val="Tahoma"/>
            <family val="2"/>
          </rPr>
          <t>Magda le Roux:</t>
        </r>
        <r>
          <rPr>
            <sz val="9"/>
            <color indexed="81"/>
            <rFont val="Tahoma"/>
            <family val="2"/>
          </rPr>
          <t xml:space="preserve">
cal value SA = 46.1MJ/kg, thus 0.0000461TJ/kg = 0.0461 TJ/T</t>
        </r>
      </text>
    </comment>
    <comment ref="Q27" authorId="0" shapeId="0">
      <text>
        <r>
          <rPr>
            <b/>
            <sz val="9"/>
            <color indexed="81"/>
            <rFont val="Tahoma"/>
            <family val="2"/>
          </rPr>
          <t>Magda le Roux:</t>
        </r>
        <r>
          <rPr>
            <sz val="9"/>
            <color indexed="81"/>
            <rFont val="Tahoma"/>
            <family val="2"/>
          </rPr>
          <t xml:space="preserve">
MJ/kg</t>
        </r>
      </text>
    </comment>
    <comment ref="R27" authorId="0" shapeId="0">
      <text>
        <r>
          <rPr>
            <b/>
            <sz val="9"/>
            <color indexed="81"/>
            <rFont val="Tahoma"/>
            <family val="2"/>
          </rPr>
          <t>Magda le Roux:</t>
        </r>
        <r>
          <rPr>
            <sz val="9"/>
            <color indexed="81"/>
            <rFont val="Tahoma"/>
            <family val="2"/>
          </rPr>
          <t xml:space="preserve">
TJ/kg</t>
        </r>
      </text>
    </comment>
    <comment ref="U27" authorId="0" shapeId="0">
      <text>
        <r>
          <rPr>
            <b/>
            <sz val="9"/>
            <color indexed="81"/>
            <rFont val="Tahoma"/>
            <family val="2"/>
          </rPr>
          <t>Magda le Roux:</t>
        </r>
        <r>
          <rPr>
            <sz val="9"/>
            <color indexed="81"/>
            <rFont val="Tahoma"/>
            <family val="2"/>
          </rPr>
          <t xml:space="preserve">
KG</t>
        </r>
      </text>
    </comment>
    <comment ref="D35" authorId="0" shapeId="0">
      <text>
        <r>
          <rPr>
            <b/>
            <sz val="9"/>
            <color indexed="81"/>
            <rFont val="Tahoma"/>
            <family val="2"/>
          </rPr>
          <t>Magda le Roux:</t>
        </r>
        <r>
          <rPr>
            <sz val="9"/>
            <color indexed="81"/>
            <rFont val="Tahoma"/>
            <family val="2"/>
          </rPr>
          <t xml:space="preserve">
Fuel Combustion Civil aviation: Jet fuel combusted by company plane (Jet fuel A1 d= 0.79kg/l) (Mobile combustion)Passenger or diamond transport- above 100 000 l/year</t>
        </r>
      </text>
    </comment>
    <comment ref="F35" authorId="0" shapeId="0">
      <text>
        <r>
          <rPr>
            <b/>
            <sz val="9"/>
            <color indexed="81"/>
            <rFont val="Tahoma"/>
            <family val="2"/>
          </rPr>
          <t>Magda le Roux:</t>
        </r>
        <r>
          <rPr>
            <sz val="9"/>
            <color indexed="81"/>
            <rFont val="Tahoma"/>
            <family val="2"/>
          </rPr>
          <t xml:space="preserve">
Tech Guidelines GHG reporting: Annex D (SA cal values: tier 1= 37.5 MJ/l)and Annex A (IPCC default EF: tier 1 = 71 500kg CO2/TJ)</t>
        </r>
      </text>
    </comment>
    <comment ref="G35" authorId="0" shapeId="0">
      <text>
        <r>
          <rPr>
            <b/>
            <sz val="9"/>
            <color indexed="81"/>
            <rFont val="Tahoma"/>
            <family val="2"/>
          </rPr>
          <t>Magda le Roux:</t>
        </r>
        <r>
          <rPr>
            <sz val="9"/>
            <color indexed="81"/>
            <rFont val="Tahoma"/>
            <family val="2"/>
          </rPr>
          <t xml:space="preserve">
reporting: Annex D (SA cal values: tier 1= 37.5 MJ/l)and Annex A (IPCC default EF: tier 1 = 0.5 kg CH4/TJ)</t>
        </r>
      </text>
    </comment>
    <comment ref="H35" authorId="0" shapeId="0">
      <text>
        <r>
          <rPr>
            <b/>
            <sz val="9"/>
            <color indexed="81"/>
            <rFont val="Tahoma"/>
            <family val="2"/>
          </rPr>
          <t>Magda le Roux:</t>
        </r>
        <r>
          <rPr>
            <sz val="9"/>
            <color indexed="81"/>
            <rFont val="Tahoma"/>
            <family val="2"/>
          </rPr>
          <t xml:space="preserve">
Tech Guidelines GHG reporting: Annex D (SA cal values: tier 1= 37.5 MJ/l)and Annex A (IPCC default EF: tier 1 = 2.0 kg N2O/TJ)</t>
        </r>
      </text>
    </comment>
    <comment ref="N50" authorId="0" shapeId="0">
      <text>
        <r>
          <rPr>
            <b/>
            <sz val="9"/>
            <color indexed="81"/>
            <rFont val="Tahoma"/>
            <family val="2"/>
          </rPr>
          <t>Magda le Roux:</t>
        </r>
        <r>
          <rPr>
            <sz val="9"/>
            <color indexed="81"/>
            <rFont val="Tahoma"/>
            <family val="2"/>
          </rPr>
          <t xml:space="preserve">
may not be less than 0, thus report 0 if it is a negative value</t>
        </r>
      </text>
    </comment>
    <comment ref="N51" authorId="0" shapeId="0">
      <text>
        <r>
          <rPr>
            <b/>
            <sz val="9"/>
            <color indexed="81"/>
            <rFont val="Tahoma"/>
            <family val="2"/>
          </rPr>
          <t>Magda le Roux:</t>
        </r>
        <r>
          <rPr>
            <sz val="9"/>
            <color indexed="81"/>
            <rFont val="Tahoma"/>
            <family val="2"/>
          </rPr>
          <t xml:space="preserve">
report 0</t>
        </r>
      </text>
    </comment>
    <comment ref="N52" authorId="0" shapeId="0">
      <text>
        <r>
          <rPr>
            <b/>
            <sz val="9"/>
            <color indexed="81"/>
            <rFont val="Tahoma"/>
            <family val="2"/>
          </rPr>
          <t>Magda le Roux:</t>
        </r>
        <r>
          <rPr>
            <sz val="9"/>
            <color indexed="81"/>
            <rFont val="Tahoma"/>
            <family val="2"/>
          </rPr>
          <t xml:space="preserve">
report 0</t>
        </r>
      </text>
    </comment>
  </commentList>
</comments>
</file>

<file path=xl/comments19.xml><?xml version="1.0" encoding="utf-8"?>
<comments xmlns="http://schemas.openxmlformats.org/spreadsheetml/2006/main">
  <authors>
    <author>Magda le Roux</author>
  </authors>
  <commentList>
    <comment ref="S2" authorId="0" shapeId="0">
      <text>
        <r>
          <rPr>
            <b/>
            <sz val="9"/>
            <color indexed="81"/>
            <rFont val="Tahoma"/>
            <family val="2"/>
          </rPr>
          <t>Magda le Roux:</t>
        </r>
        <r>
          <rPr>
            <sz val="9"/>
            <color indexed="81"/>
            <rFont val="Tahoma"/>
            <family val="2"/>
          </rPr>
          <t xml:space="preserve">
GWP: CO2=1; CH4 = 23; N2O=296</t>
        </r>
      </text>
    </comment>
    <comment ref="W2" authorId="0" shapeId="0">
      <text>
        <r>
          <rPr>
            <b/>
            <sz val="9"/>
            <color indexed="81"/>
            <rFont val="Tahoma"/>
            <family val="2"/>
          </rPr>
          <t>Magda le Roux:</t>
        </r>
        <r>
          <rPr>
            <sz val="9"/>
            <color indexed="81"/>
            <rFont val="Tahoma"/>
            <family val="2"/>
          </rPr>
          <t xml:space="preserve">
tax methodology</t>
        </r>
      </text>
    </comment>
    <comment ref="E3" authorId="0" shapeId="0">
      <text>
        <r>
          <rPr>
            <b/>
            <sz val="9"/>
            <color indexed="81"/>
            <rFont val="Tahoma"/>
            <family val="2"/>
          </rPr>
          <t>Magda le Roux:</t>
        </r>
        <r>
          <rPr>
            <sz val="9"/>
            <color indexed="81"/>
            <rFont val="Tahoma"/>
            <family val="2"/>
          </rPr>
          <t xml:space="preserve">
litres diesel x 38.1 MJ/l  /1000000
</t>
        </r>
      </text>
    </comment>
    <comment ref="G3" authorId="0" shapeId="0">
      <text>
        <r>
          <rPr>
            <b/>
            <sz val="9"/>
            <color indexed="81"/>
            <rFont val="Tahoma"/>
            <family val="2"/>
          </rPr>
          <t>Magda le Roux:</t>
        </r>
        <r>
          <rPr>
            <sz val="9"/>
            <color indexed="81"/>
            <rFont val="Tahoma"/>
            <family val="2"/>
          </rPr>
          <t xml:space="preserve">
0.138TJ x  74100kg CO2/TJ  /1000</t>
        </r>
      </text>
    </comment>
    <comment ref="J3" authorId="0" shapeId="0">
      <text>
        <r>
          <rPr>
            <b/>
            <sz val="9"/>
            <color indexed="81"/>
            <rFont val="Tahoma"/>
            <family val="2"/>
          </rPr>
          <t>Magda le Roux:</t>
        </r>
        <r>
          <rPr>
            <sz val="9"/>
            <color indexed="81"/>
            <rFont val="Tahoma"/>
            <family val="2"/>
          </rPr>
          <t xml:space="preserve">
0.138 * 3 /1000
</t>
        </r>
      </text>
    </comment>
    <comment ref="M3" authorId="0" shapeId="0">
      <text>
        <r>
          <rPr>
            <b/>
            <sz val="9"/>
            <color indexed="81"/>
            <rFont val="Tahoma"/>
            <family val="2"/>
          </rPr>
          <t>Magda le Roux:</t>
        </r>
        <r>
          <rPr>
            <sz val="9"/>
            <color indexed="81"/>
            <rFont val="Tahoma"/>
            <family val="2"/>
          </rPr>
          <t xml:space="preserve">
0.138 x 0.6/1000</t>
        </r>
      </text>
    </comment>
    <comment ref="X3" authorId="0" shapeId="0">
      <text>
        <r>
          <rPr>
            <b/>
            <sz val="9"/>
            <color indexed="81"/>
            <rFont val="Tahoma"/>
            <family val="2"/>
          </rPr>
          <t>Magda le Roux:</t>
        </r>
        <r>
          <rPr>
            <sz val="9"/>
            <color indexed="81"/>
            <rFont val="Tahoma"/>
            <family val="2"/>
          </rPr>
          <t xml:space="preserve">
iPCC cal value = 0.043 TJ/tonne</t>
        </r>
      </text>
    </comment>
    <comment ref="Y3" authorId="0" shapeId="0">
      <text>
        <r>
          <rPr>
            <b/>
            <sz val="9"/>
            <color indexed="81"/>
            <rFont val="Tahoma"/>
            <family val="2"/>
          </rPr>
          <t>Magda le Roux:</t>
        </r>
        <r>
          <rPr>
            <sz val="9"/>
            <color indexed="81"/>
            <rFont val="Tahoma"/>
            <family val="2"/>
          </rPr>
          <t xml:space="preserve">
 density  (SA) =  0.845kg/l  ;
mass in t = density/1000 x litres</t>
        </r>
      </text>
    </comment>
    <comment ref="E4" authorId="0" shapeId="0">
      <text>
        <r>
          <rPr>
            <b/>
            <sz val="9"/>
            <color indexed="81"/>
            <rFont val="Tahoma"/>
            <family val="2"/>
          </rPr>
          <t>Magda le Roux:</t>
        </r>
        <r>
          <rPr>
            <sz val="9"/>
            <color indexed="81"/>
            <rFont val="Tahoma"/>
            <family val="2"/>
          </rPr>
          <t xml:space="preserve">
kg LPG * 46.1/1000000
</t>
        </r>
      </text>
    </comment>
    <comment ref="X4" authorId="0" shapeId="0">
      <text>
        <r>
          <rPr>
            <b/>
            <sz val="9"/>
            <color indexed="81"/>
            <rFont val="Tahoma"/>
            <family val="2"/>
          </rPr>
          <t>Magda le Roux:</t>
        </r>
        <r>
          <rPr>
            <sz val="9"/>
            <color indexed="81"/>
            <rFont val="Tahoma"/>
            <family val="2"/>
          </rPr>
          <t xml:space="preserve">
IPCC cal value for LPG =0.0473TJ/tonne</t>
        </r>
      </text>
    </comment>
    <comment ref="E5" authorId="0" shapeId="0">
      <text>
        <r>
          <rPr>
            <b/>
            <sz val="9"/>
            <color indexed="81"/>
            <rFont val="Tahoma"/>
            <family val="2"/>
          </rPr>
          <t>Magda le Roux:</t>
        </r>
        <r>
          <rPr>
            <sz val="9"/>
            <color indexed="81"/>
            <rFont val="Tahoma"/>
            <family val="2"/>
          </rPr>
          <t xml:space="preserve">
39 251  litres/mine x 37.5 MJ/l /1000 000</t>
        </r>
      </text>
    </comment>
    <comment ref="V5" authorId="0" shapeId="0">
      <text>
        <r>
          <rPr>
            <b/>
            <sz val="9"/>
            <color indexed="81"/>
            <rFont val="Tahoma"/>
            <family val="2"/>
          </rPr>
          <t>Magda le Roux:</t>
        </r>
        <r>
          <rPr>
            <sz val="9"/>
            <color indexed="81"/>
            <rFont val="Tahoma"/>
            <family val="2"/>
          </rPr>
          <t xml:space="preserve">
2018 values</t>
        </r>
      </text>
    </comment>
    <comment ref="X5" authorId="0" shapeId="0">
      <text>
        <r>
          <rPr>
            <b/>
            <sz val="9"/>
            <color indexed="81"/>
            <rFont val="Tahoma"/>
            <family val="2"/>
          </rPr>
          <t>Magda le Roux:</t>
        </r>
        <r>
          <rPr>
            <sz val="9"/>
            <color indexed="81"/>
            <rFont val="Tahoma"/>
            <family val="2"/>
          </rPr>
          <t xml:space="preserve">
IPCC cal value for Jet gasoline = 0.0443TJ/tonne</t>
        </r>
      </text>
    </comment>
    <comment ref="Y5" authorId="0" shapeId="0">
      <text>
        <r>
          <rPr>
            <b/>
            <sz val="9"/>
            <color indexed="81"/>
            <rFont val="Tahoma"/>
            <family val="2"/>
          </rPr>
          <t>Magda le Roux:</t>
        </r>
        <r>
          <rPr>
            <sz val="9"/>
            <color indexed="81"/>
            <rFont val="Tahoma"/>
            <family val="2"/>
          </rPr>
          <t xml:space="preserve">
density  jet fuel sa = 0.79kg/l; mass (t )= density/1000 X litres fuel</t>
        </r>
      </text>
    </comment>
    <comment ref="Q6" authorId="0" shapeId="0">
      <text>
        <r>
          <rPr>
            <b/>
            <sz val="9"/>
            <color indexed="81"/>
            <rFont val="Tahoma"/>
            <family val="2"/>
          </rPr>
          <t>Magda le Roux:</t>
        </r>
        <r>
          <rPr>
            <sz val="9"/>
            <color indexed="81"/>
            <rFont val="Tahoma"/>
            <family val="2"/>
          </rPr>
          <t xml:space="preserve">
1.04 t/day - below threshold of 5t/day</t>
        </r>
      </text>
    </comment>
    <comment ref="S6" authorId="0" shapeId="0">
      <text>
        <r>
          <rPr>
            <b/>
            <sz val="9"/>
            <color indexed="81"/>
            <rFont val="Tahoma"/>
            <family val="2"/>
          </rPr>
          <t>Magda le Roux:</t>
        </r>
        <r>
          <rPr>
            <sz val="9"/>
            <color indexed="81"/>
            <rFont val="Tahoma"/>
            <family val="2"/>
          </rPr>
          <t xml:space="preserve">
report only on methane</t>
        </r>
      </text>
    </comment>
    <comment ref="Q7" authorId="0" shapeId="0">
      <text>
        <r>
          <rPr>
            <b/>
            <sz val="9"/>
            <color indexed="81"/>
            <rFont val="Tahoma"/>
            <family val="2"/>
          </rPr>
          <t>Magda le Roux:</t>
        </r>
        <r>
          <rPr>
            <sz val="9"/>
            <color indexed="81"/>
            <rFont val="Tahoma"/>
            <family val="2"/>
          </rPr>
          <t xml:space="preserve">
divide by 365 = 297.937 cub m/day = 297937 l/day - below threshold of 2 000 000l/day</t>
        </r>
      </text>
    </comment>
    <comment ref="S7" authorId="0" shapeId="0">
      <text>
        <r>
          <rPr>
            <b/>
            <sz val="9"/>
            <color indexed="81"/>
            <rFont val="Tahoma"/>
            <family val="2"/>
          </rPr>
          <t>Magda le Roux:</t>
        </r>
        <r>
          <rPr>
            <sz val="9"/>
            <color indexed="81"/>
            <rFont val="Tahoma"/>
            <family val="2"/>
          </rPr>
          <t xml:space="preserve">
Well managed aerobice WWTW: MCF = 0 thus 0 methane emissions
'Report only on methane emissions for this source</t>
        </r>
      </text>
    </comment>
    <comment ref="U9" authorId="0" shapeId="0">
      <text>
        <r>
          <rPr>
            <b/>
            <sz val="9"/>
            <color indexed="81"/>
            <rFont val="Tahoma"/>
            <family val="2"/>
          </rPr>
          <t>Magda le Roux:</t>
        </r>
        <r>
          <rPr>
            <sz val="9"/>
            <color indexed="81"/>
            <rFont val="Tahoma"/>
            <family val="2"/>
          </rPr>
          <t xml:space="preserve">
 total taxable ghg emissions with allowances considered
Tax = 3870.659</t>
        </r>
      </text>
    </comment>
    <comment ref="Z9" authorId="0" shapeId="0">
      <text>
        <r>
          <rPr>
            <b/>
            <sz val="9"/>
            <color indexed="81"/>
            <rFont val="Tahoma"/>
            <family val="2"/>
          </rPr>
          <t>Magda le Roux:</t>
        </r>
        <r>
          <rPr>
            <sz val="9"/>
            <color indexed="81"/>
            <rFont val="Tahoma"/>
            <family val="2"/>
          </rPr>
          <t xml:space="preserve">
tax bill method carbon taxable emissions with tax free allowances considered (60 +10 = 70%)</t>
        </r>
      </text>
    </comment>
    <comment ref="AA9" authorId="0" shapeId="0">
      <text>
        <r>
          <rPr>
            <b/>
            <sz val="9"/>
            <color indexed="81"/>
            <rFont val="Tahoma"/>
            <family val="2"/>
          </rPr>
          <t>Magda le Roux:</t>
        </r>
        <r>
          <rPr>
            <sz val="9"/>
            <color indexed="81"/>
            <rFont val="Tahoma"/>
            <family val="2"/>
          </rPr>
          <t xml:space="preserve">
tax at R120/t</t>
        </r>
      </text>
    </comment>
    <comment ref="S11" authorId="0" shapeId="0">
      <text>
        <r>
          <rPr>
            <b/>
            <sz val="9"/>
            <color indexed="81"/>
            <rFont val="Tahoma"/>
            <family val="2"/>
          </rPr>
          <t>Magda le Roux:</t>
        </r>
        <r>
          <rPr>
            <sz val="9"/>
            <color indexed="81"/>
            <rFont val="Tahoma"/>
            <family val="2"/>
          </rPr>
          <t xml:space="preserve">
GWP: CO2=1; CH4 = 23; N2O=296</t>
        </r>
      </text>
    </comment>
    <comment ref="W12" authorId="0" shapeId="0">
      <text>
        <r>
          <rPr>
            <b/>
            <sz val="9"/>
            <color indexed="81"/>
            <rFont val="Tahoma"/>
            <family val="2"/>
          </rPr>
          <t>Magda le Roux:</t>
        </r>
        <r>
          <rPr>
            <sz val="9"/>
            <color indexed="81"/>
            <rFont val="Tahoma"/>
            <family val="2"/>
          </rPr>
          <t xml:space="preserve">
tax methodology</t>
        </r>
      </text>
    </comment>
    <comment ref="E13" authorId="0" shapeId="0">
      <text>
        <r>
          <rPr>
            <b/>
            <sz val="9"/>
            <color indexed="81"/>
            <rFont val="Tahoma"/>
            <family val="2"/>
          </rPr>
          <t>Magda le Roux:</t>
        </r>
        <r>
          <rPr>
            <sz val="9"/>
            <color indexed="81"/>
            <rFont val="Tahoma"/>
            <family val="2"/>
          </rPr>
          <t xml:space="preserve">
litres diesel x 38.1 MJ/l  /1000000</t>
        </r>
      </text>
    </comment>
    <comment ref="E14" authorId="0" shapeId="0">
      <text>
        <r>
          <rPr>
            <b/>
            <sz val="9"/>
            <color indexed="81"/>
            <rFont val="Tahoma"/>
            <family val="2"/>
          </rPr>
          <t>Magda le Roux:</t>
        </r>
        <r>
          <rPr>
            <sz val="9"/>
            <color indexed="81"/>
            <rFont val="Tahoma"/>
            <family val="2"/>
          </rPr>
          <t xml:space="preserve">
kg LPG * 46.1/1000000
</t>
        </r>
      </text>
    </comment>
    <comment ref="E15" authorId="0" shapeId="0">
      <text>
        <r>
          <rPr>
            <b/>
            <sz val="9"/>
            <color indexed="81"/>
            <rFont val="Tahoma"/>
            <family val="2"/>
          </rPr>
          <t>Magda le Roux:</t>
        </r>
        <r>
          <rPr>
            <sz val="9"/>
            <color indexed="81"/>
            <rFont val="Tahoma"/>
            <family val="2"/>
          </rPr>
          <t xml:space="preserve">
39251litres/mine x 37.5 MJ/l /1000 000</t>
        </r>
      </text>
    </comment>
    <comment ref="V15" authorId="0" shapeId="0">
      <text>
        <r>
          <rPr>
            <b/>
            <sz val="9"/>
            <color indexed="81"/>
            <rFont val="Tahoma"/>
            <family val="2"/>
          </rPr>
          <t>Magda le Roux:</t>
        </r>
        <r>
          <rPr>
            <sz val="9"/>
            <color indexed="81"/>
            <rFont val="Tahoma"/>
            <family val="2"/>
          </rPr>
          <t xml:space="preserve">
2018 values</t>
        </r>
      </text>
    </comment>
    <comment ref="Q16" authorId="0" shapeId="0">
      <text>
        <r>
          <rPr>
            <b/>
            <sz val="9"/>
            <color indexed="81"/>
            <rFont val="Tahoma"/>
            <family val="2"/>
          </rPr>
          <t>Magda le Roux:</t>
        </r>
        <r>
          <rPr>
            <sz val="9"/>
            <color indexed="81"/>
            <rFont val="Tahoma"/>
            <family val="2"/>
          </rPr>
          <t xml:space="preserve">
0.863t/day = below threshold of 5 t/day; amended after audit to 0.683</t>
        </r>
      </text>
    </comment>
    <comment ref="S16" authorId="0" shapeId="0">
      <text>
        <r>
          <rPr>
            <b/>
            <sz val="9"/>
            <color indexed="81"/>
            <rFont val="Tahoma"/>
            <family val="2"/>
          </rPr>
          <t>Magda le Roux:</t>
        </r>
        <r>
          <rPr>
            <sz val="9"/>
            <color indexed="81"/>
            <rFont val="Tahoma"/>
            <family val="2"/>
          </rPr>
          <t xml:space="preserve">
report only on methane</t>
        </r>
      </text>
    </comment>
    <comment ref="Q17" authorId="0" shapeId="0">
      <text>
        <r>
          <rPr>
            <b/>
            <sz val="9"/>
            <color indexed="81"/>
            <rFont val="Tahoma"/>
            <family val="2"/>
          </rPr>
          <t>Magda le Roux:</t>
        </r>
        <r>
          <rPr>
            <sz val="9"/>
            <color indexed="81"/>
            <rFont val="Tahoma"/>
            <family val="2"/>
          </rPr>
          <t xml:space="preserve">
divide by 365 = 748 cub m/day = 748 000 l/day; max capacity of plant = 1.6m l/day)- below threshold of 2000000l/day</t>
        </r>
      </text>
    </comment>
    <comment ref="S17" authorId="0" shapeId="0">
      <text>
        <r>
          <rPr>
            <b/>
            <sz val="9"/>
            <color indexed="81"/>
            <rFont val="Tahoma"/>
            <family val="2"/>
          </rPr>
          <t>Magda le Roux:</t>
        </r>
        <r>
          <rPr>
            <sz val="9"/>
            <color indexed="81"/>
            <rFont val="Tahoma"/>
            <family val="2"/>
          </rPr>
          <t xml:space="preserve">
Well managed aerobic WWTW: MCF = 0 thus 0 methane emissions
'Report only on methane emissions for this source</t>
        </r>
      </text>
    </comment>
    <comment ref="S21" authorId="0" shapeId="0">
      <text>
        <r>
          <rPr>
            <b/>
            <sz val="9"/>
            <color indexed="81"/>
            <rFont val="Tahoma"/>
            <family val="2"/>
          </rPr>
          <t>Magda le Roux:</t>
        </r>
        <r>
          <rPr>
            <sz val="9"/>
            <color indexed="81"/>
            <rFont val="Tahoma"/>
            <family val="2"/>
          </rPr>
          <t xml:space="preserve">
GWP: CO2=1; CH4 = 23; N2O=296</t>
        </r>
      </text>
    </comment>
    <comment ref="W22" authorId="0" shapeId="0">
      <text>
        <r>
          <rPr>
            <b/>
            <sz val="9"/>
            <color indexed="81"/>
            <rFont val="Tahoma"/>
            <family val="2"/>
          </rPr>
          <t>Magda le Roux:</t>
        </r>
        <r>
          <rPr>
            <sz val="9"/>
            <color indexed="81"/>
            <rFont val="Tahoma"/>
            <family val="2"/>
          </rPr>
          <t xml:space="preserve">
tax methodology</t>
        </r>
      </text>
    </comment>
    <comment ref="E23" authorId="0" shapeId="0">
      <text>
        <r>
          <rPr>
            <b/>
            <sz val="9"/>
            <color indexed="81"/>
            <rFont val="Tahoma"/>
            <family val="2"/>
          </rPr>
          <t>Magda le Roux:</t>
        </r>
        <r>
          <rPr>
            <sz val="9"/>
            <color indexed="81"/>
            <rFont val="Tahoma"/>
            <family val="2"/>
          </rPr>
          <t xml:space="preserve">
litres diesel x 38.1 MJ/l  /1000000</t>
        </r>
      </text>
    </comment>
    <comment ref="E24" authorId="0" shapeId="0">
      <text>
        <r>
          <rPr>
            <b/>
            <sz val="9"/>
            <color indexed="81"/>
            <rFont val="Tahoma"/>
            <family val="2"/>
          </rPr>
          <t>Magda le Roux:</t>
        </r>
        <r>
          <rPr>
            <sz val="9"/>
            <color indexed="81"/>
            <rFont val="Tahoma"/>
            <family val="2"/>
          </rPr>
          <t xml:space="preserve">
kg LPG * 46.1/1000000
</t>
        </r>
      </text>
    </comment>
    <comment ref="E25" authorId="0" shapeId="0">
      <text>
        <r>
          <rPr>
            <b/>
            <sz val="9"/>
            <color indexed="81"/>
            <rFont val="Tahoma"/>
            <family val="2"/>
          </rPr>
          <t>Magda le Roux:</t>
        </r>
        <r>
          <rPr>
            <sz val="9"/>
            <color indexed="81"/>
            <rFont val="Tahoma"/>
            <family val="2"/>
          </rPr>
          <t xml:space="preserve">
38 582 litres/mine x 37.5 MJ/l /1000 000</t>
        </r>
      </text>
    </comment>
    <comment ref="Q26" authorId="0" shapeId="0">
      <text>
        <r>
          <rPr>
            <b/>
            <sz val="9"/>
            <color indexed="81"/>
            <rFont val="Tahoma"/>
            <family val="2"/>
          </rPr>
          <t>Magda le Roux:</t>
        </r>
        <r>
          <rPr>
            <sz val="9"/>
            <color indexed="81"/>
            <rFont val="Tahoma"/>
            <family val="2"/>
          </rPr>
          <t xml:space="preserve">
waste to municipal landfil site - NOT controlled by KDM</t>
        </r>
      </text>
    </comment>
    <comment ref="S26" authorId="0" shapeId="0">
      <text>
        <r>
          <rPr>
            <b/>
            <sz val="9"/>
            <color indexed="81"/>
            <rFont val="Tahoma"/>
            <family val="2"/>
          </rPr>
          <t>Magda le Roux:</t>
        </r>
        <r>
          <rPr>
            <sz val="9"/>
            <color indexed="81"/>
            <rFont val="Tahoma"/>
            <family val="2"/>
          </rPr>
          <t xml:space="preserve">
report only on methane</t>
        </r>
      </text>
    </comment>
    <comment ref="S27" authorId="0" shapeId="0">
      <text>
        <r>
          <rPr>
            <b/>
            <sz val="9"/>
            <color indexed="81"/>
            <rFont val="Tahoma"/>
            <family val="2"/>
          </rPr>
          <t>Magda le Roux:</t>
        </r>
        <r>
          <rPr>
            <sz val="9"/>
            <color indexed="81"/>
            <rFont val="Tahoma"/>
            <family val="2"/>
          </rPr>
          <t xml:space="preserve">
KDM does not operate WWTW- domestic effluent is sent into municipal system</t>
        </r>
      </text>
    </comment>
    <comment ref="S33" authorId="0" shapeId="0">
      <text>
        <r>
          <rPr>
            <b/>
            <sz val="9"/>
            <color indexed="81"/>
            <rFont val="Tahoma"/>
            <family val="2"/>
          </rPr>
          <t>Magda le Roux:</t>
        </r>
        <r>
          <rPr>
            <sz val="9"/>
            <color indexed="81"/>
            <rFont val="Tahoma"/>
            <family val="2"/>
          </rPr>
          <t xml:space="preserve">
GWP: CO2=1; CH4 = 23; N2O=296</t>
        </r>
      </text>
    </comment>
    <comment ref="W33" authorId="0" shapeId="0">
      <text>
        <r>
          <rPr>
            <b/>
            <sz val="9"/>
            <color indexed="81"/>
            <rFont val="Tahoma"/>
            <family val="2"/>
          </rPr>
          <t>Magda le Roux:</t>
        </r>
        <r>
          <rPr>
            <sz val="9"/>
            <color indexed="81"/>
            <rFont val="Tahoma"/>
            <family val="2"/>
          </rPr>
          <t xml:space="preserve">
tax methodology</t>
        </r>
      </text>
    </comment>
    <comment ref="A34" authorId="0" shapeId="0">
      <text>
        <r>
          <rPr>
            <b/>
            <sz val="9"/>
            <color indexed="81"/>
            <rFont val="Tahoma"/>
            <family val="2"/>
          </rPr>
          <t>Magda le Roux:</t>
        </r>
        <r>
          <rPr>
            <sz val="9"/>
            <color indexed="81"/>
            <rFont val="Tahoma"/>
            <family val="2"/>
          </rPr>
          <t xml:space="preserve">
amended values submitted as it was agreed on htat kerosene would be more accurate</t>
        </r>
      </text>
    </comment>
    <comment ref="E34" authorId="0" shapeId="0">
      <text>
        <r>
          <rPr>
            <b/>
            <sz val="9"/>
            <color indexed="81"/>
            <rFont val="Tahoma"/>
            <family val="2"/>
          </rPr>
          <t>Magda le Roux:</t>
        </r>
        <r>
          <rPr>
            <sz val="9"/>
            <color indexed="81"/>
            <rFont val="Tahoma"/>
            <family val="2"/>
          </rPr>
          <t xml:space="preserve">
117753 litres x 37.5 MJ/l /1000 000</t>
        </r>
      </text>
    </comment>
    <comment ref="V34" authorId="0" shapeId="0">
      <text>
        <r>
          <rPr>
            <b/>
            <sz val="9"/>
            <color indexed="81"/>
            <rFont val="Tahoma"/>
            <family val="2"/>
          </rPr>
          <t>Magda le Roux:</t>
        </r>
        <r>
          <rPr>
            <sz val="9"/>
            <color indexed="81"/>
            <rFont val="Tahoma"/>
            <family val="2"/>
          </rPr>
          <t xml:space="preserve">
2018 values</t>
        </r>
      </text>
    </comment>
    <comment ref="X34" authorId="0" shapeId="0">
      <text>
        <r>
          <rPr>
            <b/>
            <sz val="9"/>
            <color indexed="81"/>
            <rFont val="Tahoma"/>
            <family val="2"/>
          </rPr>
          <t>Magda le Roux:</t>
        </r>
        <r>
          <rPr>
            <sz val="9"/>
            <color indexed="81"/>
            <rFont val="Tahoma"/>
            <family val="2"/>
          </rPr>
          <t xml:space="preserve">
IPCC cal value for Jet gasoline = 0.0443TJ/tonne</t>
        </r>
      </text>
    </comment>
    <comment ref="Y34" authorId="0" shapeId="0">
      <text>
        <r>
          <rPr>
            <b/>
            <sz val="9"/>
            <color indexed="81"/>
            <rFont val="Tahoma"/>
            <family val="2"/>
          </rPr>
          <t>Magda le Roux:</t>
        </r>
        <r>
          <rPr>
            <sz val="9"/>
            <color indexed="81"/>
            <rFont val="Tahoma"/>
            <family val="2"/>
          </rPr>
          <t xml:space="preserve">
density  jet fuel sa = 0.79kg/l; mass (t )= density/1000 X litres fuel</t>
        </r>
      </text>
    </comment>
    <comment ref="L36" authorId="0" shapeId="0">
      <text>
        <r>
          <rPr>
            <b/>
            <sz val="9"/>
            <color indexed="81"/>
            <rFont val="Tahoma"/>
            <family val="2"/>
          </rPr>
          <t>Magda le Roux:</t>
        </r>
        <r>
          <rPr>
            <sz val="9"/>
            <color indexed="81"/>
            <rFont val="Tahoma"/>
            <family val="2"/>
          </rPr>
          <t xml:space="preserve">
obtained from Group integrated Excel sheets: FY 2019 (Q3 and Q4); FY 2020 (Q1 and Q2)</t>
        </r>
      </text>
    </comment>
    <comment ref="L40" authorId="0" shapeId="0">
      <text>
        <r>
          <rPr>
            <b/>
            <sz val="9"/>
            <color indexed="81"/>
            <rFont val="Tahoma"/>
            <family val="2"/>
          </rPr>
          <t>Magda le Roux:</t>
        </r>
        <r>
          <rPr>
            <sz val="9"/>
            <color indexed="81"/>
            <rFont val="Tahoma"/>
            <family val="2"/>
          </rPr>
          <t xml:space="preserve">
general  to mine owned landfill sites</t>
        </r>
      </text>
    </comment>
    <comment ref="L41" authorId="0" shapeId="0">
      <text>
        <r>
          <rPr>
            <b/>
            <sz val="9"/>
            <color indexed="81"/>
            <rFont val="Tahoma"/>
            <family val="2"/>
          </rPr>
          <t>Magda le Roux:</t>
        </r>
        <r>
          <rPr>
            <sz val="9"/>
            <color indexed="81"/>
            <rFont val="Tahoma"/>
            <family val="2"/>
          </rPr>
          <t xml:space="preserve">
domestic waste water treated in mine owned/controlled WWTWs</t>
        </r>
      </text>
    </comment>
    <comment ref="L44" authorId="0" shapeId="0">
      <text>
        <r>
          <rPr>
            <b/>
            <sz val="9"/>
            <color indexed="81"/>
            <rFont val="Tahoma"/>
            <family val="2"/>
          </rPr>
          <t>Magda le Roux:</t>
        </r>
        <r>
          <rPr>
            <sz val="9"/>
            <color indexed="81"/>
            <rFont val="Tahoma"/>
            <family val="2"/>
          </rPr>
          <t xml:space="preserve">
general  to mine owned landfill sites</t>
        </r>
      </text>
    </comment>
    <comment ref="L45" authorId="0" shapeId="0">
      <text>
        <r>
          <rPr>
            <b/>
            <sz val="9"/>
            <color indexed="81"/>
            <rFont val="Tahoma"/>
            <family val="2"/>
          </rPr>
          <t>Magda le Roux:</t>
        </r>
        <r>
          <rPr>
            <sz val="9"/>
            <color indexed="81"/>
            <rFont val="Tahoma"/>
            <family val="2"/>
          </rPr>
          <t xml:space="preserve">
domestic waste water treated in mine owned/controlled WWTWs</t>
        </r>
      </text>
    </comment>
    <comment ref="E50" authorId="0" shapeId="0">
      <text>
        <r>
          <rPr>
            <b/>
            <sz val="9"/>
            <color indexed="81"/>
            <rFont val="Tahoma"/>
            <family val="2"/>
          </rPr>
          <t>Magda le Roux:</t>
        </r>
        <r>
          <rPr>
            <sz val="9"/>
            <color indexed="81"/>
            <rFont val="Tahoma"/>
            <family val="2"/>
          </rPr>
          <t xml:space="preserve">
included chartered plane use - sc 3</t>
        </r>
      </text>
    </comment>
    <comment ref="L50" authorId="0" shapeId="0">
      <text>
        <r>
          <rPr>
            <b/>
            <sz val="9"/>
            <color indexed="81"/>
            <rFont val="Tahoma"/>
            <family val="2"/>
          </rPr>
          <t>Magda le Roux:</t>
        </r>
        <r>
          <rPr>
            <sz val="9"/>
            <color indexed="81"/>
            <rFont val="Tahoma"/>
            <family val="2"/>
          </rPr>
          <t xml:space="preserve">
data from company plane sheet in group Integrated  Excel sheet</t>
        </r>
      </text>
    </comment>
    <comment ref="L51" authorId="0" shapeId="0">
      <text>
        <r>
          <rPr>
            <b/>
            <sz val="9"/>
            <color indexed="81"/>
            <rFont val="Tahoma"/>
            <family val="2"/>
          </rPr>
          <t>Magda le Roux:</t>
        </r>
        <r>
          <rPr>
            <sz val="9"/>
            <color indexed="81"/>
            <rFont val="Tahoma"/>
            <family val="2"/>
          </rPr>
          <t xml:space="preserve">
chartered plane fuel use from company plane sheet</t>
        </r>
      </text>
    </comment>
  </commentList>
</comments>
</file>

<file path=xl/comments2.xml><?xml version="1.0" encoding="utf-8"?>
<comments xmlns="http://schemas.openxmlformats.org/spreadsheetml/2006/main">
  <authors>
    <author>Magda le Roux</author>
  </authors>
  <commentList>
    <comment ref="L1" authorId="0" shapeId="0">
      <text>
        <r>
          <rPr>
            <b/>
            <sz val="9"/>
            <color indexed="81"/>
            <rFont val="Tahoma"/>
            <family val="2"/>
          </rPr>
          <t>Magda le Roux:</t>
        </r>
        <r>
          <rPr>
            <sz val="9"/>
            <color indexed="81"/>
            <rFont val="Tahoma"/>
            <family val="2"/>
          </rPr>
          <t xml:space="preserve">
361.16 Elrina  survey Fy 2020= 212.14</t>
        </r>
      </text>
    </comment>
    <comment ref="L2" authorId="0" shapeId="0">
      <text>
        <r>
          <rPr>
            <b/>
            <sz val="9"/>
            <color indexed="81"/>
            <rFont val="Tahoma"/>
            <family val="2"/>
          </rPr>
          <t>Magda le Roux:</t>
        </r>
        <r>
          <rPr>
            <sz val="9"/>
            <color indexed="81"/>
            <rFont val="Tahoma"/>
            <family val="2"/>
          </rPr>
          <t xml:space="preserve">
survey 2020 value= 200.14; Elrina  231.37</t>
        </r>
      </text>
    </comment>
    <comment ref="V5" authorId="0" shapeId="0">
      <text>
        <r>
          <rPr>
            <b/>
            <sz val="9"/>
            <color indexed="81"/>
            <rFont val="Tahoma"/>
            <family val="2"/>
          </rPr>
          <t>Magda le Roux:</t>
        </r>
        <r>
          <rPr>
            <sz val="9"/>
            <color indexed="81"/>
            <rFont val="Tahoma"/>
            <family val="2"/>
          </rPr>
          <t xml:space="preserve">
all values inserted in sept 2020 from WDL survey data</t>
        </r>
      </text>
    </comment>
    <comment ref="L9" authorId="0" shapeId="0">
      <text>
        <r>
          <rPr>
            <b/>
            <sz val="9"/>
            <color indexed="81"/>
            <rFont val="Tahoma"/>
            <family val="2"/>
          </rPr>
          <t>Magda le Roux:</t>
        </r>
        <r>
          <rPr>
            <sz val="9"/>
            <color indexed="81"/>
            <rFont val="Tahoma"/>
            <family val="2"/>
          </rPr>
          <t xml:space="preserve">
361.16 Elrina 2019. 
 survey Fy 2020= 213.28 old slimes dams + Britz slimes dam= 122.0904</t>
        </r>
      </text>
    </comment>
    <comment ref="L10" authorId="0" shapeId="0">
      <text>
        <r>
          <rPr>
            <b/>
            <sz val="9"/>
            <color indexed="81"/>
            <rFont val="Tahoma"/>
            <family val="2"/>
          </rPr>
          <t>Magda le Roux:</t>
        </r>
        <r>
          <rPr>
            <sz val="9"/>
            <color indexed="81"/>
            <rFont val="Tahoma"/>
            <family val="2"/>
          </rPr>
          <t xml:space="preserve">
survey 2020 value= 200.14; 
Pre 79 , 66.25+ Post 79, 137.11  = 203.3556
Elrina  231.37. FY 2019.
</t>
        </r>
      </text>
    </comment>
    <comment ref="R14" authorId="0" shapeId="0">
      <text>
        <r>
          <rPr>
            <b/>
            <sz val="9"/>
            <color indexed="81"/>
            <rFont val="Tahoma"/>
            <family val="2"/>
          </rPr>
          <t>Magda le Roux:</t>
        </r>
        <r>
          <rPr>
            <sz val="9"/>
            <color indexed="81"/>
            <rFont val="Tahoma"/>
            <family val="2"/>
          </rPr>
          <t xml:space="preserve">
mlr amended in Q4 to 693.61 as confirmed by mine</t>
        </r>
      </text>
    </comment>
    <comment ref="T14" authorId="0" shapeId="0">
      <text>
        <r>
          <rPr>
            <b/>
            <sz val="9"/>
            <color indexed="81"/>
            <rFont val="Tahoma"/>
            <family val="2"/>
          </rPr>
          <t>Magda le Roux:</t>
        </r>
        <r>
          <rPr>
            <sz val="9"/>
            <color indexed="81"/>
            <rFont val="Tahoma"/>
            <family val="2"/>
          </rPr>
          <t xml:space="preserve">
mlr amend in Q4 from 699.26 to 698.48 as confirmed by mine</t>
        </r>
      </text>
    </comment>
    <comment ref="T15" authorId="0" shapeId="0">
      <text>
        <r>
          <rPr>
            <b/>
            <sz val="9"/>
            <color indexed="81"/>
            <rFont val="Tahoma"/>
            <family val="2"/>
          </rPr>
          <t>Magda le Roux:</t>
        </r>
        <r>
          <rPr>
            <sz val="9"/>
            <color indexed="81"/>
            <rFont val="Tahoma"/>
            <family val="2"/>
          </rPr>
          <t xml:space="preserve">
mine to confirm 0.58 or 2.22. mine confirmed 2.22</t>
        </r>
      </text>
    </comment>
    <comment ref="S16" authorId="0" shapeId="0">
      <text>
        <r>
          <rPr>
            <b/>
            <sz val="9"/>
            <color indexed="81"/>
            <rFont val="Tahoma"/>
            <family val="2"/>
          </rPr>
          <t>Magda le Roux:</t>
        </r>
        <r>
          <rPr>
            <sz val="9"/>
            <color indexed="81"/>
            <rFont val="Tahoma"/>
            <family val="2"/>
          </rPr>
          <t xml:space="preserve">
WDL value 402.04</t>
        </r>
      </text>
    </comment>
    <comment ref="S18" authorId="0" shapeId="0">
      <text>
        <r>
          <rPr>
            <b/>
            <sz val="9"/>
            <color indexed="81"/>
            <rFont val="Tahoma"/>
            <family val="2"/>
          </rPr>
          <t>Magda le Roux:</t>
        </r>
        <r>
          <rPr>
            <sz val="9"/>
            <color indexed="81"/>
            <rFont val="Tahoma"/>
            <family val="2"/>
          </rPr>
          <t xml:space="preserve">
WDL value 294.57</t>
        </r>
      </text>
    </comment>
    <comment ref="A20" authorId="0" shapeId="0">
      <text>
        <r>
          <rPr>
            <b/>
            <sz val="9"/>
            <color indexed="81"/>
            <rFont val="Tahoma"/>
            <family val="2"/>
          </rPr>
          <t>Magda le Roux:</t>
        </r>
        <r>
          <rPr>
            <sz val="9"/>
            <color indexed="81"/>
            <rFont val="Tahoma"/>
            <family val="2"/>
          </rPr>
          <t xml:space="preserve">
Neg percentages indicate increase in amount and pos percentage a decrease in amount (liabilitiy)</t>
        </r>
      </text>
    </comment>
    <comment ref="H21" authorId="0" shapeId="0">
      <text>
        <r>
          <rPr>
            <b/>
            <sz val="9"/>
            <color indexed="81"/>
            <rFont val="Tahoma"/>
            <family val="2"/>
          </rPr>
          <t>Magda le Roux:</t>
        </r>
        <r>
          <rPr>
            <sz val="9"/>
            <color indexed="81"/>
            <rFont val="Tahoma"/>
            <family val="2"/>
          </rPr>
          <t xml:space="preserve">
reported in Q3 as 259 242 355 Anja to confirm</t>
        </r>
      </text>
    </comment>
    <comment ref="A24" authorId="0" shapeId="0">
      <text>
        <r>
          <rPr>
            <b/>
            <sz val="9"/>
            <color indexed="81"/>
            <rFont val="Tahoma"/>
            <family val="2"/>
          </rPr>
          <t>Magda le Roux:</t>
        </r>
        <r>
          <rPr>
            <sz val="9"/>
            <color indexed="81"/>
            <rFont val="Tahoma"/>
            <family val="2"/>
          </rPr>
          <t xml:space="preserve">
Magda le Roux:
Neg percentages indicate increase in amount and pos percentage a decrease in amount (liabilitiy)</t>
        </r>
      </text>
    </comment>
    <comment ref="Q27" authorId="0" shapeId="0">
      <text>
        <r>
          <rPr>
            <b/>
            <sz val="9"/>
            <color indexed="81"/>
            <rFont val="Tahoma"/>
            <family val="2"/>
          </rPr>
          <t>Magda le Roux:</t>
        </r>
        <r>
          <rPr>
            <sz val="9"/>
            <color indexed="81"/>
            <rFont val="Tahoma"/>
            <family val="2"/>
          </rPr>
          <t xml:space="preserve">
preliminary values to be approved by mines etc. based on DMR tarifs</t>
        </r>
      </text>
    </comment>
    <comment ref="S27" authorId="0" shapeId="0">
      <text>
        <r>
          <rPr>
            <b/>
            <sz val="9"/>
            <color indexed="81"/>
            <rFont val="Tahoma"/>
            <family val="2"/>
          </rPr>
          <t>Magda le Roux:</t>
        </r>
        <r>
          <rPr>
            <sz val="9"/>
            <color indexed="81"/>
            <rFont val="Tahoma"/>
            <family val="2"/>
          </rPr>
          <t xml:space="preserve">
DMR rates acquired</t>
        </r>
      </text>
    </comment>
    <comment ref="S31" authorId="0" shapeId="0">
      <text>
        <r>
          <rPr>
            <b/>
            <sz val="9"/>
            <color indexed="81"/>
            <rFont val="Tahoma"/>
            <family val="2"/>
          </rPr>
          <t>Magda le Roux:</t>
        </r>
        <r>
          <rPr>
            <sz val="9"/>
            <color indexed="81"/>
            <rFont val="Tahoma"/>
            <family val="2"/>
          </rPr>
          <t xml:space="preserve">
347879259 available in Guard risk guarnatee</t>
        </r>
      </text>
    </comment>
  </commentList>
</comments>
</file>

<file path=xl/comments20.xml><?xml version="1.0" encoding="utf-8"?>
<comments xmlns="http://schemas.openxmlformats.org/spreadsheetml/2006/main">
  <authors>
    <author>Magda le Roux</author>
  </authors>
  <commentList>
    <comment ref="M74" authorId="0" shapeId="0">
      <text>
        <r>
          <rPr>
            <b/>
            <sz val="9"/>
            <color indexed="81"/>
            <rFont val="Tahoma"/>
            <family val="2"/>
          </rPr>
          <t>Magda le Roux:</t>
        </r>
        <r>
          <rPr>
            <sz val="9"/>
            <color indexed="81"/>
            <rFont val="Tahoma"/>
            <family val="2"/>
          </rPr>
          <t xml:space="preserve">
Magda le Roux:
Amendments: FY 2018- KEMJV out; Tanzania electricity EF=  0.529</t>
        </r>
      </text>
    </comment>
    <comment ref="P106" authorId="0" shapeId="0">
      <text>
        <r>
          <rPr>
            <b/>
            <sz val="9"/>
            <color indexed="81"/>
            <rFont val="Tahoma"/>
            <family val="2"/>
          </rPr>
          <t>Magda le Roux:</t>
        </r>
        <r>
          <rPr>
            <sz val="9"/>
            <color indexed="81"/>
            <rFont val="Tahoma"/>
            <family val="2"/>
          </rPr>
          <t xml:space="preserve">
KEM out, BR in,amended EFT Tanz electricity</t>
        </r>
      </text>
    </comment>
    <comment ref="P115" authorId="0" shapeId="0">
      <text>
        <r>
          <rPr>
            <b/>
            <sz val="9"/>
            <color indexed="81"/>
            <rFont val="Tahoma"/>
            <family val="2"/>
          </rPr>
          <t>Magda le Roux:</t>
        </r>
        <r>
          <rPr>
            <sz val="9"/>
            <color indexed="81"/>
            <rFont val="Tahoma"/>
            <family val="2"/>
          </rPr>
          <t xml:space="preserve">
USD 576418479 =
576.418479 million USD</t>
        </r>
      </text>
    </comment>
  </commentList>
</comments>
</file>

<file path=xl/comments3.xml><?xml version="1.0" encoding="utf-8"?>
<comments xmlns="http://schemas.openxmlformats.org/spreadsheetml/2006/main">
  <authors>
    <author>Magda le Roux</author>
  </authors>
  <commentList>
    <comment ref="R3" authorId="0" shapeId="0">
      <text>
        <r>
          <rPr>
            <b/>
            <sz val="9"/>
            <color indexed="81"/>
            <rFont val="Tahoma"/>
            <family val="2"/>
          </rPr>
          <t>Magda le Roux:</t>
        </r>
        <r>
          <rPr>
            <sz val="9"/>
            <color indexed="81"/>
            <rFont val="Tahoma"/>
            <family val="2"/>
          </rPr>
          <t xml:space="preserve">
All water values were amended in Q3 after the feb visit to WDL where their water reporting was aligned to the Env definitions.</t>
        </r>
      </text>
    </comment>
    <comment ref="W3" authorId="0" shapeId="0">
      <text>
        <r>
          <rPr>
            <b/>
            <sz val="9"/>
            <color indexed="81"/>
            <rFont val="Tahoma"/>
            <family val="2"/>
          </rPr>
          <t>Magda le Roux:</t>
        </r>
        <r>
          <rPr>
            <sz val="9"/>
            <color indexed="81"/>
            <rFont val="Tahoma"/>
            <family val="2"/>
          </rPr>
          <t xml:space="preserve">
1000l = 1m3</t>
        </r>
      </text>
    </comment>
    <comment ref="AB3" authorId="0" shapeId="0">
      <text>
        <r>
          <rPr>
            <b/>
            <sz val="9"/>
            <color indexed="81"/>
            <rFont val="Tahoma"/>
            <family val="2"/>
          </rPr>
          <t>Magda le Roux:</t>
        </r>
        <r>
          <rPr>
            <sz val="9"/>
            <color indexed="81"/>
            <rFont val="Tahoma"/>
            <family val="2"/>
          </rPr>
          <t xml:space="preserve">
1000l = 1m3</t>
        </r>
      </text>
    </comment>
    <comment ref="A5" authorId="0" shapeId="0">
      <text>
        <r>
          <rPr>
            <b/>
            <sz val="9"/>
            <color indexed="81"/>
            <rFont val="Tahoma"/>
            <family val="2"/>
          </rPr>
          <t>Magda le Roux:</t>
        </r>
        <r>
          <rPr>
            <sz val="9"/>
            <color indexed="81"/>
            <rFont val="Tahoma"/>
            <family val="2"/>
          </rPr>
          <t xml:space="preserve">
Potable water obtained from internal or external sources that is used for domestic purposes by facilities outside of the mining area but under management of the Mine (e.g. Mine towns / Villages / clubs / guest houses).</t>
        </r>
      </text>
    </comment>
    <comment ref="R5" authorId="0" shapeId="0">
      <text>
        <r>
          <rPr>
            <b/>
            <sz val="9"/>
            <color indexed="81"/>
            <rFont val="Tahoma"/>
            <family val="2"/>
          </rPr>
          <t>Magda le Roux:</t>
        </r>
        <r>
          <rPr>
            <sz val="9"/>
            <color indexed="81"/>
            <rFont val="Tahoma"/>
            <family val="2"/>
          </rPr>
          <t xml:space="preserve">
amended from 9330</t>
        </r>
      </text>
    </comment>
    <comment ref="S5" authorId="0" shapeId="0">
      <text>
        <r>
          <rPr>
            <b/>
            <sz val="9"/>
            <color indexed="81"/>
            <rFont val="Tahoma"/>
            <family val="2"/>
          </rPr>
          <t>Magda le Roux:</t>
        </r>
        <r>
          <rPr>
            <sz val="9"/>
            <color indexed="81"/>
            <rFont val="Tahoma"/>
            <family val="2"/>
          </rPr>
          <t xml:space="preserve">
amended form 9330</t>
        </r>
      </text>
    </comment>
    <comment ref="U5" authorId="0" shapeId="0">
      <text>
        <r>
          <rPr>
            <b/>
            <sz val="9"/>
            <color indexed="81"/>
            <rFont val="Tahoma"/>
            <family val="2"/>
          </rPr>
          <t>Magda le Roux:</t>
        </r>
        <r>
          <rPr>
            <sz val="9"/>
            <color indexed="81"/>
            <rFont val="Tahoma"/>
            <family val="2"/>
          </rPr>
          <t xml:space="preserve">
audit: May  Total potable water from 135902 to 72187. Ratio between on and off-mine kept the same</t>
        </r>
      </text>
    </comment>
    <comment ref="A6" authorId="0" shapeId="0">
      <text>
        <r>
          <rPr>
            <b/>
            <sz val="9"/>
            <color indexed="81"/>
            <rFont val="Tahoma"/>
            <family val="2"/>
          </rPr>
          <t>Magda le Roux:</t>
        </r>
        <r>
          <rPr>
            <sz val="9"/>
            <color indexed="81"/>
            <rFont val="Tahoma"/>
            <family val="2"/>
          </rPr>
          <t xml:space="preserve">
Water obtained from either an external source (e.g. Municipality ) or an internal source (e.g. boreholes or own water treatment works) that adhere to the applicable standard for drinking water and is used for mining activities (e.g. cooling), ore processing (e.g. pump gland servicing, ore washing and ore transport) or on-mine domestic use (e.g. change houses and laundry services).</t>
        </r>
      </text>
    </comment>
    <comment ref="C6" authorId="0" shapeId="0">
      <text>
        <r>
          <rPr>
            <b/>
            <sz val="9"/>
            <color indexed="81"/>
            <rFont val="Tahoma"/>
            <charset val="1"/>
          </rPr>
          <t>Magda le Roux:</t>
        </r>
        <r>
          <rPr>
            <sz val="9"/>
            <color indexed="81"/>
            <rFont val="Tahoma"/>
            <charset val="1"/>
          </rPr>
          <t xml:space="preserve">
audit: undereporitng 0f 3390 for the year hs been divided by 4(847.5) and added to each quarter  Q1: 47 834  to 48 681.5</t>
        </r>
      </text>
    </comment>
    <comment ref="D6" authorId="0" shapeId="0">
      <text>
        <r>
          <rPr>
            <b/>
            <sz val="9"/>
            <color indexed="81"/>
            <rFont val="Tahoma"/>
            <charset val="1"/>
          </rPr>
          <t>Magda le Roux:</t>
        </r>
        <r>
          <rPr>
            <sz val="9"/>
            <color indexed="81"/>
            <rFont val="Tahoma"/>
            <charset val="1"/>
          </rPr>
          <t xml:space="preserve">
34680 to 35527.5</t>
        </r>
      </text>
    </comment>
    <comment ref="E6" authorId="0" shapeId="0">
      <text>
        <r>
          <rPr>
            <b/>
            <sz val="9"/>
            <color indexed="81"/>
            <rFont val="Tahoma"/>
            <family val="2"/>
          </rPr>
          <t>Magda le Roux:</t>
        </r>
        <r>
          <rPr>
            <sz val="9"/>
            <color indexed="81"/>
            <rFont val="Tahoma"/>
            <family val="2"/>
          </rPr>
          <t xml:space="preserve">
amend in q4 from 37613 to 37767 as per amendment form; audit  37767 to 38614.5</t>
        </r>
      </text>
    </comment>
    <comment ref="F6" authorId="0" shapeId="0">
      <text>
        <r>
          <rPr>
            <b/>
            <sz val="9"/>
            <color indexed="81"/>
            <rFont val="Tahoma"/>
            <charset val="1"/>
          </rPr>
          <t>Magda le Roux:</t>
        </r>
        <r>
          <rPr>
            <sz val="9"/>
            <color indexed="81"/>
            <rFont val="Tahoma"/>
            <charset val="1"/>
          </rPr>
          <t xml:space="preserve">
audit: 48911 to 49758.5</t>
        </r>
      </text>
    </comment>
    <comment ref="G6" authorId="0" shapeId="0">
      <text>
        <r>
          <rPr>
            <b/>
            <sz val="9"/>
            <color indexed="81"/>
            <rFont val="Tahoma"/>
            <charset val="1"/>
          </rPr>
          <t>Magda le Roux:</t>
        </r>
        <r>
          <rPr>
            <sz val="9"/>
            <color indexed="81"/>
            <rFont val="Tahoma"/>
            <charset val="1"/>
          </rPr>
          <t xml:space="preserve">
audit 169192 to 172482- underreported 3390</t>
        </r>
      </text>
    </comment>
    <comment ref="K6" authorId="0" shapeId="0">
      <text>
        <r>
          <rPr>
            <b/>
            <sz val="9"/>
            <color indexed="81"/>
            <rFont val="Tahoma"/>
            <charset val="1"/>
          </rPr>
          <t>Magda le Roux:</t>
        </r>
        <r>
          <rPr>
            <sz val="9"/>
            <color indexed="81"/>
            <rFont val="Tahoma"/>
            <charset val="1"/>
          </rPr>
          <t xml:space="preserve">
audit On mine Q4  149612 to 155512</t>
        </r>
      </text>
    </comment>
    <comment ref="R6" authorId="0" shapeId="0">
      <text>
        <r>
          <rPr>
            <b/>
            <sz val="9"/>
            <color indexed="81"/>
            <rFont val="Tahoma"/>
            <family val="2"/>
          </rPr>
          <t>Magda le Roux:</t>
        </r>
        <r>
          <rPr>
            <sz val="9"/>
            <color indexed="81"/>
            <rFont val="Tahoma"/>
            <family val="2"/>
          </rPr>
          <t xml:space="preserve">
amended from 1070382</t>
        </r>
      </text>
    </comment>
    <comment ref="S6" authorId="0" shapeId="0">
      <text>
        <r>
          <rPr>
            <b/>
            <sz val="9"/>
            <color indexed="81"/>
            <rFont val="Tahoma"/>
            <family val="2"/>
          </rPr>
          <t>Magda le Roux:</t>
        </r>
        <r>
          <rPr>
            <sz val="9"/>
            <color indexed="81"/>
            <rFont val="Tahoma"/>
            <family val="2"/>
          </rPr>
          <t xml:space="preserve">
amended from 1038226</t>
        </r>
      </text>
    </comment>
    <comment ref="AD6" authorId="0" shapeId="0">
      <text>
        <r>
          <rPr>
            <b/>
            <sz val="9"/>
            <color indexed="81"/>
            <rFont val="Tahoma"/>
            <family val="2"/>
          </rPr>
          <t>Magda le Roux:</t>
        </r>
        <r>
          <rPr>
            <sz val="9"/>
            <color indexed="81"/>
            <rFont val="Tahoma"/>
            <family val="2"/>
          </rPr>
          <t xml:space="preserve">
no info received Covid</t>
        </r>
      </text>
    </comment>
    <comment ref="AE6" authorId="0" shapeId="0">
      <text>
        <r>
          <rPr>
            <b/>
            <sz val="9"/>
            <color indexed="81"/>
            <rFont val="Tahoma"/>
            <family val="2"/>
          </rPr>
          <t>Magda le Roux:</t>
        </r>
        <r>
          <rPr>
            <sz val="9"/>
            <color indexed="81"/>
            <rFont val="Tahoma"/>
            <family val="2"/>
          </rPr>
          <t xml:space="preserve">
no info received Covid</t>
        </r>
      </text>
    </comment>
    <comment ref="A7" authorId="0" shapeId="0">
      <text>
        <r>
          <rPr>
            <b/>
            <sz val="9"/>
            <color indexed="81"/>
            <rFont val="Tahoma"/>
            <family val="2"/>
          </rPr>
          <t>Magda le Roux:</t>
        </r>
        <r>
          <rPr>
            <sz val="9"/>
            <color indexed="81"/>
            <rFont val="Tahoma"/>
            <family val="2"/>
          </rPr>
          <t xml:space="preserve">
Raw water: Water obtained from an external source that is untreated or only partially treated and is not of a standard suitable for drinking i.e. rivers and dams, quarries and boreholes</t>
        </r>
      </text>
    </comment>
    <comment ref="E7" authorId="0" shapeId="0">
      <text>
        <r>
          <rPr>
            <b/>
            <sz val="9"/>
            <color indexed="81"/>
            <rFont val="Tahoma"/>
            <family val="2"/>
          </rPr>
          <t>Magda le Roux:</t>
        </r>
        <r>
          <rPr>
            <sz val="9"/>
            <color indexed="81"/>
            <rFont val="Tahoma"/>
            <family val="2"/>
          </rPr>
          <t xml:space="preserve">
mine reported 6808 for Jan and no raw water used in feb and March. </t>
        </r>
      </text>
    </comment>
    <comment ref="F7" authorId="0" shapeId="0">
      <text>
        <r>
          <rPr>
            <b/>
            <sz val="9"/>
            <color indexed="81"/>
            <rFont val="Tahoma"/>
            <family val="2"/>
          </rPr>
          <t>Magda le Roux:</t>
        </r>
        <r>
          <rPr>
            <sz val="9"/>
            <color indexed="81"/>
            <rFont val="Tahoma"/>
            <family val="2"/>
          </rPr>
          <t xml:space="preserve">
 Confirmaation from mine: The RAW water  usage for Jan, leave at 6808 because that was the amount used although the meter was broken. For May and June no RAW water was used so it should stay 0 </t>
        </r>
      </text>
    </comment>
    <comment ref="R7" authorId="0" shapeId="0">
      <text>
        <r>
          <rPr>
            <b/>
            <sz val="9"/>
            <color indexed="81"/>
            <rFont val="Tahoma"/>
            <family val="2"/>
          </rPr>
          <t>Magda le Roux:</t>
        </r>
        <r>
          <rPr>
            <sz val="9"/>
            <color indexed="81"/>
            <rFont val="Tahoma"/>
            <family val="2"/>
          </rPr>
          <t xml:space="preserve">
amended from 1430679</t>
        </r>
      </text>
    </comment>
    <comment ref="S7" authorId="0" shapeId="0">
      <text>
        <r>
          <rPr>
            <b/>
            <sz val="9"/>
            <color indexed="81"/>
            <rFont val="Tahoma"/>
            <family val="2"/>
          </rPr>
          <t>Magda le Roux:</t>
        </r>
        <r>
          <rPr>
            <sz val="9"/>
            <color indexed="81"/>
            <rFont val="Tahoma"/>
            <family val="2"/>
          </rPr>
          <t xml:space="preserve">
amended from 2180066</t>
        </r>
      </text>
    </comment>
    <comment ref="A8" authorId="0" shapeId="0">
      <text>
        <r>
          <rPr>
            <b/>
            <sz val="9"/>
            <color indexed="81"/>
            <rFont val="Tahoma"/>
            <family val="2"/>
          </rPr>
          <t>Magda le Roux:</t>
        </r>
        <r>
          <rPr>
            <sz val="9"/>
            <color indexed="81"/>
            <rFont val="Tahoma"/>
            <family val="2"/>
          </rPr>
          <t xml:space="preserve">
New water: All water sources entering the mine water balance for the first time, therefore specifically excluding water that is recycled, reclaimed and/or reused by the mine. This could otherwise be defined as water required to replace losses of water from the water circuit.</t>
        </r>
      </text>
    </comment>
    <comment ref="A9" authorId="0" shapeId="0">
      <text>
        <r>
          <rPr>
            <b/>
            <sz val="9"/>
            <color indexed="81"/>
            <rFont val="Tahoma"/>
            <family val="2"/>
          </rPr>
          <t>Magda le Roux:</t>
        </r>
        <r>
          <rPr>
            <sz val="9"/>
            <color indexed="81"/>
            <rFont val="Tahoma"/>
            <family val="2"/>
          </rPr>
          <t xml:space="preserve">
The total water use on the mine (including all water input sources) but excluding the water that is diverted around the mine’s operations without being used or affected by the operations and also excluding water that has been used in the mining operations and that is supplied directly to an off-site third party for beneficial use by that party. May be diifferent for each mine,  thus to be calculated and entered separately by each operation.</t>
        </r>
      </text>
    </comment>
    <comment ref="E9" authorId="0" shapeId="0">
      <text>
        <r>
          <rPr>
            <b/>
            <sz val="9"/>
            <color indexed="81"/>
            <rFont val="Tahoma"/>
            <family val="2"/>
          </rPr>
          <t>Magda le Roux:</t>
        </r>
        <r>
          <rPr>
            <sz val="9"/>
            <color indexed="81"/>
            <rFont val="Tahoma"/>
            <family val="2"/>
          </rPr>
          <t xml:space="preserve">
amend from 85 339 to 122612.67 in Q4 as per annual CDM SD sheet.</t>
        </r>
      </text>
    </comment>
    <comment ref="R9" authorId="0" shapeId="0">
      <text>
        <r>
          <rPr>
            <b/>
            <sz val="9"/>
            <color indexed="81"/>
            <rFont val="Tahoma"/>
            <family val="2"/>
          </rPr>
          <t>Magda le Roux:</t>
        </r>
        <r>
          <rPr>
            <sz val="9"/>
            <color indexed="81"/>
            <rFont val="Tahoma"/>
            <family val="2"/>
          </rPr>
          <t xml:space="preserve">
amended from 2501061</t>
        </r>
      </text>
    </comment>
    <comment ref="S9" authorId="0" shapeId="0">
      <text>
        <r>
          <rPr>
            <b/>
            <sz val="9"/>
            <color indexed="81"/>
            <rFont val="Tahoma"/>
            <family val="2"/>
          </rPr>
          <t>Magda le Roux:</t>
        </r>
        <r>
          <rPr>
            <sz val="9"/>
            <color indexed="81"/>
            <rFont val="Tahoma"/>
            <family val="2"/>
          </rPr>
          <t xml:space="preserve">
amended from 2189396</t>
        </r>
      </text>
    </comment>
    <comment ref="A10" authorId="0" shapeId="0">
      <text>
        <r>
          <rPr>
            <b/>
            <sz val="9"/>
            <color indexed="81"/>
            <rFont val="Tahoma"/>
            <family val="2"/>
          </rPr>
          <t>Magda le Roux:</t>
        </r>
        <r>
          <rPr>
            <sz val="9"/>
            <color indexed="81"/>
            <rFont val="Tahoma"/>
            <family val="2"/>
          </rPr>
          <t xml:space="preserve">
Water recycling: Involves only one use or user where the effluent resulting from the use is collected, treated (if necessary) and redirected back to its original use or related application. Water recycling sometimes involves the inclusion of additional treatment or a regeneration step to remove the contaminants that build up in the water being recycled.
Water re-use: Utilisation of treated or untreated wastewater for a process other than the one that generated it, i.e. it involves a change of user. For instance, the re-use of municipal wastewater within a mine beneficiation plant. Water re-use can be direct or indirect, intentional or unintentional, planned or unplanned, local, regional or national in terms of location, scale and significance. Water reuse may involve various kinds of treatment (or not) and the reclaimed water may be used for a variety of purposes.</t>
        </r>
      </text>
    </comment>
    <comment ref="I10" authorId="0" shapeId="0">
      <text>
        <r>
          <rPr>
            <b/>
            <sz val="9"/>
            <color indexed="81"/>
            <rFont val="Tahoma"/>
            <family val="2"/>
          </rPr>
          <t>Magda le Roux:</t>
        </r>
        <r>
          <rPr>
            <sz val="9"/>
            <color indexed="81"/>
            <rFont val="Tahoma"/>
            <family val="2"/>
          </rPr>
          <t xml:space="preserve">
amend in Q4 as per annual SD sheet from 383 390 to 473 900</t>
        </r>
      </text>
    </comment>
    <comment ref="R10" authorId="0" shapeId="0">
      <text>
        <r>
          <rPr>
            <b/>
            <sz val="9"/>
            <color indexed="81"/>
            <rFont val="Tahoma"/>
            <family val="2"/>
          </rPr>
          <t>Magda le Roux:</t>
        </r>
        <r>
          <rPr>
            <sz val="9"/>
            <color indexed="81"/>
            <rFont val="Tahoma"/>
            <family val="2"/>
          </rPr>
          <t xml:space="preserve">
amended from</t>
        </r>
      </text>
    </comment>
    <comment ref="S10" authorId="0" shapeId="0">
      <text>
        <r>
          <rPr>
            <b/>
            <sz val="9"/>
            <color indexed="81"/>
            <rFont val="Tahoma"/>
            <family val="2"/>
          </rPr>
          <t>Magda le Roux:</t>
        </r>
        <r>
          <rPr>
            <sz val="9"/>
            <color indexed="81"/>
            <rFont val="Tahoma"/>
            <family val="2"/>
          </rPr>
          <t xml:space="preserve">
amended from 5859714</t>
        </r>
      </text>
    </comment>
    <comment ref="A11" authorId="0" shapeId="0">
      <text>
        <r>
          <rPr>
            <b/>
            <sz val="9"/>
            <color indexed="81"/>
            <rFont val="Tahoma"/>
            <family val="2"/>
          </rPr>
          <t>Magda le Roux:</t>
        </r>
        <r>
          <rPr>
            <sz val="9"/>
            <color indexed="81"/>
            <rFont val="Tahoma"/>
            <family val="2"/>
          </rPr>
          <t xml:space="preserve">
Water pumped from underground workings for safety purposes</t>
        </r>
      </text>
    </comment>
    <comment ref="A13" authorId="0" shapeId="0">
      <text>
        <r>
          <rPr>
            <b/>
            <sz val="9"/>
            <color indexed="81"/>
            <rFont val="Tahoma"/>
            <family val="2"/>
          </rPr>
          <t>Magda le Roux:</t>
        </r>
        <r>
          <rPr>
            <sz val="9"/>
            <color indexed="81"/>
            <rFont val="Tahoma"/>
            <family val="2"/>
          </rPr>
          <t xml:space="preserve">
Calculated as the total volume of all “new” water used in any aspect of the mining operations and including all possible sources of water (water obtained from municipalities or other water utilities, ground water, surface water [rivers, wetlands, lakes and oceans], rain water, rainfall runoff, waste water from an external third party). WILL BE THE SAME AS NEW WATER EXCEPT IF WASTE WATER FROM A THIRD PARTY IS USED FOR MINING ACTIVITIES (to be added to new water to obtain total water)</t>
        </r>
      </text>
    </comment>
    <comment ref="R13" authorId="0" shapeId="0">
      <text>
        <r>
          <rPr>
            <b/>
            <sz val="9"/>
            <color indexed="81"/>
            <rFont val="Tahoma"/>
            <family val="2"/>
          </rPr>
          <t>Magda le Roux:</t>
        </r>
        <r>
          <rPr>
            <sz val="9"/>
            <color indexed="81"/>
            <rFont val="Tahoma"/>
            <family val="2"/>
          </rPr>
          <t xml:space="preserve">
amended from 2501061</t>
        </r>
      </text>
    </comment>
    <comment ref="S13" authorId="0" shapeId="0">
      <text>
        <r>
          <rPr>
            <b/>
            <sz val="9"/>
            <color indexed="81"/>
            <rFont val="Tahoma"/>
            <family val="2"/>
          </rPr>
          <t>Magda le Roux:</t>
        </r>
        <r>
          <rPr>
            <sz val="9"/>
            <color indexed="81"/>
            <rFont val="Tahoma"/>
            <family val="2"/>
          </rPr>
          <t xml:space="preserve">
amended from 2180066</t>
        </r>
      </text>
    </comment>
    <comment ref="C14" authorId="0" shapeId="0">
      <text>
        <r>
          <rPr>
            <b/>
            <sz val="9"/>
            <color indexed="81"/>
            <rFont val="Tahoma"/>
            <family val="2"/>
          </rPr>
          <t>Magda le Roux:</t>
        </r>
        <r>
          <rPr>
            <sz val="9"/>
            <color indexed="81"/>
            <rFont val="Tahoma"/>
            <family val="2"/>
          </rPr>
          <t xml:space="preserve">
query?</t>
        </r>
      </text>
    </comment>
    <comment ref="I14" authorId="0" shapeId="0">
      <text>
        <r>
          <rPr>
            <b/>
            <sz val="9"/>
            <color indexed="81"/>
            <rFont val="Tahoma"/>
            <family val="2"/>
          </rPr>
          <t>Magda le Roux:</t>
        </r>
        <r>
          <rPr>
            <sz val="9"/>
            <color indexed="81"/>
            <rFont val="Tahoma"/>
            <family val="2"/>
          </rPr>
          <t xml:space="preserve">
amended in Q3 from 20 to 39</t>
        </r>
      </text>
    </comment>
    <comment ref="T14" authorId="0" shapeId="0">
      <text>
        <r>
          <rPr>
            <b/>
            <sz val="9"/>
            <color indexed="81"/>
            <rFont val="Tahoma"/>
            <family val="2"/>
          </rPr>
          <t>Magda le Roux:</t>
        </r>
        <r>
          <rPr>
            <sz val="9"/>
            <color indexed="81"/>
            <rFont val="Tahoma"/>
            <family val="2"/>
          </rPr>
          <t xml:space="preserve">
amended in Q4 from 392.3 to545.60</t>
        </r>
      </text>
    </comment>
    <comment ref="L16" authorId="0" shapeId="0">
      <text>
        <r>
          <rPr>
            <b/>
            <sz val="9"/>
            <color indexed="81"/>
            <rFont val="Tahoma"/>
            <family val="2"/>
          </rPr>
          <t>Magda le Roux:</t>
        </r>
        <r>
          <rPr>
            <sz val="9"/>
            <color indexed="81"/>
            <rFont val="Tahoma"/>
            <family val="2"/>
          </rPr>
          <t xml:space="preserve">
mine indicated 1.10</t>
        </r>
      </text>
    </comment>
    <comment ref="R16" authorId="0" shapeId="0">
      <text>
        <r>
          <rPr>
            <b/>
            <sz val="9"/>
            <color indexed="81"/>
            <rFont val="Tahoma"/>
            <family val="2"/>
          </rPr>
          <t>Magda le Roux:</t>
        </r>
        <r>
          <rPr>
            <sz val="9"/>
            <color indexed="81"/>
            <rFont val="Tahoma"/>
            <family val="2"/>
          </rPr>
          <t xml:space="preserve">
amended from 1.76</t>
        </r>
      </text>
    </comment>
    <comment ref="S16" authorId="0" shapeId="0">
      <text>
        <r>
          <rPr>
            <b/>
            <sz val="9"/>
            <color indexed="81"/>
            <rFont val="Tahoma"/>
            <family val="2"/>
          </rPr>
          <t>Magda le Roux:</t>
        </r>
        <r>
          <rPr>
            <sz val="9"/>
            <color indexed="81"/>
            <rFont val="Tahoma"/>
            <family val="2"/>
          </rPr>
          <t xml:space="preserve">
amended from 1.52</t>
        </r>
      </text>
    </comment>
    <comment ref="A17" authorId="0" shapeId="0">
      <text>
        <r>
          <rPr>
            <b/>
            <sz val="9"/>
            <color indexed="81"/>
            <rFont val="Tahoma"/>
            <family val="2"/>
          </rPr>
          <t>Magda le Roux:</t>
        </r>
        <r>
          <rPr>
            <sz val="9"/>
            <color indexed="81"/>
            <rFont val="Tahoma"/>
            <family val="2"/>
          </rPr>
          <t xml:space="preserve">
based on tons treate ROM FY only - no tailings</t>
        </r>
      </text>
    </comment>
    <comment ref="R17" authorId="0" shapeId="0">
      <text>
        <r>
          <rPr>
            <b/>
            <sz val="9"/>
            <color indexed="81"/>
            <rFont val="Tahoma"/>
            <family val="2"/>
          </rPr>
          <t>Magda le Roux:</t>
        </r>
        <r>
          <rPr>
            <sz val="9"/>
            <color indexed="81"/>
            <rFont val="Tahoma"/>
            <family val="2"/>
          </rPr>
          <t xml:space="preserve">
kPi based on re-stated value for Fy 2019 (SR) is 1.630; kPi value ased on Fy reported value is 1.670 as used by WDL</t>
        </r>
      </text>
    </comment>
    <comment ref="R18" authorId="0" shapeId="0">
      <text>
        <r>
          <rPr>
            <b/>
            <sz val="9"/>
            <color indexed="81"/>
            <rFont val="Tahoma"/>
            <family val="2"/>
          </rPr>
          <t>Magda le Roux:</t>
        </r>
        <r>
          <rPr>
            <sz val="9"/>
            <color indexed="81"/>
            <rFont val="Tahoma"/>
            <family val="2"/>
          </rPr>
          <t xml:space="preserve">
amended form 8%</t>
        </r>
      </text>
    </comment>
    <comment ref="S18" authorId="0" shapeId="0">
      <text>
        <r>
          <rPr>
            <b/>
            <sz val="9"/>
            <color indexed="81"/>
            <rFont val="Tahoma"/>
            <family val="2"/>
          </rPr>
          <t>Magda le Roux:</t>
        </r>
        <r>
          <rPr>
            <sz val="9"/>
            <color indexed="81"/>
            <rFont val="Tahoma"/>
            <family val="2"/>
          </rPr>
          <t xml:space="preserve">
amended from -7%</t>
        </r>
      </text>
    </comment>
    <comment ref="R20" authorId="0" shapeId="0">
      <text>
        <r>
          <rPr>
            <b/>
            <sz val="9"/>
            <color indexed="81"/>
            <rFont val="Tahoma"/>
            <family val="2"/>
          </rPr>
          <t>Magda le Roux:</t>
        </r>
        <r>
          <rPr>
            <sz val="9"/>
            <color indexed="81"/>
            <rFont val="Tahoma"/>
            <family val="2"/>
          </rPr>
          <t xml:space="preserve">
amended from 0.75</t>
        </r>
      </text>
    </comment>
    <comment ref="S20" authorId="0" shapeId="0">
      <text>
        <r>
          <rPr>
            <b/>
            <sz val="9"/>
            <color indexed="81"/>
            <rFont val="Tahoma"/>
            <family val="2"/>
          </rPr>
          <t>Magda le Roux:</t>
        </r>
        <r>
          <rPr>
            <sz val="9"/>
            <color indexed="81"/>
            <rFont val="Tahoma"/>
            <family val="2"/>
          </rPr>
          <t xml:space="preserve">
amended from0.72</t>
        </r>
      </text>
    </comment>
    <comment ref="R21" authorId="0" shapeId="0">
      <text>
        <r>
          <rPr>
            <b/>
            <sz val="9"/>
            <color indexed="81"/>
            <rFont val="Tahoma"/>
            <family val="2"/>
          </rPr>
          <t>Magda le Roux:</t>
        </r>
        <r>
          <rPr>
            <sz val="9"/>
            <color indexed="81"/>
            <rFont val="Tahoma"/>
            <family val="2"/>
          </rPr>
          <t xml:space="preserve">
amended from 1.01
</t>
        </r>
      </text>
    </comment>
    <comment ref="S21" authorId="0" shapeId="0">
      <text>
        <r>
          <rPr>
            <b/>
            <sz val="9"/>
            <color indexed="81"/>
            <rFont val="Tahoma"/>
            <family val="2"/>
          </rPr>
          <t>Magda le Roux:</t>
        </r>
        <r>
          <rPr>
            <sz val="9"/>
            <color indexed="81"/>
            <rFont val="Tahoma"/>
            <family val="2"/>
          </rPr>
          <t xml:space="preserve">
amended from 0.80</t>
        </r>
      </text>
    </comment>
    <comment ref="L22" authorId="0" shapeId="0">
      <text>
        <r>
          <rPr>
            <b/>
            <sz val="9"/>
            <color indexed="81"/>
            <rFont val="Tahoma"/>
            <family val="2"/>
          </rPr>
          <t>Magda le Roux:</t>
        </r>
        <r>
          <rPr>
            <sz val="9"/>
            <color indexed="81"/>
            <rFont val="Tahoma"/>
            <family val="2"/>
          </rPr>
          <t xml:space="preserve">
mine reported 1.10</t>
        </r>
      </text>
    </comment>
    <comment ref="R22" authorId="0" shapeId="0">
      <text>
        <r>
          <rPr>
            <b/>
            <sz val="9"/>
            <color indexed="81"/>
            <rFont val="Tahoma"/>
            <family val="2"/>
          </rPr>
          <t>Magda le Roux:</t>
        </r>
        <r>
          <rPr>
            <sz val="9"/>
            <color indexed="81"/>
            <rFont val="Tahoma"/>
            <family val="2"/>
          </rPr>
          <t xml:space="preserve">
amended from 1.76</t>
        </r>
      </text>
    </comment>
    <comment ref="S22" authorId="0" shapeId="0">
      <text>
        <r>
          <rPr>
            <b/>
            <sz val="9"/>
            <color indexed="81"/>
            <rFont val="Tahoma"/>
            <family val="2"/>
          </rPr>
          <t>Magda le Roux:</t>
        </r>
        <r>
          <rPr>
            <sz val="9"/>
            <color indexed="81"/>
            <rFont val="Tahoma"/>
            <family val="2"/>
          </rPr>
          <t xml:space="preserve">
amended from 1.52</t>
        </r>
      </text>
    </comment>
    <comment ref="G23" authorId="0" shapeId="0">
      <text>
        <r>
          <rPr>
            <b/>
            <sz val="9"/>
            <color indexed="81"/>
            <rFont val="Tahoma"/>
            <family val="2"/>
          </rPr>
          <t>Magda le Roux:</t>
        </r>
        <r>
          <rPr>
            <sz val="9"/>
            <color indexed="81"/>
            <rFont val="Tahoma"/>
            <family val="2"/>
          </rPr>
          <t xml:space="preserve">
mine reported 0.16 - difference in total tons treated</t>
        </r>
      </text>
    </comment>
    <comment ref="R23" authorId="0" shapeId="0">
      <text>
        <r>
          <rPr>
            <b/>
            <sz val="9"/>
            <color indexed="81"/>
            <rFont val="Tahoma"/>
            <family val="2"/>
          </rPr>
          <t>Magda le Roux:</t>
        </r>
        <r>
          <rPr>
            <sz val="9"/>
            <color indexed="81"/>
            <rFont val="Tahoma"/>
            <family val="2"/>
          </rPr>
          <t xml:space="preserve">
amended from 1.76</t>
        </r>
      </text>
    </comment>
    <comment ref="S23" authorId="0" shapeId="0">
      <text>
        <r>
          <rPr>
            <b/>
            <sz val="9"/>
            <color indexed="81"/>
            <rFont val="Tahoma"/>
            <family val="2"/>
          </rPr>
          <t>Magda le Roux:</t>
        </r>
        <r>
          <rPr>
            <sz val="9"/>
            <color indexed="81"/>
            <rFont val="Tahoma"/>
            <family val="2"/>
          </rPr>
          <t xml:space="preserve">
amended from 1.53</t>
        </r>
      </text>
    </comment>
    <comment ref="R24" authorId="0" shapeId="0">
      <text>
        <r>
          <rPr>
            <b/>
            <sz val="9"/>
            <color indexed="81"/>
            <rFont val="Tahoma"/>
            <family val="2"/>
          </rPr>
          <t>Magda le Roux:</t>
        </r>
        <r>
          <rPr>
            <sz val="9"/>
            <color indexed="81"/>
            <rFont val="Tahoma"/>
            <family val="2"/>
          </rPr>
          <t xml:space="preserve">
amended from 3.84</t>
        </r>
      </text>
    </comment>
    <comment ref="S24" authorId="0" shapeId="0">
      <text>
        <r>
          <rPr>
            <b/>
            <sz val="9"/>
            <color indexed="81"/>
            <rFont val="Tahoma"/>
            <family val="2"/>
          </rPr>
          <t>Magda le Roux:</t>
        </r>
        <r>
          <rPr>
            <sz val="9"/>
            <color indexed="81"/>
            <rFont val="Tahoma"/>
            <family val="2"/>
          </rPr>
          <t xml:space="preserve">
amended from 4.08</t>
        </r>
      </text>
    </comment>
    <comment ref="R25" authorId="0" shapeId="0">
      <text>
        <r>
          <rPr>
            <b/>
            <sz val="9"/>
            <color indexed="81"/>
            <rFont val="Tahoma"/>
            <family val="2"/>
          </rPr>
          <t>Magda le Roux:</t>
        </r>
        <r>
          <rPr>
            <sz val="9"/>
            <color indexed="81"/>
            <rFont val="Tahoma"/>
            <family val="2"/>
          </rPr>
          <t xml:space="preserve">
amended from 68.52</t>
        </r>
      </text>
    </comment>
    <comment ref="S25" authorId="0" shapeId="0">
      <text>
        <r>
          <rPr>
            <b/>
            <sz val="9"/>
            <color indexed="81"/>
            <rFont val="Tahoma"/>
            <family val="2"/>
          </rPr>
          <t>Magda le Roux:</t>
        </r>
        <r>
          <rPr>
            <sz val="9"/>
            <color indexed="81"/>
            <rFont val="Tahoma"/>
            <family val="2"/>
          </rPr>
          <t xml:space="preserve">
amended from 72.88</t>
        </r>
      </text>
    </comment>
    <comment ref="C26" authorId="0" shapeId="0">
      <text>
        <r>
          <rPr>
            <b/>
            <sz val="9"/>
            <color indexed="81"/>
            <rFont val="Tahoma"/>
            <family val="2"/>
          </rPr>
          <t>Magda le Roux:</t>
        </r>
        <r>
          <rPr>
            <sz val="9"/>
            <color indexed="81"/>
            <rFont val="Tahoma"/>
            <family val="2"/>
          </rPr>
          <t xml:space="preserve">
alarp- no improvement required</t>
        </r>
      </text>
    </comment>
    <comment ref="D26" authorId="0" shapeId="0">
      <text>
        <r>
          <rPr>
            <b/>
            <sz val="9"/>
            <color indexed="81"/>
            <rFont val="Tahoma"/>
            <family val="2"/>
          </rPr>
          <t>Magda le Roux:</t>
        </r>
        <r>
          <rPr>
            <sz val="9"/>
            <color indexed="81"/>
            <rFont val="Tahoma"/>
            <family val="2"/>
          </rPr>
          <t xml:space="preserve">
alarp- no improvement required</t>
        </r>
      </text>
    </comment>
    <comment ref="E26" authorId="0" shapeId="0">
      <text>
        <r>
          <rPr>
            <b/>
            <sz val="9"/>
            <color indexed="81"/>
            <rFont val="Tahoma"/>
            <family val="2"/>
          </rPr>
          <t>Magda le Roux:</t>
        </r>
        <r>
          <rPr>
            <sz val="9"/>
            <color indexed="81"/>
            <rFont val="Tahoma"/>
            <family val="2"/>
          </rPr>
          <t xml:space="preserve">
alarp- no improvement required</t>
        </r>
      </text>
    </comment>
    <comment ref="F26" authorId="0" shapeId="0">
      <text>
        <r>
          <rPr>
            <b/>
            <sz val="9"/>
            <color indexed="81"/>
            <rFont val="Tahoma"/>
            <family val="2"/>
          </rPr>
          <t>Magda le Roux:</t>
        </r>
        <r>
          <rPr>
            <sz val="9"/>
            <color indexed="81"/>
            <rFont val="Tahoma"/>
            <family val="2"/>
          </rPr>
          <t xml:space="preserve">
alarp- no improvement required</t>
        </r>
      </text>
    </comment>
    <comment ref="G26" authorId="0" shapeId="0">
      <text>
        <r>
          <rPr>
            <b/>
            <sz val="9"/>
            <color indexed="81"/>
            <rFont val="Tahoma"/>
            <family val="2"/>
          </rPr>
          <t>Magda le Roux:</t>
        </r>
        <r>
          <rPr>
            <sz val="9"/>
            <color indexed="81"/>
            <rFont val="Tahoma"/>
            <family val="2"/>
          </rPr>
          <t xml:space="preserve">
alarp- no improvement required</t>
        </r>
      </text>
    </comment>
    <comment ref="N26" authorId="0" shapeId="0">
      <text>
        <r>
          <rPr>
            <b/>
            <sz val="9"/>
            <color indexed="81"/>
            <rFont val="Tahoma"/>
            <family val="2"/>
          </rPr>
          <t>Magda le Roux:</t>
        </r>
        <r>
          <rPr>
            <sz val="9"/>
            <color indexed="81"/>
            <rFont val="Tahoma"/>
            <family val="2"/>
          </rPr>
          <t xml:space="preserve">
KDM indicated 57.91</t>
        </r>
      </text>
    </comment>
    <comment ref="V26" authorId="0" shapeId="0">
      <text>
        <r>
          <rPr>
            <b/>
            <sz val="9"/>
            <color indexed="81"/>
            <rFont val="Tahoma"/>
            <family val="2"/>
          </rPr>
          <t>Magda le Roux:</t>
        </r>
        <r>
          <rPr>
            <sz val="9"/>
            <color indexed="81"/>
            <rFont val="Tahoma"/>
            <family val="2"/>
          </rPr>
          <t xml:space="preserve">
check mone reported 65.54</t>
        </r>
      </text>
    </comment>
    <comment ref="N27" authorId="0" shapeId="0">
      <text>
        <r>
          <rPr>
            <b/>
            <sz val="9"/>
            <color indexed="81"/>
            <rFont val="Tahoma"/>
            <family val="2"/>
          </rPr>
          <t>Magda le Roux:</t>
        </r>
        <r>
          <rPr>
            <sz val="9"/>
            <color indexed="81"/>
            <rFont val="Tahoma"/>
            <family val="2"/>
          </rPr>
          <t xml:space="preserve">
KDM indicated 5.32</t>
        </r>
      </text>
    </comment>
    <comment ref="R27" authorId="0" shapeId="0">
      <text>
        <r>
          <rPr>
            <b/>
            <sz val="9"/>
            <color indexed="81"/>
            <rFont val="Tahoma"/>
            <family val="2"/>
          </rPr>
          <t>Magda le Roux:</t>
        </r>
        <r>
          <rPr>
            <sz val="9"/>
            <color indexed="81"/>
            <rFont val="Tahoma"/>
            <family val="2"/>
          </rPr>
          <t xml:space="preserve">
amended from 44.11</t>
        </r>
      </text>
    </comment>
    <comment ref="S27" authorId="0" shapeId="0">
      <text>
        <r>
          <rPr>
            <b/>
            <sz val="9"/>
            <color indexed="81"/>
            <rFont val="Tahoma"/>
            <family val="2"/>
          </rPr>
          <t>Magda le Roux:</t>
        </r>
        <r>
          <rPr>
            <sz val="9"/>
            <color indexed="81"/>
            <rFont val="Tahoma"/>
            <family val="2"/>
          </rPr>
          <t xml:space="preserve">
amended from48.47</t>
        </r>
      </text>
    </comment>
    <comment ref="N34" authorId="0" shapeId="0">
      <text>
        <r>
          <rPr>
            <b/>
            <sz val="9"/>
            <color indexed="81"/>
            <rFont val="Tahoma"/>
            <family val="2"/>
          </rPr>
          <t>Magda le Roux:</t>
        </r>
        <r>
          <rPr>
            <sz val="9"/>
            <color indexed="81"/>
            <rFont val="Tahoma"/>
            <family val="2"/>
          </rPr>
          <t xml:space="preserve">
Potable water obtained from internal or external sources that is used for domestic purposes by facilities outside of the mining area but under management of the Mine (e.g. Mine towns / Villages / clubs / guest houses).</t>
        </r>
      </text>
    </comment>
    <comment ref="N35" authorId="0" shapeId="0">
      <text>
        <r>
          <rPr>
            <b/>
            <sz val="9"/>
            <color indexed="81"/>
            <rFont val="Tahoma"/>
            <family val="2"/>
          </rPr>
          <t>Magda le Roux:</t>
        </r>
        <r>
          <rPr>
            <sz val="9"/>
            <color indexed="81"/>
            <rFont val="Tahoma"/>
            <family val="2"/>
          </rPr>
          <t xml:space="preserve">
Water obtained from either an external source (e.g. Municipality ) or an internal source (e.g. boreholes or own water treatment works) that adhere to the applicable standard for drinking water and is used for mining activities (e.g. cooling), ore processing (e.g. pump gland servicing, ore washing and ore transport) or on-mine domestic use (e.g. change houses and laundry services).</t>
        </r>
      </text>
    </comment>
    <comment ref="N36" authorId="0" shapeId="0">
      <text>
        <r>
          <rPr>
            <b/>
            <sz val="9"/>
            <color indexed="81"/>
            <rFont val="Tahoma"/>
            <family val="2"/>
          </rPr>
          <t>Magda le Roux:</t>
        </r>
        <r>
          <rPr>
            <sz val="9"/>
            <color indexed="81"/>
            <rFont val="Tahoma"/>
            <family val="2"/>
          </rPr>
          <t xml:space="preserve">
Raw water: Water obtained from an external source that is untreated or only partially treated and is not of a standard suitable for drinking i.e. rivers and dams, quarries and boreholes</t>
        </r>
      </text>
    </comment>
    <comment ref="N37" authorId="0" shapeId="0">
      <text>
        <r>
          <rPr>
            <b/>
            <sz val="9"/>
            <color indexed="81"/>
            <rFont val="Tahoma"/>
            <family val="2"/>
          </rPr>
          <t>Magda le Roux:</t>
        </r>
        <r>
          <rPr>
            <sz val="9"/>
            <color indexed="81"/>
            <rFont val="Tahoma"/>
            <family val="2"/>
          </rPr>
          <t xml:space="preserve">
New water: All water sources entering the mine water balance for the first time, therefore specifically excluding water that is recycled, reclaimed and/or reused by the mine. This could otherwise be defined as water required to replace losses of water from the water circuit.</t>
        </r>
      </text>
    </comment>
    <comment ref="N38" authorId="0" shapeId="0">
      <text>
        <r>
          <rPr>
            <b/>
            <sz val="9"/>
            <color indexed="81"/>
            <rFont val="Tahoma"/>
            <family val="2"/>
          </rPr>
          <t>Magda le Roux:</t>
        </r>
        <r>
          <rPr>
            <sz val="9"/>
            <color indexed="81"/>
            <rFont val="Tahoma"/>
            <family val="2"/>
          </rPr>
          <t xml:space="preserve">
The total water use on the mine (including all water input sources) but excluding the water that is diverted around the mine’s operations without being used or affected by the operations and also excluding water that has been used in the mining operations and that is supplied directly to an off-site third party for beneficial use by that party. May be diifferent for each mine,  thus to be calculated and entered separately by each operation.</t>
        </r>
      </text>
    </comment>
    <comment ref="N39" authorId="0" shapeId="0">
      <text>
        <r>
          <rPr>
            <b/>
            <sz val="9"/>
            <color indexed="81"/>
            <rFont val="Tahoma"/>
            <family val="2"/>
          </rPr>
          <t>Magda le Roux:</t>
        </r>
        <r>
          <rPr>
            <sz val="9"/>
            <color indexed="81"/>
            <rFont val="Tahoma"/>
            <family val="2"/>
          </rPr>
          <t xml:space="preserve">
Water recycling: Involves only one use or user where the effluent resulting from the use is collected, treated (if necessary) and redirected back to its original use or related application. Water recycling sometimes involves the inclusion of additional treatment or a regeneration step to remove the contaminants that build up in the water being recycled.
Water re-use: Utilisation of treated or untreated wastewater for a process other than the one that generated it, i.e. it involves a change of user. For instance, the re-use of municipal wastewater within a mine beneficiation plant. Water re-use can be direct or indirect, intentional or unintentional, planned or unplanned, local, regional or national in terms of location, scale and significance. Water reuse may involve various kinds of treatment (or not) and the reclaimed water may be used for a variety of purposes.</t>
        </r>
      </text>
    </comment>
    <comment ref="L40" authorId="0" shapeId="0">
      <text>
        <r>
          <rPr>
            <b/>
            <sz val="9"/>
            <color indexed="81"/>
            <rFont val="Tahoma"/>
            <family val="2"/>
          </rPr>
          <t>Magda le Roux:</t>
        </r>
        <r>
          <rPr>
            <sz val="9"/>
            <color indexed="81"/>
            <rFont val="Tahoma"/>
            <family val="2"/>
          </rPr>
          <t xml:space="preserve">
toal dewatering =2980135</t>
        </r>
      </text>
    </comment>
    <comment ref="N40" authorId="0" shapeId="0">
      <text>
        <r>
          <rPr>
            <b/>
            <sz val="9"/>
            <color indexed="81"/>
            <rFont val="Tahoma"/>
            <family val="2"/>
          </rPr>
          <t>Magda le Roux:</t>
        </r>
        <r>
          <rPr>
            <sz val="9"/>
            <color indexed="81"/>
            <rFont val="Tahoma"/>
            <family val="2"/>
          </rPr>
          <t xml:space="preserve">
Water pumped from underground workings for safety purposes</t>
        </r>
      </text>
    </comment>
    <comment ref="N42" authorId="0" shapeId="0">
      <text>
        <r>
          <rPr>
            <b/>
            <sz val="9"/>
            <color indexed="81"/>
            <rFont val="Tahoma"/>
            <family val="2"/>
          </rPr>
          <t>Magda le Roux:</t>
        </r>
        <r>
          <rPr>
            <sz val="9"/>
            <color indexed="81"/>
            <rFont val="Tahoma"/>
            <family val="2"/>
          </rPr>
          <t xml:space="preserve">
Calculated as the total volume of all “new” water used in any aspect of the mining operations and including all possible sources of water (water obtained from municipalities or other water utilities, ground water, surface water [rivers, wetlands, lakes and oceans], rain water, rainfall runoff, waste water from an external third party). WILL BE THE SAME AS NEW WATER EXCEPT IF WASTE WATER FROM A THIRD PARTY IS USED FOR MINING ACTIVITIES (to be added to new water to obtain total water)</t>
        </r>
      </text>
    </comment>
  </commentList>
</comments>
</file>

<file path=xl/comments4.xml><?xml version="1.0" encoding="utf-8"?>
<comments xmlns="http://schemas.openxmlformats.org/spreadsheetml/2006/main">
  <authors>
    <author>Magda le Roux</author>
  </authors>
  <commentList>
    <comment ref="A5" authorId="0" shapeId="0">
      <text>
        <r>
          <rPr>
            <b/>
            <sz val="9"/>
            <color indexed="81"/>
            <rFont val="Tahoma"/>
            <family val="2"/>
          </rPr>
          <t>Magda le Roux:</t>
        </r>
        <r>
          <rPr>
            <sz val="9"/>
            <color indexed="81"/>
            <rFont val="Tahoma"/>
            <family val="2"/>
          </rPr>
          <t xml:space="preserve">
Aqueous solution (untreated), originating from any mining activity, ore processing activity, leechate from slimes dam and or run-off  from tainlings facilities or sewerage systems (Grey and Black water), discharged to surface water resources (e.g. rivers, dams, pans, etc.) either within or outside of the boundaries of the operation.</t>
        </r>
      </text>
    </comment>
    <comment ref="C5" authorId="0" shapeId="0">
      <text>
        <r>
          <rPr>
            <b/>
            <sz val="9"/>
            <color indexed="81"/>
            <rFont val="Tahoma"/>
            <family val="2"/>
          </rPr>
          <t>Magda le Roux:</t>
        </r>
        <r>
          <rPr>
            <sz val="9"/>
            <color indexed="81"/>
            <rFont val="Tahoma"/>
            <family val="2"/>
          </rPr>
          <t xml:space="preserve">
permitted 90 000m3/quarter confirme with CDM</t>
        </r>
      </text>
    </comment>
    <comment ref="R5" authorId="0" shapeId="0">
      <text>
        <r>
          <rPr>
            <b/>
            <sz val="9"/>
            <color indexed="81"/>
            <rFont val="Tahoma"/>
            <family val="2"/>
          </rPr>
          <t>Magda le Roux:</t>
        </r>
        <r>
          <rPr>
            <sz val="9"/>
            <color indexed="81"/>
            <rFont val="Tahoma"/>
            <family val="2"/>
          </rPr>
          <t xml:space="preserve">
Not measured. Assume max permitted volume
</t>
        </r>
      </text>
    </comment>
    <comment ref="S5" authorId="0" shapeId="0">
      <text>
        <r>
          <rPr>
            <b/>
            <sz val="9"/>
            <color indexed="81"/>
            <rFont val="Tahoma"/>
            <family val="2"/>
          </rPr>
          <t>Magda le Roux:</t>
        </r>
        <r>
          <rPr>
            <sz val="9"/>
            <color indexed="81"/>
            <rFont val="Tahoma"/>
            <family val="2"/>
          </rPr>
          <t xml:space="preserve">
Not measured. Assume max permitted volume</t>
        </r>
      </text>
    </comment>
    <comment ref="T5" authorId="0" shapeId="0">
      <text>
        <r>
          <rPr>
            <b/>
            <sz val="9"/>
            <color indexed="81"/>
            <rFont val="Tahoma"/>
            <family val="2"/>
          </rPr>
          <t>Magda le Roux:</t>
        </r>
        <r>
          <rPr>
            <sz val="9"/>
            <color indexed="81"/>
            <rFont val="Tahoma"/>
            <family val="2"/>
          </rPr>
          <t xml:space="preserve">
Not measured. Assume max permitted volume</t>
        </r>
      </text>
    </comment>
    <comment ref="U5" authorId="0" shapeId="0">
      <text>
        <r>
          <rPr>
            <b/>
            <sz val="9"/>
            <color indexed="81"/>
            <rFont val="Tahoma"/>
            <family val="2"/>
          </rPr>
          <t>Magda le Roux:</t>
        </r>
        <r>
          <rPr>
            <sz val="9"/>
            <color indexed="81"/>
            <rFont val="Tahoma"/>
            <family val="2"/>
          </rPr>
          <t xml:space="preserve">
mine indicated 4000m3/day at waste stab ponds and 16800m3 at slimes dam. To be confiirmed with MR</t>
        </r>
      </text>
    </comment>
    <comment ref="A6" authorId="0" shapeId="0">
      <text>
        <r>
          <rPr>
            <b/>
            <sz val="9"/>
            <color indexed="81"/>
            <rFont val="Tahoma"/>
            <family val="2"/>
          </rPr>
          <t>Magda le Roux:</t>
        </r>
        <r>
          <rPr>
            <sz val="9"/>
            <color indexed="81"/>
            <rFont val="Tahoma"/>
            <family val="2"/>
          </rPr>
          <t xml:space="preserve">
Aqueous solution (untreated), originating from any mining activity, ore processing activity, leechate from slimes dam and or run-off  from tainlings facilities or sewerage systems (Grey and Black water),  discharged to water treatment plants (waste water treatment works, contaminated water treatment) either within or outside of the boundaries of the operation, where water is cleaned to meet legislated standards before discharge into a secondary system (e.g recycling) or the environment (surface water bodies).</t>
        </r>
      </text>
    </comment>
    <comment ref="A12" authorId="0" shapeId="0">
      <text>
        <r>
          <rPr>
            <b/>
            <sz val="9"/>
            <color indexed="81"/>
            <rFont val="Tahoma"/>
            <family val="2"/>
          </rPr>
          <t>Magda le Roux:</t>
        </r>
        <r>
          <rPr>
            <sz val="9"/>
            <color indexed="81"/>
            <rFont val="Tahoma"/>
            <family val="2"/>
          </rPr>
          <t xml:space="preserve">
Aqueous solution (untreated), originating from any mining activity, ore processing activity, leechate from slimes dam and or run-off  from tainlings facilities or sewerage systems (Grey and Black water),  discharged to water treatment plants (waste water treatment works, contaminated water treatment) either within or outside of the boundaries of the operation, where water is cleaned to meet legislated standards before discharge into a secondary system (e.g recycling) or the environment (surface water bodies).</t>
        </r>
      </text>
    </comment>
  </commentList>
</comments>
</file>

<file path=xl/comments5.xml><?xml version="1.0" encoding="utf-8"?>
<comments xmlns="http://schemas.openxmlformats.org/spreadsheetml/2006/main">
  <authors>
    <author>Magda le Roux</author>
  </authors>
  <commentList>
    <comment ref="A5" authorId="0" shapeId="0">
      <text>
        <r>
          <rPr>
            <b/>
            <sz val="9"/>
            <color indexed="81"/>
            <rFont val="Tahoma"/>
            <family val="2"/>
          </rPr>
          <t>Magda le Roux:</t>
        </r>
        <r>
          <rPr>
            <sz val="9"/>
            <color indexed="81"/>
            <rFont val="Tahoma"/>
            <family val="2"/>
          </rPr>
          <t xml:space="preserve">
company owned/controlled</t>
        </r>
      </text>
    </comment>
    <comment ref="D5" authorId="0" shapeId="0">
      <text>
        <r>
          <rPr>
            <b/>
            <sz val="9"/>
            <color indexed="81"/>
            <rFont val="Tahoma"/>
            <family val="2"/>
          </rPr>
          <t>Magda le Roux:</t>
        </r>
        <r>
          <rPr>
            <sz val="9"/>
            <color indexed="81"/>
            <rFont val="Tahoma"/>
            <family val="2"/>
          </rPr>
          <t xml:space="preserve">
Data amendment form Jan 2020: amend diesel dec 2019 from 157119 to 112244l, resulting in Q2 value changing from 509873 to 464 998</t>
        </r>
      </text>
    </comment>
    <comment ref="E5" authorId="0" shapeId="0">
      <text>
        <r>
          <rPr>
            <b/>
            <sz val="9"/>
            <color indexed="81"/>
            <rFont val="Tahoma"/>
            <family val="2"/>
          </rPr>
          <t>Magda le Roux:</t>
        </r>
        <r>
          <rPr>
            <sz val="9"/>
            <color indexed="81"/>
            <rFont val="Tahoma"/>
            <family val="2"/>
          </rPr>
          <t xml:space="preserve">
audit amend feb.Amend Q3 from 696709 to 496709</t>
        </r>
      </text>
    </comment>
    <comment ref="H5" authorId="0" shapeId="0">
      <text>
        <r>
          <rPr>
            <b/>
            <sz val="9"/>
            <color indexed="81"/>
            <rFont val="Tahoma"/>
            <charset val="1"/>
          </rPr>
          <t>Magda le Roux:</t>
        </r>
        <r>
          <rPr>
            <sz val="9"/>
            <color indexed="81"/>
            <rFont val="Tahoma"/>
            <charset val="1"/>
          </rPr>
          <t xml:space="preserve">
audit: deduct stationary diesel each quarter</t>
        </r>
      </text>
    </comment>
    <comment ref="I5" authorId="0" shapeId="0">
      <text>
        <r>
          <rPr>
            <b/>
            <sz val="9"/>
            <color indexed="81"/>
            <rFont val="Tahoma"/>
            <charset val="1"/>
          </rPr>
          <t>Magda le Roux:</t>
        </r>
        <r>
          <rPr>
            <sz val="9"/>
            <color indexed="81"/>
            <rFont val="Tahoma"/>
            <charset val="1"/>
          </rPr>
          <t xml:space="preserve">
audit : amend Nov
177004 to  175 104  Q2: 465322.03 -192=465130.03</t>
        </r>
      </text>
    </comment>
    <comment ref="N5" authorId="0" shapeId="0">
      <text>
        <r>
          <rPr>
            <b/>
            <sz val="9"/>
            <color indexed="81"/>
            <rFont val="Tahoma"/>
            <family val="2"/>
          </rPr>
          <t>Magda le Roux:</t>
        </r>
        <r>
          <rPr>
            <sz val="9"/>
            <color indexed="81"/>
            <rFont val="Tahoma"/>
            <family val="2"/>
          </rPr>
          <t xml:space="preserve">
audit: Nov 41 416 to 53 906: Dec 27 375 to 39 063</t>
        </r>
      </text>
    </comment>
    <comment ref="O5" authorId="0" shapeId="0">
      <text>
        <r>
          <rPr>
            <b/>
            <sz val="9"/>
            <color indexed="81"/>
            <rFont val="Tahoma"/>
            <family val="2"/>
          </rPr>
          <t>Magda le Roux:</t>
        </r>
        <r>
          <rPr>
            <sz val="9"/>
            <color indexed="81"/>
            <rFont val="Tahoma"/>
            <family val="2"/>
          </rPr>
          <t xml:space="preserve">
audit: jan  54 834 to 53 019; Mar 50 984 to 26 443</t>
        </r>
      </text>
    </comment>
    <comment ref="P5" authorId="0" shapeId="0">
      <text>
        <r>
          <rPr>
            <b/>
            <sz val="9"/>
            <color indexed="81"/>
            <rFont val="Tahoma"/>
            <charset val="1"/>
          </rPr>
          <t>Magda le Roux:</t>
        </r>
        <r>
          <rPr>
            <sz val="9"/>
            <color indexed="81"/>
            <rFont val="Tahoma"/>
            <charset val="1"/>
          </rPr>
          <t xml:space="preserve">
audit: April   26 443 to 31 424</t>
        </r>
      </text>
    </comment>
    <comment ref="R5" authorId="0" shapeId="0">
      <text>
        <r>
          <rPr>
            <b/>
            <sz val="9"/>
            <color indexed="81"/>
            <rFont val="Tahoma"/>
            <family val="2"/>
          </rPr>
          <t>Magda le Roux:</t>
        </r>
        <r>
          <rPr>
            <sz val="9"/>
            <color indexed="81"/>
            <rFont val="Tahoma"/>
            <family val="2"/>
          </rPr>
          <t xml:space="preserve">
audit: 1 497 970 to 1 492 007</t>
        </r>
      </text>
    </comment>
    <comment ref="S5" authorId="0" shapeId="0">
      <text>
        <r>
          <rPr>
            <b/>
            <sz val="9"/>
            <color indexed="81"/>
            <rFont val="Tahoma"/>
            <family val="2"/>
          </rPr>
          <t>Magda le Roux:</t>
        </r>
        <r>
          <rPr>
            <sz val="9"/>
            <color indexed="81"/>
            <rFont val="Tahoma"/>
            <family val="2"/>
          </rPr>
          <t xml:space="preserve">
Magda le Roux:
audit: 1394 399 to 
1 393 653.00</t>
        </r>
      </text>
    </comment>
    <comment ref="T5" authorId="0" shapeId="0">
      <text>
        <r>
          <rPr>
            <b/>
            <sz val="9"/>
            <color indexed="81"/>
            <rFont val="Tahoma"/>
            <family val="2"/>
          </rPr>
          <t>Magda le Roux:</t>
        </r>
        <r>
          <rPr>
            <sz val="9"/>
            <color indexed="81"/>
            <rFont val="Tahoma"/>
            <family val="2"/>
          </rPr>
          <t xml:space="preserve">
audit : 1397662 to  1375966</t>
        </r>
      </text>
    </comment>
    <comment ref="U5" authorId="0" shapeId="0">
      <text>
        <r>
          <rPr>
            <b/>
            <sz val="9"/>
            <color indexed="81"/>
            <rFont val="Tahoma"/>
            <family val="2"/>
          </rPr>
          <t>Magda le Roux:</t>
        </r>
        <r>
          <rPr>
            <sz val="9"/>
            <color indexed="81"/>
            <rFont val="Tahoma"/>
            <family val="2"/>
          </rPr>
          <t xml:space="preserve">
udit : 1397662 to  1375966</t>
        </r>
      </text>
    </comment>
    <comment ref="N7" authorId="0" shapeId="0">
      <text>
        <r>
          <rPr>
            <b/>
            <sz val="9"/>
            <color indexed="81"/>
            <rFont val="Tahoma"/>
            <family val="2"/>
          </rPr>
          <t>Magda le Roux:</t>
        </r>
        <r>
          <rPr>
            <sz val="9"/>
            <color indexed="81"/>
            <rFont val="Tahoma"/>
            <family val="2"/>
          </rPr>
          <t xml:space="preserve">
KDM inidcated 1.06</t>
        </r>
      </text>
    </comment>
    <comment ref="N8" authorId="0" shapeId="0">
      <text>
        <r>
          <rPr>
            <b/>
            <sz val="9"/>
            <color indexed="81"/>
            <rFont val="Tahoma"/>
            <family val="2"/>
          </rPr>
          <t>Magda le Roux:</t>
        </r>
        <r>
          <rPr>
            <sz val="9"/>
            <color indexed="81"/>
            <rFont val="Tahoma"/>
            <family val="2"/>
          </rPr>
          <t xml:space="preserve">
KDM indicated -44.75</t>
        </r>
      </text>
    </comment>
    <comment ref="Q10" authorId="0" shapeId="0">
      <text>
        <r>
          <rPr>
            <b/>
            <sz val="9"/>
            <color indexed="81"/>
            <rFont val="Tahoma"/>
            <family val="2"/>
          </rPr>
          <t>Magda le Roux:</t>
        </r>
        <r>
          <rPr>
            <sz val="9"/>
            <color indexed="81"/>
            <rFont val="Tahoma"/>
            <family val="2"/>
          </rPr>
          <t xml:space="preserve">
408 is due to the Generators running for an extended time during a Power Failure from Eskom. The Generators is tested but the readings do not pick up because they have a tank feeding them. Only when the tank will fall below a certain volume will diesel feed into them. Meters is Qualibrated and installed. </t>
        </r>
      </text>
    </comment>
    <comment ref="R10" authorId="0" shapeId="0">
      <text>
        <r>
          <rPr>
            <b/>
            <sz val="9"/>
            <color indexed="81"/>
            <rFont val="Tahoma"/>
            <family val="2"/>
          </rPr>
          <t>Magda le Roux:</t>
        </r>
        <r>
          <rPr>
            <sz val="9"/>
            <color indexed="81"/>
            <rFont val="Tahoma"/>
            <family val="2"/>
          </rPr>
          <t xml:space="preserve">
audit: 10932 to 0</t>
        </r>
      </text>
    </comment>
    <comment ref="S10" authorId="0" shapeId="0">
      <text>
        <r>
          <rPr>
            <b/>
            <sz val="9"/>
            <color indexed="81"/>
            <rFont val="Tahoma"/>
            <family val="2"/>
          </rPr>
          <t>Magda le Roux:</t>
        </r>
        <r>
          <rPr>
            <sz val="9"/>
            <color indexed="81"/>
            <rFont val="Tahoma"/>
            <family val="2"/>
          </rPr>
          <t xml:space="preserve">
audit : 14389 to 12 690.00</t>
        </r>
      </text>
    </comment>
    <comment ref="T10" authorId="0" shapeId="0">
      <text>
        <r>
          <rPr>
            <b/>
            <sz val="9"/>
            <color indexed="81"/>
            <rFont val="Tahoma"/>
            <family val="2"/>
          </rPr>
          <t>Magda le Roux:</t>
        </r>
        <r>
          <rPr>
            <sz val="9"/>
            <color indexed="81"/>
            <rFont val="Tahoma"/>
            <family val="2"/>
          </rPr>
          <t xml:space="preserve">
audit 27048.10 to  19568</t>
        </r>
      </text>
    </comment>
    <comment ref="U10" authorId="0" shapeId="0">
      <text>
        <r>
          <rPr>
            <b/>
            <sz val="9"/>
            <color indexed="81"/>
            <rFont val="Tahoma"/>
            <family val="2"/>
          </rPr>
          <t>Magda le Roux:</t>
        </r>
        <r>
          <rPr>
            <sz val="9"/>
            <color indexed="81"/>
            <rFont val="Tahoma"/>
            <family val="2"/>
          </rPr>
          <t xml:space="preserve">
audit: 6411 to 19174</t>
        </r>
      </text>
    </comment>
    <comment ref="H12" authorId="0" shapeId="0">
      <text>
        <r>
          <rPr>
            <b/>
            <sz val="9"/>
            <color indexed="81"/>
            <rFont val="Tahoma"/>
            <family val="2"/>
          </rPr>
          <t>Magda le Roux:</t>
        </r>
        <r>
          <rPr>
            <sz val="9"/>
            <color indexed="81"/>
            <rFont val="Tahoma"/>
            <family val="2"/>
          </rPr>
          <t xml:space="preserve">
2 genset combined 4000kwh, ran 10 min per month( 30 days) 133kWh per day</t>
        </r>
      </text>
    </comment>
    <comment ref="O12" authorId="0" shapeId="0">
      <text>
        <r>
          <rPr>
            <b/>
            <sz val="9"/>
            <color indexed="81"/>
            <rFont val="Tahoma"/>
            <family val="2"/>
          </rPr>
          <t>Magda le Roux:</t>
        </r>
        <r>
          <rPr>
            <sz val="9"/>
            <color indexed="81"/>
            <rFont val="Tahoma"/>
            <family val="2"/>
          </rPr>
          <t xml:space="preserve">
Quantity of electricity generated too low- it is not seaparately measured.</t>
        </r>
      </text>
    </comment>
    <comment ref="C13" authorId="0" shapeId="0">
      <text>
        <r>
          <rPr>
            <b/>
            <sz val="9"/>
            <color indexed="81"/>
            <rFont val="Tahoma"/>
            <family val="2"/>
          </rPr>
          <t>Magda le Roux:</t>
        </r>
        <r>
          <rPr>
            <sz val="9"/>
            <color indexed="81"/>
            <rFont val="Tahoma"/>
            <family val="2"/>
          </rPr>
          <t xml:space="preserve">
Audit: 57 529 459 to 57 529 784.41</t>
        </r>
      </text>
    </comment>
    <comment ref="D13" authorId="0" shapeId="0">
      <text>
        <r>
          <rPr>
            <b/>
            <sz val="9"/>
            <color indexed="81"/>
            <rFont val="Tahoma"/>
            <family val="2"/>
          </rPr>
          <t>Magda le Roux:</t>
        </r>
        <r>
          <rPr>
            <sz val="9"/>
            <color indexed="81"/>
            <rFont val="Tahoma"/>
            <family val="2"/>
          </rPr>
          <t xml:space="preserve">
audit: 56 053 681.09 to  56 050 478.84</t>
        </r>
      </text>
    </comment>
    <comment ref="E13" authorId="0" shapeId="0">
      <text>
        <r>
          <rPr>
            <b/>
            <sz val="9"/>
            <color indexed="81"/>
            <rFont val="Tahoma"/>
            <family val="2"/>
          </rPr>
          <t>Magda le Roux:</t>
        </r>
        <r>
          <rPr>
            <sz val="9"/>
            <color indexed="81"/>
            <rFont val="Tahoma"/>
            <family val="2"/>
          </rPr>
          <t xml:space="preserve">
audit; from 49 501  231.13 to 49 501 312.68</t>
        </r>
      </text>
    </comment>
    <comment ref="F13" authorId="0" shapeId="0">
      <text>
        <r>
          <rPr>
            <b/>
            <sz val="9"/>
            <color indexed="81"/>
            <rFont val="Tahoma"/>
            <family val="2"/>
          </rPr>
          <t>Magda le Roux:</t>
        </r>
        <r>
          <rPr>
            <sz val="9"/>
            <color indexed="81"/>
            <rFont val="Tahoma"/>
            <family val="2"/>
          </rPr>
          <t xml:space="preserve">
audit: 37546011.32 to 37 545 945.81</t>
        </r>
      </text>
    </comment>
    <comment ref="H13" authorId="0" shapeId="0">
      <text>
        <r>
          <rPr>
            <b/>
            <sz val="9"/>
            <color indexed="81"/>
            <rFont val="Tahoma"/>
            <family val="2"/>
          </rPr>
          <t>Magda le Roux:</t>
        </r>
        <r>
          <rPr>
            <sz val="9"/>
            <color indexed="81"/>
            <rFont val="Tahoma"/>
            <family val="2"/>
          </rPr>
          <t xml:space="preserve">
amended in Sept as Aug 19 changed from 15475908.7 to 15535588.64</t>
        </r>
      </text>
    </comment>
    <comment ref="O13" authorId="0" shapeId="0">
      <text>
        <r>
          <rPr>
            <b/>
            <sz val="9"/>
            <color indexed="81"/>
            <rFont val="Tahoma"/>
            <family val="2"/>
          </rPr>
          <t>Magda le Roux:</t>
        </r>
        <r>
          <rPr>
            <sz val="9"/>
            <color indexed="81"/>
            <rFont val="Tahoma"/>
            <family val="2"/>
          </rPr>
          <t xml:space="preserve">
amend in Q4 from 7107040 to Q4 reporte value of 10679676.96 Mine  confirmed</t>
        </r>
      </text>
    </comment>
    <comment ref="AD13" authorId="0" shapeId="0">
      <text>
        <r>
          <rPr>
            <b/>
            <sz val="9"/>
            <color indexed="81"/>
            <rFont val="Tahoma"/>
            <family val="2"/>
          </rPr>
          <t>Magda le Roux:</t>
        </r>
        <r>
          <rPr>
            <sz val="9"/>
            <color indexed="81"/>
            <rFont val="Tahoma"/>
            <family val="2"/>
          </rPr>
          <t xml:space="preserve">
average  of Q1 and Q2 as no info was received. Covid 19?</t>
        </r>
      </text>
    </comment>
    <comment ref="AE13" authorId="0" shapeId="0">
      <text>
        <r>
          <rPr>
            <b/>
            <sz val="9"/>
            <color indexed="81"/>
            <rFont val="Tahoma"/>
            <family val="2"/>
          </rPr>
          <t>Magda le Roux:</t>
        </r>
        <r>
          <rPr>
            <sz val="9"/>
            <color indexed="81"/>
            <rFont val="Tahoma"/>
            <family val="2"/>
          </rPr>
          <t xml:space="preserve">
average  of Q1 and Q2 as no info was received. Covid 19?</t>
        </r>
      </text>
    </comment>
    <comment ref="E15" authorId="0" shapeId="0">
      <text>
        <r>
          <rPr>
            <b/>
            <sz val="9"/>
            <color indexed="81"/>
            <rFont val="Tahoma"/>
            <family val="2"/>
          </rPr>
          <t>Magda le Roux:</t>
        </r>
        <r>
          <rPr>
            <sz val="9"/>
            <color indexed="81"/>
            <rFont val="Tahoma"/>
            <family val="2"/>
          </rPr>
          <t xml:space="preserve">
amended Q4 as per annual SD sheet</t>
        </r>
      </text>
    </comment>
    <comment ref="N15" authorId="0" shapeId="0">
      <text>
        <r>
          <rPr>
            <b/>
            <sz val="9"/>
            <color indexed="81"/>
            <rFont val="Tahoma"/>
            <family val="2"/>
          </rPr>
          <t>Magda le Roux:</t>
        </r>
        <r>
          <rPr>
            <sz val="9"/>
            <color indexed="81"/>
            <rFont val="Tahoma"/>
            <family val="2"/>
          </rPr>
          <t xml:space="preserve">
audit 603.42 to 833.43</t>
        </r>
      </text>
    </comment>
    <comment ref="H16" authorId="0" shapeId="0">
      <text>
        <r>
          <rPr>
            <b/>
            <sz val="9"/>
            <color indexed="81"/>
            <rFont val="Tahoma"/>
            <family val="2"/>
          </rPr>
          <t>Magda le Roux:</t>
        </r>
        <r>
          <rPr>
            <sz val="9"/>
            <color indexed="81"/>
            <rFont val="Tahoma"/>
            <family val="2"/>
          </rPr>
          <t xml:space="preserve">
amended as per amendmment form 0 to 96 in  Sept.</t>
        </r>
      </text>
    </comment>
    <comment ref="I16" authorId="0" shapeId="0">
      <text>
        <r>
          <rPr>
            <b/>
            <sz val="9"/>
            <color indexed="81"/>
            <rFont val="Tahoma"/>
            <family val="2"/>
          </rPr>
          <t>Magda le Roux:</t>
        </r>
        <r>
          <rPr>
            <sz val="9"/>
            <color indexed="81"/>
            <rFont val="Tahoma"/>
            <family val="2"/>
          </rPr>
          <t xml:space="preserve">
confirmed as 0</t>
        </r>
      </text>
    </comment>
    <comment ref="T16" authorId="0" shapeId="0">
      <text>
        <r>
          <rPr>
            <b/>
            <sz val="9"/>
            <color indexed="81"/>
            <rFont val="Tahoma"/>
            <family val="2"/>
          </rPr>
          <t>Magda le Roux:</t>
        </r>
        <r>
          <rPr>
            <sz val="9"/>
            <color indexed="81"/>
            <rFont val="Tahoma"/>
            <family val="2"/>
          </rPr>
          <t xml:space="preserve">
audit: 120 to 90</t>
        </r>
      </text>
    </comment>
  </commentList>
</comments>
</file>

<file path=xl/comments6.xml><?xml version="1.0" encoding="utf-8"?>
<comments xmlns="http://schemas.openxmlformats.org/spreadsheetml/2006/main">
  <authors>
    <author>Magda le Roux</author>
  </authors>
  <commentList>
    <comment ref="A1" authorId="0" shapeId="0">
      <text>
        <r>
          <rPr>
            <b/>
            <sz val="9"/>
            <color indexed="81"/>
            <rFont val="Tahoma"/>
            <family val="2"/>
          </rPr>
          <t>Magda le Roux:</t>
        </r>
        <r>
          <rPr>
            <sz val="9"/>
            <color indexed="81"/>
            <rFont val="Tahoma"/>
            <family val="2"/>
          </rPr>
          <t xml:space="preserve">
add thinners?</t>
        </r>
      </text>
    </comment>
    <comment ref="F11" authorId="0" shapeId="0">
      <text>
        <r>
          <rPr>
            <b/>
            <sz val="9"/>
            <color indexed="81"/>
            <rFont val="Tahoma"/>
            <family val="2"/>
          </rPr>
          <t>Magda le Roux:</t>
        </r>
        <r>
          <rPr>
            <sz val="9"/>
            <color indexed="81"/>
            <rFont val="Tahoma"/>
            <family val="2"/>
          </rPr>
          <t xml:space="preserve">
audit : 3630.03 to 2548.44</t>
        </r>
      </text>
    </comment>
    <comment ref="R11" authorId="0" shapeId="0">
      <text>
        <r>
          <rPr>
            <b/>
            <sz val="9"/>
            <color indexed="81"/>
            <rFont val="Tahoma"/>
            <family val="2"/>
          </rPr>
          <t>Magda le Roux:</t>
        </r>
        <r>
          <rPr>
            <sz val="9"/>
            <color indexed="81"/>
            <rFont val="Tahoma"/>
            <family val="2"/>
          </rPr>
          <t xml:space="preserve">
audit: 650 to 1225</t>
        </r>
      </text>
    </comment>
    <comment ref="S11" authorId="0" shapeId="0">
      <text>
        <r>
          <rPr>
            <b/>
            <sz val="9"/>
            <color indexed="81"/>
            <rFont val="Tahoma"/>
            <family val="2"/>
          </rPr>
          <t>Magda le Roux:</t>
        </r>
        <r>
          <rPr>
            <sz val="9"/>
            <color indexed="81"/>
            <rFont val="Tahoma"/>
            <family val="2"/>
          </rPr>
          <t xml:space="preserve">
audit: 0 to 1000</t>
        </r>
      </text>
    </comment>
    <comment ref="A31" authorId="0" shapeId="0">
      <text>
        <r>
          <rPr>
            <b/>
            <sz val="9"/>
            <color indexed="81"/>
            <rFont val="Tahoma"/>
            <family val="2"/>
          </rPr>
          <t>Magda le Roux:</t>
        </r>
        <r>
          <rPr>
            <sz val="9"/>
            <color indexed="81"/>
            <rFont val="Tahoma"/>
            <family val="2"/>
          </rPr>
          <t xml:space="preserve">
Total amended in Q3 due to bryanston figures that were obtained and added</t>
        </r>
      </text>
    </comment>
  </commentList>
</comments>
</file>

<file path=xl/comments7.xml><?xml version="1.0" encoding="utf-8"?>
<comments xmlns="http://schemas.openxmlformats.org/spreadsheetml/2006/main">
  <authors>
    <author>Magda le Roux</author>
  </authors>
  <commentList>
    <comment ref="N7" authorId="0" shapeId="0">
      <text>
        <r>
          <rPr>
            <b/>
            <sz val="9"/>
            <color indexed="81"/>
            <rFont val="Tahoma"/>
            <charset val="1"/>
          </rPr>
          <t>Magda le Roux:</t>
        </r>
        <r>
          <rPr>
            <sz val="9"/>
            <color indexed="81"/>
            <rFont val="Tahoma"/>
            <charset val="1"/>
          </rPr>
          <t xml:space="preserve">
audit: 41.48 to 54.92</t>
        </r>
      </text>
    </comment>
    <comment ref="C9" authorId="0" shapeId="0">
      <text>
        <r>
          <rPr>
            <b/>
            <sz val="9"/>
            <color indexed="81"/>
            <rFont val="Tahoma"/>
            <family val="2"/>
          </rPr>
          <t>Magda le Roux:</t>
        </r>
        <r>
          <rPr>
            <sz val="9"/>
            <color indexed="81"/>
            <rFont val="Tahoma"/>
            <family val="2"/>
          </rPr>
          <t xml:space="preserve">
99% of FY 2019 annual value  divided by 4</t>
        </r>
      </text>
    </comment>
    <comment ref="H9" authorId="0" shapeId="0">
      <text>
        <r>
          <rPr>
            <b/>
            <sz val="9"/>
            <color indexed="81"/>
            <rFont val="Tahoma"/>
            <family val="2"/>
          </rPr>
          <t>Magda le Roux:</t>
        </r>
        <r>
          <rPr>
            <sz val="9"/>
            <color indexed="81"/>
            <rFont val="Tahoma"/>
            <family val="2"/>
          </rPr>
          <t xml:space="preserve">
99% of FY 2019 annual value (divided by 4</t>
        </r>
      </text>
    </comment>
    <comment ref="M9" authorId="0" shapeId="0">
      <text>
        <r>
          <rPr>
            <b/>
            <sz val="9"/>
            <color indexed="81"/>
            <rFont val="Tahoma"/>
            <family val="2"/>
          </rPr>
          <t>Magda le Roux:</t>
        </r>
        <r>
          <rPr>
            <sz val="9"/>
            <color indexed="81"/>
            <rFont val="Tahoma"/>
            <family val="2"/>
          </rPr>
          <t xml:space="preserve">
99% of FY 2019 annual value  divided by 4 </t>
        </r>
      </text>
    </comment>
    <comment ref="N9" authorId="0" shapeId="0">
      <text>
        <r>
          <rPr>
            <b/>
            <sz val="9"/>
            <color indexed="81"/>
            <rFont val="Tahoma"/>
            <family val="2"/>
          </rPr>
          <t>Magda le Roux:</t>
        </r>
        <r>
          <rPr>
            <sz val="9"/>
            <color indexed="81"/>
            <rFont val="Tahoma"/>
            <family val="2"/>
          </rPr>
          <t xml:space="preserve">
KDm value 40.50</t>
        </r>
      </text>
    </comment>
    <comment ref="R9" authorId="0" shapeId="0">
      <text>
        <r>
          <rPr>
            <b/>
            <sz val="9"/>
            <color indexed="81"/>
            <rFont val="Tahoma"/>
            <family val="2"/>
          </rPr>
          <t>Magda le Roux:</t>
        </r>
        <r>
          <rPr>
            <sz val="9"/>
            <color indexed="81"/>
            <rFont val="Tahoma"/>
            <family val="2"/>
          </rPr>
          <t xml:space="preserve">
99% of FY 2019 annual value  divided by 4</t>
        </r>
      </text>
    </comment>
    <comment ref="N10" authorId="0" shapeId="0">
      <text>
        <r>
          <rPr>
            <b/>
            <sz val="9"/>
            <color indexed="81"/>
            <rFont val="Tahoma"/>
            <family val="2"/>
          </rPr>
          <t>Magda le Roux:</t>
        </r>
        <r>
          <rPr>
            <sz val="9"/>
            <color indexed="81"/>
            <rFont val="Tahoma"/>
            <family val="2"/>
          </rPr>
          <t xml:space="preserve">
KDM value 15.21%</t>
        </r>
      </text>
    </comment>
    <comment ref="C13" authorId="0" shapeId="0">
      <text>
        <r>
          <rPr>
            <b/>
            <sz val="9"/>
            <color indexed="81"/>
            <rFont val="Tahoma"/>
            <family val="2"/>
          </rPr>
          <t>Magda le Roux:</t>
        </r>
        <r>
          <rPr>
            <sz val="9"/>
            <color indexed="81"/>
            <rFont val="Tahoma"/>
            <family val="2"/>
          </rPr>
          <t xml:space="preserve">
Amended in Q2 as per data amendment form from 2.43 to 1.91</t>
        </r>
      </text>
    </comment>
    <comment ref="A15" authorId="0" shapeId="0">
      <text>
        <r>
          <rPr>
            <b/>
            <sz val="9"/>
            <color indexed="81"/>
            <rFont val="Tahoma"/>
            <family val="2"/>
          </rPr>
          <t>Magda le Roux:</t>
        </r>
        <r>
          <rPr>
            <sz val="9"/>
            <color indexed="81"/>
            <rFont val="Tahoma"/>
            <family val="2"/>
          </rPr>
          <t xml:space="preserve">
KDM the only mine that reported on this- thus added this line in Q4. Will be accommodated in FY 2021 templates</t>
        </r>
      </text>
    </comment>
    <comment ref="B17" authorId="0" shapeId="0">
      <text>
        <r>
          <rPr>
            <b/>
            <sz val="9"/>
            <color indexed="81"/>
            <rFont val="Tahoma"/>
            <family val="2"/>
          </rPr>
          <t>Magda le Roux:</t>
        </r>
        <r>
          <rPr>
            <sz val="9"/>
            <color indexed="81"/>
            <rFont val="Tahoma"/>
            <family val="2"/>
          </rPr>
          <t xml:space="preserve">
converted from units to tonnes</t>
        </r>
      </text>
    </comment>
    <comment ref="C19" authorId="0" shapeId="0">
      <text>
        <r>
          <rPr>
            <b/>
            <sz val="9"/>
            <color indexed="81"/>
            <rFont val="Tahoma"/>
            <family val="2"/>
          </rPr>
          <t>Magda le Roux:</t>
        </r>
        <r>
          <rPr>
            <sz val="9"/>
            <color indexed="81"/>
            <rFont val="Tahoma"/>
            <family val="2"/>
          </rPr>
          <t xml:space="preserve">
Amend in q2 as per data amendmnd form from 287.38 to308.52</t>
        </r>
      </text>
    </comment>
    <comment ref="D19" authorId="0" shapeId="0">
      <text>
        <r>
          <rPr>
            <b/>
            <sz val="9"/>
            <color indexed="81"/>
            <rFont val="Tahoma"/>
            <family val="2"/>
          </rPr>
          <t>Magda le Roux:</t>
        </r>
        <r>
          <rPr>
            <sz val="9"/>
            <color indexed="81"/>
            <rFont val="Tahoma"/>
            <family val="2"/>
          </rPr>
          <t xml:space="preserve">
amended as oper amendment form Jan 2020 ( Nov amended by addition of 10.62)</t>
        </r>
      </text>
    </comment>
    <comment ref="M19" authorId="0" shapeId="0">
      <text>
        <r>
          <rPr>
            <b/>
            <sz val="9"/>
            <color indexed="81"/>
            <rFont val="Tahoma"/>
            <charset val="1"/>
          </rPr>
          <t>Magda le Roux:</t>
        </r>
        <r>
          <rPr>
            <sz val="9"/>
            <color indexed="81"/>
            <rFont val="Tahoma"/>
            <charset val="1"/>
          </rPr>
          <t xml:space="preserve">
audit :  69.5 to 72.04 </t>
        </r>
      </text>
    </comment>
    <comment ref="O19" authorId="0" shapeId="0">
      <text>
        <r>
          <rPr>
            <b/>
            <sz val="9"/>
            <color indexed="81"/>
            <rFont val="Tahoma"/>
            <charset val="1"/>
          </rPr>
          <t>Magda le Roux:</t>
        </r>
        <r>
          <rPr>
            <sz val="9"/>
            <color indexed="81"/>
            <rFont val="Tahoma"/>
            <charset val="1"/>
          </rPr>
          <t xml:space="preserve">
audit: 150.12 to 166.52</t>
        </r>
      </text>
    </comment>
    <comment ref="B21" authorId="0" shapeId="0">
      <text>
        <r>
          <rPr>
            <b/>
            <sz val="9"/>
            <color indexed="81"/>
            <rFont val="Tahoma"/>
            <family val="2"/>
          </rPr>
          <t>Magda le Roux:</t>
        </r>
        <r>
          <rPr>
            <sz val="9"/>
            <color indexed="81"/>
            <rFont val="Tahoma"/>
            <family val="2"/>
          </rPr>
          <t xml:space="preserve">
converted from units to tonnes</t>
        </r>
      </text>
    </comment>
    <comment ref="S21" authorId="0" shapeId="0">
      <text>
        <r>
          <rPr>
            <b/>
            <sz val="9"/>
            <color indexed="81"/>
            <rFont val="Tahoma"/>
            <family val="2"/>
          </rPr>
          <t>Magda le Roux:</t>
        </r>
        <r>
          <rPr>
            <sz val="9"/>
            <color indexed="81"/>
            <rFont val="Tahoma"/>
            <family val="2"/>
          </rPr>
          <t xml:space="preserve">
reported Q3 as  0.8 Mine confirmed</t>
        </r>
      </text>
    </comment>
    <comment ref="T21" authorId="0" shapeId="0">
      <text>
        <r>
          <rPr>
            <b/>
            <sz val="9"/>
            <color indexed="81"/>
            <rFont val="Tahoma"/>
            <family val="2"/>
          </rPr>
          <t>Magda le Roux:
Mine confirmed</t>
        </r>
      </text>
    </comment>
    <comment ref="B22" authorId="0" shapeId="0">
      <text>
        <r>
          <rPr>
            <b/>
            <sz val="9"/>
            <color indexed="81"/>
            <rFont val="Tahoma"/>
            <family val="2"/>
          </rPr>
          <t>Magda le Roux:</t>
        </r>
        <r>
          <rPr>
            <sz val="9"/>
            <color indexed="81"/>
            <rFont val="Tahoma"/>
            <family val="2"/>
          </rPr>
          <t xml:space="preserve">
Converted form units to tonnes</t>
        </r>
      </text>
    </comment>
    <comment ref="B23" authorId="0" shapeId="0">
      <text>
        <r>
          <rPr>
            <b/>
            <sz val="9"/>
            <color indexed="81"/>
            <rFont val="Tahoma"/>
            <family val="2"/>
          </rPr>
          <t>Magda le Roux:</t>
        </r>
        <r>
          <rPr>
            <sz val="9"/>
            <color indexed="81"/>
            <rFont val="Tahoma"/>
            <family val="2"/>
          </rPr>
          <t xml:space="preserve">
converted from units to tons</t>
        </r>
      </text>
    </comment>
    <comment ref="H23" authorId="0" shapeId="0">
      <text>
        <r>
          <rPr>
            <b/>
            <sz val="9"/>
            <color indexed="81"/>
            <rFont val="Tahoma"/>
            <family val="2"/>
          </rPr>
          <t>Magda le Roux:</t>
        </r>
        <r>
          <rPr>
            <sz val="9"/>
            <color indexed="81"/>
            <rFont val="Tahoma"/>
            <family val="2"/>
          </rPr>
          <t xml:space="preserve">
amended in sept as per amendment form as Jul changed form 0 to 5.44</t>
        </r>
      </text>
    </comment>
    <comment ref="N24" authorId="0" shapeId="0">
      <text>
        <r>
          <rPr>
            <b/>
            <sz val="9"/>
            <color indexed="81"/>
            <rFont val="Tahoma"/>
            <family val="2"/>
          </rPr>
          <t>Magda le Roux:</t>
        </r>
        <r>
          <rPr>
            <sz val="9"/>
            <color indexed="81"/>
            <rFont val="Tahoma"/>
            <family val="2"/>
          </rPr>
          <t xml:space="preserve">
KDM value  82.32 as it included 4.90 t fluoresecent tubes.</t>
        </r>
      </text>
    </comment>
    <comment ref="E26" authorId="0" shapeId="0">
      <text>
        <r>
          <rPr>
            <b/>
            <sz val="9"/>
            <color indexed="81"/>
            <rFont val="Tahoma"/>
            <family val="2"/>
          </rPr>
          <t>Magda le Roux:</t>
        </r>
        <r>
          <rPr>
            <sz val="9"/>
            <color indexed="81"/>
            <rFont val="Tahoma"/>
            <family val="2"/>
          </rPr>
          <t xml:space="preserve">
amended in May as per data amendment form from 0.02 to 0.0369</t>
        </r>
      </text>
    </comment>
    <comment ref="H26" authorId="0" shapeId="0">
      <text>
        <r>
          <rPr>
            <b/>
            <sz val="9"/>
            <color indexed="81"/>
            <rFont val="Tahoma"/>
            <family val="2"/>
          </rPr>
          <t>Magda le Roux:</t>
        </r>
        <r>
          <rPr>
            <sz val="9"/>
            <color indexed="81"/>
            <rFont val="Tahoma"/>
            <family val="2"/>
          </rPr>
          <t xml:space="preserve">
changed in q2 as per data amendment form form 0 to 62.90 kg</t>
        </r>
      </text>
    </comment>
    <comment ref="I26" authorId="0" shapeId="0">
      <text>
        <r>
          <rPr>
            <b/>
            <sz val="9"/>
            <color indexed="81"/>
            <rFont val="Tahoma"/>
            <family val="2"/>
          </rPr>
          <t>Magda le Roux:</t>
        </r>
        <r>
          <rPr>
            <sz val="9"/>
            <color indexed="81"/>
            <rFont val="Tahoma"/>
            <family val="2"/>
          </rPr>
          <t xml:space="preserve">
amended in q3 from 20.03 tons to  0.09 as per FDM data sheet.</t>
        </r>
      </text>
    </comment>
    <comment ref="H27" authorId="0" shapeId="0">
      <text>
        <r>
          <rPr>
            <b/>
            <sz val="9"/>
            <color indexed="81"/>
            <rFont val="Tahoma"/>
            <family val="2"/>
          </rPr>
          <t>Magda le Roux:</t>
        </r>
        <r>
          <rPr>
            <sz val="9"/>
            <color indexed="81"/>
            <rFont val="Tahoma"/>
            <family val="2"/>
          </rPr>
          <t xml:space="preserve">
changed in Q2 as per data amendment form from 0.18 to 0.47</t>
        </r>
      </text>
    </comment>
    <comment ref="B29" authorId="0" shapeId="0">
      <text>
        <r>
          <rPr>
            <b/>
            <sz val="9"/>
            <color indexed="81"/>
            <rFont val="Tahoma"/>
            <family val="2"/>
          </rPr>
          <t>Magda le Roux:</t>
        </r>
        <r>
          <rPr>
            <sz val="9"/>
            <color indexed="81"/>
            <rFont val="Tahoma"/>
            <family val="2"/>
          </rPr>
          <t xml:space="preserve">
m3x 0.25 (assumption d = .25)</t>
        </r>
      </text>
    </comment>
    <comment ref="N29" authorId="0" shapeId="0">
      <text>
        <r>
          <rPr>
            <b/>
            <sz val="9"/>
            <color indexed="81"/>
            <rFont val="Tahoma"/>
            <family val="2"/>
          </rPr>
          <t>Magda le Roux:</t>
        </r>
        <r>
          <rPr>
            <sz val="9"/>
            <color indexed="81"/>
            <rFont val="Tahoma"/>
            <family val="2"/>
          </rPr>
          <t xml:space="preserve">
KDM value 128.92 due to fluorescent tubes of 4.9 t</t>
        </r>
      </text>
    </comment>
    <comment ref="N30" authorId="0" shapeId="0">
      <text>
        <r>
          <rPr>
            <b/>
            <sz val="9"/>
            <color indexed="81"/>
            <rFont val="Tahoma"/>
            <family val="2"/>
          </rPr>
          <t>Magda le Roux:</t>
        </r>
        <r>
          <rPr>
            <sz val="9"/>
            <color indexed="81"/>
            <rFont val="Tahoma"/>
            <family val="2"/>
          </rPr>
          <t xml:space="preserve">
KDM value 63.82%</t>
        </r>
      </text>
    </comment>
    <comment ref="H32" authorId="0" shapeId="0">
      <text>
        <r>
          <rPr>
            <b/>
            <sz val="9"/>
            <color indexed="81"/>
            <rFont val="Tahoma"/>
            <family val="2"/>
          </rPr>
          <t>Magda le Roux:</t>
        </r>
        <r>
          <rPr>
            <sz val="9"/>
            <color indexed="81"/>
            <rFont val="Tahoma"/>
            <family val="2"/>
          </rPr>
          <t xml:space="preserve">
amended in Q2</t>
        </r>
      </text>
    </comment>
    <comment ref="P32" authorId="0" shapeId="0">
      <text>
        <r>
          <rPr>
            <b/>
            <sz val="9"/>
            <color indexed="81"/>
            <rFont val="Tahoma"/>
            <family val="2"/>
          </rPr>
          <t>Magda le Roux:</t>
        </r>
        <r>
          <rPr>
            <sz val="9"/>
            <color indexed="81"/>
            <rFont val="Tahoma"/>
            <family val="2"/>
          </rPr>
          <t xml:space="preserve">
mine to supply data</t>
        </r>
      </text>
    </comment>
    <comment ref="H33" authorId="0" shapeId="0">
      <text>
        <r>
          <rPr>
            <b/>
            <sz val="9"/>
            <color indexed="81"/>
            <rFont val="Tahoma"/>
            <family val="2"/>
          </rPr>
          <t>Magda le Roux:</t>
        </r>
        <r>
          <rPr>
            <sz val="9"/>
            <color indexed="81"/>
            <rFont val="Tahoma"/>
            <family val="2"/>
          </rPr>
          <t xml:space="preserve">
amended in Q2</t>
        </r>
      </text>
    </comment>
    <comment ref="G35" authorId="0" shapeId="0">
      <text>
        <r>
          <rPr>
            <b/>
            <sz val="9"/>
            <color indexed="81"/>
            <rFont val="Tahoma"/>
            <family val="2"/>
          </rPr>
          <t>Magda le Roux:</t>
        </r>
        <r>
          <rPr>
            <sz val="9"/>
            <color indexed="81"/>
            <rFont val="Tahoma"/>
            <family val="2"/>
          </rPr>
          <t xml:space="preserve">
Interwaste Hazardous waste = R95162.46
Averda Medical waste = R 12302.80</t>
        </r>
      </text>
    </comment>
    <comment ref="G37" authorId="0" shapeId="0">
      <text>
        <r>
          <rPr>
            <b/>
            <sz val="9"/>
            <color indexed="81"/>
            <rFont val="Tahoma"/>
            <family val="2"/>
          </rPr>
          <t>Magda le Roux:</t>
        </r>
        <r>
          <rPr>
            <sz val="9"/>
            <color indexed="81"/>
            <rFont val="Tahoma"/>
            <family val="2"/>
          </rPr>
          <t xml:space="preserve">
Total 219 349.18 and not 304 172.59 due to rebate
Interwaste costs =R207046.38
Medical waste Averda = R12302.80</t>
        </r>
      </text>
    </comment>
    <comment ref="V37" authorId="0" shapeId="0">
      <text>
        <r>
          <rPr>
            <b/>
            <sz val="9"/>
            <color indexed="81"/>
            <rFont val="Tahoma"/>
            <family val="2"/>
          </rPr>
          <t>Magda le Roux:</t>
        </r>
        <r>
          <rPr>
            <sz val="9"/>
            <color indexed="81"/>
            <rFont val="Tahoma"/>
            <family val="2"/>
          </rPr>
          <t xml:space="preserve">
TZS</t>
        </r>
      </text>
    </comment>
    <comment ref="G38" authorId="0" shapeId="0">
      <text>
        <r>
          <rPr>
            <b/>
            <sz val="9"/>
            <color indexed="81"/>
            <rFont val="Tahoma"/>
            <family val="2"/>
          </rPr>
          <t>Magda le Roux:</t>
        </r>
        <r>
          <rPr>
            <sz val="9"/>
            <color indexed="81"/>
            <rFont val="Tahoma"/>
            <family val="2"/>
          </rPr>
          <t xml:space="preserve">
difference due to rebate from recycled waste</t>
        </r>
      </text>
    </comment>
  </commentList>
</comments>
</file>

<file path=xl/comments8.xml><?xml version="1.0" encoding="utf-8"?>
<comments xmlns="http://schemas.openxmlformats.org/spreadsheetml/2006/main">
  <authors>
    <author>Magda le Roux</author>
  </authors>
  <commentList>
    <comment ref="D8" authorId="0" shapeId="0">
      <text>
        <r>
          <rPr>
            <b/>
            <sz val="9"/>
            <color indexed="81"/>
            <rFont val="Tahoma"/>
            <family val="2"/>
          </rPr>
          <t>Magda le Roux:</t>
        </r>
        <r>
          <rPr>
            <sz val="9"/>
            <color indexed="81"/>
            <rFont val="Tahoma"/>
            <family val="2"/>
          </rPr>
          <t xml:space="preserve">
amended in March 2020 as per amendment  from 1 to 2. Wilge incident in dec 2019 was not reported</t>
        </r>
      </text>
    </comment>
    <comment ref="M9" authorId="0" shapeId="0">
      <text>
        <r>
          <rPr>
            <b/>
            <sz val="9"/>
            <color indexed="81"/>
            <rFont val="Tahoma"/>
            <family val="2"/>
          </rPr>
          <t>Magda le Roux:</t>
        </r>
        <r>
          <rPr>
            <sz val="9"/>
            <color indexed="81"/>
            <rFont val="Tahoma"/>
            <family val="2"/>
          </rPr>
          <t xml:space="preserve">
amended in q2 from  1 low and 1 minor </t>
        </r>
      </text>
    </comment>
    <comment ref="Q10" authorId="0" shapeId="0">
      <text>
        <r>
          <rPr>
            <b/>
            <sz val="9"/>
            <color indexed="81"/>
            <rFont val="Tahoma"/>
            <family val="2"/>
          </rPr>
          <t>Magda le Roux:</t>
        </r>
        <r>
          <rPr>
            <sz val="9"/>
            <color indexed="81"/>
            <rFont val="Tahoma"/>
            <family val="2"/>
          </rPr>
          <t xml:space="preserve">
mine reported in word annual 17 minors and 11 lows</t>
        </r>
      </text>
    </comment>
    <comment ref="T10" authorId="0" shapeId="0">
      <text>
        <r>
          <rPr>
            <b/>
            <sz val="9"/>
            <color indexed="81"/>
            <rFont val="Tahoma"/>
            <family val="2"/>
          </rPr>
          <t>Magda le Roux:</t>
        </r>
        <r>
          <rPr>
            <sz val="9"/>
            <color indexed="81"/>
            <rFont val="Tahoma"/>
            <family val="2"/>
          </rPr>
          <t xml:space="preserve">
Word report inidcated 59 low and 41 minors. Mine to clarify. Mlr amend from 39 low and 27 minors</t>
        </r>
      </text>
    </comment>
    <comment ref="G20" authorId="0" shapeId="0">
      <text>
        <r>
          <rPr>
            <b/>
            <sz val="9"/>
            <color indexed="81"/>
            <rFont val="Tahoma"/>
            <family val="2"/>
          </rPr>
          <t>Magda le Roux:</t>
        </r>
        <r>
          <rPr>
            <sz val="9"/>
            <color indexed="81"/>
            <rFont val="Tahoma"/>
            <family val="2"/>
          </rPr>
          <t xml:space="preserve">
amended in March 2020 as CDm added the Wilge incident for dec 2019</t>
        </r>
      </text>
    </comment>
  </commentList>
</comments>
</file>

<file path=xl/comments9.xml><?xml version="1.0" encoding="utf-8"?>
<comments xmlns="http://schemas.openxmlformats.org/spreadsheetml/2006/main">
  <authors>
    <author>Magda le Roux</author>
  </authors>
  <commentList>
    <comment ref="D5" authorId="0" shapeId="0">
      <text>
        <r>
          <rPr>
            <b/>
            <sz val="9"/>
            <color indexed="81"/>
            <rFont val="Tahoma"/>
            <family val="2"/>
          </rPr>
          <t>Magda le Roux:</t>
        </r>
        <r>
          <rPr>
            <sz val="9"/>
            <color indexed="81"/>
            <rFont val="Tahoma"/>
            <family val="2"/>
          </rPr>
          <t xml:space="preserve">
reported by mine as 3673.24</t>
        </r>
      </text>
    </comment>
    <comment ref="E5" authorId="0" shapeId="0">
      <text>
        <r>
          <rPr>
            <b/>
            <sz val="9"/>
            <color indexed="81"/>
            <rFont val="Tahoma"/>
            <family val="2"/>
          </rPr>
          <t>Magda le Roux:</t>
        </r>
        <r>
          <rPr>
            <sz val="9"/>
            <color indexed="81"/>
            <rFont val="Tahoma"/>
            <family val="2"/>
          </rPr>
          <t xml:space="preserve">
Premier game farm = 1800; wilger dAm game farm = 800;
Wilger dam = 70; ant xanctuary = 3.24
Total 2673.24</t>
        </r>
      </text>
    </comment>
    <comment ref="H6" authorId="0" shapeId="0">
      <text>
        <r>
          <rPr>
            <b/>
            <sz val="9"/>
            <color indexed="81"/>
            <rFont val="Tahoma"/>
            <family val="2"/>
          </rPr>
          <t>Magda le Roux:</t>
        </r>
        <r>
          <rPr>
            <sz val="9"/>
            <color indexed="81"/>
            <rFont val="Tahoma"/>
            <family val="2"/>
          </rPr>
          <t xml:space="preserve">
amended from 6 In Q3: 1o plant species and 6 weeds</t>
        </r>
      </text>
    </comment>
    <comment ref="I6" authorId="0" shapeId="0">
      <text>
        <r>
          <rPr>
            <b/>
            <sz val="9"/>
            <color indexed="81"/>
            <rFont val="Tahoma"/>
            <family val="2"/>
          </rPr>
          <t>Magda le Roux:</t>
        </r>
        <r>
          <rPr>
            <sz val="9"/>
            <color indexed="81"/>
            <rFont val="Tahoma"/>
            <family val="2"/>
          </rPr>
          <t xml:space="preserve">
amended Q3 from 6: 10 invasieve palnt species and 6 weeds</t>
        </r>
      </text>
    </comment>
    <comment ref="J6" authorId="0" shapeId="0">
      <text>
        <r>
          <rPr>
            <b/>
            <sz val="9"/>
            <color indexed="81"/>
            <rFont val="Tahoma"/>
            <family val="2"/>
          </rPr>
          <t>Magda le Roux:</t>
        </r>
        <r>
          <rPr>
            <sz val="9"/>
            <color indexed="81"/>
            <rFont val="Tahoma"/>
            <family val="2"/>
          </rPr>
          <t xml:space="preserve">
10 invasive plant species and 6 weeds</t>
        </r>
      </text>
    </comment>
    <comment ref="L6" authorId="0" shapeId="0">
      <text>
        <r>
          <rPr>
            <b/>
            <sz val="9"/>
            <color indexed="81"/>
            <rFont val="Tahoma"/>
            <family val="2"/>
          </rPr>
          <t>Magda le Roux:</t>
        </r>
        <r>
          <rPr>
            <sz val="9"/>
            <color indexed="81"/>
            <rFont val="Tahoma"/>
            <family val="2"/>
          </rPr>
          <t xml:space="preserve">
10 invasive plant species and 6 weeds</t>
        </r>
      </text>
    </comment>
    <comment ref="C8" authorId="0" shapeId="0">
      <text>
        <r>
          <rPr>
            <b/>
            <sz val="9"/>
            <color indexed="81"/>
            <rFont val="Tahoma"/>
            <family val="2"/>
          </rPr>
          <t>Magda le Roux:</t>
        </r>
        <r>
          <rPr>
            <sz val="9"/>
            <color indexed="81"/>
            <rFont val="Tahoma"/>
            <family val="2"/>
          </rPr>
          <t xml:space="preserve">
Diamond Ant</t>
        </r>
      </text>
    </comment>
    <comment ref="G16" authorId="0" shapeId="0">
      <text>
        <r>
          <rPr>
            <b/>
            <sz val="9"/>
            <color indexed="81"/>
            <rFont val="Tahoma"/>
            <family val="2"/>
          </rPr>
          <t>Magda le Roux:</t>
        </r>
        <r>
          <rPr>
            <sz val="9"/>
            <color indexed="81"/>
            <rFont val="Tahoma"/>
            <family val="2"/>
          </rPr>
          <t xml:space="preserve">
Reported in SR only 5 fauna species, Cullinina andt was not reported on</t>
        </r>
      </text>
    </comment>
  </commentList>
</comments>
</file>

<file path=xl/sharedStrings.xml><?xml version="1.0" encoding="utf-8"?>
<sst xmlns="http://schemas.openxmlformats.org/spreadsheetml/2006/main" count="5415" uniqueCount="1706">
  <si>
    <t>Element</t>
  </si>
  <si>
    <t>Unit</t>
  </si>
  <si>
    <t>Cullinan Diamond Mine</t>
  </si>
  <si>
    <t>Quarter 1</t>
  </si>
  <si>
    <t>Quarter 2</t>
  </si>
  <si>
    <t>Quarter 3</t>
  </si>
  <si>
    <t>Quarter 4</t>
  </si>
  <si>
    <t>Total YTD</t>
  </si>
  <si>
    <t>Finsch Diamond Mine</t>
  </si>
  <si>
    <t>Koffiefontein Diamond Mine</t>
  </si>
  <si>
    <t>Williamson Diamonds Limited</t>
  </si>
  <si>
    <t>LAND MANAGEMENT</t>
  </si>
  <si>
    <t>Total area disturbed</t>
  </si>
  <si>
    <t>ha</t>
  </si>
  <si>
    <t>Total area considered rehabilitated during the reporting period</t>
  </si>
  <si>
    <t>Cumulative area considered as rehabilitated</t>
  </si>
  <si>
    <t>Cumulative area undergoing rehabilitation</t>
  </si>
  <si>
    <t>Total area still requiring rehabilitation</t>
  </si>
  <si>
    <t>WATER MANAGEMENT</t>
  </si>
  <si>
    <t>Total Production</t>
  </si>
  <si>
    <r>
      <t>m</t>
    </r>
    <r>
      <rPr>
        <vertAlign val="superscript"/>
        <sz val="11"/>
        <color theme="1"/>
        <rFont val="Calibri"/>
        <family val="2"/>
        <scheme val="minor"/>
      </rPr>
      <t>3</t>
    </r>
  </si>
  <si>
    <t>Raw water</t>
  </si>
  <si>
    <t>Re-used / recycled water</t>
  </si>
  <si>
    <t>Underground dewatering</t>
  </si>
  <si>
    <t>Total water per Production</t>
  </si>
  <si>
    <t>EFFLUENT MANAGEMENT</t>
  </si>
  <si>
    <t>ENERGY MANAGEMENT</t>
  </si>
  <si>
    <t>litres</t>
  </si>
  <si>
    <t>Electricity purchased</t>
  </si>
  <si>
    <t>kWh</t>
  </si>
  <si>
    <t>Electricity generated</t>
  </si>
  <si>
    <t>LPG</t>
  </si>
  <si>
    <t>kg</t>
  </si>
  <si>
    <t>Electricity used per Production</t>
  </si>
  <si>
    <t xml:space="preserve">Total Production </t>
  </si>
  <si>
    <t>Petrol</t>
  </si>
  <si>
    <t xml:space="preserve">Ferrosilicon </t>
  </si>
  <si>
    <t>Oils &amp; hydraulic fluids</t>
  </si>
  <si>
    <t xml:space="preserve">Grease </t>
  </si>
  <si>
    <t>Steel</t>
  </si>
  <si>
    <t>Timber</t>
  </si>
  <si>
    <t>Trichloroethylene</t>
  </si>
  <si>
    <t>Calcium carbonate (Lime)</t>
  </si>
  <si>
    <t>Calcium chloride</t>
  </si>
  <si>
    <t>Sodium nitrate</t>
  </si>
  <si>
    <t>Oil per Production</t>
  </si>
  <si>
    <t>FeSi per Production</t>
  </si>
  <si>
    <t>MATERIALS CONSUMPTION</t>
  </si>
  <si>
    <t>kilograms</t>
  </si>
  <si>
    <t>WASTE MANAGEMENT</t>
  </si>
  <si>
    <t>Disposal</t>
  </si>
  <si>
    <t>Hazardous waste disposed</t>
  </si>
  <si>
    <t>Recycling</t>
  </si>
  <si>
    <t xml:space="preserve">Cardboard / paper </t>
  </si>
  <si>
    <t xml:space="preserve">Conveyor belting </t>
  </si>
  <si>
    <t xml:space="preserve">Lead acid batteries </t>
  </si>
  <si>
    <t xml:space="preserve">Plastic </t>
  </si>
  <si>
    <t xml:space="preserve">Scrap metal </t>
  </si>
  <si>
    <t xml:space="preserve">Toner / ink cartridges </t>
  </si>
  <si>
    <t>Tyres</t>
  </si>
  <si>
    <t xml:space="preserve">Used oil </t>
  </si>
  <si>
    <t>Incineration</t>
  </si>
  <si>
    <t>Total waste incinerated</t>
  </si>
  <si>
    <t>INCIDENTS REPORTED</t>
  </si>
  <si>
    <t>Major</t>
  </si>
  <si>
    <t>Minor</t>
  </si>
  <si>
    <t>TOTAL</t>
  </si>
  <si>
    <t>Total Incidents</t>
  </si>
  <si>
    <t>Number</t>
  </si>
  <si>
    <t>Paper bought</t>
  </si>
  <si>
    <t>BIODIVERSITY MANAGEMENT</t>
  </si>
  <si>
    <t>Total protected area</t>
  </si>
  <si>
    <t>Ha</t>
  </si>
  <si>
    <t>Number of invasive plant species</t>
  </si>
  <si>
    <t>Nr</t>
  </si>
  <si>
    <t>Number of Red Data flora species</t>
  </si>
  <si>
    <t>Number of Red Data fauna species</t>
  </si>
  <si>
    <t xml:space="preserve">OZONE DEPLETING SUBSTANCES </t>
  </si>
  <si>
    <t>Area of pits</t>
  </si>
  <si>
    <t>Area of excavations</t>
  </si>
  <si>
    <t>Area of overburden dumps</t>
  </si>
  <si>
    <t>Area of waste rock dumps</t>
  </si>
  <si>
    <t>Area of fine residue deposits</t>
  </si>
  <si>
    <t>Area of coarse residue deposits</t>
  </si>
  <si>
    <t>Area of ore stockpiles</t>
  </si>
  <si>
    <t>Area of infrastructure</t>
  </si>
  <si>
    <t>Carbon Tetrachloride (CTC)</t>
  </si>
  <si>
    <t>Halon</t>
  </si>
  <si>
    <t>1,1,1-trichloroethane (TCA)</t>
  </si>
  <si>
    <t>Methyl bromide</t>
  </si>
  <si>
    <t>Total Ozone depleting subs</t>
  </si>
  <si>
    <t>Petra Group</t>
  </si>
  <si>
    <t>Q1</t>
  </si>
  <si>
    <t>Q2</t>
  </si>
  <si>
    <t>Q3</t>
  </si>
  <si>
    <t>Q4</t>
  </si>
  <si>
    <r>
      <t>m</t>
    </r>
    <r>
      <rPr>
        <vertAlign val="superscript"/>
        <sz val="10"/>
        <color theme="1"/>
        <rFont val="Arial"/>
        <family val="2"/>
      </rPr>
      <t>3</t>
    </r>
  </si>
  <si>
    <t>Persentage recycled water</t>
  </si>
  <si>
    <t>%</t>
  </si>
  <si>
    <t>CDM</t>
  </si>
  <si>
    <t>FDM</t>
  </si>
  <si>
    <t>KDM</t>
  </si>
  <si>
    <t>KUM</t>
  </si>
  <si>
    <t>WDL</t>
  </si>
  <si>
    <t>Low</t>
  </si>
  <si>
    <t>High</t>
  </si>
  <si>
    <t>Tonnes</t>
  </si>
  <si>
    <t>tonnes</t>
  </si>
  <si>
    <t>Off mine potable water consumption</t>
  </si>
  <si>
    <t>On mine potable water consumption</t>
  </si>
  <si>
    <t>Domestic waste disposed</t>
  </si>
  <si>
    <t>Total Waste Recycled</t>
  </si>
  <si>
    <t>Total waste generated</t>
  </si>
  <si>
    <t>Recycled waste as percentage of total waste</t>
  </si>
  <si>
    <t>Total waste recycled</t>
  </si>
  <si>
    <t>GRAPH 1</t>
  </si>
  <si>
    <t>GRAPH 2</t>
  </si>
  <si>
    <t>graph 3</t>
  </si>
  <si>
    <t>Graph 5</t>
  </si>
  <si>
    <t>Petra</t>
  </si>
  <si>
    <t>GROUP</t>
  </si>
  <si>
    <t>Surface water</t>
  </si>
  <si>
    <t>PM10</t>
  </si>
  <si>
    <t>PM2.5</t>
  </si>
  <si>
    <t>Groundwater</t>
  </si>
  <si>
    <t>Fall out dust</t>
  </si>
  <si>
    <t>Env noise</t>
  </si>
  <si>
    <t>Graph 4</t>
  </si>
  <si>
    <t>Graph 6</t>
  </si>
  <si>
    <t>KDM Non-conformances to standards</t>
  </si>
  <si>
    <t>WDL Non-conformances to standards</t>
  </si>
  <si>
    <t>Flocculant</t>
  </si>
  <si>
    <t xml:space="preserve">Oxy-acetylene </t>
  </si>
  <si>
    <t>Oxy-acetylene</t>
  </si>
  <si>
    <t>Procedures under review</t>
  </si>
  <si>
    <t>graph 4</t>
  </si>
  <si>
    <t>E-waste</t>
  </si>
  <si>
    <t>Medical waste</t>
  </si>
  <si>
    <t>Other waste</t>
  </si>
  <si>
    <t>Medical Waste</t>
  </si>
  <si>
    <t>Rehab completed</t>
  </si>
  <si>
    <t>Rehab in progress</t>
  </si>
  <si>
    <t>Area outstanding</t>
  </si>
  <si>
    <t>PETRA</t>
  </si>
  <si>
    <t xml:space="preserve"> </t>
  </si>
  <si>
    <t>FY 2015</t>
  </si>
  <si>
    <t>FY 2016</t>
  </si>
  <si>
    <t>Total waste to landfill</t>
  </si>
  <si>
    <t>Sodium nitrite</t>
  </si>
  <si>
    <t>Percentages</t>
  </si>
  <si>
    <t>Procedures reviewed</t>
  </si>
  <si>
    <t>Cal value (MJ/l)</t>
  </si>
  <si>
    <t>Medium</t>
  </si>
  <si>
    <t>Graph 3: Petra Group - incidents reported per mine  for FY 2017 Q1</t>
  </si>
  <si>
    <t>KEM</t>
  </si>
  <si>
    <t>FY 2017</t>
  </si>
  <si>
    <t>Total Waste generated in Tonnes 2016</t>
  </si>
  <si>
    <t>Total Waste generated in Tonnes FY 2017 YTD</t>
  </si>
  <si>
    <t>Graph 14</t>
  </si>
  <si>
    <t>Diesel Vehicles</t>
  </si>
  <si>
    <t>Diesel  electricity generation</t>
  </si>
  <si>
    <t>Diesel Electricity generation</t>
  </si>
  <si>
    <t>Total Diesel consumption</t>
  </si>
  <si>
    <t>CR</t>
  </si>
  <si>
    <t>BDM</t>
  </si>
  <si>
    <t>2017 TARGETS</t>
  </si>
  <si>
    <t>STATIONARY COMBUSTION</t>
  </si>
  <si>
    <t>SCOPE 1</t>
  </si>
  <si>
    <t>MOBILE COMBUSTION</t>
  </si>
  <si>
    <t>SCOPE 2</t>
  </si>
  <si>
    <t>Category and emission source/activity</t>
  </si>
  <si>
    <t>TOTAL SCOPE 1</t>
  </si>
  <si>
    <t>TOTAL SCOPE 2</t>
  </si>
  <si>
    <t>SCOPE 3</t>
  </si>
  <si>
    <t>Business travel: employee commute</t>
  </si>
  <si>
    <t>km</t>
  </si>
  <si>
    <t>Paper use</t>
  </si>
  <si>
    <t>Diamond transport: flights</t>
  </si>
  <si>
    <t>EF</t>
  </si>
  <si>
    <t>EF UNITS</t>
  </si>
  <si>
    <t>Waste disposed to landfill(general and hazardous, non-biomass fraction)</t>
  </si>
  <si>
    <t>m3</t>
  </si>
  <si>
    <t>Water treatment (effluent)</t>
  </si>
  <si>
    <t>Potable Water use (pumping of water)</t>
  </si>
  <si>
    <t>Scrap metal for recycling</t>
  </si>
  <si>
    <t>kg CO₂/TJ</t>
  </si>
  <si>
    <t>kg CO₂e/kg</t>
  </si>
  <si>
    <t>kg CO₂e/tonne</t>
  </si>
  <si>
    <t>kg CO₂-e/m³</t>
  </si>
  <si>
    <t>IPCC 5th AR-2014: GWP(CO₂) = 1; GWP(CH4) = 28;GWP(N₂O) = 265</t>
  </si>
  <si>
    <t>TOTAL SCOPE 3</t>
  </si>
  <si>
    <t xml:space="preserve"> kg CO₂</t>
  </si>
  <si>
    <t>kg N₂O</t>
  </si>
  <si>
    <t>kg CO₂e</t>
  </si>
  <si>
    <t xml:space="preserve">TOTAL YTD </t>
  </si>
  <si>
    <t>CULLINAN DIAMOND MINE</t>
  </si>
  <si>
    <t>FINSCH DIAMOND MINE</t>
  </si>
  <si>
    <t>WILLIAMSON DIAMOND MINE</t>
  </si>
  <si>
    <t>PETRA DIAMONDS (PTY)LTD</t>
  </si>
  <si>
    <t>PRODUCTION FIGURES</t>
  </si>
  <si>
    <t>Ore treated ROM</t>
  </si>
  <si>
    <t>Ore treated from dumps</t>
  </si>
  <si>
    <t>Total production</t>
  </si>
  <si>
    <t>Overburden moved</t>
  </si>
  <si>
    <t>Carats recovered</t>
  </si>
  <si>
    <t>Carats</t>
  </si>
  <si>
    <t>Jul</t>
  </si>
  <si>
    <t>Aug</t>
  </si>
  <si>
    <t>Sept</t>
  </si>
  <si>
    <t>Oct</t>
  </si>
  <si>
    <t>Nov</t>
  </si>
  <si>
    <t>Dec</t>
  </si>
  <si>
    <t>Jan</t>
  </si>
  <si>
    <t>Feb</t>
  </si>
  <si>
    <t>Official Total tonnes treated</t>
  </si>
  <si>
    <t>Mine  total tonnes treated</t>
  </si>
  <si>
    <t>Official carats</t>
  </si>
  <si>
    <t>Mine carats</t>
  </si>
  <si>
    <t>OPERATION</t>
  </si>
  <si>
    <t>KEM-JV</t>
  </si>
  <si>
    <t>PRODUCTION FIGURES  (mine reported vs official)</t>
  </si>
  <si>
    <t>(official as supplied by  Deon)</t>
  </si>
  <si>
    <t>Waste tonnes hoisted</t>
  </si>
  <si>
    <t>Williamson Diamond Mine</t>
  </si>
  <si>
    <t>R</t>
  </si>
  <si>
    <t>Total diesel consumption</t>
  </si>
  <si>
    <t>Total Electricity used</t>
  </si>
  <si>
    <t xml:space="preserve">Electricity used per ton treated </t>
  </si>
  <si>
    <t>kWh/t</t>
  </si>
  <si>
    <t>L/t</t>
  </si>
  <si>
    <t>g/t</t>
  </si>
  <si>
    <t>Oil per tonne treated</t>
  </si>
  <si>
    <t>FeSi per tonne treated</t>
  </si>
  <si>
    <t>Cardboard/paper recycled</t>
  </si>
  <si>
    <t>Conveyor belting for recycling</t>
  </si>
  <si>
    <t>Recycled waste as percentage of total waste generated</t>
  </si>
  <si>
    <t>Domestic waste</t>
  </si>
  <si>
    <t>Total significant incidents</t>
  </si>
  <si>
    <t>Group Improvement strategy: Major incidents = 0</t>
  </si>
  <si>
    <t>R134 a</t>
  </si>
  <si>
    <t>Carbon footprint</t>
  </si>
  <si>
    <t>KEM-CR</t>
  </si>
  <si>
    <t>Group  office</t>
  </si>
  <si>
    <t>Unit activity data</t>
  </si>
  <si>
    <r>
      <t>CO</t>
    </r>
    <r>
      <rPr>
        <sz val="8"/>
        <color theme="1"/>
        <rFont val="Calibri"/>
        <family val="2"/>
      </rPr>
      <t>₂</t>
    </r>
    <r>
      <rPr>
        <sz val="8"/>
        <color theme="1"/>
        <rFont val="Calibri"/>
        <family val="2"/>
        <scheme val="minor"/>
      </rPr>
      <t xml:space="preserve"> EF             (kg CO₂/TJ)</t>
    </r>
  </si>
  <si>
    <t>CH₄ EF (kg CH₄/TJ)</t>
  </si>
  <si>
    <r>
      <t>N</t>
    </r>
    <r>
      <rPr>
        <sz val="8"/>
        <color theme="1"/>
        <rFont val="Calibri"/>
        <family val="2"/>
      </rPr>
      <t>₂</t>
    </r>
    <r>
      <rPr>
        <sz val="8"/>
        <color theme="1"/>
        <rFont val="Calibri"/>
        <family val="2"/>
        <scheme val="minor"/>
      </rPr>
      <t>O EF (kg N₂O/TJ)</t>
    </r>
  </si>
  <si>
    <r>
      <t>kg CH</t>
    </r>
    <r>
      <rPr>
        <b/>
        <sz val="8"/>
        <color theme="1"/>
        <rFont val="Calibri"/>
        <family val="2"/>
      </rPr>
      <t>₄</t>
    </r>
  </si>
  <si>
    <t>carats</t>
  </si>
  <si>
    <r>
      <t>kg CO</t>
    </r>
    <r>
      <rPr>
        <sz val="9"/>
        <color theme="1"/>
        <rFont val="Calibri"/>
        <family val="2"/>
      </rPr>
      <t>₂</t>
    </r>
    <r>
      <rPr>
        <sz val="9"/>
        <color theme="1"/>
        <rFont val="Calibri"/>
        <family val="2"/>
        <scheme val="minor"/>
      </rPr>
      <t>-e</t>
    </r>
  </si>
  <si>
    <r>
      <t xml:space="preserve">Diesel Consumption Generators (Emergency, etc)  </t>
    </r>
    <r>
      <rPr>
        <sz val="8"/>
        <color rgb="FFFF0000"/>
        <rFont val="Calibri"/>
        <family val="2"/>
        <scheme val="minor"/>
      </rPr>
      <t>(density = 0.845kg/l)</t>
    </r>
  </si>
  <si>
    <r>
      <t>kg CO</t>
    </r>
    <r>
      <rPr>
        <sz val="8"/>
        <color theme="1"/>
        <rFont val="Calibri"/>
        <family val="2"/>
      </rPr>
      <t>₂</t>
    </r>
    <r>
      <rPr>
        <sz val="8"/>
        <color theme="1"/>
        <rFont val="Calibri"/>
        <family val="2"/>
        <scheme val="minor"/>
      </rPr>
      <t>-e/tonne</t>
    </r>
  </si>
  <si>
    <r>
      <t xml:space="preserve">LPG </t>
    </r>
    <r>
      <rPr>
        <sz val="8"/>
        <color rgb="FFFF0000"/>
        <rFont val="Calibri"/>
        <family val="2"/>
        <scheme val="minor"/>
      </rPr>
      <t>(density = 0.555kg/l)</t>
    </r>
  </si>
  <si>
    <r>
      <t>kg CO</t>
    </r>
    <r>
      <rPr>
        <sz val="9"/>
        <color theme="1"/>
        <rFont val="Calibri"/>
        <family val="2"/>
      </rPr>
      <t>₂</t>
    </r>
    <r>
      <rPr>
        <sz val="9"/>
        <color theme="1"/>
        <rFont val="Calibri"/>
        <family val="2"/>
        <scheme val="minor"/>
      </rPr>
      <t>-e/carat</t>
    </r>
  </si>
  <si>
    <r>
      <t xml:space="preserve">Jet fuel combusted by company plain </t>
    </r>
    <r>
      <rPr>
        <sz val="8"/>
        <color rgb="FFFF0000"/>
        <rFont val="Calibri"/>
        <family val="2"/>
        <scheme val="minor"/>
      </rPr>
      <t>(Jet fuel A1 d= 0.79kg/l)</t>
    </r>
  </si>
  <si>
    <t>FUGITIVE EMISSIONS (refilling of air cons, etc)</t>
  </si>
  <si>
    <t>R-134A (GWP = 1300kg CO2e)</t>
  </si>
  <si>
    <t>R-410A (GWP= 2088 kg CO2e)</t>
  </si>
  <si>
    <r>
      <t xml:space="preserve">Electricity purchased ESKOM </t>
    </r>
    <r>
      <rPr>
        <sz val="8"/>
        <color rgb="FFFF0000"/>
        <rFont val="Calibri"/>
        <family val="2"/>
        <scheme val="minor"/>
      </rPr>
      <t>(1TJ=277.778MWh)</t>
    </r>
  </si>
  <si>
    <t>kg CO₂e/   kWh</t>
  </si>
  <si>
    <t>Electricity purchased Tanzania</t>
  </si>
  <si>
    <t>Waste disposed to landfill (general, hazardous, non-biomass fraction)</t>
  </si>
  <si>
    <t>kg CO₂e/t</t>
  </si>
  <si>
    <r>
      <t>TOTAL GHG EMISSIONS (CARBON FOOTPRINT) OF PETRA DIAMONDS (PTY)LTD (t CO</t>
    </r>
    <r>
      <rPr>
        <b/>
        <sz val="10"/>
        <color theme="1"/>
        <rFont val="Calibri"/>
        <family val="2"/>
      </rPr>
      <t>₂</t>
    </r>
    <r>
      <rPr>
        <b/>
        <sz val="10"/>
        <color theme="1"/>
        <rFont val="Calibri"/>
        <family val="2"/>
        <scheme val="minor"/>
      </rPr>
      <t>e)</t>
    </r>
  </si>
  <si>
    <t>NOMALISED CARBON FOOTPRINT (t CO₂e/Tonne treated)</t>
  </si>
  <si>
    <t>NORMALISED CARBON FOOTPRINT (t CO₂e/Carat)</t>
  </si>
  <si>
    <r>
      <t>CO</t>
    </r>
    <r>
      <rPr>
        <b/>
        <sz val="8"/>
        <color theme="1"/>
        <rFont val="Calibri"/>
        <family val="2"/>
      </rPr>
      <t>₂</t>
    </r>
    <r>
      <rPr>
        <b/>
        <sz val="8"/>
        <color theme="1"/>
        <rFont val="Calibri"/>
        <family val="2"/>
        <scheme val="minor"/>
      </rPr>
      <t xml:space="preserve"> EF</t>
    </r>
  </si>
  <si>
    <t>CH₄ EF</t>
  </si>
  <si>
    <r>
      <t>N</t>
    </r>
    <r>
      <rPr>
        <b/>
        <sz val="8"/>
        <color theme="1"/>
        <rFont val="Calibri"/>
        <family val="2"/>
      </rPr>
      <t>₂</t>
    </r>
    <r>
      <rPr>
        <b/>
        <sz val="8"/>
        <color theme="1"/>
        <rFont val="Calibri"/>
        <family val="2"/>
        <scheme val="minor"/>
      </rPr>
      <t>O EF</t>
    </r>
  </si>
  <si>
    <t>kg CH₄</t>
  </si>
  <si>
    <t>R-410A (GWP= 2088kg CO2e)</t>
  </si>
  <si>
    <r>
      <t>Electricity purchased ESKOM</t>
    </r>
    <r>
      <rPr>
        <sz val="8"/>
        <color rgb="FFFF0000"/>
        <rFont val="Calibri"/>
        <family val="2"/>
        <scheme val="minor"/>
      </rPr>
      <t>(1TJ=277.778MWh)</t>
    </r>
  </si>
  <si>
    <r>
      <t>TOTAL GHG EMISSIONS (CARBON FOOTPRINT) OF CULLINAN DIAMOND MINES (t CO</t>
    </r>
    <r>
      <rPr>
        <b/>
        <sz val="10"/>
        <color theme="1"/>
        <rFont val="Calibri"/>
        <family val="2"/>
      </rPr>
      <t>₂</t>
    </r>
    <r>
      <rPr>
        <b/>
        <sz val="10"/>
        <color theme="1"/>
        <rFont val="Calibri"/>
        <family val="2"/>
        <scheme val="minor"/>
      </rPr>
      <t>e)</t>
    </r>
  </si>
  <si>
    <t>NORMALISED CARBON FOOTPRINT (t CO₂e/Tonne treated)</t>
  </si>
  <si>
    <r>
      <t>CO</t>
    </r>
    <r>
      <rPr>
        <b/>
        <sz val="9"/>
        <color theme="1"/>
        <rFont val="Calibri"/>
        <family val="2"/>
      </rPr>
      <t>₂</t>
    </r>
    <r>
      <rPr>
        <b/>
        <sz val="9"/>
        <color theme="1"/>
        <rFont val="Calibri"/>
        <family val="2"/>
        <scheme val="minor"/>
      </rPr>
      <t xml:space="preserve"> EF</t>
    </r>
  </si>
  <si>
    <r>
      <t>N</t>
    </r>
    <r>
      <rPr>
        <b/>
        <sz val="9"/>
        <color theme="1"/>
        <rFont val="Calibri"/>
        <family val="2"/>
      </rPr>
      <t>₂</t>
    </r>
    <r>
      <rPr>
        <b/>
        <sz val="9"/>
        <color theme="1"/>
        <rFont val="Calibri"/>
        <family val="2"/>
        <scheme val="minor"/>
      </rPr>
      <t>O EF</t>
    </r>
  </si>
  <si>
    <r>
      <rPr>
        <sz val="8"/>
        <color theme="1"/>
        <rFont val="Calibri"/>
        <family val="2"/>
        <scheme val="minor"/>
      </rPr>
      <t>kg CO₂-e/m</t>
    </r>
    <r>
      <rPr>
        <sz val="8"/>
        <color theme="1"/>
        <rFont val="Calibri"/>
        <family val="2"/>
      </rPr>
      <t>³</t>
    </r>
  </si>
  <si>
    <r>
      <t>TOTAL GHG EMISSIONS (CARBON FOOTPRINT) OF FINSCH DIAMOND MINE (t CO</t>
    </r>
    <r>
      <rPr>
        <b/>
        <sz val="10"/>
        <color theme="1"/>
        <rFont val="Calibri"/>
        <family val="2"/>
      </rPr>
      <t>₂</t>
    </r>
    <r>
      <rPr>
        <b/>
        <sz val="10"/>
        <color theme="1"/>
        <rFont val="Calibri"/>
        <family val="2"/>
        <scheme val="minor"/>
      </rPr>
      <t>e)</t>
    </r>
  </si>
  <si>
    <r>
      <t>kg CO₂-e/m</t>
    </r>
    <r>
      <rPr>
        <sz val="8"/>
        <color theme="1"/>
        <rFont val="Calibri"/>
        <family val="2"/>
      </rPr>
      <t>³</t>
    </r>
  </si>
  <si>
    <t>PDSA GROUP OFFICES</t>
  </si>
  <si>
    <t>Unit  activity data</t>
  </si>
  <si>
    <r>
      <t>CO</t>
    </r>
    <r>
      <rPr>
        <sz val="9"/>
        <color theme="1"/>
        <rFont val="Calibri"/>
        <family val="2"/>
      </rPr>
      <t>₂</t>
    </r>
    <r>
      <rPr>
        <sz val="9"/>
        <color theme="1"/>
        <rFont val="Calibri"/>
        <family val="2"/>
        <scheme val="minor"/>
      </rPr>
      <t xml:space="preserve"> EF</t>
    </r>
  </si>
  <si>
    <r>
      <t>N</t>
    </r>
    <r>
      <rPr>
        <sz val="9"/>
        <color theme="1"/>
        <rFont val="Calibri"/>
        <family val="2"/>
      </rPr>
      <t>₂</t>
    </r>
    <r>
      <rPr>
        <sz val="9"/>
        <color theme="1"/>
        <rFont val="Calibri"/>
        <family val="2"/>
        <scheme val="minor"/>
      </rPr>
      <t>O EF</t>
    </r>
  </si>
  <si>
    <r>
      <t>Electricity purchased ESKOM</t>
    </r>
    <r>
      <rPr>
        <sz val="9"/>
        <color rgb="FFFF0000"/>
        <rFont val="Calibri"/>
        <family val="2"/>
        <scheme val="minor"/>
      </rPr>
      <t>(1TJ=277.778MWh)</t>
    </r>
  </si>
  <si>
    <r>
      <t>TOTAL GHG EMISSIONS (CARBON FOOTPRINT) OF PDSA ROUP OFFICES (t CO</t>
    </r>
    <r>
      <rPr>
        <b/>
        <sz val="10"/>
        <color theme="1"/>
        <rFont val="Calibri"/>
        <family val="2"/>
      </rPr>
      <t>₂</t>
    </r>
    <r>
      <rPr>
        <b/>
        <sz val="10"/>
        <color theme="1"/>
        <rFont val="Calibri"/>
        <family val="2"/>
        <scheme val="minor"/>
      </rPr>
      <t>e)</t>
    </r>
  </si>
  <si>
    <t>KOFFIEFONTEIN DIAMOND MINE</t>
  </si>
  <si>
    <t>FUEL</t>
  </si>
  <si>
    <t>UNIT</t>
  </si>
  <si>
    <t>TOTAL YTD</t>
  </si>
  <si>
    <t>JET A1 FUEL</t>
  </si>
  <si>
    <t>Domestic</t>
  </si>
  <si>
    <t>Target</t>
  </si>
  <si>
    <t>Official Total tonnes treated(100%)</t>
  </si>
  <si>
    <t>Official carats(100%)</t>
  </si>
  <si>
    <t>Raw water use per produciton</t>
  </si>
  <si>
    <t>Re-used / recycled water per ton treated</t>
  </si>
  <si>
    <t>Rainfall</t>
  </si>
  <si>
    <t>mm</t>
  </si>
  <si>
    <t>R-22 (Halocarbon 22; Chlorodifluoromethane)</t>
  </si>
  <si>
    <t>Halon(1201)</t>
  </si>
  <si>
    <t>OUTSTANDING EMPR COMMITMENTS Q1</t>
  </si>
  <si>
    <t>no feedback</t>
  </si>
  <si>
    <t>Total financial Provision for Mine closure SA</t>
  </si>
  <si>
    <t>US$</t>
  </si>
  <si>
    <t>Total financial Provision for Mine closure Tanzania</t>
  </si>
  <si>
    <t>Total Water Use on mine</t>
  </si>
  <si>
    <t>Total Water Use on Mine</t>
  </si>
  <si>
    <t>Scope 1</t>
  </si>
  <si>
    <t>Scope 2</t>
  </si>
  <si>
    <t>Scope 3</t>
  </si>
  <si>
    <r>
      <t xml:space="preserve">Diamond transport: fixed wing flights </t>
    </r>
    <r>
      <rPr>
        <sz val="8"/>
        <color rgb="FFFF0000"/>
        <rFont val="Calibri"/>
        <family val="2"/>
        <scheme val="minor"/>
      </rPr>
      <t>(Jet fuel A1 d = 0.79kg/l)</t>
    </r>
  </si>
  <si>
    <r>
      <t xml:space="preserve">Diamond transport: helicopter flights </t>
    </r>
    <r>
      <rPr>
        <sz val="8"/>
        <color rgb="FFFF0000"/>
        <rFont val="Calibri"/>
        <family val="2"/>
        <scheme val="minor"/>
      </rPr>
      <t>(d = 0.71kg/l)</t>
    </r>
  </si>
  <si>
    <t>Graph 9</t>
  </si>
  <si>
    <t>Graph 8</t>
  </si>
  <si>
    <t>Graph 10</t>
  </si>
  <si>
    <t>Rehab as % of mining area</t>
  </si>
  <si>
    <t>Total disturbed area</t>
  </si>
  <si>
    <t>Outstanding area</t>
  </si>
  <si>
    <r>
      <t>Water consumption (m</t>
    </r>
    <r>
      <rPr>
        <sz val="11"/>
        <color theme="1"/>
        <rFont val="Calibri"/>
        <family val="2"/>
      </rPr>
      <t>³</t>
    </r>
    <r>
      <rPr>
        <sz val="11"/>
        <color theme="1"/>
        <rFont val="Calibri"/>
        <family val="2"/>
        <scheme val="minor"/>
      </rPr>
      <t>/ton treated)</t>
    </r>
  </si>
  <si>
    <t>clean</t>
  </si>
  <si>
    <t>recycled</t>
  </si>
  <si>
    <t>graph 12</t>
  </si>
  <si>
    <t>FY 2018</t>
  </si>
  <si>
    <t>Annual</t>
  </si>
  <si>
    <t>graph 13</t>
  </si>
  <si>
    <t>Group</t>
  </si>
  <si>
    <t>% deviation</t>
  </si>
  <si>
    <t>Employee commute (to and from work )</t>
  </si>
  <si>
    <t>Travel by bus</t>
  </si>
  <si>
    <t>Travel by train</t>
  </si>
  <si>
    <t>Travel by taxi</t>
  </si>
  <si>
    <t>Travel by public transport</t>
  </si>
  <si>
    <t>Travel by private owned car</t>
  </si>
  <si>
    <t>Other</t>
  </si>
  <si>
    <t xml:space="preserve">TOTAL employee commute </t>
  </si>
  <si>
    <t>Travel by company owned vehicles</t>
  </si>
  <si>
    <t>Business flights</t>
  </si>
  <si>
    <t>Other:name (FDM R507)</t>
  </si>
  <si>
    <t>2017fy</t>
  </si>
  <si>
    <t>2018fy</t>
  </si>
  <si>
    <t>Helam</t>
  </si>
  <si>
    <t>Crown</t>
  </si>
  <si>
    <t>GROUP SA</t>
  </si>
  <si>
    <t>%deviations</t>
  </si>
  <si>
    <t>2016fY</t>
  </si>
  <si>
    <t>Other:name (FDM: R507))</t>
  </si>
  <si>
    <t>tonnes CO₂-e</t>
  </si>
  <si>
    <t>t CO₂-e/tonne</t>
  </si>
  <si>
    <t>t CO₂-e/carat</t>
  </si>
  <si>
    <r>
      <t>tonnes CO</t>
    </r>
    <r>
      <rPr>
        <sz val="10"/>
        <color theme="1"/>
        <rFont val="Calibri"/>
        <family val="2"/>
      </rPr>
      <t>₂</t>
    </r>
    <r>
      <rPr>
        <sz val="10"/>
        <color theme="1"/>
        <rFont val="Calibri"/>
        <family val="2"/>
        <scheme val="minor"/>
      </rPr>
      <t>-e</t>
    </r>
  </si>
  <si>
    <r>
      <t>t CO</t>
    </r>
    <r>
      <rPr>
        <sz val="10"/>
        <color theme="1"/>
        <rFont val="Calibri"/>
        <family val="2"/>
      </rPr>
      <t>₂</t>
    </r>
    <r>
      <rPr>
        <sz val="10"/>
        <color theme="1"/>
        <rFont val="Calibri"/>
        <family val="2"/>
        <scheme val="minor"/>
      </rPr>
      <t>-e/tonne</t>
    </r>
  </si>
  <si>
    <r>
      <t>t CO</t>
    </r>
    <r>
      <rPr>
        <sz val="10"/>
        <color theme="1"/>
        <rFont val="Calibri"/>
        <family val="2"/>
      </rPr>
      <t>₂</t>
    </r>
    <r>
      <rPr>
        <sz val="10"/>
        <color theme="1"/>
        <rFont val="Calibri"/>
        <family val="2"/>
        <scheme val="minor"/>
      </rPr>
      <t>-e/carat</t>
    </r>
  </si>
  <si>
    <t>% change vs 2017</t>
  </si>
  <si>
    <t>KEM-CR/KEM-JV</t>
  </si>
  <si>
    <t>Water Consumption</t>
  </si>
  <si>
    <t>A. Consumption figures excluding fissure mines</t>
  </si>
  <si>
    <t>clean water intake</t>
  </si>
  <si>
    <t>Total Water Use</t>
  </si>
  <si>
    <t>Total Water Use per production</t>
  </si>
  <si>
    <t>Dewatering per production</t>
  </si>
  <si>
    <t>Potable water per production</t>
  </si>
  <si>
    <t>% recycled water</t>
  </si>
  <si>
    <t>Waste</t>
  </si>
  <si>
    <t>Petra Diamonds waste</t>
  </si>
  <si>
    <t>unit</t>
  </si>
  <si>
    <t>70% decrease</t>
  </si>
  <si>
    <t>51% decrease</t>
  </si>
  <si>
    <t>52% decrease</t>
  </si>
  <si>
    <t>12% decrease</t>
  </si>
  <si>
    <t>15% increase</t>
  </si>
  <si>
    <t>44% decrease</t>
  </si>
  <si>
    <t>Operation</t>
  </si>
  <si>
    <t>2017 total</t>
  </si>
  <si>
    <t>General waste</t>
  </si>
  <si>
    <t>dollar</t>
  </si>
  <si>
    <t>Hazardous waste</t>
  </si>
  <si>
    <t>Protected Habitat</t>
  </si>
  <si>
    <t>Area disturbed</t>
  </si>
  <si>
    <t>Area protected</t>
  </si>
  <si>
    <t>Requiring rehab</t>
  </si>
  <si>
    <t>KEM -CR</t>
  </si>
  <si>
    <t>RATIO</t>
  </si>
  <si>
    <t>Biodiversity- Red data list species</t>
  </si>
  <si>
    <t>Vulnerable</t>
  </si>
  <si>
    <t>Near Threatened</t>
  </si>
  <si>
    <t>Endangered</t>
  </si>
  <si>
    <t>di</t>
  </si>
  <si>
    <t>Least concerned</t>
  </si>
  <si>
    <t>Protected</t>
  </si>
  <si>
    <t>Total</t>
  </si>
  <si>
    <t>Material consumption: FY 2014-2017</t>
  </si>
  <si>
    <t>FeSi (t)</t>
  </si>
  <si>
    <t>Steel (t)</t>
  </si>
  <si>
    <t>Grease (kg)</t>
  </si>
  <si>
    <t>Lubricating oil (l)</t>
  </si>
  <si>
    <t xml:space="preserve">1,061 </t>
  </si>
  <si>
    <t xml:space="preserve">1,462 </t>
  </si>
  <si>
    <t xml:space="preserve">1,067 </t>
  </si>
  <si>
    <t>n.a</t>
  </si>
  <si>
    <t xml:space="preserve">15,667 </t>
  </si>
  <si>
    <t xml:space="preserve">20,015 </t>
  </si>
  <si>
    <t xml:space="preserve">10,170 </t>
  </si>
  <si>
    <t xml:space="preserve">410,346 </t>
  </si>
  <si>
    <t xml:space="preserve">325,655 </t>
  </si>
  <si>
    <t xml:space="preserve">243,966 </t>
  </si>
  <si>
    <t xml:space="preserve">1,756 </t>
  </si>
  <si>
    <t xml:space="preserve">2,253 </t>
  </si>
  <si>
    <t xml:space="preserve">2,260 </t>
  </si>
  <si>
    <t xml:space="preserve">16,214 </t>
  </si>
  <si>
    <t xml:space="preserve">14,120 </t>
  </si>
  <si>
    <t xml:space="preserve">11,218 </t>
  </si>
  <si>
    <t xml:space="preserve">182,720 </t>
  </si>
  <si>
    <t xml:space="preserve">261,780 </t>
  </si>
  <si>
    <t xml:space="preserve">202,370 </t>
  </si>
  <si>
    <t xml:space="preserve">4,370 </t>
  </si>
  <si>
    <t xml:space="preserve">2,470 </t>
  </si>
  <si>
    <t xml:space="preserve">69,810 </t>
  </si>
  <si>
    <t xml:space="preserve">86,295 </t>
  </si>
  <si>
    <t xml:space="preserve">80,133 </t>
  </si>
  <si>
    <t xml:space="preserve">5,649 </t>
  </si>
  <si>
    <t xml:space="preserve">3,832 </t>
  </si>
  <si>
    <t xml:space="preserve">4,997 </t>
  </si>
  <si>
    <t xml:space="preserve">35,277 </t>
  </si>
  <si>
    <t xml:space="preserve">31,065 </t>
  </si>
  <si>
    <t xml:space="preserve">21,902 </t>
  </si>
  <si>
    <t>HDM</t>
  </si>
  <si>
    <t xml:space="preserve">5,730 </t>
  </si>
  <si>
    <t xml:space="preserve">4,565 </t>
  </si>
  <si>
    <t xml:space="preserve">2,753 </t>
  </si>
  <si>
    <t xml:space="preserve">3,035 </t>
  </si>
  <si>
    <t xml:space="preserve">4,438 </t>
  </si>
  <si>
    <t xml:space="preserve">13,235 </t>
  </si>
  <si>
    <t xml:space="preserve">18,154 </t>
  </si>
  <si>
    <t xml:space="preserve">19,758 </t>
  </si>
  <si>
    <t xml:space="preserve">3,977 </t>
  </si>
  <si>
    <t xml:space="preserve">5,094 </t>
  </si>
  <si>
    <t xml:space="preserve">4,434 </t>
  </si>
  <si>
    <t xml:space="preserve">44,652 </t>
  </si>
  <si>
    <t xml:space="preserve">43,472 </t>
  </si>
  <si>
    <t xml:space="preserve">36,973 </t>
  </si>
  <si>
    <t xml:space="preserve">711,388 </t>
  </si>
  <si>
    <t xml:space="preserve">722,949 </t>
  </si>
  <si>
    <t xml:space="preserve">572,695 </t>
  </si>
  <si>
    <t>%DEV</t>
  </si>
  <si>
    <t>Clean water intake per production</t>
  </si>
  <si>
    <t>n/a</t>
  </si>
  <si>
    <t>underground dewatering</t>
  </si>
  <si>
    <t xml:space="preserve">Comparison 2017 old and new methods: </t>
  </si>
  <si>
    <t>2017 OLD METHOD</t>
  </si>
  <si>
    <t>conversion factor</t>
  </si>
  <si>
    <r>
      <t>tCO</t>
    </r>
    <r>
      <rPr>
        <vertAlign val="subscript"/>
        <sz val="10"/>
        <color theme="1"/>
        <rFont val="Calibri"/>
        <family val="2"/>
        <scheme val="minor"/>
      </rPr>
      <t>2-e</t>
    </r>
  </si>
  <si>
    <r>
      <t>Total tCO</t>
    </r>
    <r>
      <rPr>
        <b/>
        <vertAlign val="subscript"/>
        <sz val="9"/>
        <color theme="0"/>
        <rFont val="Calibri"/>
        <family val="2"/>
        <scheme val="minor"/>
      </rPr>
      <t>2-e(SCOPE 1 AND 2)</t>
    </r>
  </si>
  <si>
    <r>
      <t>tCO</t>
    </r>
    <r>
      <rPr>
        <b/>
        <vertAlign val="subscript"/>
        <sz val="10"/>
        <color theme="0"/>
        <rFont val="Calibri"/>
        <family val="2"/>
        <scheme val="minor"/>
      </rPr>
      <t>2-e</t>
    </r>
  </si>
  <si>
    <t>Intensity tCO2-e/ct</t>
  </si>
  <si>
    <r>
      <t>tCO</t>
    </r>
    <r>
      <rPr>
        <b/>
        <vertAlign val="subscript"/>
        <sz val="10"/>
        <color theme="0"/>
        <rFont val="Calibri"/>
        <family val="2"/>
        <scheme val="minor"/>
      </rPr>
      <t>2-e/ct</t>
    </r>
  </si>
  <si>
    <t>Electricity use in J</t>
  </si>
  <si>
    <t>Intensity tCO2-e/t</t>
  </si>
  <si>
    <r>
      <t>tCO</t>
    </r>
    <r>
      <rPr>
        <b/>
        <vertAlign val="subscript"/>
        <sz val="10"/>
        <color theme="0"/>
        <rFont val="Calibri"/>
        <family val="2"/>
        <scheme val="minor"/>
      </rPr>
      <t>2-e/t</t>
    </r>
  </si>
  <si>
    <t>TOTAL:  ELECTRICITY AND DIESEL ENERGY USE IN J</t>
  </si>
  <si>
    <r>
      <t>Total tCO</t>
    </r>
    <r>
      <rPr>
        <b/>
        <vertAlign val="subscript"/>
        <sz val="10"/>
        <color theme="0"/>
        <rFont val="Calibri"/>
        <family val="2"/>
        <scheme val="minor"/>
      </rPr>
      <t>2-e(SCOPE 1, 2 AND 3)</t>
    </r>
  </si>
  <si>
    <t>Intensity tCO2-e/US$</t>
  </si>
  <si>
    <t>A. Carbon footprint excluding fissure mines ( 2018 from GHG sheet; audited 2017 values) as submitted by MR for 2018 SR</t>
  </si>
  <si>
    <t>Electricity Consumption</t>
  </si>
  <si>
    <t>% change 2016/2017</t>
  </si>
  <si>
    <t>Electricity Purchased</t>
  </si>
  <si>
    <t>Electricity Generated</t>
  </si>
  <si>
    <t>Total Electricity Consumption</t>
  </si>
  <si>
    <t>Total Electricity Consumption per production</t>
  </si>
  <si>
    <t>PETRA 100% operational control KEM</t>
  </si>
  <si>
    <t>Production (t)</t>
  </si>
  <si>
    <t>2017 restated</t>
  </si>
  <si>
    <t>Deviation</t>
  </si>
  <si>
    <t>75% equity Share</t>
  </si>
  <si>
    <t>Deviation 3</t>
  </si>
  <si>
    <r>
      <t>*Clean water only = on-mine potable + Raw water</t>
    </r>
    <r>
      <rPr>
        <b/>
        <sz val="9"/>
        <color rgb="FF0070C0"/>
        <rFont val="Calibri"/>
        <family val="2"/>
        <scheme val="minor"/>
      </rPr>
      <t>( Mlrcomment: 2016FY groundwater included, excluded in 2017fy)</t>
    </r>
  </si>
  <si>
    <t>(</t>
  </si>
  <si>
    <t>* Where errors in water meters occurred in 2017, take % deviation of production figures to increase or decrease to 2017 totals</t>
  </si>
  <si>
    <t>* Obtain rain figures to adjust underground dewatering figures with % deviation of rainfall from 2016</t>
  </si>
  <si>
    <t>* Yellow lines shows adjusted figures</t>
  </si>
  <si>
    <t>Source DEA</t>
  </si>
  <si>
    <t>CDP 2018</t>
  </si>
  <si>
    <t>Rate</t>
  </si>
  <si>
    <t>total cost</t>
  </si>
  <si>
    <t>cost in us$</t>
  </si>
  <si>
    <t>savings</t>
  </si>
  <si>
    <t>* Ignore ALL readings reported for WDL.  Use 2016 figures + % deviation from production figure(decrease of 7.79% in production)</t>
  </si>
  <si>
    <t>Water Catchment Area</t>
  </si>
  <si>
    <t>Total Available resource</t>
  </si>
  <si>
    <t>Resource required for Mining</t>
  </si>
  <si>
    <t>Total mining (%)</t>
  </si>
  <si>
    <t>SA</t>
  </si>
  <si>
    <t>* KEM 75% equity share of recalculated totals</t>
  </si>
  <si>
    <t>Crocodile West</t>
  </si>
  <si>
    <t>1,245</t>
  </si>
  <si>
    <t>PETRA GROUP</t>
  </si>
  <si>
    <t>(summary from table above)</t>
  </si>
  <si>
    <t>Olifants</t>
  </si>
  <si>
    <t>1,265</t>
  </si>
  <si>
    <t>Lower Vaal</t>
  </si>
  <si>
    <t xml:space="preserve">assumptions: </t>
  </si>
  <si>
    <t>averagepot water  rate in SA  = R16/m3</t>
  </si>
  <si>
    <t>table 1.2</t>
  </si>
  <si>
    <t>Reported 2016</t>
  </si>
  <si>
    <t>Reported 2017</t>
  </si>
  <si>
    <t>2017 Restated</t>
  </si>
  <si>
    <t>Upper Orange</t>
  </si>
  <si>
    <t>4,449</t>
  </si>
  <si>
    <t>&lt; 1</t>
  </si>
  <si>
    <t>average pot water raterate in TZ= 100TSd/m3</t>
  </si>
  <si>
    <t>cost of recycled water = 1/3 cost potable water</t>
  </si>
  <si>
    <t>exchange rates: 1 US$ = R13.59 = 2280TSd</t>
  </si>
  <si>
    <t>* Ignore ALL readings reported for WDL.  Use 2016 figures + % deviation from production figure</t>
  </si>
  <si>
    <t>Reported 2018</t>
  </si>
  <si>
    <t>water consumption by source 2017</t>
  </si>
  <si>
    <t>water consumption by source 2018</t>
  </si>
  <si>
    <r>
      <t>(Million m</t>
    </r>
    <r>
      <rPr>
        <b/>
        <i/>
        <vertAlign val="superscript"/>
        <sz val="8"/>
        <color theme="1"/>
        <rFont val="Arial"/>
        <family val="2"/>
      </rPr>
      <t>3</t>
    </r>
    <r>
      <rPr>
        <b/>
        <i/>
        <sz val="8"/>
        <color theme="1"/>
        <rFont val="Arial"/>
        <family val="2"/>
      </rPr>
      <t>/a)</t>
    </r>
  </si>
  <si>
    <t>Total mining impact in SA context 2017</t>
  </si>
  <si>
    <t>FY 2018Costs saved through use of recycled water</t>
  </si>
  <si>
    <t>deviation 2018: 2017 restated</t>
  </si>
  <si>
    <t>deviation 2018restated: 2017 restated</t>
  </si>
  <si>
    <t>WATER CONSUMPTION BY SOURCE</t>
  </si>
  <si>
    <t>On mine potable water/municipal water</t>
  </si>
  <si>
    <t>Raw water/surface water</t>
  </si>
  <si>
    <t>Waste water</t>
  </si>
  <si>
    <t>Finsch</t>
  </si>
  <si>
    <t>Koffiefontein</t>
  </si>
  <si>
    <t>Kimberley</t>
  </si>
  <si>
    <t>Williamson</t>
  </si>
  <si>
    <t>Cullinan</t>
  </si>
  <si>
    <t>ground water</t>
  </si>
  <si>
    <t>Municipal water</t>
  </si>
  <si>
    <t>Recycled water</t>
  </si>
  <si>
    <t>FY 2018 WATER CONSUMPTION BY SOURCE</t>
  </si>
  <si>
    <t>Total water</t>
  </si>
  <si>
    <t>municipal water</t>
  </si>
  <si>
    <t>Boreholes</t>
  </si>
  <si>
    <t>Rivers</t>
  </si>
  <si>
    <t>Ocean</t>
  </si>
  <si>
    <t>Wetlands</t>
  </si>
  <si>
    <t>Lakes and Dams</t>
  </si>
  <si>
    <t>recycled water</t>
  </si>
  <si>
    <t>2018 restated (restated: 2017+24%)</t>
  </si>
  <si>
    <t>deviation 2018 re stated: 2017 restated</t>
  </si>
  <si>
    <r>
      <t xml:space="preserve">2018 </t>
    </r>
    <r>
      <rPr>
        <b/>
        <sz val="8"/>
        <color theme="1"/>
        <rFont val="Calibri"/>
        <family val="2"/>
        <scheme val="minor"/>
      </rPr>
      <t>restated (restated WDL : 24% on 2017 restated )</t>
    </r>
  </si>
  <si>
    <t>Deviation % Restated 2017 and restated  2018</t>
  </si>
  <si>
    <t>Restated 2018</t>
  </si>
  <si>
    <t>Assumptions for water sources: 1. raw water = surface water
2. KEM-Jv: surface water = 80% waste water (Homevale) + 20% wetland water (DTP)
3. CDM surface water: river
4. FDM, wDL, KDM surface water: Lakes and dams</t>
  </si>
  <si>
    <r>
      <t>T</t>
    </r>
    <r>
      <rPr>
        <sz val="9"/>
        <color theme="1"/>
        <rFont val="Arial"/>
        <family val="2"/>
      </rPr>
      <t>otal effluent treated</t>
    </r>
  </si>
  <si>
    <t>%change(2017 vs 2016)</t>
  </si>
  <si>
    <t>%change(2018 vs 2017)</t>
  </si>
  <si>
    <t>YOY≥2%</t>
  </si>
  <si>
    <t>Difference in tonnes 2017 and 2018</t>
  </si>
  <si>
    <t>Incinerated</t>
  </si>
  <si>
    <t>Disposed</t>
  </si>
  <si>
    <t>Recycled</t>
  </si>
  <si>
    <t>2018 total</t>
  </si>
  <si>
    <t>ZAR/ Tsh</t>
  </si>
  <si>
    <t>Dollar</t>
  </si>
  <si>
    <t xml:space="preserve">2018 total </t>
  </si>
  <si>
    <t>Total waste disposed</t>
  </si>
  <si>
    <t>WDL (Incineration costs, medical waste)</t>
  </si>
  <si>
    <t>coarse</t>
  </si>
  <si>
    <t>fine</t>
  </si>
  <si>
    <t>Fines</t>
  </si>
  <si>
    <t>Waste rock</t>
  </si>
  <si>
    <t>Waste costs- vat inlcusive</t>
  </si>
  <si>
    <t>% change 2017/2018</t>
  </si>
  <si>
    <t xml:space="preserve"> %deviation 2018/2017</t>
  </si>
  <si>
    <r>
      <t xml:space="preserve">Electricity </t>
    </r>
    <r>
      <rPr>
        <sz val="8"/>
        <color rgb="FFFF0000"/>
        <rFont val="Calibri"/>
        <family val="2"/>
        <scheme val="minor"/>
      </rPr>
      <t>(1TJ = 277.778MWh=&gt;                      1kWh= 3 599 997J)</t>
    </r>
  </si>
  <si>
    <t>Area of topsoil stockpiles</t>
  </si>
  <si>
    <t>Closure costs -FY 2018</t>
  </si>
  <si>
    <t>ZAR</t>
  </si>
  <si>
    <t>USD</t>
  </si>
  <si>
    <t>HELAM</t>
  </si>
  <si>
    <t>Energy use in Joules:  (Conversion from use units to J)</t>
  </si>
  <si>
    <r>
      <t> </t>
    </r>
    <r>
      <rPr>
        <sz val="11"/>
        <color rgb="FF1F497D"/>
        <rFont val="Calibri"/>
        <family val="2"/>
      </rPr>
      <t>2 825 090</t>
    </r>
  </si>
  <si>
    <r>
      <t> </t>
    </r>
    <r>
      <rPr>
        <sz val="11"/>
        <color rgb="FF1F497D"/>
        <rFont val="Calibri"/>
        <family val="2"/>
      </rPr>
      <t>2 447 851</t>
    </r>
  </si>
  <si>
    <r>
      <t> </t>
    </r>
    <r>
      <rPr>
        <sz val="11"/>
        <color rgb="FF1F497D"/>
        <rFont val="Calibri"/>
        <family val="2"/>
      </rPr>
      <t>2 219 500</t>
    </r>
  </si>
  <si>
    <r>
      <t> </t>
    </r>
    <r>
      <rPr>
        <sz val="11"/>
        <color rgb="FF1F497D"/>
        <rFont val="Calibri"/>
        <family val="2"/>
      </rPr>
      <t>2 519 900</t>
    </r>
  </si>
  <si>
    <r>
      <t> </t>
    </r>
    <r>
      <rPr>
        <sz val="11"/>
        <color rgb="FF1F497D"/>
        <rFont val="Calibri"/>
        <family val="2"/>
      </rPr>
      <t>1 650 298</t>
    </r>
  </si>
  <si>
    <r>
      <t> </t>
    </r>
    <r>
      <rPr>
        <sz val="11"/>
        <color rgb="FF1F497D"/>
        <rFont val="Calibri"/>
        <family val="2"/>
      </rPr>
      <t>2 088 383</t>
    </r>
  </si>
  <si>
    <t>Area of topsoil  stockpiles</t>
  </si>
  <si>
    <t>1 65.7 96076</t>
  </si>
  <si>
    <t>KEM FRD</t>
  </si>
  <si>
    <t>KEM CRD</t>
  </si>
  <si>
    <t>kem SLIMES</t>
  </si>
  <si>
    <t>kem PASTE</t>
  </si>
  <si>
    <t xml:space="preserve">Petrol </t>
  </si>
  <si>
    <t xml:space="preserve">Diesel </t>
  </si>
  <si>
    <t>Petrol use in joule (cal value = 34.2MJ/l)</t>
  </si>
  <si>
    <t>Jet fuel</t>
  </si>
  <si>
    <t>Diesel use in joule(cal value: 38.1MJ/l)</t>
  </si>
  <si>
    <t>LPG (density = 0.555kg/l)</t>
  </si>
  <si>
    <t>LPG use in joule (cal value = 46.1MJ/l)</t>
  </si>
  <si>
    <t>Jet fuel use in joule (cal value =   37.5 MJ/l)</t>
  </si>
  <si>
    <t>TOTAL FUEL USE IN J</t>
  </si>
  <si>
    <t>TOTAL FUEL AND ELECTRICITY USE IN J</t>
  </si>
  <si>
    <t>2017 audited</t>
  </si>
  <si>
    <t>Intensity tCO2-e/ct (SCOPE 1,2 AND 3)</t>
  </si>
  <si>
    <t>Intensity tCO2-e/t (SCOPE 1, 2 AND 3)</t>
  </si>
  <si>
    <t>2015 audited</t>
  </si>
  <si>
    <t xml:space="preserve"> LPG</t>
  </si>
  <si>
    <t xml:space="preserve"> diesel, petrol,jet fuel</t>
  </si>
  <si>
    <t>total</t>
  </si>
  <si>
    <t>2016 with KEM - audited</t>
  </si>
  <si>
    <t>audited</t>
  </si>
  <si>
    <t>reported</t>
  </si>
  <si>
    <t>2016 With KEM-not audited</t>
  </si>
  <si>
    <t>note: THE COMPANY PLANE FOOTPRINT OF 268.74t CO2-e has been divided equally by 4 and added to the SA carbon footprints scope 1 values</t>
  </si>
  <si>
    <t>Intensity tCO2-e/US$ (Rev</t>
  </si>
  <si>
    <t>REVENUE PER OPERATION</t>
  </si>
  <si>
    <t>tCO2-e</t>
  </si>
  <si>
    <t>tCO2-e/ct</t>
  </si>
  <si>
    <t>tCO2-e/t</t>
  </si>
  <si>
    <r>
      <t>carbon footprint</t>
    </r>
    <r>
      <rPr>
        <sz val="10"/>
        <color rgb="FFFF0000"/>
        <rFont val="Calibri"/>
        <family val="2"/>
        <scheme val="minor"/>
      </rPr>
      <t xml:space="preserve"> FY 2018</t>
    </r>
    <r>
      <rPr>
        <sz val="10"/>
        <color theme="0"/>
        <rFont val="Calibri"/>
        <family val="2"/>
        <scheme val="minor"/>
      </rPr>
      <t xml:space="preserve"> per operation</t>
    </r>
  </si>
  <si>
    <r>
      <t>carbon footprint</t>
    </r>
    <r>
      <rPr>
        <sz val="10"/>
        <color rgb="FFFF0000"/>
        <rFont val="Calibri"/>
        <family val="2"/>
        <scheme val="minor"/>
      </rPr>
      <t xml:space="preserve"> FY 2017 </t>
    </r>
    <r>
      <rPr>
        <sz val="10"/>
        <color theme="0"/>
        <rFont val="Calibri"/>
        <family val="2"/>
        <scheme val="minor"/>
      </rPr>
      <t>per operation</t>
    </r>
  </si>
  <si>
    <t>note: THE COMPANY PLANE FOOTPRINT OF 433.78t CO2-e has been divided equally by 4 and added to the SA carbon footprints scope 1 values</t>
  </si>
  <si>
    <t>%deviation 2017/2018</t>
  </si>
  <si>
    <t>tonnes treated</t>
  </si>
  <si>
    <t>Bryanston office</t>
  </si>
  <si>
    <t>London office</t>
  </si>
  <si>
    <t>Bryanston &amp; London offices</t>
  </si>
  <si>
    <t>Electricity purchased London</t>
  </si>
  <si>
    <t>ASSUMPTIONS and NOTES</t>
  </si>
  <si>
    <t>SCOPE/ORGANISATIONAL BOUNDARY</t>
  </si>
  <si>
    <t>PERIOD</t>
  </si>
  <si>
    <t>BASE YEAR:</t>
  </si>
  <si>
    <t>EXCLUSIONS</t>
  </si>
  <si>
    <t>TARGET:</t>
  </si>
  <si>
    <t>MATERIALITY THRESHOLD</t>
  </si>
  <si>
    <t xml:space="preserve">1. Emission factors from: 2006 IPCC Guidelines for National Greenhouse gas Inventories, vol 2: Energy;  someScope 3 EFs from DEFFRA </t>
  </si>
  <si>
    <t>Business travel : business flights CHARTERED (Jet fuel A1 d= 0.79kg/l)</t>
  </si>
  <si>
    <t>4. IPCC Direct Global Warming Factors from IPCC  Fifth Assessment Report 2014 (SAR - 100 year)GWP: CO₂ = 1; CH4= 28; N₂O  = 265</t>
  </si>
  <si>
    <t>London and Bryanston offices</t>
  </si>
  <si>
    <t>date</t>
  </si>
  <si>
    <t>destination</t>
  </si>
  <si>
    <t>LH</t>
  </si>
  <si>
    <t>SH</t>
  </si>
  <si>
    <t>Bryanston offices</t>
  </si>
  <si>
    <t>Year</t>
  </si>
  <si>
    <t>FY 2017 WATER CONSUMPTION BY SOURCE (RE-STATED VALUES)</t>
  </si>
  <si>
    <r>
      <t xml:space="preserve">2018 </t>
    </r>
    <r>
      <rPr>
        <b/>
        <sz val="8"/>
        <color theme="1"/>
        <rFont val="Calibri"/>
        <family val="2"/>
        <scheme val="minor"/>
      </rPr>
      <t>(Production increased with 24% from (1917)</t>
    </r>
  </si>
  <si>
    <t>Total Electricity Consumption per production FY 2017</t>
  </si>
  <si>
    <t>Energy use in Joules per operation  FY 2017:  (Conversion from use units to J)</t>
  </si>
  <si>
    <t>Route</t>
  </si>
  <si>
    <t>DOMESTIC</t>
  </si>
  <si>
    <t>Johannesburg- Bloemfontein</t>
  </si>
  <si>
    <t>Johannesburg- Cape Town</t>
  </si>
  <si>
    <t>Johannesburg –Durban</t>
  </si>
  <si>
    <t>Johannesburg- Kimberley</t>
  </si>
  <si>
    <t>Cape Town –Kimberley</t>
  </si>
  <si>
    <t>Lanseria-Kimberley</t>
  </si>
  <si>
    <t>Johannesburg –London</t>
  </si>
  <si>
    <t>Johannesburg-Brusssels</t>
  </si>
  <si>
    <t>London –Perth</t>
  </si>
  <si>
    <t>Johannesburg- Dar-es-Salaam</t>
  </si>
  <si>
    <t>Dar-es-Salaam- Brussels</t>
  </si>
  <si>
    <t>London –Dar-es-Salaam</t>
  </si>
  <si>
    <t>DISTANCE</t>
  </si>
  <si>
    <t>ASSUMPTIONS AND ESTIMATED DISTANCES IN KM</t>
  </si>
  <si>
    <t>total distance km</t>
  </si>
  <si>
    <t>one way distance</t>
  </si>
  <si>
    <t>domestic</t>
  </si>
  <si>
    <t>Int</t>
  </si>
  <si>
    <t>Kimberley-Bloemfontein</t>
  </si>
  <si>
    <t>Johannesburg-Frankfurt</t>
  </si>
  <si>
    <t>Frankfurt- Brussels</t>
  </si>
  <si>
    <t>Johannesburg-Sofia</t>
  </si>
  <si>
    <t>Sofia-Moscow</t>
  </si>
  <si>
    <t>Moscow-Norilsk</t>
  </si>
  <si>
    <t>Moscow-Johannesburg</t>
  </si>
  <si>
    <t>London-Amsterdam</t>
  </si>
  <si>
    <t>London- Jersey</t>
  </si>
  <si>
    <t>int</t>
  </si>
  <si>
    <t>Business travel -Air lines</t>
  </si>
  <si>
    <t xml:space="preserve">Improvement strategy on total  percentage of water recycled/re-used  as compared to FY 2018 </t>
  </si>
  <si>
    <t>≥ 1 %</t>
  </si>
  <si>
    <t>Improvement strategy on total  percentage of water recycled ≥ 1%</t>
  </si>
  <si>
    <t>IMPROVEMENT STRATEGY: Year on year reduction in total electrcity use per ton treated</t>
  </si>
  <si>
    <t>≥ 1%</t>
  </si>
  <si>
    <t xml:space="preserve">march </t>
  </si>
  <si>
    <t>April</t>
  </si>
  <si>
    <t>May</t>
  </si>
  <si>
    <t>June</t>
  </si>
  <si>
    <t>FY 2019</t>
  </si>
  <si>
    <t>Improvement strategy on total water consumption ≥ 1 %</t>
  </si>
  <si>
    <t>Total water use per Production</t>
  </si>
  <si>
    <t>Petra Group-excluding London/Bryanston offices</t>
  </si>
  <si>
    <t>Petra Group-including London/Bryanston offices</t>
  </si>
  <si>
    <t xml:space="preserve">Total YTD </t>
  </si>
  <si>
    <t>Petra Group excluding Bryanston and London offices</t>
  </si>
  <si>
    <t>Petra Group including Bryanston and London offices</t>
  </si>
  <si>
    <t>Petra GROUP OFFICES  BRYANSTON AND LONDON</t>
  </si>
  <si>
    <t>% deviation 2018 &amp; 2019</t>
  </si>
  <si>
    <t>Percentage water recycled</t>
  </si>
  <si>
    <t>Electricity consumption (kWh/t) FY 2017 and FY 2018 vs FY 2019 YTD</t>
  </si>
  <si>
    <t>annual</t>
  </si>
  <si>
    <t>Q1 FY 2019</t>
  </si>
  <si>
    <t>Carbon footprint (tCO2-e/ct ): FY 2018</t>
  </si>
  <si>
    <t>Q1 FY2019</t>
  </si>
  <si>
    <t>Q1 FY2018</t>
  </si>
  <si>
    <r>
      <t>TOTAL GHG EMISSIONS (CARBON FOOTPRINT) OF KOFFIEFONTEIN DIAMOND MINE (t CO</t>
    </r>
    <r>
      <rPr>
        <b/>
        <sz val="10"/>
        <color theme="1"/>
        <rFont val="Calibri"/>
        <family val="2"/>
      </rPr>
      <t>₂</t>
    </r>
    <r>
      <rPr>
        <b/>
        <sz val="10"/>
        <color theme="1"/>
        <rFont val="Calibri"/>
        <family val="2"/>
        <scheme val="minor"/>
      </rPr>
      <t>e)</t>
    </r>
  </si>
  <si>
    <r>
      <t>TOTAL GHG EMISSIONS (CARBON FOOTPRINT) OF WILLIAMSON DIAMOND MINE (t CO</t>
    </r>
    <r>
      <rPr>
        <b/>
        <sz val="10"/>
        <color theme="1"/>
        <rFont val="Calibri"/>
        <family val="2"/>
      </rPr>
      <t>₂</t>
    </r>
    <r>
      <rPr>
        <b/>
        <sz val="10"/>
        <color theme="1"/>
        <rFont val="Calibri"/>
        <family val="2"/>
        <scheme val="minor"/>
      </rPr>
      <t>e)</t>
    </r>
  </si>
  <si>
    <t>deviation</t>
  </si>
  <si>
    <t xml:space="preserve">Q1 </t>
  </si>
  <si>
    <t>Q2 FY 2018</t>
  </si>
  <si>
    <t>Q2 fY2019</t>
  </si>
  <si>
    <t>R-507 (GWP= 3985 kg CO2e)</t>
  </si>
  <si>
    <t>IPCC CODE (Annex 1)</t>
  </si>
  <si>
    <t>Sub category</t>
  </si>
  <si>
    <t>ACTIVITY DATA</t>
  </si>
  <si>
    <t>Name of activity data</t>
  </si>
  <si>
    <t>Value of activity data</t>
  </si>
  <si>
    <t>Units of actvity data</t>
  </si>
  <si>
    <t>Tier</t>
  </si>
  <si>
    <t>Ref</t>
  </si>
  <si>
    <r>
      <t>GHG-1 (CO</t>
    </r>
    <r>
      <rPr>
        <vertAlign val="subscript"/>
        <sz val="11"/>
        <color theme="1"/>
        <rFont val="Calibri"/>
        <family val="2"/>
        <scheme val="minor"/>
      </rPr>
      <t>2</t>
    </r>
    <r>
      <rPr>
        <sz val="11"/>
        <color theme="1"/>
        <rFont val="Calibri"/>
        <family val="2"/>
        <scheme val="minor"/>
      </rPr>
      <t>)</t>
    </r>
  </si>
  <si>
    <r>
      <t>GHG-3 (N</t>
    </r>
    <r>
      <rPr>
        <vertAlign val="subscript"/>
        <sz val="11"/>
        <color theme="1"/>
        <rFont val="Calibri"/>
        <family val="2"/>
        <scheme val="minor"/>
      </rPr>
      <t>2</t>
    </r>
    <r>
      <rPr>
        <sz val="11"/>
        <color theme="1"/>
        <rFont val="Calibri"/>
        <family val="2"/>
        <scheme val="minor"/>
      </rPr>
      <t>O)</t>
    </r>
  </si>
  <si>
    <r>
      <t>GHG-2 (CH</t>
    </r>
    <r>
      <rPr>
        <vertAlign val="subscript"/>
        <sz val="11"/>
        <color theme="1"/>
        <rFont val="Calibri"/>
        <family val="2"/>
        <scheme val="minor"/>
      </rPr>
      <t>4</t>
    </r>
    <r>
      <rPr>
        <sz val="11"/>
        <color theme="1"/>
        <rFont val="Calibri"/>
        <family val="2"/>
        <scheme val="minor"/>
      </rPr>
      <t>)</t>
    </r>
  </si>
  <si>
    <t>TJ</t>
  </si>
  <si>
    <t>1A2i</t>
  </si>
  <si>
    <t>Diesel</t>
  </si>
  <si>
    <t>notes for mines</t>
  </si>
  <si>
    <t>1A3a</t>
  </si>
  <si>
    <t>4A1</t>
  </si>
  <si>
    <t>Solid waste to landfill</t>
  </si>
  <si>
    <t>Domestic waste water treatment</t>
  </si>
  <si>
    <t>4D1</t>
  </si>
  <si>
    <t>4D2</t>
  </si>
  <si>
    <r>
      <rPr>
        <b/>
        <sz val="9"/>
        <color theme="1"/>
        <rFont val="Calibri"/>
        <family val="2"/>
        <scheme val="minor"/>
      </rPr>
      <t xml:space="preserve">Fuel combustion: Mining and Quarrying: </t>
    </r>
    <r>
      <rPr>
        <sz val="9"/>
        <color theme="1"/>
        <rFont val="Calibri"/>
        <family val="2"/>
        <scheme val="minor"/>
      </rPr>
      <t xml:space="preserve">Diesel Consumption Emergency Generators  (density = 0.845kg/l) </t>
    </r>
    <r>
      <rPr>
        <b/>
        <sz val="9"/>
        <color theme="1"/>
        <rFont val="Calibri"/>
        <family val="2"/>
        <scheme val="minor"/>
      </rPr>
      <t>(Stationary combustion)</t>
    </r>
  </si>
  <si>
    <r>
      <rPr>
        <b/>
        <sz val="9"/>
        <color theme="1"/>
        <rFont val="Calibri"/>
        <family val="2"/>
        <scheme val="minor"/>
      </rPr>
      <t>Fuel combustion: Mining and Quarrying -</t>
    </r>
    <r>
      <rPr>
        <sz val="9"/>
        <color theme="1"/>
        <rFont val="Calibri"/>
        <family val="2"/>
        <scheme val="minor"/>
      </rPr>
      <t xml:space="preserve">LPG (density = 0.555kg/l) </t>
    </r>
    <r>
      <rPr>
        <b/>
        <sz val="9"/>
        <color theme="1"/>
        <rFont val="Calibri"/>
        <family val="2"/>
        <scheme val="minor"/>
      </rPr>
      <t>(Stationary combustion -use for heating purposes)</t>
    </r>
  </si>
  <si>
    <r>
      <rPr>
        <b/>
        <sz val="10"/>
        <color theme="1"/>
        <rFont val="Calibri"/>
        <family val="2"/>
        <scheme val="minor"/>
      </rPr>
      <t>Waste: Solid waste disposal- Managed Waste disposal sites</t>
    </r>
    <r>
      <rPr>
        <sz val="10"/>
        <color theme="1"/>
        <rFont val="Calibri"/>
        <family val="2"/>
        <scheme val="minor"/>
      </rPr>
      <t xml:space="preserve">  (Solid waste disposal in company owned landfill sites over which Petra has operational control threshold =  5t/day</t>
    </r>
  </si>
  <si>
    <t>Gg</t>
  </si>
  <si>
    <t>kg BOD/Cap.yr</t>
  </si>
  <si>
    <t>m3/a</t>
  </si>
  <si>
    <t>Industrial waste water treatment and discharge</t>
  </si>
  <si>
    <t>Include in reporting although it is below the threshold of 100 000 l/year</t>
  </si>
  <si>
    <t>Value
(tonnes)</t>
  </si>
  <si>
    <r>
      <t>GHG-1 (CO</t>
    </r>
    <r>
      <rPr>
        <b/>
        <vertAlign val="subscript"/>
        <sz val="11"/>
        <color theme="1"/>
        <rFont val="Calibri"/>
        <family val="2"/>
        <scheme val="minor"/>
      </rPr>
      <t>2</t>
    </r>
    <r>
      <rPr>
        <b/>
        <sz val="11"/>
        <color theme="1"/>
        <rFont val="Calibri"/>
        <family val="2"/>
        <scheme val="minor"/>
      </rPr>
      <t>)</t>
    </r>
  </si>
  <si>
    <r>
      <t>GHG-2 (CH</t>
    </r>
    <r>
      <rPr>
        <b/>
        <vertAlign val="subscript"/>
        <sz val="11"/>
        <color theme="1"/>
        <rFont val="Calibri"/>
        <family val="2"/>
        <scheme val="minor"/>
      </rPr>
      <t>4</t>
    </r>
    <r>
      <rPr>
        <b/>
        <sz val="11"/>
        <color theme="1"/>
        <rFont val="Calibri"/>
        <family val="2"/>
        <scheme val="minor"/>
      </rPr>
      <t>)</t>
    </r>
  </si>
  <si>
    <r>
      <t>GHG-3 (N</t>
    </r>
    <r>
      <rPr>
        <b/>
        <vertAlign val="subscript"/>
        <sz val="11"/>
        <color theme="1"/>
        <rFont val="Calibri"/>
        <family val="2"/>
        <scheme val="minor"/>
      </rPr>
      <t>2</t>
    </r>
    <r>
      <rPr>
        <b/>
        <sz val="11"/>
        <color theme="1"/>
        <rFont val="Calibri"/>
        <family val="2"/>
        <scheme val="minor"/>
      </rPr>
      <t>O)</t>
    </r>
  </si>
  <si>
    <r>
      <rPr>
        <b/>
        <sz val="10"/>
        <color theme="1"/>
        <rFont val="Calibri"/>
        <family val="2"/>
        <scheme val="minor"/>
      </rPr>
      <t>Wastewater treatment and discharge: Domestic waste water treatment and discharge</t>
    </r>
    <r>
      <rPr>
        <sz val="10"/>
        <color theme="1"/>
        <rFont val="Calibri"/>
        <family val="2"/>
        <scheme val="minor"/>
      </rPr>
      <t xml:space="preserve"> (at WWTW that Petra has operational control over). </t>
    </r>
    <r>
      <rPr>
        <b/>
        <sz val="10"/>
        <color theme="1"/>
        <rFont val="Calibri"/>
        <family val="2"/>
        <scheme val="minor"/>
      </rPr>
      <t>Threshold =  2 million litres/day</t>
    </r>
  </si>
  <si>
    <r>
      <rPr>
        <b/>
        <sz val="10"/>
        <color theme="1"/>
        <rFont val="Calibri"/>
        <family val="2"/>
        <scheme val="minor"/>
      </rPr>
      <t>Wastewater treatment and discharge: Industrial waste water treatment and discharge</t>
    </r>
    <r>
      <rPr>
        <sz val="10"/>
        <color theme="1"/>
        <rFont val="Calibri"/>
        <family val="2"/>
        <scheme val="minor"/>
      </rPr>
      <t xml:space="preserve"> . </t>
    </r>
    <r>
      <rPr>
        <b/>
        <sz val="10"/>
        <color theme="1"/>
        <rFont val="Calibri"/>
        <family val="2"/>
        <scheme val="minor"/>
      </rPr>
      <t>Threshold = 1000 cub m/day</t>
    </r>
  </si>
  <si>
    <t>Recorded  activity data</t>
  </si>
  <si>
    <t>value</t>
  </si>
  <si>
    <r>
      <t>Tech Guidelines GHG reporting: Annex D (SA cal values: tier 2= 37.5 MJ/l)and Annex A (IPCC default EF: tier 1 = 0.6 kg N</t>
    </r>
    <r>
      <rPr>
        <vertAlign val="subscript"/>
        <sz val="10"/>
        <color theme="1"/>
        <rFont val="Calibri"/>
        <family val="2"/>
        <scheme val="minor"/>
      </rPr>
      <t>2</t>
    </r>
    <r>
      <rPr>
        <sz val="10"/>
        <color theme="1"/>
        <rFont val="Calibri"/>
        <family val="2"/>
        <scheme val="minor"/>
      </rPr>
      <t>O/TJ)</t>
    </r>
  </si>
  <si>
    <r>
      <t>Tech Guidelines GHG reporting: Annex D (SA cal values: tier 2= 37.5 MJ/l)and Annex A (IPCC default EF: tier 1 = 3 kg CH</t>
    </r>
    <r>
      <rPr>
        <vertAlign val="subscript"/>
        <sz val="10"/>
        <color theme="1"/>
        <rFont val="Calibri"/>
        <family val="2"/>
        <scheme val="minor"/>
      </rPr>
      <t>4</t>
    </r>
    <r>
      <rPr>
        <sz val="10"/>
        <color theme="1"/>
        <rFont val="Calibri"/>
        <family val="2"/>
        <scheme val="minor"/>
      </rPr>
      <t>/TJ)</t>
    </r>
  </si>
  <si>
    <r>
      <t>Tech Guidelines GHG reporting: Annex D (SA cal values: tier 2= 37.5 MJ/l)and Annex A (IPCC default EF: tier 1 = 70 000kg CO</t>
    </r>
    <r>
      <rPr>
        <vertAlign val="subscript"/>
        <sz val="10"/>
        <color theme="1"/>
        <rFont val="Calibri"/>
        <family val="2"/>
        <scheme val="minor"/>
      </rPr>
      <t>2</t>
    </r>
    <r>
      <rPr>
        <sz val="10"/>
        <color theme="1"/>
        <rFont val="Calibri"/>
        <family val="2"/>
        <scheme val="minor"/>
      </rPr>
      <t>/TJ)</t>
    </r>
  </si>
  <si>
    <t>Tech Guidelines GHG reporting: Annex D (SA cal values: tier 2= 38.1 MJ/l)and Annex A (IPCC default EF: tier 1 = 3 kg CH4/TJ)</t>
  </si>
  <si>
    <r>
      <t>Tech Guidelines GHG reporting: Annex D (SA cal values: tier 2= 38.1 MJ/l)and Annex A (IPCC default EF: tier 1 = 0.6 kg  N</t>
    </r>
    <r>
      <rPr>
        <vertAlign val="subscript"/>
        <sz val="10"/>
        <color theme="1"/>
        <rFont val="Calibri"/>
        <family val="2"/>
        <scheme val="minor"/>
      </rPr>
      <t>2</t>
    </r>
    <r>
      <rPr>
        <sz val="10"/>
        <color theme="1"/>
        <rFont val="Calibri"/>
        <family val="2"/>
        <scheme val="minor"/>
      </rPr>
      <t>O/TJ)</t>
    </r>
  </si>
  <si>
    <r>
      <t>Tech Guidelines GHG reporting: Annex D (SA cal values: tier 2= 38.1MJ/l)and Annex A (IPCC default EF: tier 1= 74100kg CO</t>
    </r>
    <r>
      <rPr>
        <vertAlign val="subscript"/>
        <sz val="10"/>
        <color theme="1"/>
        <rFont val="Calibri"/>
        <family val="2"/>
        <scheme val="minor"/>
      </rPr>
      <t>2</t>
    </r>
    <r>
      <rPr>
        <sz val="10"/>
        <color theme="1"/>
        <rFont val="Calibri"/>
        <family val="2"/>
        <scheme val="minor"/>
      </rPr>
      <t>/TJ)</t>
    </r>
  </si>
  <si>
    <r>
      <t>Tech Guidelines GHG reporting: Annex D (SA cal values: tier 2= 38.1 MJ/l)and Annex A (IPCC default EF: tier 1 = 3 kg CH</t>
    </r>
    <r>
      <rPr>
        <vertAlign val="subscript"/>
        <sz val="10"/>
        <color theme="1"/>
        <rFont val="Calibri"/>
        <family val="2"/>
        <scheme val="minor"/>
      </rPr>
      <t>4</t>
    </r>
    <r>
      <rPr>
        <sz val="10"/>
        <color theme="1"/>
        <rFont val="Calibri"/>
        <family val="2"/>
        <scheme val="minor"/>
      </rPr>
      <t>/TJ)</t>
    </r>
  </si>
  <si>
    <r>
      <t>Tech Guidelines GHG reporting: Annex D (SA cal values: tier 2= 46.1MJ/kg)and Annex A (IPCC default EF: tier 1= 63100kg CO</t>
    </r>
    <r>
      <rPr>
        <vertAlign val="subscript"/>
        <sz val="10"/>
        <color theme="1"/>
        <rFont val="Calibri"/>
        <family val="2"/>
        <scheme val="minor"/>
      </rPr>
      <t>2</t>
    </r>
    <r>
      <rPr>
        <sz val="10"/>
        <color theme="1"/>
        <rFont val="Calibri"/>
        <family val="2"/>
        <scheme val="minor"/>
      </rPr>
      <t>/TJ)</t>
    </r>
  </si>
  <si>
    <t>Tech Guidelines GHG reporting: Annex D (SA cal values: tier 2= 46.1 MJ/kg)and Annex A (IPCC default EF: tier 1 = 1 kg CH4/TJ)</t>
  </si>
  <si>
    <r>
      <t>Tech Guidelines GHG reporting: Annex D (SA cal values: tier 2= 46.1 MJ/kg)and Annex A (IPCC default EF: tier 1 = 0.1 kg N</t>
    </r>
    <r>
      <rPr>
        <vertAlign val="subscript"/>
        <sz val="10"/>
        <color theme="1"/>
        <rFont val="Calibri"/>
        <family val="2"/>
        <scheme val="minor"/>
      </rPr>
      <t>2</t>
    </r>
    <r>
      <rPr>
        <sz val="10"/>
        <color theme="1"/>
        <rFont val="Calibri"/>
        <family val="2"/>
        <scheme val="minor"/>
      </rPr>
      <t>O/TJ)</t>
    </r>
  </si>
  <si>
    <r>
      <t>Tech Guidelines GHG reporting: Annex D (SA cal values: tier 2= 46.1 MJ/kg)and Annex A (IPCC default EF: tier 1 = 1 kg CH</t>
    </r>
    <r>
      <rPr>
        <vertAlign val="subscript"/>
        <sz val="10"/>
        <color theme="1"/>
        <rFont val="Calibri"/>
        <family val="2"/>
        <scheme val="minor"/>
      </rPr>
      <t>4</t>
    </r>
    <r>
      <rPr>
        <sz val="10"/>
        <color theme="1"/>
        <rFont val="Calibri"/>
        <family val="2"/>
        <scheme val="minor"/>
      </rPr>
      <t>/TJ)</t>
    </r>
  </si>
  <si>
    <r>
      <t>Tech Guidelines GHG reporting: Annex D (SA cal values: tier 2= 46.1 MJ/kg)and Annex A (IPCC default EF: tier 1= 63100kg CO</t>
    </r>
    <r>
      <rPr>
        <vertAlign val="subscript"/>
        <sz val="10"/>
        <color theme="1"/>
        <rFont val="Calibri"/>
        <family val="2"/>
        <scheme val="minor"/>
      </rPr>
      <t>2</t>
    </r>
    <r>
      <rPr>
        <sz val="10"/>
        <color theme="1"/>
        <rFont val="Calibri"/>
        <family val="2"/>
        <scheme val="minor"/>
      </rPr>
      <t>/TJ)</t>
    </r>
  </si>
  <si>
    <t>Tech Guidelines GHG reporting: Annex D (SA cal values: tier 2= 46.1 MJ/kg)and Annex A (IPCC default EF: tier 1 = 0.1 kg N2O/TJ)</t>
  </si>
  <si>
    <t>litres/a</t>
  </si>
  <si>
    <t>kg/a</t>
  </si>
  <si>
    <t>tonnes/a</t>
  </si>
  <si>
    <r>
      <t>m</t>
    </r>
    <r>
      <rPr>
        <vertAlign val="superscript"/>
        <sz val="11"/>
        <color theme="1"/>
        <rFont val="Calibri"/>
        <family val="2"/>
        <scheme val="minor"/>
      </rPr>
      <t>3</t>
    </r>
    <r>
      <rPr>
        <sz val="11"/>
        <color theme="1"/>
        <rFont val="Calibri"/>
        <family val="2"/>
        <scheme val="minor"/>
      </rPr>
      <t>/a</t>
    </r>
  </si>
  <si>
    <r>
      <rPr>
        <b/>
        <sz val="9"/>
        <color theme="1"/>
        <rFont val="Calibri"/>
        <family val="2"/>
        <scheme val="minor"/>
      </rPr>
      <t xml:space="preserve">Fuel combustion: Mining and Quarrying: </t>
    </r>
    <r>
      <rPr>
        <sz val="9"/>
        <color theme="1"/>
        <rFont val="Calibri"/>
        <family val="2"/>
        <scheme val="minor"/>
      </rPr>
      <t xml:space="preserve">Diesel Consumption stationary Emergency Generators  </t>
    </r>
  </si>
  <si>
    <r>
      <rPr>
        <b/>
        <sz val="9"/>
        <color theme="1"/>
        <rFont val="Calibri"/>
        <family val="2"/>
        <scheme val="minor"/>
      </rPr>
      <t>Fuel combustion: Mining and Quarrying -</t>
    </r>
    <r>
      <rPr>
        <sz val="9"/>
        <color theme="1"/>
        <rFont val="Calibri"/>
        <family val="2"/>
        <scheme val="minor"/>
      </rPr>
      <t>LPG Stationary combustion</t>
    </r>
  </si>
  <si>
    <r>
      <rPr>
        <b/>
        <sz val="10"/>
        <color theme="1"/>
        <rFont val="Calibri"/>
        <family val="2"/>
        <scheme val="minor"/>
      </rPr>
      <t>Waste: Solid waste disposal- Managed Waste disposal sites</t>
    </r>
    <r>
      <rPr>
        <sz val="10"/>
        <color theme="1"/>
        <rFont val="Calibri"/>
        <family val="2"/>
        <scheme val="minor"/>
      </rPr>
      <t xml:space="preserve">  </t>
    </r>
  </si>
  <si>
    <r>
      <rPr>
        <b/>
        <sz val="10"/>
        <color theme="1"/>
        <rFont val="Calibri"/>
        <family val="2"/>
        <scheme val="minor"/>
      </rPr>
      <t>Wastewater treatment and discharge: Domestic waste water treatment and discharge</t>
    </r>
    <r>
      <rPr>
        <sz val="10"/>
        <color theme="1"/>
        <rFont val="Calibri"/>
        <family val="2"/>
        <scheme val="minor"/>
      </rPr>
      <t xml:space="preserve"> </t>
    </r>
  </si>
  <si>
    <r>
      <rPr>
        <b/>
        <sz val="10"/>
        <color theme="1"/>
        <rFont val="Calibri"/>
        <family val="2"/>
        <scheme val="minor"/>
      </rPr>
      <t>Wastewater treatment and discharge: Industrial waste water treatment and discharge</t>
    </r>
    <r>
      <rPr>
        <sz val="10"/>
        <color theme="1"/>
        <rFont val="Calibri"/>
        <family val="2"/>
        <scheme val="minor"/>
      </rPr>
      <t xml:space="preserve"> . </t>
    </r>
  </si>
  <si>
    <t>Obtain information on number of generators used on mines- surface and  underground AND volumes of fuel used. To be reported under stationary fuel used. Ensure that diesel use of gensets are accurately measured for future reporting</t>
  </si>
  <si>
    <t>Please obtain the daily volumes disposed in order to accurately determine if more than 5t per day is disposed</t>
  </si>
  <si>
    <t>Please obtain the daily volumes disposed in order to accurately determine if more than 2 million litres/day is disposed</t>
  </si>
  <si>
    <t>Ensure accurate recording and reporting of all LPG combustion uses on mine</t>
  </si>
  <si>
    <t>Electricity purchased TANESCO</t>
  </si>
  <si>
    <t>Total GHG emissions</t>
  </si>
  <si>
    <r>
      <t>tonnes CO</t>
    </r>
    <r>
      <rPr>
        <b/>
        <vertAlign val="subscript"/>
        <sz val="11"/>
        <color theme="1"/>
        <rFont val="Calibri"/>
        <family val="2"/>
        <scheme val="minor"/>
      </rPr>
      <t>2</t>
    </r>
    <r>
      <rPr>
        <b/>
        <sz val="11"/>
        <color theme="1"/>
        <rFont val="Calibri"/>
        <family val="2"/>
        <scheme val="minor"/>
      </rPr>
      <t>-e</t>
    </r>
  </si>
  <si>
    <t>rand</t>
  </si>
  <si>
    <t>carbon tax</t>
  </si>
  <si>
    <t>Carbon tax</t>
  </si>
  <si>
    <r>
      <t>tonnes
 CO</t>
    </r>
    <r>
      <rPr>
        <b/>
        <vertAlign val="subscript"/>
        <sz val="11"/>
        <color theme="1"/>
        <rFont val="Calibri"/>
        <family val="2"/>
        <scheme val="minor"/>
      </rPr>
      <t>2</t>
    </r>
    <r>
      <rPr>
        <b/>
        <sz val="11"/>
        <color theme="1"/>
        <rFont val="Calibri"/>
        <family val="2"/>
        <scheme val="minor"/>
      </rPr>
      <t>-e</t>
    </r>
  </si>
  <si>
    <t xml:space="preserve">E = tons (A) * B = </t>
  </si>
  <si>
    <t xml:space="preserve">
E: Energy combustion emissions
S: Emissions sequestered by company as verified by DEA;
C: sum of allowable tax free thresholds related to combustion; 
D: diesel and petrol emissions;
M: Sum of allowable tax-free thresholds related to diesel and  petrol emissions
P: process emissions
J: sum of allowable tax three thresholds related to process emissions;
F: fugitive emissions
K: sum of allowable  tax-free thresholds related to fugitive emissions
R: tax rate
</t>
  </si>
  <si>
    <r>
      <t xml:space="preserve">X = </t>
    </r>
    <r>
      <rPr>
        <b/>
        <sz val="9"/>
        <color theme="1"/>
        <rFont val="Calibri"/>
        <family val="2"/>
      </rPr>
      <t>{[(E-S) X (1-C)]  -  [D X (1-M)]} X R  
 + [P X (1 - J)] X R 
 + [F X (1-K)] X R</t>
    </r>
  </si>
  <si>
    <t>carbon tax formula and assumptions on tax free alllowances</t>
  </si>
  <si>
    <t xml:space="preserve">Assumptions: P= 0 (no process emissions)
F= 0 ( no fugitive emissions)
S=0 ( no sequestration)
E= diesel+ lpg + aviation fuel combustion emissions
D= diesel emissions
M = 75% + 5 % = 80%
C = 60% (basic)+ 10% (trade exposed) =70%
</t>
  </si>
  <si>
    <r>
      <t>Rand (basic rate = R120/ton CO</t>
    </r>
    <r>
      <rPr>
        <b/>
        <vertAlign val="subscript"/>
        <sz val="11"/>
        <color theme="1"/>
        <rFont val="Calibri"/>
        <family val="2"/>
        <scheme val="minor"/>
      </rPr>
      <t>2</t>
    </r>
    <r>
      <rPr>
        <b/>
        <sz val="11"/>
        <color theme="1"/>
        <rFont val="Calibri"/>
        <family val="2"/>
        <scheme val="minor"/>
      </rPr>
      <t>-e)</t>
    </r>
  </si>
  <si>
    <r>
      <rPr>
        <b/>
        <u/>
        <sz val="11"/>
        <color theme="1"/>
        <rFont val="Calibri"/>
        <family val="2"/>
        <scheme val="minor"/>
      </rPr>
      <t>TAX free allowances valid for Petra mines</t>
    </r>
    <r>
      <rPr>
        <b/>
        <sz val="9"/>
        <color theme="1"/>
        <rFont val="Calibri"/>
        <family val="2"/>
        <scheme val="minor"/>
      </rPr>
      <t>: 
basic = 60% 
Trade exposure allowance (max 10%):
 0.4 x (revenue from exported good/ revenue from all goods)
Above average performance (max 5%):
Z-factor = (GHG intensity benchmark for sector/GHG emission intensity of taxpayer - 1) x 100 
Carbon offset and carbon budget allowances = 0%</t>
    </r>
  </si>
  <si>
    <r>
      <t>tCO</t>
    </r>
    <r>
      <rPr>
        <b/>
        <vertAlign val="subscript"/>
        <sz val="11"/>
        <color theme="1"/>
        <rFont val="Calibri"/>
        <family val="2"/>
        <scheme val="minor"/>
      </rPr>
      <t>2</t>
    </r>
    <r>
      <rPr>
        <b/>
        <sz val="11"/>
        <color theme="1"/>
        <rFont val="Calibri"/>
        <family val="2"/>
        <scheme val="minor"/>
      </rPr>
      <t>e emissions/TJ</t>
    </r>
  </si>
  <si>
    <r>
      <t>EF(B) = CO</t>
    </r>
    <r>
      <rPr>
        <b/>
        <vertAlign val="subscript"/>
        <sz val="11"/>
        <color theme="1"/>
        <rFont val="Calibri"/>
        <family val="2"/>
        <scheme val="minor"/>
      </rPr>
      <t>2</t>
    </r>
    <r>
      <rPr>
        <b/>
        <sz val="11"/>
        <color theme="1"/>
        <rFont val="Calibri"/>
        <family val="2"/>
        <scheme val="minor"/>
      </rPr>
      <t>-e/TJ * cal value (TJ/t)</t>
    </r>
  </si>
  <si>
    <r>
      <t>EF(B) =t CO</t>
    </r>
    <r>
      <rPr>
        <b/>
        <vertAlign val="subscript"/>
        <sz val="11"/>
        <color theme="1"/>
        <rFont val="Calibri"/>
        <family val="2"/>
        <scheme val="minor"/>
      </rPr>
      <t>2</t>
    </r>
    <r>
      <rPr>
        <b/>
        <sz val="11"/>
        <color theme="1"/>
        <rFont val="Calibri"/>
        <family val="2"/>
        <scheme val="minor"/>
      </rPr>
      <t>-e/TJ * cal value (TJ/t)</t>
    </r>
  </si>
  <si>
    <t>Tax Bill methodology based on IPCC cal values</t>
  </si>
  <si>
    <t>Trade exposure  = 25%
=0.4  x (1416571129.72/2278312517.86)</t>
  </si>
  <si>
    <t>Trade exposure  = 24%
=0.4  x (1747596523.97/2885058454.18)</t>
  </si>
  <si>
    <t>Trade exposure = 27%
0.4 x (237570695.03/357419564.62)</t>
  </si>
  <si>
    <r>
      <t>Water consumption (m</t>
    </r>
    <r>
      <rPr>
        <vertAlign val="superscript"/>
        <sz val="11"/>
        <color theme="1"/>
        <rFont val="Calibri"/>
        <family val="2"/>
        <scheme val="minor"/>
      </rPr>
      <t>3</t>
    </r>
    <r>
      <rPr>
        <sz val="11"/>
        <color theme="1"/>
        <rFont val="Calibri"/>
        <family val="2"/>
        <scheme val="minor"/>
      </rPr>
      <t>/t)</t>
    </r>
  </si>
  <si>
    <r>
      <t>Clean water intake (m</t>
    </r>
    <r>
      <rPr>
        <vertAlign val="superscript"/>
        <sz val="11"/>
        <color theme="1"/>
        <rFont val="Calibri"/>
        <family val="2"/>
        <scheme val="minor"/>
      </rPr>
      <t>3</t>
    </r>
    <r>
      <rPr>
        <sz val="11"/>
        <color theme="1"/>
        <rFont val="Calibri"/>
        <family val="2"/>
        <scheme val="minor"/>
      </rPr>
      <t>/t)</t>
    </r>
  </si>
  <si>
    <t>Percentage water recylced</t>
  </si>
  <si>
    <t>Q3 FY 2018</t>
  </si>
  <si>
    <t>Q3 fY2019</t>
  </si>
  <si>
    <r>
      <t>carbon footprint(tCO</t>
    </r>
    <r>
      <rPr>
        <vertAlign val="subscript"/>
        <sz val="11"/>
        <color theme="1"/>
        <rFont val="Calibri"/>
        <family val="2"/>
        <scheme val="minor"/>
      </rPr>
      <t>2</t>
    </r>
    <r>
      <rPr>
        <sz val="11"/>
        <color theme="1"/>
        <rFont val="Calibri"/>
        <family val="2"/>
        <scheme val="minor"/>
      </rPr>
      <t>-e/ct)</t>
    </r>
  </si>
  <si>
    <r>
      <t xml:space="preserve">COMPANY PLANE  </t>
    </r>
    <r>
      <rPr>
        <b/>
        <sz val="11"/>
        <color rgb="FFFF0000"/>
        <rFont val="Calibri"/>
        <family val="2"/>
        <scheme val="minor"/>
      </rPr>
      <t>ZS-ZAZ</t>
    </r>
    <r>
      <rPr>
        <b/>
        <sz val="11"/>
        <color theme="1"/>
        <rFont val="Calibri"/>
        <family val="2"/>
        <scheme val="minor"/>
      </rPr>
      <t xml:space="preserve"> (BEECHCRAFT KING AIR 350) CARBON FOOTPINT</t>
    </r>
  </si>
  <si>
    <t>KEM excluded</t>
  </si>
  <si>
    <t>KEM included</t>
  </si>
  <si>
    <t>kg CO2 -e</t>
  </si>
  <si>
    <t>t CO2 -e</t>
  </si>
  <si>
    <t>Total Carat Prod.</t>
  </si>
  <si>
    <t>ct</t>
  </si>
  <si>
    <t>Intensity Total in tCO2-e/ct</t>
  </si>
  <si>
    <t>Total tonnes production</t>
  </si>
  <si>
    <t>t</t>
  </si>
  <si>
    <t>Intensity total in tCO2-e/t</t>
  </si>
  <si>
    <t xml:space="preserve">Intensity total </t>
  </si>
  <si>
    <t>tCO2-e/ct 
(SC 1 and 2)</t>
  </si>
  <si>
    <t>tCO2-e/ct
(sc 1,2 and 3)</t>
  </si>
  <si>
    <t>tCO2-e/t
Sc 1 and 2)</t>
  </si>
  <si>
    <r>
      <t xml:space="preserve">RECALCULATION OF BASE YEAR due to divestment of KEM end of FY 2018: 
 intensity total per ct decrease by 4 %  thus </t>
    </r>
    <r>
      <rPr>
        <b/>
        <sz val="11"/>
        <color rgb="FFFF0000"/>
        <rFont val="Calibri"/>
        <family val="2"/>
        <scheme val="minor"/>
      </rPr>
      <t>0.96* 0.20 = 0.192
intensity total per ton treated increased by 26%  thus 1.26 *0.0301= 0.0379</t>
    </r>
  </si>
  <si>
    <t>2018 audited</t>
  </si>
  <si>
    <t>2019 unaudited</t>
  </si>
  <si>
    <t xml:space="preserve"> %deviation 2019/2018</t>
  </si>
  <si>
    <r>
      <t>carbon footprint</t>
    </r>
    <r>
      <rPr>
        <sz val="10"/>
        <color rgb="FFFF0000"/>
        <rFont val="Calibri"/>
        <family val="2"/>
        <scheme val="minor"/>
      </rPr>
      <t xml:space="preserve"> FY 2019</t>
    </r>
    <r>
      <rPr>
        <sz val="10"/>
        <color theme="0"/>
        <rFont val="Calibri"/>
        <family val="2"/>
        <scheme val="minor"/>
      </rPr>
      <t xml:space="preserve"> per operation</t>
    </r>
  </si>
  <si>
    <t>Bryanson/London</t>
  </si>
  <si>
    <t>2018  audited</t>
  </si>
  <si>
    <t>% change 2018/2019</t>
  </si>
  <si>
    <t>% change fy 2018/2019</t>
  </si>
  <si>
    <t>2019  not audited bryanston inlcuded</t>
  </si>
  <si>
    <t>Total litres fuel FY 2019</t>
  </si>
  <si>
    <t>A. Electricity Consumption figures excluding fissure mines- FY 2018 AUDITED</t>
  </si>
  <si>
    <t>BRYANSTON/LONDON</t>
  </si>
  <si>
    <t>A. Electricity Consumption figures excluding fissure mines- FY 2019 NOT AUDITED</t>
  </si>
  <si>
    <t>Total Electricity Consumption per production FY 2018</t>
  </si>
  <si>
    <t>Energy use in Joules per operation  FY 2018:  (Conversion from use units to J)</t>
  </si>
  <si>
    <t>Energy use in Joules per operation FY 2019(Conversion from use units to J)</t>
  </si>
  <si>
    <t>bryanston/London</t>
  </si>
  <si>
    <t>%deviation 2018/2019 (Sc 1,2 &amp;3)</t>
  </si>
  <si>
    <r>
      <t>baseline 2013 = 0.23 tCO</t>
    </r>
    <r>
      <rPr>
        <vertAlign val="subscript"/>
        <sz val="11"/>
        <color theme="1"/>
        <rFont val="Calibri"/>
        <family val="2"/>
        <scheme val="minor"/>
      </rPr>
      <t>2</t>
    </r>
    <r>
      <rPr>
        <sz val="11"/>
        <color theme="1"/>
        <rFont val="Calibri"/>
        <family val="2"/>
        <scheme val="minor"/>
      </rPr>
      <t>-e/ct</t>
    </r>
  </si>
  <si>
    <t>table 1.1 - 2019</t>
  </si>
  <si>
    <r>
      <t xml:space="preserve">table 1.1 - 2018 </t>
    </r>
    <r>
      <rPr>
        <b/>
        <sz val="11"/>
        <color rgb="FFFF0000"/>
        <rFont val="Calibri"/>
        <family val="2"/>
        <scheme val="minor"/>
      </rPr>
      <t>(audited figures)</t>
    </r>
  </si>
  <si>
    <t>deviation 2019: 2018</t>
  </si>
  <si>
    <t>deviation 2019/ 2018 restated</t>
  </si>
  <si>
    <t>deviation 2019: 2018 restated</t>
  </si>
  <si>
    <t>Bryanston/London</t>
  </si>
  <si>
    <t>Deviation 2019/2018</t>
  </si>
  <si>
    <t>deviation 2019 re stated: 2018 restated</t>
  </si>
  <si>
    <t>audited 2018</t>
  </si>
  <si>
    <t>PETRA  WATER CONSUMPTION BY SOURCE-FY 2017-2019</t>
  </si>
  <si>
    <t>water consumption by source 2019</t>
  </si>
  <si>
    <t>restated 2019</t>
  </si>
  <si>
    <t xml:space="preserve">*Clean water only = on-mine potable + Raw water + dewatering (FY 2017); </t>
  </si>
  <si>
    <t>FY 2018 onwards: Clean water = potable on mine + raw</t>
  </si>
  <si>
    <t>2018 onwards</t>
  </si>
  <si>
    <t>FY 2019 WATER CONSUMPTION BY SOURCE</t>
  </si>
  <si>
    <t>London/Bryanston</t>
  </si>
  <si>
    <t>TONNES WASTE GENERATED PER OPERATION-2019</t>
  </si>
  <si>
    <t>2019 not audited</t>
  </si>
  <si>
    <t>%change(2019 vs 2018 audited)</t>
  </si>
  <si>
    <t>Difference in tonnes 2018 audited and 2019</t>
  </si>
  <si>
    <t>TONNES WASTE GENERATED PER OPERATION-2018 audited</t>
  </si>
  <si>
    <r>
      <rPr>
        <b/>
        <sz val="11"/>
        <color rgb="FFFF0000"/>
        <rFont val="Calibri"/>
        <family val="2"/>
        <scheme val="minor"/>
      </rPr>
      <t>TONNES</t>
    </r>
    <r>
      <rPr>
        <b/>
        <sz val="11"/>
        <color theme="1"/>
        <rFont val="Calibri"/>
        <family val="2"/>
        <scheme val="minor"/>
      </rPr>
      <t xml:space="preserve"> MINE WASTE GENERATED PER OPERATION 2016-2019</t>
    </r>
  </si>
  <si>
    <t xml:space="preserve">2019 total </t>
  </si>
  <si>
    <t>2019 total</t>
  </si>
  <si>
    <t>Closure costs -FY 2019</t>
  </si>
  <si>
    <t>1% reduction in t CO₂e/ct per annum with 2013, 2016 amended base year and final amended base year FY 2018. Thus, FY 2018 is considered as base year.</t>
  </si>
  <si>
    <t>Lanseria-cape town</t>
  </si>
  <si>
    <t>George -Johannesburg</t>
  </si>
  <si>
    <t>London-Antwerp</t>
  </si>
  <si>
    <t>Johannesburg- sishen</t>
  </si>
  <si>
    <t>johannesbur -brussels</t>
  </si>
  <si>
    <t>Johannesburg -Perth</t>
  </si>
  <si>
    <t>cape town-Bloemfontein</t>
  </si>
  <si>
    <t>Johannesbur-Hong-Kong</t>
  </si>
  <si>
    <t>London-edinburgh</t>
  </si>
  <si>
    <t>London-Boston</t>
  </si>
  <si>
    <t>NY-boston</t>
  </si>
  <si>
    <t>Boston-Toronto</t>
  </si>
  <si>
    <t>Toronto-London</t>
  </si>
  <si>
    <t>NM (Nautical miles)</t>
  </si>
  <si>
    <t xml:space="preserve">NM </t>
  </si>
  <si>
    <t xml:space="preserve"> FY 2017</t>
  </si>
  <si>
    <t>Domestic- within SA</t>
  </si>
  <si>
    <t>SH: In Africa</t>
  </si>
  <si>
    <t>LH: SA to other continent</t>
  </si>
  <si>
    <t>Int: on other continent</t>
  </si>
  <si>
    <t>CDM km</t>
  </si>
  <si>
    <t>FDM km</t>
  </si>
  <si>
    <t>KDM km</t>
  </si>
  <si>
    <t>WDL  km</t>
  </si>
  <si>
    <t>PDSA km</t>
  </si>
  <si>
    <t>TOTAL KILOMETERS GROUP</t>
  </si>
  <si>
    <t xml:space="preserve"> FY 2018</t>
  </si>
  <si>
    <t xml:space="preserve"> FY 2019</t>
  </si>
  <si>
    <r>
      <t>note: THE COMPANY PLANE FOOTPRINT</t>
    </r>
    <r>
      <rPr>
        <sz val="8"/>
        <color rgb="FFFF0000"/>
        <rFont val="Calibri"/>
        <family val="2"/>
        <scheme val="minor"/>
      </rPr>
      <t xml:space="preserve">( t CO2-e) </t>
    </r>
    <r>
      <rPr>
        <sz val="8"/>
        <color theme="1"/>
        <rFont val="Calibri"/>
        <family val="2"/>
        <scheme val="minor"/>
      </rPr>
      <t>has been divided equally by 3 and added to the SA carbon footprints scope 1 values</t>
    </r>
  </si>
  <si>
    <t>topsoil stockpiles</t>
  </si>
  <si>
    <t>Overburden</t>
  </si>
  <si>
    <t>Excavations</t>
  </si>
  <si>
    <t>Pits</t>
  </si>
  <si>
    <t>stockpiles</t>
  </si>
  <si>
    <t>infrastructure</t>
  </si>
  <si>
    <t>2018 (Production increased with 24% from (2017)</t>
  </si>
  <si>
    <t>2019 restated(2018 restate + 9%)</t>
  </si>
  <si>
    <t>deviation 2019 restated/ 2018 restated</t>
  </si>
  <si>
    <r>
      <t xml:space="preserve">2019 </t>
    </r>
    <r>
      <rPr>
        <b/>
        <sz val="8"/>
        <color theme="1"/>
        <rFont val="Calibri"/>
        <family val="2"/>
        <scheme val="minor"/>
      </rPr>
      <t>restated (restated WDL : 24% on 2017 restated;  9 % on 2018 )</t>
    </r>
  </si>
  <si>
    <t>PETRA  Bryanston/London inlcuded</t>
  </si>
  <si>
    <t>deviation 2019 re stated: 2018 reported</t>
  </si>
  <si>
    <t>2018 restated</t>
  </si>
  <si>
    <t>Deviation % Reported 2018 and restated  2019</t>
  </si>
  <si>
    <r>
      <t xml:space="preserve">surface area </t>
    </r>
    <r>
      <rPr>
        <sz val="11"/>
        <color rgb="FFFF0000"/>
        <rFont val="Calibri"/>
        <family val="2"/>
        <scheme val="minor"/>
      </rPr>
      <t>(ha</t>
    </r>
    <r>
      <rPr>
        <sz val="11"/>
        <color theme="1"/>
        <rFont val="Calibri"/>
        <family val="2"/>
        <scheme val="minor"/>
      </rPr>
      <t>)   -2019</t>
    </r>
  </si>
  <si>
    <t>deviation FY 2018/2019</t>
  </si>
  <si>
    <t>deviation FY 2018/2019 scrap steel at WDL FY 2018year omitted</t>
  </si>
  <si>
    <t>FY 2018 omitting scrap steel at WDL</t>
  </si>
  <si>
    <t>with scrap steel</t>
  </si>
  <si>
    <t>without scrap steel</t>
  </si>
  <si>
    <t>scrap steel</t>
  </si>
  <si>
    <t>Total recycled</t>
  </si>
  <si>
    <t>total waste</t>
  </si>
  <si>
    <t>% recycled</t>
  </si>
  <si>
    <t>GROUP without KEM</t>
  </si>
  <si>
    <t>Group with KEM</t>
  </si>
  <si>
    <t>Group Deviation with scrap steel</t>
  </si>
  <si>
    <t>Group Deviation without scrap steel</t>
  </si>
  <si>
    <t>WDL Deviation with scrap steel</t>
  </si>
  <si>
    <t>WDL Deviation without scrap steel</t>
  </si>
  <si>
    <t>wDL 2019</t>
  </si>
  <si>
    <t>Group 2019</t>
  </si>
  <si>
    <t>FY 2019 values originally reported</t>
  </si>
  <si>
    <t>2019 reported b3efore re-statement of WDl values</t>
  </si>
  <si>
    <t>2019 reported (Include WDL restated reported value)</t>
  </si>
  <si>
    <t xml:space="preserve">amended values </t>
  </si>
  <si>
    <t>Reported 2019 - restated WDL included</t>
  </si>
  <si>
    <t>Total tCO2-e(SCOPE 1 AND 2)</t>
  </si>
  <si>
    <t>Total tCO2-e(SCOPE 1, 2 AND 3)</t>
  </si>
  <si>
    <t>2019 wDL eclusded</t>
  </si>
  <si>
    <t>TOTAL FUEL AND ELECTRICITY USE IN million GJ</t>
  </si>
  <si>
    <t>new water</t>
  </si>
  <si>
    <t xml:space="preserve">new water </t>
  </si>
  <si>
    <t>without scrap steel clean up</t>
  </si>
  <si>
    <t>with scrap steel clean up= 18306.5t</t>
  </si>
  <si>
    <t>GROUP with KEM FY 2018</t>
  </si>
  <si>
    <t>deviation2018 without scrap clean up</t>
  </si>
  <si>
    <t>deviation2018 with scrap clean up</t>
  </si>
  <si>
    <t>Waste comparisons FY 2018 (KEM out)and FY 2019 with and without wcrap clean up WDL figures- 18306.5t</t>
  </si>
  <si>
    <t>Waste comparisons FY 2018 (KEM in)and FY 2019 with and without scrap clean up WDL figures- 18306.5t</t>
  </si>
  <si>
    <t>total - recycled</t>
  </si>
  <si>
    <t>scope 3</t>
  </si>
  <si>
    <t>FY2018</t>
  </si>
  <si>
    <r>
      <t>tCO</t>
    </r>
    <r>
      <rPr>
        <vertAlign val="subscript"/>
        <sz val="11"/>
        <color theme="1"/>
        <rFont val="Calibri"/>
        <family val="2"/>
        <scheme val="minor"/>
      </rPr>
      <t>2</t>
    </r>
    <r>
      <rPr>
        <sz val="11"/>
        <color theme="1"/>
        <rFont val="Calibri"/>
        <family val="2"/>
        <scheme val="minor"/>
      </rPr>
      <t>-e/ct</t>
    </r>
  </si>
  <si>
    <r>
      <t>tCO</t>
    </r>
    <r>
      <rPr>
        <vertAlign val="subscript"/>
        <sz val="11"/>
        <color theme="1"/>
        <rFont val="Calibri"/>
        <family val="2"/>
        <scheme val="minor"/>
      </rPr>
      <t>2</t>
    </r>
    <r>
      <rPr>
        <sz val="11"/>
        <color theme="1"/>
        <rFont val="Calibri"/>
        <family val="2"/>
        <scheme val="minor"/>
      </rPr>
      <t>-e/t</t>
    </r>
  </si>
  <si>
    <r>
      <t>tCO</t>
    </r>
    <r>
      <rPr>
        <vertAlign val="subscript"/>
        <sz val="11"/>
        <color theme="1"/>
        <rFont val="Calibri"/>
        <family val="2"/>
        <scheme val="minor"/>
      </rPr>
      <t>2</t>
    </r>
    <r>
      <rPr>
        <sz val="11"/>
        <color theme="1"/>
        <rFont val="Calibri"/>
        <family val="2"/>
        <scheme val="minor"/>
      </rPr>
      <t>-e/USD</t>
    </r>
  </si>
  <si>
    <t>SR trends in GHG emissions</t>
  </si>
  <si>
    <t>SR Sc1 and Sc2 GHG emissions FY 2019</t>
  </si>
  <si>
    <t>PDSA/LONDON</t>
  </si>
  <si>
    <t>revenue</t>
  </si>
  <si>
    <t>Revenue</t>
  </si>
  <si>
    <t>uSD</t>
  </si>
  <si>
    <r>
      <t>SR Sc1 and Sc 2 emissions FY 2015-FY 2019- 10</t>
    </r>
    <r>
      <rPr>
        <vertAlign val="superscript"/>
        <sz val="11"/>
        <color theme="1"/>
        <rFont val="Calibri"/>
        <family val="2"/>
        <scheme val="minor"/>
      </rPr>
      <t>3</t>
    </r>
    <r>
      <rPr>
        <sz val="11"/>
        <color theme="1"/>
        <rFont val="Calibri"/>
        <family val="2"/>
        <scheme val="minor"/>
      </rPr>
      <t>tCO</t>
    </r>
    <r>
      <rPr>
        <vertAlign val="subscript"/>
        <sz val="11"/>
        <color theme="1"/>
        <rFont val="Calibri"/>
        <family val="2"/>
        <scheme val="minor"/>
      </rPr>
      <t>2</t>
    </r>
    <r>
      <rPr>
        <sz val="11"/>
        <color theme="1"/>
        <rFont val="Calibri"/>
        <family val="2"/>
        <scheme val="minor"/>
      </rPr>
      <t>-e</t>
    </r>
  </si>
  <si>
    <t>SR Sc1 and Sc 2 emissions FY 2015-FY 2019- tCO2-e</t>
  </si>
  <si>
    <t>SR: Elctricity consumption (kWh/t)</t>
  </si>
  <si>
    <t>FY 2018 KEM-in</t>
  </si>
  <si>
    <t>FY 2018 KEM-out</t>
  </si>
  <si>
    <t>Ccash costs of production</t>
  </si>
  <si>
    <t>B. Electrcicty costs -FY 2019</t>
  </si>
  <si>
    <t xml:space="preserve"> electricity as %of cash costs</t>
  </si>
  <si>
    <r>
      <t>7. Petra diamonds do not report on emissions of SF</t>
    </r>
    <r>
      <rPr>
        <b/>
        <vertAlign val="subscript"/>
        <sz val="11"/>
        <rFont val="Calibri"/>
        <family val="2"/>
        <scheme val="minor"/>
      </rPr>
      <t>6</t>
    </r>
    <r>
      <rPr>
        <b/>
        <sz val="11"/>
        <rFont val="Calibri"/>
        <family val="2"/>
        <scheme val="minor"/>
      </rPr>
      <t>, PFC and NF3 as it does not engage in the typical activities that will release these gases.</t>
    </r>
  </si>
  <si>
    <t>10.  London and Bryanston offices' contribution to Petra Diamonds total GHG emissions = 1504 t CO2-e ,that represents 0.31% ; thus these offices are included  into the boundaries/scope of Petra for GHG emission purposes since FY 2019</t>
  </si>
  <si>
    <t>2013, Re-calculated in 2016 due to incorporation of KEM-JV and amendment in calculation method and again in 2018 due to divestment of KEM at the end of FY 2018 (June 2018)</t>
  </si>
  <si>
    <t>Diamond mining operations and related activities in SA (Cullinan, Finsch,  Koffiefontein)  and Tanzania (Williamson) over which Petra Diamonds have 100% operational control, as well as the PDSA offices in Bryanston and the Petra office in London.
 To be noted that the Bryanston and London offices were included in the scope from  FY 2019 in terms of petrol, diesel, water, electricity use, business transport (Air line tickets) and ozone depleting gases replaced.</t>
  </si>
  <si>
    <t>1. Helam mine and projects: Mine was sold in FY 2018</t>
  </si>
  <si>
    <t>2. Exploration projects in Botswana and South Africa: considered immaterial when compared to mining operations</t>
  </si>
  <si>
    <t>3. Game farms at FDM, CDM, KDM, KEM: managed by independent committees</t>
  </si>
  <si>
    <t>electricity costs</t>
  </si>
  <si>
    <t>FY 2020</t>
  </si>
  <si>
    <t>New water intake</t>
  </si>
  <si>
    <t>Consumptive water intake</t>
  </si>
  <si>
    <t>Underground dewatering used in mining circuit</t>
  </si>
  <si>
    <t>Underground dewatering released (not used in mining circuit)</t>
  </si>
  <si>
    <r>
      <t>m</t>
    </r>
    <r>
      <rPr>
        <vertAlign val="superscript"/>
        <sz val="11"/>
        <color theme="1"/>
        <rFont val="Calibri"/>
        <family val="2"/>
        <scheme val="minor"/>
      </rPr>
      <t>3</t>
    </r>
    <r>
      <rPr>
        <sz val="11"/>
        <color theme="1"/>
        <rFont val="Calibri"/>
        <family val="2"/>
        <scheme val="minor"/>
      </rPr>
      <t>/t</t>
    </r>
  </si>
  <si>
    <t>m3/t</t>
  </si>
  <si>
    <t>On mine potable water per Production</t>
  </si>
  <si>
    <t>Raw water use per production</t>
  </si>
  <si>
    <t>New water  intake per production</t>
  </si>
  <si>
    <t>Consumptive water intake per production</t>
  </si>
  <si>
    <t>Dewatering water used in circuit per production</t>
  </si>
  <si>
    <t>On mine Potable water per Production</t>
  </si>
  <si>
    <t>New water intake per production</t>
  </si>
  <si>
    <t>dewatering water used in circuit per production</t>
  </si>
  <si>
    <t>KPI value: Total water use on mine in  m3/ tonne treated FY 2019 -1%</t>
  </si>
  <si>
    <t>Percentage change in Total water use on mine per tonne treated as compared to KPI value</t>
  </si>
  <si>
    <t xml:space="preserve">KPI value:Percentage recycled water Fy 2019 +1% </t>
  </si>
  <si>
    <t xml:space="preserve">KPI value:Percentage recycled water FY 2019 +1% </t>
  </si>
  <si>
    <t xml:space="preserve"> Change in percentage recycled/re-used water as compared to KPI value</t>
  </si>
  <si>
    <r>
      <t>KPI value: Total water use on mine in  m</t>
    </r>
    <r>
      <rPr>
        <b/>
        <vertAlign val="superscript"/>
        <sz val="11"/>
        <color theme="3" tint="-0.249977111117893"/>
        <rFont val="Calibri"/>
        <family val="2"/>
        <scheme val="minor"/>
      </rPr>
      <t>3</t>
    </r>
    <r>
      <rPr>
        <b/>
        <sz val="11"/>
        <color theme="3" tint="-0.249977111117893"/>
        <rFont val="Calibri"/>
        <family val="2"/>
        <scheme val="minor"/>
      </rPr>
      <t>/ tonne treated FY 2019 -1%</t>
    </r>
  </si>
  <si>
    <t>Percentage change in Total Financial Provision costs as compared to FY 2019</t>
  </si>
  <si>
    <t>Percentage change in Total Financial Provision costs as compared to FY 2019 SA</t>
  </si>
  <si>
    <t>Total financial Provision for Mine closure in 2019 fY</t>
  </si>
  <si>
    <t>Diesel for vehicles (TMM)  per ton treated</t>
  </si>
  <si>
    <t xml:space="preserve">KPI value:Diesel for vehicles (TMM)  per ton treated FY 2019 -1% </t>
  </si>
  <si>
    <t>Percentage change in diesel use (TMM) as compared to KPI value</t>
  </si>
  <si>
    <t>l/t</t>
  </si>
  <si>
    <t>KPI value: Electricity use per tonne treated FY 2019 - 1%</t>
  </si>
  <si>
    <t>Change in percentage total electricity use on mine as compared to KPI value</t>
  </si>
  <si>
    <t>IMPROVEMENT STRATEGY : 1% mprovement (reduction)  in diesel use for Trackless Mobile Machines   measured in l/t</t>
  </si>
  <si>
    <t>KPI value: Total waste to landfill in FY 2019 -1%</t>
  </si>
  <si>
    <t xml:space="preserve">Reduction in total tonnage of waste disposed to landfill as compared to KPI value  </t>
  </si>
  <si>
    <t>IMPROVEMENT STRATEGY: Year on Year 1% improvement  on  waste  disposed to landfill</t>
  </si>
  <si>
    <t>Mine waste</t>
  </si>
  <si>
    <t>fine (slimes)</t>
  </si>
  <si>
    <t>coarse (tailings)</t>
  </si>
  <si>
    <t>Total waste costs</t>
  </si>
  <si>
    <t>Waste Costs</t>
  </si>
  <si>
    <t>ZAR/TZS</t>
  </si>
  <si>
    <t>Waste costs</t>
  </si>
  <si>
    <t>RSA</t>
  </si>
  <si>
    <t>Tanzania</t>
  </si>
  <si>
    <t>20/0201/31</t>
  </si>
  <si>
    <t>Department:</t>
  </si>
  <si>
    <t>HEALTH, SAFETY, ENVIRONMENTAL AND QUALITY DEPARTMENT</t>
  </si>
  <si>
    <t>Title:</t>
  </si>
  <si>
    <t>Procedure Nr:</t>
  </si>
  <si>
    <t>Distribution:</t>
  </si>
  <si>
    <t>Originator:</t>
  </si>
  <si>
    <t>Responsible HOD:</t>
  </si>
  <si>
    <t>References:</t>
  </si>
  <si>
    <t>Annexures:</t>
  </si>
  <si>
    <t>Original Date:</t>
  </si>
  <si>
    <t>Revision Date:</t>
  </si>
  <si>
    <t>Revision number:</t>
  </si>
  <si>
    <t>Next Revision Date:</t>
  </si>
  <si>
    <t>Approved:</t>
  </si>
  <si>
    <t>Authorised:</t>
  </si>
  <si>
    <t>Name of official:</t>
  </si>
  <si>
    <t>Designation:</t>
  </si>
  <si>
    <t>Approval date:</t>
  </si>
  <si>
    <t>Authorisation Date:</t>
  </si>
  <si>
    <t xml:space="preserve">HSEQ-GP-PO-18 </t>
  </si>
  <si>
    <t>Petra Diamonds Ltd</t>
  </si>
  <si>
    <t>Group HSEQ Data Analyst and Reporting Coordinator</t>
  </si>
  <si>
    <t>Group HSEQ Environmental Lead</t>
  </si>
  <si>
    <t xml:space="preserve">HSEQ-GP-PO-40 </t>
  </si>
  <si>
    <t>none</t>
  </si>
  <si>
    <t>Annexure 08: GROUP INTEGRATED DATA SHEET AND CARBON FOOTPRINT CALCULATION TOOL (1 July  2019 - 30 June 2020)</t>
  </si>
  <si>
    <t>JM Reynecke</t>
  </si>
  <si>
    <t>HSEQ Environmental Lead</t>
  </si>
  <si>
    <t>P Nkuna</t>
  </si>
  <si>
    <t>HSEQ Manager</t>
  </si>
  <si>
    <t>DATA CHECK</t>
  </si>
  <si>
    <t xml:space="preserve">IPCC 5th AR-2014: GWP(CO₂) = 1; GWP(CH4) = 28;GWP(N₂O) = 265 </t>
  </si>
  <si>
    <t>R-22 (GWP =1810kg CO2e)</t>
  </si>
  <si>
    <t>R-134A (GWP = 1430kg CO2e)</t>
  </si>
  <si>
    <t>YTD</t>
  </si>
  <si>
    <t>BRYANST</t>
  </si>
  <si>
    <t xml:space="preserve">Sept </t>
  </si>
  <si>
    <t>March</t>
  </si>
  <si>
    <t>Apr</t>
  </si>
  <si>
    <t>may</t>
  </si>
  <si>
    <t>Car hire: km (ASSUME AVERAGE CAR PETROL)</t>
  </si>
  <si>
    <r>
      <t xml:space="preserve">Business travel: car hire km </t>
    </r>
    <r>
      <rPr>
        <sz val="8"/>
        <color rgb="FFFF0000"/>
        <rFont val="Calibri"/>
        <family val="2"/>
        <scheme val="minor"/>
      </rPr>
      <t>(EF = 0.18084kg CO2e/km)</t>
    </r>
  </si>
  <si>
    <t>kg CO2e/km</t>
  </si>
  <si>
    <t>costs of waste management</t>
  </si>
  <si>
    <t>Raw water intake (m³/ton treated)</t>
  </si>
  <si>
    <t>Electricity consumption (kWh/t)  comparison for Q1 FY 2017 - FY 2020</t>
  </si>
  <si>
    <t>Q1 FY 2020</t>
  </si>
  <si>
    <t>Q1 FY2020</t>
  </si>
  <si>
    <t>tcO2-e/ct 2019</t>
  </si>
  <si>
    <t>tCO2e/ct 2019  x 0.99 (KPI)</t>
  </si>
  <si>
    <t>KPI GHG emissions fY 2020</t>
  </si>
  <si>
    <t>tcO2-e/ct 2020 Q1</t>
  </si>
  <si>
    <t>tcO2-e/ct 2020 Q2</t>
  </si>
  <si>
    <t>%deviation</t>
  </si>
  <si>
    <t>2020FY</t>
  </si>
  <si>
    <t>OUTSTANDING EMPR COMMITMENTS FY 2020 Q1</t>
  </si>
  <si>
    <t>Johannesburg- Sishen</t>
  </si>
  <si>
    <t>lhr (london Heathrow)</t>
  </si>
  <si>
    <t>Sept 201</t>
  </si>
  <si>
    <t xml:space="preserve">Q4 </t>
  </si>
  <si>
    <t>Moscow-Mirny</t>
  </si>
  <si>
    <t>Johannesburg -Dubai</t>
  </si>
  <si>
    <t>Dubai -Vienna</t>
  </si>
  <si>
    <t>Vienna -Munich</t>
  </si>
  <si>
    <t>Munich- Dubai</t>
  </si>
  <si>
    <t>johannesburg -vienna</t>
  </si>
  <si>
    <t>lilongwe -johannesburg</t>
  </si>
  <si>
    <t>return</t>
  </si>
  <si>
    <t>Hla lanseria-Sishen</t>
  </si>
  <si>
    <t>dar es salaam- lilongwe( Llw)</t>
  </si>
  <si>
    <t>London-moscow</t>
  </si>
  <si>
    <t>Site</t>
  </si>
  <si>
    <t>Guard Risk Provision</t>
  </si>
  <si>
    <t>Previous calc (2018) DMR rate submitted</t>
  </si>
  <si>
    <t>Draft calc (DMR Rate 2019)</t>
  </si>
  <si>
    <t>Draft Calc (QS rate 2019)</t>
  </si>
  <si>
    <t xml:space="preserve">DMR Shortfall /Excess </t>
  </si>
  <si>
    <t xml:space="preserve">QS Shortfall /Excess </t>
  </si>
  <si>
    <t>LOM prediction</t>
  </si>
  <si>
    <t>Comments</t>
  </si>
  <si>
    <t>Blue Diamonds</t>
  </si>
  <si>
    <t>8 years</t>
  </si>
  <si>
    <t>Inflation is the largest contributer to the increase in liability</t>
  </si>
  <si>
    <t>46 years</t>
  </si>
  <si>
    <t>The transformers have been reviewed and there are a lot more than calculated at first</t>
  </si>
  <si>
    <t>14 years</t>
  </si>
  <si>
    <t xml:space="preserve">The rates for seeding is much lower than DMR rates on QS rates.  Dumps sizes have also reduced and technical plans assisted.  </t>
  </si>
  <si>
    <t xml:space="preserve">$        5 060 792.00 </t>
  </si>
  <si>
    <t>11 years</t>
  </si>
  <si>
    <t>Fy 2019 (Sept 2018 DMR rates)</t>
  </si>
  <si>
    <t>FY 2020 DMR rate (Nov 2019)</t>
  </si>
  <si>
    <t>%deviation FY 2020 and 2019 (DMR rates)</t>
  </si>
  <si>
    <t>Total financial Provision for Mine closure(Guard risk)</t>
  </si>
  <si>
    <t>Total Mine closure costs calc  (DMR rate) for Mine closure in FY 2020</t>
  </si>
  <si>
    <t>Total Mine closure costs calc  (QS  rate) for Mine closure in FY 2020</t>
  </si>
  <si>
    <t>Previous mine closure cost calc (2018) submitted (DMR rates)</t>
  </si>
  <si>
    <t>Q2 FY 2019</t>
  </si>
  <si>
    <t>Q2 FY 2020</t>
  </si>
  <si>
    <t>Minor non-conformances</t>
  </si>
  <si>
    <t>Major non-conformance</t>
  </si>
  <si>
    <t>Total Non-conformances</t>
  </si>
  <si>
    <t>Opportunities for improvement</t>
  </si>
  <si>
    <r>
      <t xml:space="preserve">Chartered plane for company use </t>
    </r>
    <r>
      <rPr>
        <sz val="11"/>
        <color rgb="FFFF0000"/>
        <rFont val="Calibri"/>
        <family val="2"/>
        <scheme val="minor"/>
      </rPr>
      <t>(ZS-LAW; ZS-ODU; ZS-TOB)</t>
    </r>
  </si>
  <si>
    <t>Emission factor</t>
  </si>
  <si>
    <t>Travel by private owned car-petrol</t>
  </si>
  <si>
    <t>Travel by private owned car - diesel</t>
  </si>
  <si>
    <t>kgCO2e/passenger.km</t>
  </si>
  <si>
    <t>kgCO2e/km</t>
  </si>
  <si>
    <t>GHG EMISSIONS-kg CO2-e</t>
  </si>
  <si>
    <t>Travel by private owned car-diesel</t>
  </si>
  <si>
    <t xml:space="preserve">Business travel: employee commute
DEFRA 2018 Business travel Land- emission factors: average car diesel 0.17753 kg CO2-e/km; average car petrol 0.18368 kg CO2-e/km; taxi 0.21482 kg CO2e/km; Bus average local 0.10097 </t>
  </si>
  <si>
    <r>
      <t xml:space="preserve">2. ESCOM grid emission factor 2019 = 1.04 kg CO₂e/ kWh (Emission factor 2 electricity generated)  as indicated in 2019 integrated report). Eskom Factor 2 figures are calculated based on total electricity </t>
    </r>
    <r>
      <rPr>
        <sz val="10"/>
        <color theme="1"/>
        <rFont val="Calibri"/>
        <family val="2"/>
        <scheme val="minor"/>
      </rPr>
      <t>generated(not only sold)</t>
    </r>
    <r>
      <rPr>
        <b/>
        <sz val="10"/>
        <color theme="1"/>
        <rFont val="Calibri"/>
        <family val="2"/>
        <scheme val="minor"/>
      </rPr>
      <t>, which includes coal, nuclear, pumped storage, wind, hydro and gas turbines, but excludes the total consumed by Eskom.</t>
    </r>
  </si>
  <si>
    <t>R-404 (GWP= 3922 kg CO2e)</t>
  </si>
  <si>
    <r>
      <rPr>
        <b/>
        <sz val="8"/>
        <color theme="1"/>
        <rFont val="Calibri"/>
        <family val="2"/>
        <scheme val="minor"/>
      </rPr>
      <t>PROCESS EMISSIONS</t>
    </r>
    <r>
      <rPr>
        <sz val="8"/>
        <color theme="1"/>
        <rFont val="Calibri"/>
        <family val="2"/>
        <scheme val="minor"/>
      </rPr>
      <t>: Water treatment (Domestic effluent)</t>
    </r>
  </si>
  <si>
    <t>Electrcity use values as per Monthly Energy Report (Neels)- FY 2020</t>
  </si>
  <si>
    <t>WDL  energy report</t>
  </si>
  <si>
    <t>WDL reported</t>
  </si>
  <si>
    <t>BR/LO Energy Report</t>
  </si>
  <si>
    <t>BR/LO reported</t>
  </si>
  <si>
    <t>Deviation %</t>
  </si>
  <si>
    <t>FDM  energy report (Eng)</t>
  </si>
  <si>
    <t>KDM  energy report (Eng)</t>
  </si>
  <si>
    <t>CDM  energy report(Eng)</t>
  </si>
  <si>
    <t>CDM reported(Env)</t>
  </si>
  <si>
    <t>FDM reported(Env)</t>
  </si>
  <si>
    <t>KDM reported(Env)</t>
  </si>
  <si>
    <t>PETRA  energy report (Eng) (CDM+FDM+KDM)</t>
  </si>
  <si>
    <t>PETRA reported(Env)
(CDM+FDM+KDM)</t>
  </si>
  <si>
    <t>% Deviation</t>
  </si>
  <si>
    <t xml:space="preserve">12. Business travel employee commute. It is assumed that 30% of cars ran on diesel and 70% on petrol and the values used are for average cars </t>
  </si>
  <si>
    <t>FY 2020 (1 Jul 2019 - 30 June 2020)</t>
  </si>
  <si>
    <t>13. Business travel: business flights (air lines)Distances usedin the km calculation were obtianed by Swift Flite, the company responsible for hte maintenance and refuelling of the comapny plane. Distances for the different destinations were supplied in either kilometers or nautical miles (multiplied by 1.852 to convert to km)</t>
  </si>
  <si>
    <t>3. TANESCO emission factor (2010) used for Tanzania grid electricity = 0.2421504 kg CO₂e/ kWh were updated in FY 202 to the to  The Institute for Global Environmental Strategies' (IGES) EF for registered CDM projects: combined grid emission factor = 0.529</t>
  </si>
  <si>
    <t>5. Total fuel for  Company plane  and chartered plane while company plane was grounded and  used in SA only had been divided by 4 to get operational contribution of South African operations and the PDSA (head office Bryanston).  More accurate information is not available. Chartered jet fuel use considered as sc 3 and Company jet fuel use as scope 1</t>
  </si>
  <si>
    <t>6. Reporting is done only on carbon dioxide; methane; dinitrogen oxide, as well as relevant fugitive HFC refrigerants like R-134A, R-410A, R507 aand R404A. The HCFC R-22 is reported separately and not under Sc 3 as per GHG Protocol accounting and reporting Standard requirement.</t>
  </si>
  <si>
    <t xml:space="preserve">8. Bryanson offices; Fuel was calculated  as follows: Quarterly petrol 93 and diesel 50ppm costs are reported  to data analysit  who converts it to liters using the monthly prices for petrol and diesel as obtained from AA  website:Automobile association https://www.aa.co.za/fuel-pricing. Refer to Data  sheet:HSEQ data FY 2020- Magda sheet
 </t>
  </si>
  <si>
    <t xml:space="preserve">9. London offices: Water and electricity use data reported to Data Analyst are estimates based on the ratio  Petra employees(one): total employees in the office building in London. The scope 2 GHG emissions are calculated using the DEFRA EF for UK electricity.(Note: London offices building used by 3 companies (20 people); 1 full time Petra employee: Assumption- Petra use 5% of office's total water and electricity use) 
</t>
  </si>
  <si>
    <t>11. Business travel by air: Use 2019 DEFRA emission factors (km source data)
Domestic- flights within SA; short haul- flights within Africa; long haul- flights between SA and any other place on eart outside SA; International- flights between destinations not in SA;
Use Emission factors with RF
Method: Flights booked on behalf of Petra are obtained in km or nautical miles and converted to km by  the Data Analyt( multiply by 1.852). Totla km are divided by 4 and  allocated it to each of the SA mines and the PDSA offices.   Similar for  Tanzanian flights.</t>
  </si>
  <si>
    <t>Scope 1:</t>
  </si>
  <si>
    <t>Group offices</t>
  </si>
  <si>
    <t>LPG use</t>
  </si>
  <si>
    <t>Diesel use: Generators</t>
  </si>
  <si>
    <t>Diesel use: vehicles</t>
  </si>
  <si>
    <t>Petrol use: vehicles</t>
  </si>
  <si>
    <t xml:space="preserve">Fugitive emissions </t>
  </si>
  <si>
    <t>Domestic water treatment</t>
  </si>
  <si>
    <t>Jet fuel- A1 use</t>
  </si>
  <si>
    <t>Graph 2: GHG emission (tCO2-e/ct)</t>
  </si>
  <si>
    <t>Graph 6: Scope 1 and scope 2 GHG emissions by operation (t CO2-e)</t>
  </si>
  <si>
    <t>Business travel : air (chartered jet)</t>
  </si>
  <si>
    <t>Business travel: car rentals</t>
  </si>
  <si>
    <t>Business travel : air (air lines)</t>
  </si>
  <si>
    <t>Waste disposal: landfill</t>
  </si>
  <si>
    <t>Scrap metal: recycling</t>
  </si>
  <si>
    <t>Potable water: pumping</t>
  </si>
  <si>
    <t xml:space="preserve">Graph 4: Scope 1 emissions for Petra Diamonds Limited </t>
  </si>
  <si>
    <t xml:space="preserve">Graph 5: Scope 3 emissions for Petra Diamonds Limited </t>
  </si>
  <si>
    <t>Graph 7: Total GHG emissions for Petra Diamonds Limited for the period: FY 2018 – FY 2020</t>
  </si>
  <si>
    <t>Graph 8: Intensity ratio GHG emissions for Petra Diamonds Limited for the period: FY 2018 – FY 2020</t>
  </si>
  <si>
    <t>tCO2e/ct</t>
  </si>
  <si>
    <t>tCO2e/t</t>
  </si>
  <si>
    <r>
      <rPr>
        <b/>
        <sz val="9"/>
        <color theme="1"/>
        <rFont val="Calibri"/>
        <family val="2"/>
        <scheme val="minor"/>
      </rPr>
      <t>Fuel Combustion</t>
    </r>
    <r>
      <rPr>
        <sz val="9"/>
        <color theme="1"/>
        <rFont val="Calibri"/>
        <family val="2"/>
        <scheme val="minor"/>
      </rPr>
      <t xml:space="preserve"> </t>
    </r>
    <r>
      <rPr>
        <b/>
        <sz val="9"/>
        <color theme="1"/>
        <rFont val="Calibri"/>
        <family val="2"/>
        <scheme val="minor"/>
      </rPr>
      <t xml:space="preserve">Civil aviation: </t>
    </r>
    <r>
      <rPr>
        <sz val="9"/>
        <color theme="1"/>
        <rFont val="Calibri"/>
        <family val="2"/>
        <scheme val="minor"/>
      </rPr>
      <t xml:space="preserve">Jet fuel combusted by company plane (Jet fuel A1 d= 0.79kg/l) </t>
    </r>
    <r>
      <rPr>
        <b/>
        <sz val="9"/>
        <color theme="1"/>
        <rFont val="Calibri"/>
        <family val="2"/>
        <scheme val="minor"/>
      </rPr>
      <t>(Mobile combustion)Passenger or diamond transport- above 100 000 l/year</t>
    </r>
  </si>
  <si>
    <r>
      <rPr>
        <b/>
        <sz val="9"/>
        <color theme="1"/>
        <rFont val="Calibri"/>
        <family val="2"/>
        <scheme val="minor"/>
      </rPr>
      <t>Fuel Combustion</t>
    </r>
    <r>
      <rPr>
        <sz val="9"/>
        <color theme="1"/>
        <rFont val="Calibri"/>
        <family val="2"/>
        <scheme val="minor"/>
      </rPr>
      <t xml:space="preserve"> </t>
    </r>
    <r>
      <rPr>
        <b/>
        <sz val="9"/>
        <color theme="1"/>
        <rFont val="Calibri"/>
        <family val="2"/>
        <scheme val="minor"/>
      </rPr>
      <t xml:space="preserve">Civil aviation: </t>
    </r>
    <r>
      <rPr>
        <sz val="9"/>
        <color theme="1"/>
        <rFont val="Calibri"/>
        <family val="2"/>
        <scheme val="minor"/>
      </rPr>
      <t>Jet fuel combusted by company plane</t>
    </r>
  </si>
  <si>
    <t>below threshold: 1.04 tons/day</t>
  </si>
  <si>
    <t>below threshold: 
297 937 l/day</t>
  </si>
  <si>
    <t>below threshold: 0.863t/day</t>
  </si>
  <si>
    <t>below threshold: 748 000 l/day</t>
  </si>
  <si>
    <t>N/A</t>
  </si>
  <si>
    <r>
      <rPr>
        <b/>
        <sz val="9"/>
        <color theme="1"/>
        <rFont val="Calibri"/>
        <family val="2"/>
        <scheme val="minor"/>
      </rPr>
      <t>Fuel Combustion</t>
    </r>
    <r>
      <rPr>
        <sz val="9"/>
        <color theme="1"/>
        <rFont val="Calibri"/>
        <family val="2"/>
        <scheme val="minor"/>
      </rPr>
      <t xml:space="preserve"> </t>
    </r>
    <r>
      <rPr>
        <b/>
        <sz val="9"/>
        <color theme="1"/>
        <rFont val="Calibri"/>
        <family val="2"/>
        <scheme val="minor"/>
      </rPr>
      <t xml:space="preserve">Civil aviation: </t>
    </r>
    <r>
      <rPr>
        <sz val="9"/>
        <color theme="1"/>
        <rFont val="Calibri"/>
        <family val="2"/>
        <scheme val="minor"/>
      </rPr>
      <t xml:space="preserve">Jet fuel combusted by company plane(Jet fuel A1 d= 0.79kg/l) </t>
    </r>
    <r>
      <rPr>
        <b/>
        <sz val="9"/>
        <color theme="1"/>
        <rFont val="Calibri"/>
        <family val="2"/>
        <scheme val="minor"/>
      </rPr>
      <t>(Mobile combustion)Passenger or diamond transport- above 100 000 l/year</t>
    </r>
  </si>
  <si>
    <t>Petra Diamonds</t>
  </si>
  <si>
    <t>E: Energy combustion emissions
S: Emissions sequestered by company as verified by DEA;
C: sum of allowable tax free thresholds related to combustion; 
D: diesel and petrol emissions;
M: Sum of allowable tax-free thresholds related to diesel and  petrol emissions
P: process emissions
J: sum of allowable tax three thresholds related to process emissions;
F: fugitive emissions
K: sum of allowable  tax-free thresholds related to fugitive emissions
R: tax rate</t>
  </si>
  <si>
    <r>
      <t xml:space="preserve">Trade exposure  = 25%
=0.4  x (1416571129.72/2278312517.86)
</t>
    </r>
    <r>
      <rPr>
        <b/>
        <sz val="14"/>
        <color theme="1"/>
        <rFont val="Calibri"/>
        <family val="2"/>
        <scheme val="minor"/>
      </rPr>
      <t xml:space="preserve">TAX free allowances valid for Petra mines: </t>
    </r>
    <r>
      <rPr>
        <b/>
        <sz val="9"/>
        <color theme="1"/>
        <rFont val="Calibri"/>
        <family val="2"/>
        <scheme val="minor"/>
      </rPr>
      <t xml:space="preserve">
basic = 60% 
Trade exposure allowance (max 10%):
 0.4 x (revenue from exported good/ revenue from all goods)
Above average performance (max 5%):
Z-factor = (GHG intensity benchmark for sector/GHG emission intensity of taxpayer - 1) x 100 
Carbon offset and carbon budget allowances = 0%</t>
    </r>
  </si>
  <si>
    <t>SAGERS on-line submission data required (CALENDAR YEAR 2019= Q3+Q4 (2019)+Q1+22 (2020)</t>
  </si>
  <si>
    <t xml:space="preserve"> fuel used (l)</t>
  </si>
  <si>
    <t>fuel used (tons)</t>
  </si>
  <si>
    <t>Fuel used (TJ)</t>
  </si>
  <si>
    <t>tons CO2</t>
  </si>
  <si>
    <t>tons CH4</t>
  </si>
  <si>
    <t>tons N2O</t>
  </si>
  <si>
    <r>
      <rPr>
        <b/>
        <sz val="11"/>
        <color theme="1"/>
        <rFont val="Calibri"/>
        <family val="2"/>
        <scheme val="minor"/>
      </rPr>
      <t>Petra diamonds</t>
    </r>
    <r>
      <rPr>
        <sz val="11"/>
        <color theme="1"/>
        <rFont val="Calibri"/>
        <family val="2"/>
        <scheme val="minor"/>
      </rPr>
      <t>: Aviation fuel ( jet fuel-A1); NCV=  37.5MJ/l; density=0.79kg/l</t>
    </r>
  </si>
  <si>
    <t>calendar year 2018</t>
  </si>
  <si>
    <t>calendar year 2019</t>
  </si>
  <si>
    <t>tCO2</t>
  </si>
  <si>
    <t>tCH4</t>
  </si>
  <si>
    <t>tN2O</t>
  </si>
  <si>
    <t>tC02-e</t>
  </si>
  <si>
    <t>Fuel combustion: Mining and Quarrying: (Stationary combustion-diesel)</t>
  </si>
  <si>
    <r>
      <rPr>
        <b/>
        <sz val="8"/>
        <color theme="1"/>
        <rFont val="Calibri"/>
        <family val="2"/>
        <scheme val="minor"/>
      </rPr>
      <t>Fuel combustion: Mining and Quarrying -</t>
    </r>
    <r>
      <rPr>
        <sz val="8"/>
        <color theme="1"/>
        <rFont val="Calibri"/>
        <family val="2"/>
        <scheme val="minor"/>
      </rPr>
      <t xml:space="preserve">LPG  </t>
    </r>
    <r>
      <rPr>
        <b/>
        <sz val="8"/>
        <color theme="1"/>
        <rFont val="Calibri"/>
        <family val="2"/>
        <scheme val="minor"/>
      </rPr>
      <t>(Stationary combustion -use for heating purposes)</t>
    </r>
  </si>
  <si>
    <r>
      <rPr>
        <b/>
        <sz val="8"/>
        <color theme="1"/>
        <rFont val="Calibri"/>
        <family val="2"/>
        <scheme val="minor"/>
      </rPr>
      <t>Fuel Combustion</t>
    </r>
    <r>
      <rPr>
        <sz val="8"/>
        <color theme="1"/>
        <rFont val="Calibri"/>
        <family val="2"/>
        <scheme val="minor"/>
      </rPr>
      <t xml:space="preserve"> </t>
    </r>
    <r>
      <rPr>
        <b/>
        <sz val="8"/>
        <color theme="1"/>
        <rFont val="Calibri"/>
        <family val="2"/>
        <scheme val="minor"/>
      </rPr>
      <t xml:space="preserve">Civil aviation: </t>
    </r>
    <r>
      <rPr>
        <sz val="8"/>
        <color theme="1"/>
        <rFont val="Calibri"/>
        <family val="2"/>
        <scheme val="minor"/>
      </rPr>
      <t xml:space="preserve">Jet fuel combusted by company plane  </t>
    </r>
    <r>
      <rPr>
        <b/>
        <sz val="8"/>
        <color theme="1"/>
        <rFont val="Calibri"/>
        <family val="2"/>
        <scheme val="minor"/>
      </rPr>
      <t>(Mobile combustion)Passenger or diamond transport- above 100 000 l/year</t>
    </r>
  </si>
  <si>
    <r>
      <rPr>
        <b/>
        <sz val="8"/>
        <color theme="1"/>
        <rFont val="Calibri"/>
        <family val="2"/>
        <scheme val="minor"/>
      </rPr>
      <t>Waste: Solid waste disposal- Managed Waste disposal sites</t>
    </r>
    <r>
      <rPr>
        <sz val="8"/>
        <color theme="1"/>
        <rFont val="Calibri"/>
        <family val="2"/>
        <scheme val="minor"/>
      </rPr>
      <t xml:space="preserve">  (Solid waste disposal in company owned landfill sites threshold =  5t/day</t>
    </r>
  </si>
  <si>
    <r>
      <rPr>
        <b/>
        <sz val="8"/>
        <color theme="1"/>
        <rFont val="Calibri"/>
        <family val="2"/>
        <scheme val="minor"/>
      </rPr>
      <t>Wastewater treatment and discharge: Domestic waster</t>
    </r>
    <r>
      <rPr>
        <sz val="8"/>
        <color theme="1"/>
        <rFont val="Calibri"/>
        <family val="2"/>
        <scheme val="minor"/>
      </rPr>
      <t xml:space="preserve"> (at WWTW that Petra has operational control over). </t>
    </r>
    <r>
      <rPr>
        <b/>
        <sz val="8"/>
        <color theme="1"/>
        <rFont val="Calibri"/>
        <family val="2"/>
        <scheme val="minor"/>
      </rPr>
      <t>Threshold =  2 million litres/day</t>
    </r>
  </si>
  <si>
    <r>
      <rPr>
        <b/>
        <sz val="8"/>
        <color theme="1"/>
        <rFont val="Calibri"/>
        <family val="2"/>
        <scheme val="minor"/>
      </rPr>
      <t>Wastewater treatment and discharge: Industrial waste water treatment and discharge</t>
    </r>
    <r>
      <rPr>
        <sz val="8"/>
        <color theme="1"/>
        <rFont val="Calibri"/>
        <family val="2"/>
        <scheme val="minor"/>
      </rPr>
      <t xml:space="preserve"> . </t>
    </r>
    <r>
      <rPr>
        <b/>
        <sz val="8"/>
        <color theme="1"/>
        <rFont val="Calibri"/>
        <family val="2"/>
        <scheme val="minor"/>
      </rPr>
      <t>Threshold = 1000 cub m/day - N/A to Petra</t>
    </r>
  </si>
  <si>
    <t>totals</t>
  </si>
  <si>
    <t>Graph 3: GHG inventory boundaries (Operational)</t>
  </si>
  <si>
    <t>Graph 1: GHG inventory boundaries (Organisational)</t>
  </si>
  <si>
    <t>Q3 FY 2020</t>
  </si>
  <si>
    <t>Q3 FY 2019</t>
  </si>
  <si>
    <t>Q4 FY 2019</t>
  </si>
  <si>
    <t>Q4 FY 2020</t>
  </si>
  <si>
    <t>%waste recycled</t>
  </si>
  <si>
    <t>Note 1:  Applicable to SA operations and PDSA</t>
  </si>
  <si>
    <t>Note 2:  Applicable to WDL (Tanzania)</t>
  </si>
  <si>
    <t>Domestic- within Tanzania</t>
  </si>
  <si>
    <t>LH: TZ to other continent</t>
  </si>
  <si>
    <t>Tanzania distances:</t>
  </si>
  <si>
    <t>Dar es Salaam-Mwanza</t>
  </si>
  <si>
    <t>Kilimanjaro(JRO)-Mwanza</t>
  </si>
  <si>
    <t>Kilimanjaro(JRO)-Dar es Salaam</t>
  </si>
  <si>
    <t>Dar es Salaam-Dodoma (DOD)</t>
  </si>
  <si>
    <t>Dar es salaam- Nairobi( NBO)</t>
  </si>
  <si>
    <t>Nairobi -Johannesburg</t>
  </si>
  <si>
    <t>JIA (Julius Nyerere -dar)</t>
  </si>
  <si>
    <t>MWD Mwadui</t>
  </si>
  <si>
    <t>DAR Dar es Salaam</t>
  </si>
  <si>
    <t>MWZ Mwansa</t>
  </si>
  <si>
    <t>Johannesburg JNB</t>
  </si>
  <si>
    <t>https://www.greatcirclemapper.net/en/great-circle-mapper.html?route=HTDA-HKJK&amp;aircraft=&amp;speed=</t>
  </si>
  <si>
    <t xml:space="preserve">Graph 14: Carbon footprints in tCO2e per operation </t>
  </si>
  <si>
    <t>Q3 Carbon footprints in t cO2-e/ct Fy 2018-2020</t>
  </si>
  <si>
    <t>tcO2-e/ct 2020 Q3 YTD</t>
  </si>
  <si>
    <t>% change in Total Financial Provision Costs as compared to FY 2019</t>
  </si>
  <si>
    <t>diesel</t>
  </si>
  <si>
    <t>petrol</t>
  </si>
  <si>
    <t>Fuel consumed and cost of carbon levy for 1 June 2019 to 31 dec 2019 - reported in 2019 CDP</t>
  </si>
  <si>
    <t>total R</t>
  </si>
  <si>
    <t>total USD</t>
  </si>
  <si>
    <t>on 14 March 880 km was added as the amount paid had a small deviation form the amount paid for the 880l of 8 march</t>
  </si>
  <si>
    <t>Long Haul and INTERNATIONAL</t>
  </si>
  <si>
    <t>Long haul and INTERNATIONAL</t>
  </si>
  <si>
    <t>Amsterdam -Jersey</t>
  </si>
  <si>
    <t>London-Brussels</t>
  </si>
  <si>
    <t>United arab emirates - Johannesburg</t>
  </si>
  <si>
    <t xml:space="preserve">LHR London Heathrow </t>
  </si>
  <si>
    <t>DXB Dubai</t>
  </si>
  <si>
    <t>OMDB</t>
  </si>
  <si>
    <t>AMS schippol Amsteram</t>
  </si>
  <si>
    <t>Dar es salaam-Zanzibar</t>
  </si>
  <si>
    <t>ZNZ zanzibar</t>
  </si>
  <si>
    <t>SR</t>
  </si>
  <si>
    <t>april values</t>
  </si>
  <si>
    <t>TOTAL SAR</t>
  </si>
  <si>
    <t>TOTAL SA in USD</t>
  </si>
  <si>
    <t>williamson uSD</t>
  </si>
  <si>
    <t>TOTAL USD</t>
  </si>
  <si>
    <t>April values</t>
  </si>
  <si>
    <t>2019 audited</t>
  </si>
  <si>
    <t>% change 2019/2020</t>
  </si>
  <si>
    <r>
      <t>note: 1 GJ = 10</t>
    </r>
    <r>
      <rPr>
        <vertAlign val="superscript"/>
        <sz val="11"/>
        <color theme="1"/>
        <rFont val="Calibri"/>
        <family val="2"/>
        <scheme val="minor"/>
      </rPr>
      <t>9</t>
    </r>
    <r>
      <rPr>
        <sz val="11"/>
        <color theme="1"/>
        <rFont val="Calibri"/>
        <family val="2"/>
        <scheme val="minor"/>
      </rPr>
      <t xml:space="preserve"> J</t>
    </r>
  </si>
  <si>
    <t>Energy use in Joules per operation FY 2020 (Conversion from use units to J)</t>
  </si>
  <si>
    <t>FY 2019 audited</t>
  </si>
  <si>
    <t xml:space="preserve">Fluorescent Tubes </t>
  </si>
  <si>
    <t>PDSA &amp; Marketing - FY2020</t>
  </si>
  <si>
    <t>TOTAL:Q1</t>
  </si>
  <si>
    <t xml:space="preserve">nov </t>
  </si>
  <si>
    <t>Total Q2</t>
  </si>
  <si>
    <t>Total Q3</t>
  </si>
  <si>
    <t>april</t>
  </si>
  <si>
    <t>Electricity Used - kWh</t>
  </si>
  <si>
    <t>Potable Water Used - kL</t>
  </si>
  <si>
    <t>Petrol used - ZAR</t>
  </si>
  <si>
    <t>Diesel used - ZAR</t>
  </si>
  <si>
    <t>Petrol used - litres</t>
  </si>
  <si>
    <t>Diesel used - litres</t>
  </si>
  <si>
    <t>jul</t>
  </si>
  <si>
    <t>AA petrol price/l (unleaded 93)</t>
  </si>
  <si>
    <t>AA diesel price/l (50 ppm)</t>
  </si>
  <si>
    <t>Paper Purchased - A4 - Reams</t>
  </si>
  <si>
    <t>Paper Purchased - A3 - Reams</t>
  </si>
  <si>
    <t>Mass of paper purhased (kg)</t>
  </si>
  <si>
    <t>Google Site for fuel prices: AA fuel pricing/Automobile Association of South Africa (aa.co.za/fuel-pricing)</t>
  </si>
  <si>
    <t>FY 2020 - April: 11 months</t>
  </si>
  <si>
    <r>
      <t>KPI value: Total water use on mine in  m</t>
    </r>
    <r>
      <rPr>
        <b/>
        <vertAlign val="superscript"/>
        <sz val="8"/>
        <color theme="3" tint="-0.249977111117893"/>
        <rFont val="Calibri"/>
        <family val="2"/>
        <scheme val="minor"/>
      </rPr>
      <t>3</t>
    </r>
    <r>
      <rPr>
        <b/>
        <sz val="8"/>
        <color theme="3" tint="-0.249977111117893"/>
        <rFont val="Calibri"/>
        <family val="2"/>
        <scheme val="minor"/>
      </rPr>
      <t>/ tonne treated FY 2019 -1%</t>
    </r>
  </si>
  <si>
    <t>BR/LO</t>
  </si>
  <si>
    <t>Total water use per production</t>
  </si>
  <si>
    <t>Petra  Group</t>
  </si>
  <si>
    <t>Petra excl Apr</t>
  </si>
  <si>
    <t>Petra Apr</t>
  </si>
  <si>
    <t>APRIL</t>
  </si>
  <si>
    <t>FY 2020  EXCLUDING APRIL</t>
  </si>
  <si>
    <t>12 months</t>
  </si>
  <si>
    <t>11 months</t>
  </si>
  <si>
    <t>l</t>
  </si>
  <si>
    <t xml:space="preserve">% Reduction in total tonnage of waste disposed to landfill as compared to KPI value  </t>
  </si>
  <si>
    <t>Total electrcity use</t>
  </si>
  <si>
    <t>tonnes april</t>
  </si>
  <si>
    <r>
      <t xml:space="preserve"> Total water use on mine in  m</t>
    </r>
    <r>
      <rPr>
        <b/>
        <vertAlign val="superscript"/>
        <sz val="8"/>
        <color theme="3" tint="-0.249977111117893"/>
        <rFont val="Calibri"/>
        <family val="2"/>
        <scheme val="minor"/>
      </rPr>
      <t>3</t>
    </r>
    <r>
      <rPr>
        <b/>
        <sz val="8"/>
        <color theme="3" tint="-0.249977111117893"/>
        <rFont val="Calibri"/>
        <family val="2"/>
        <scheme val="minor"/>
      </rPr>
      <t xml:space="preserve">/ tonne treated FY 2019 </t>
    </r>
  </si>
  <si>
    <t>Percentage change in Total water use on mine per tonne treated as compared to FY 2019</t>
  </si>
  <si>
    <t xml:space="preserve">Percentage recycled water FY 2019 </t>
  </si>
  <si>
    <t xml:space="preserve"> Change in percentage recycled/re-used water as compared to FY 2019</t>
  </si>
  <si>
    <t xml:space="preserve">Diesel for vehicles (TMM)  per ton treated FY 2019 </t>
  </si>
  <si>
    <t xml:space="preserve"> Electricity use per tonne treated FY 2019 </t>
  </si>
  <si>
    <t>Total waste to landfill in FY 2019</t>
  </si>
  <si>
    <t>Change in percentage total electricity use on mine as compared to FY 2019</t>
  </si>
  <si>
    <t xml:space="preserve">% Reduction in total tonnage of waste disposed to landfill as compared toFY 2019  </t>
  </si>
  <si>
    <t>Percentage change in diesel use (TMM) as compared to FY 2019</t>
  </si>
  <si>
    <t>KPI Comparison  with and without April 2020 against FY 2019 audited values</t>
  </si>
  <si>
    <t>Water use</t>
  </si>
  <si>
    <t>Production</t>
  </si>
  <si>
    <t>FY 2020-not audited</t>
  </si>
  <si>
    <t>Performance and targets</t>
  </si>
  <si>
    <t>FY 2019 audited (WDL water restated)</t>
  </si>
  <si>
    <t>FY 2020-not audited (12 months)</t>
  </si>
  <si>
    <t>FY 2017 9WDL restated)</t>
  </si>
  <si>
    <t xml:space="preserve">FY 2018 </t>
  </si>
  <si>
    <t>Underground dewatering (Not used in circuits)</t>
  </si>
  <si>
    <t>Underground dewatering (used in circuits)</t>
  </si>
  <si>
    <t>Dewatering per production - in circuit</t>
  </si>
  <si>
    <t>fdm</t>
  </si>
  <si>
    <t>cdm</t>
  </si>
  <si>
    <t>kdm</t>
  </si>
  <si>
    <t>wdl</t>
  </si>
  <si>
    <t>petra</t>
  </si>
  <si>
    <t>new water per production</t>
  </si>
  <si>
    <t>raw water per production</t>
  </si>
  <si>
    <t>FY 2018 restated (Kem out)</t>
  </si>
  <si>
    <t>consumptive water per tonne treated</t>
  </si>
  <si>
    <t>% change FY 2019 audited and FY 2020 unaudited</t>
  </si>
  <si>
    <r>
      <t>tCO</t>
    </r>
    <r>
      <rPr>
        <vertAlign val="subscript"/>
        <sz val="10"/>
        <color theme="1"/>
        <rFont val="Calibri"/>
        <family val="2"/>
        <scheme val="minor"/>
      </rPr>
      <t>2</t>
    </r>
    <r>
      <rPr>
        <sz val="10"/>
        <color theme="1"/>
        <rFont val="Calibri"/>
        <family val="2"/>
        <scheme val="minor"/>
      </rPr>
      <t>-e</t>
    </r>
  </si>
  <si>
    <t>revenue USD</t>
  </si>
  <si>
    <r>
      <t>tCO</t>
    </r>
    <r>
      <rPr>
        <vertAlign val="subscript"/>
        <sz val="10"/>
        <rFont val="Calibri"/>
        <family val="2"/>
        <scheme val="minor"/>
      </rPr>
      <t>2-e</t>
    </r>
  </si>
  <si>
    <r>
      <t>Total tCO</t>
    </r>
    <r>
      <rPr>
        <vertAlign val="subscript"/>
        <sz val="9"/>
        <rFont val="Calibri"/>
        <family val="2"/>
        <scheme val="minor"/>
      </rPr>
      <t>2-e(SCOPE 1, 2 AND 3)</t>
    </r>
  </si>
  <si>
    <r>
      <t>tCO</t>
    </r>
    <r>
      <rPr>
        <vertAlign val="subscript"/>
        <sz val="9"/>
        <rFont val="Calibri"/>
        <family val="2"/>
        <scheme val="minor"/>
      </rPr>
      <t>2</t>
    </r>
    <r>
      <rPr>
        <sz val="9"/>
        <rFont val="Calibri"/>
        <family val="2"/>
        <scheme val="minor"/>
      </rPr>
      <t>-e</t>
    </r>
  </si>
  <si>
    <r>
      <t>tCO</t>
    </r>
    <r>
      <rPr>
        <vertAlign val="subscript"/>
        <sz val="9"/>
        <rFont val="Calibri"/>
        <family val="2"/>
        <scheme val="minor"/>
      </rPr>
      <t>2</t>
    </r>
    <r>
      <rPr>
        <sz val="9"/>
        <rFont val="Calibri"/>
        <family val="2"/>
        <scheme val="minor"/>
      </rPr>
      <t>-e/ct</t>
    </r>
  </si>
  <si>
    <r>
      <t>tCO</t>
    </r>
    <r>
      <rPr>
        <vertAlign val="subscript"/>
        <sz val="9"/>
        <rFont val="Calibri"/>
        <family val="2"/>
        <scheme val="minor"/>
      </rPr>
      <t>2</t>
    </r>
    <r>
      <rPr>
        <sz val="9"/>
        <rFont val="Calibri"/>
        <family val="2"/>
        <scheme val="minor"/>
      </rPr>
      <t>-e/t</t>
    </r>
  </si>
  <si>
    <r>
      <t>tCO</t>
    </r>
    <r>
      <rPr>
        <vertAlign val="subscript"/>
        <sz val="9"/>
        <rFont val="Calibri"/>
        <family val="2"/>
        <scheme val="minor"/>
      </rPr>
      <t>2</t>
    </r>
    <r>
      <rPr>
        <sz val="9"/>
        <rFont val="Calibri"/>
        <family val="2"/>
        <scheme val="minor"/>
      </rPr>
      <t>-e/USD</t>
    </r>
  </si>
  <si>
    <r>
      <t>Total tCO</t>
    </r>
    <r>
      <rPr>
        <vertAlign val="subscript"/>
        <sz val="9"/>
        <rFont val="Calibri"/>
        <family val="2"/>
        <scheme val="minor"/>
      </rPr>
      <t>2-e(SCOPE 1 AND 2)</t>
    </r>
  </si>
  <si>
    <t>2020 unaudited</t>
  </si>
  <si>
    <t>2017 audited (KEM in)</t>
  </si>
  <si>
    <t>Carbon footprint Petra FY 2016-FY 2020</t>
  </si>
  <si>
    <t>Carbon footprint Petra OPERATIONS FY 2020</t>
  </si>
  <si>
    <t>PDSA</t>
  </si>
  <si>
    <t>Intensity tCO2-e/USD</t>
  </si>
  <si>
    <t>note: FY 2020- THE COMPANY PLANE FOOTPRINT( t CO2-e) has been divided equally by 4 and added to the SA operations and PDSA office's scope 1; Charterred plane was added to SA operations and PDSA office's scope 3. FY 2019-company and chartered plane GHG emissions divided by 3, PDSA excl.</t>
  </si>
  <si>
    <t>2016 audited )</t>
  </si>
  <si>
    <t>2018 audited (KEM in)</t>
  </si>
  <si>
    <t>WDL "care and Maintenance" from may 2020</t>
  </si>
  <si>
    <t>SA lock down- no car rentals Apr-June</t>
  </si>
  <si>
    <t>Carbon footprint Petra OPERATIONS FY 2019</t>
  </si>
  <si>
    <t>Comparison of KPI performance  against KPI values -with and without April 2020</t>
  </si>
  <si>
    <t>% change Sc 1+ Sc2,  
 fy 2020/2019</t>
  </si>
  <si>
    <t>% change Sc 1 +Sc 2 + Sc 3 
FY 2020/2019</t>
  </si>
  <si>
    <t>% change Sc 1</t>
  </si>
  <si>
    <t>% change Sc 2</t>
  </si>
  <si>
    <t>% change Sc 3</t>
  </si>
  <si>
    <t>Diesel use in joule (cal value: 38.1MJ/l)</t>
  </si>
  <si>
    <t>Petrol use in joule (cal value :34.2MJ/l)</t>
  </si>
  <si>
    <t>Jet fuel use in joule (cal value: 37.5 MJ/l)</t>
  </si>
  <si>
    <t>Energy use in Joules :PETRA FY 2016-2020 (Conversion from use units to J)</t>
  </si>
  <si>
    <t>2016 audited</t>
  </si>
  <si>
    <t>Joule</t>
  </si>
  <si>
    <t>kg--&gt;liter</t>
  </si>
  <si>
    <t xml:space="preserve">Waste </t>
  </si>
  <si>
    <t>excl April</t>
  </si>
  <si>
    <t>Total  recycled waste</t>
  </si>
  <si>
    <t>Domestic landfill</t>
  </si>
  <si>
    <t>Hazardous landfill</t>
  </si>
  <si>
    <t>% recycled waste</t>
  </si>
  <si>
    <t>% change FY 2020/Fy 2019</t>
  </si>
  <si>
    <t>mine wast fines</t>
  </si>
  <si>
    <t>Mine waste coarse</t>
  </si>
  <si>
    <t xml:space="preserve">% change FY 2020 excl april/Fy 2019 </t>
  </si>
  <si>
    <t>PETRA WASTE</t>
  </si>
  <si>
    <t>OPERATIONS WASTE</t>
  </si>
  <si>
    <t>Total waste costs(ZAR/TZS)</t>
  </si>
  <si>
    <t>Total waste costs USD</t>
  </si>
  <si>
    <t>Haz waste costs (ZAR/TZS)</t>
  </si>
  <si>
    <t>Domestic waste costs(ZAR/TZS)</t>
  </si>
  <si>
    <t>Haz waste costs (USD)</t>
  </si>
  <si>
    <t>Domestic waste costs (USD)</t>
  </si>
  <si>
    <t>EXCHANGE RATES (Average FY 2020)</t>
  </si>
  <si>
    <t xml:space="preserve">average TZS/$USD </t>
  </si>
  <si>
    <t>average ZAR/US$</t>
  </si>
  <si>
    <t>Company jet</t>
  </si>
  <si>
    <t>PETRA carbon footprint of business travel (t CO2-e)</t>
  </si>
  <si>
    <t>Chartered jet</t>
  </si>
  <si>
    <t>air lines</t>
  </si>
  <si>
    <t>Car rental</t>
  </si>
  <si>
    <t>FY 2020 WATER CONSUMPTION BY SOURCE</t>
  </si>
  <si>
    <t>Assumptions for water sources: 1. raw water = surface water
2. CDM surface water: river
3. FDM, wDL, KDM surface water: Lakes and dams</t>
  </si>
  <si>
    <t>fy 2020</t>
  </si>
  <si>
    <t>fy 2019</t>
  </si>
  <si>
    <t>IN 2020 THAT REQUIRES REHAB?</t>
  </si>
  <si>
    <t>% protected</t>
  </si>
  <si>
    <t>Cash costs of production</t>
  </si>
  <si>
    <t>FY 2019: Group</t>
  </si>
  <si>
    <t>Electrcicity costs</t>
  </si>
  <si>
    <t>WDL (USD)</t>
  </si>
  <si>
    <t>GROUP(USD)</t>
  </si>
  <si>
    <t>ZAR/USDUSD</t>
  </si>
  <si>
    <t>ZAR/USD</t>
  </si>
  <si>
    <t>change</t>
  </si>
  <si>
    <t>2020/2019 change</t>
  </si>
  <si>
    <t>Total fuel in liters</t>
  </si>
  <si>
    <t>Petra FY 2020</t>
  </si>
  <si>
    <t>Petra FY 2019</t>
  </si>
  <si>
    <t>% of total GHG emmissions</t>
  </si>
  <si>
    <t>Electricity use in kWh</t>
  </si>
  <si>
    <t>% change</t>
  </si>
  <si>
    <t>Total water use aligned (2019 total minus recycling)per production</t>
  </si>
  <si>
    <t>A. Total electrcicity use FY 2020 NOT AUDITED as compared to FY 2019</t>
  </si>
  <si>
    <t>Rain water (mm)</t>
  </si>
  <si>
    <r>
      <t>Surface water m</t>
    </r>
    <r>
      <rPr>
        <vertAlign val="superscript"/>
        <sz val="8"/>
        <color theme="1"/>
        <rFont val="Arial"/>
        <family val="2"/>
      </rPr>
      <t>3</t>
    </r>
  </si>
  <si>
    <t>ground water  m3</t>
  </si>
  <si>
    <t>Recycled water  m3</t>
  </si>
  <si>
    <t>Total water  m3</t>
  </si>
  <si>
    <t>New water  m3</t>
  </si>
  <si>
    <t>baseline 2018=0.192 tCO2-e/ct</t>
  </si>
  <si>
    <t>baseline 2016 = 0.2024 tCO2-e/ct</t>
  </si>
  <si>
    <t>New IGES EF(registered CDM projects: 0.519</t>
  </si>
  <si>
    <t>Fy 2013</t>
  </si>
  <si>
    <t>tCO2/ct</t>
  </si>
  <si>
    <t>Fy 2020</t>
  </si>
  <si>
    <t>Sc 1+Sc2</t>
  </si>
  <si>
    <t>% change over 7 years</t>
  </si>
  <si>
    <t>Fy 2015</t>
  </si>
  <si>
    <t>% change over 5 years</t>
  </si>
  <si>
    <t>% consumption by source:</t>
  </si>
  <si>
    <t>% consumption by source: KEM in</t>
  </si>
  <si>
    <t>waste water KEM)</t>
  </si>
  <si>
    <t>FY 2018 WATER CONSUMPTION BY SOURCE KEM in, WDL restated</t>
  </si>
  <si>
    <t>Total water  recycling incl</t>
  </si>
  <si>
    <r>
      <t xml:space="preserve">Draft calc (DMR Rate 2019) </t>
    </r>
    <r>
      <rPr>
        <b/>
        <sz val="10"/>
        <color theme="1"/>
        <rFont val="Calibri"/>
        <family val="2"/>
        <scheme val="minor"/>
      </rPr>
      <t xml:space="preserve">USD </t>
    </r>
    <r>
      <rPr>
        <sz val="8"/>
        <color theme="1"/>
        <rFont val="Calibri"/>
        <family val="2"/>
        <scheme val="minor"/>
      </rPr>
      <t xml:space="preserve"> (R15.548/usd)</t>
    </r>
  </si>
  <si>
    <t>LOndon</t>
  </si>
  <si>
    <t>Bryanston</t>
  </si>
  <si>
    <t>test</t>
  </si>
  <si>
    <t>PETRA 2020</t>
  </si>
  <si>
    <t>Petra 2019</t>
  </si>
  <si>
    <t>annual 2020</t>
  </si>
  <si>
    <t>2 184  718</t>
  </si>
  <si>
    <t>Annual 2020</t>
  </si>
  <si>
    <t>nnual 2020</t>
  </si>
  <si>
    <t>Business waste</t>
  </si>
  <si>
    <t>Recycled waste</t>
  </si>
  <si>
    <t>Total waste</t>
  </si>
  <si>
    <t>Waste recycled</t>
  </si>
  <si>
    <t>Waste streams as percentage of total waste generated</t>
  </si>
  <si>
    <t>Total waste generated in Tonnes: FY 2020 YTD</t>
  </si>
  <si>
    <t>Intensity tCO2-e/ct (SCOPE 1,2, 3)</t>
  </si>
  <si>
    <t>Intensity tCO2-e/t (SCOPE 1, 2, 3)</t>
  </si>
  <si>
    <t>FY 2019 FeSi per tonne treated</t>
  </si>
  <si>
    <t>Sc 1+Sc 2</t>
  </si>
  <si>
    <t>Sc 1+Sc2+Sc3</t>
  </si>
  <si>
    <t>Anja's figures confirmed Q3</t>
  </si>
  <si>
    <t>CDM Number of monitoring sites indicating non-conformances to monitoring standards</t>
  </si>
  <si>
    <t>FDM Number of monitoring sites indicating non-conformances to monitoring standards</t>
  </si>
  <si>
    <t>FY2020</t>
  </si>
  <si>
    <r>
      <t>Tech Guidelines GHG reporting: Annex D (SA cal values: tier 1= 37.5 MJ/l)and Annex A (IPCC default EF: tier 1 = 70 000kg CO</t>
    </r>
    <r>
      <rPr>
        <vertAlign val="subscript"/>
        <sz val="10"/>
        <color theme="1"/>
        <rFont val="Calibri"/>
        <family val="2"/>
        <scheme val="minor"/>
      </rPr>
      <t>2</t>
    </r>
    <r>
      <rPr>
        <sz val="10"/>
        <color theme="1"/>
        <rFont val="Calibri"/>
        <family val="2"/>
        <scheme val="minor"/>
      </rPr>
      <t>/TJ)</t>
    </r>
  </si>
  <si>
    <t xml:space="preserve"> Eskom 2021/22 approved tariff  116.72c/kWh </t>
  </si>
  <si>
    <t>Court  : increase to 128.24c/kWh</t>
  </si>
  <si>
    <r>
      <t>FY 2020 Total GHG emissions (Sc 1+ Sc 2) in tCO</t>
    </r>
    <r>
      <rPr>
        <vertAlign val="subscript"/>
        <sz val="11"/>
        <color theme="1"/>
        <rFont val="Calibri"/>
        <family val="2"/>
        <scheme val="minor"/>
      </rPr>
      <t>2</t>
    </r>
    <r>
      <rPr>
        <sz val="11"/>
        <color theme="1"/>
        <rFont val="Calibri"/>
        <family val="2"/>
        <scheme val="minor"/>
      </rPr>
      <t>e/tonne treated</t>
    </r>
  </si>
  <si>
    <t>HEAD OFFICE</t>
  </si>
  <si>
    <r>
      <t>FY 2020 Total GHG emissions (Sc 1+ Sc 2 + Sc 3) in tCO</t>
    </r>
    <r>
      <rPr>
        <vertAlign val="subscript"/>
        <sz val="11"/>
        <color theme="1"/>
        <rFont val="Calibri"/>
        <family val="2"/>
        <scheme val="minor"/>
      </rPr>
      <t>2</t>
    </r>
    <r>
      <rPr>
        <sz val="11"/>
        <color theme="1"/>
        <rFont val="Calibri"/>
        <family val="2"/>
        <scheme val="minor"/>
      </rPr>
      <t>e/tonne treated</t>
    </r>
  </si>
  <si>
    <t>Williamson¹</t>
  </si>
  <si>
    <t>Total workforce</t>
  </si>
  <si>
    <t xml:space="preserve">Employees </t>
  </si>
  <si>
    <t xml:space="preserve">Contractors </t>
  </si>
  <si>
    <t xml:space="preserve">After a company has determined its organizational boundaries in terms of the operations that it owns or controls, it then sets its operational boundaries. This involves identifying emissions associated with its operations, categorizing them as direct and indirect emissions, and choosing the scope of accounting and reporting for indirect emissions. This involves identifying emissions associated with its operations,
categorizing them as direct and indirect emissions, and choosing the scope of accounting and reporting for indirect emissions. </t>
  </si>
  <si>
    <r>
      <t>Intensity tCO2-e/ct (</t>
    </r>
    <r>
      <rPr>
        <sz val="8"/>
        <rFont val="Calibri"/>
        <family val="2"/>
        <scheme val="minor"/>
      </rPr>
      <t>SCOPE 1,2 AND 3)</t>
    </r>
  </si>
  <si>
    <r>
      <t>Intensity tCO2-e/t</t>
    </r>
    <r>
      <rPr>
        <sz val="8"/>
        <rFont val="Calibri"/>
        <family val="2"/>
        <scheme val="minor"/>
      </rPr>
      <t xml:space="preserve"> (SCOPE 1, 2 AND 3)</t>
    </r>
  </si>
  <si>
    <r>
      <t xml:space="preserve">Intensity tCO2-e/US$ </t>
    </r>
    <r>
      <rPr>
        <sz val="8"/>
        <rFont val="Calibri"/>
        <family val="2"/>
        <scheme val="minor"/>
      </rPr>
      <t>(SCOPE 1,2 AND 3)</t>
    </r>
  </si>
  <si>
    <t>WDL Scope 2</t>
  </si>
  <si>
    <t>%change</t>
  </si>
  <si>
    <t>tCO2-e/USD</t>
  </si>
  <si>
    <t>Intensity tCO2-e/million US$ (SCOPE 1,2 AND 3)</t>
  </si>
  <si>
    <t>Intensity tCO2-e/USD(Scope 1 + 2)</t>
  </si>
  <si>
    <t>intensity expressed per million USD</t>
  </si>
  <si>
    <t>pdsa</t>
  </si>
  <si>
    <t>group</t>
  </si>
  <si>
    <t>Intensity tCO2-e/million USD (Scope 1+2)</t>
  </si>
  <si>
    <t>tCO2e/Million USD</t>
  </si>
  <si>
    <t>tCO2e/million USD</t>
  </si>
  <si>
    <t>mine</t>
  </si>
  <si>
    <t>Red data flora</t>
  </si>
  <si>
    <t>Red data fauna</t>
  </si>
  <si>
    <t>Diamond Ant</t>
  </si>
  <si>
    <t>White-tailed Mouse Mystromys albicaudatus  (endangered)</t>
  </si>
  <si>
    <t>Black-footed Cat 
Felis nigripes (Vulnerable)</t>
  </si>
  <si>
    <t>South African hedgehog 
Atelerix frontalis 
(SA RDB NT)</t>
  </si>
  <si>
    <t>Blue cranes
Anthropoides paradiseus
(Endangered)</t>
  </si>
  <si>
    <t>Vachellia erioloba (prev. Acacia erioloba)
Camel thorn tree</t>
  </si>
  <si>
    <t>Boscia albitrunca
(Shepherds tree)</t>
  </si>
  <si>
    <t>Pyxicephalus adspersus
(Giant Bullfrog)</t>
  </si>
  <si>
    <t xml:space="preserve">Fauna Sp. </t>
  </si>
  <si>
    <t xml:space="preserve">Flora Sp. </t>
  </si>
  <si>
    <t>Anthropoides paradiseus</t>
  </si>
  <si>
    <t>Mystromys albicaudatus </t>
  </si>
  <si>
    <t>Felis nigripes</t>
  </si>
  <si>
    <t>Atelerix frontalis</t>
  </si>
  <si>
    <t>Pyxicephalus adspersus</t>
  </si>
  <si>
    <t>Vachellia erioloba</t>
  </si>
  <si>
    <t>Boscia albitrunca</t>
  </si>
  <si>
    <t>Albuca gladoilus</t>
  </si>
  <si>
    <t>Anacampseros lanigera</t>
  </si>
  <si>
    <t>Anacampseros lanigera
 (Haaskos)                           </t>
  </si>
  <si>
    <t>Albuca gladoilus sp.                             </t>
  </si>
  <si>
    <t>red data sp</t>
  </si>
  <si>
    <t>old IEA  2010 EF: 0.2421504  FY 2019</t>
  </si>
  <si>
    <t>old IEA  2010 EF: 0.2421504  FY 2020</t>
  </si>
  <si>
    <t>WDLkgCO2e</t>
  </si>
  <si>
    <t xml:space="preserve">WDL sc 2 kgCO2e : old IEA  2010 EF: 0.2421504 </t>
  </si>
  <si>
    <t>WDL kWh</t>
  </si>
  <si>
    <t>scope 2 IEA wDL</t>
  </si>
  <si>
    <t>Scope 2 IGES WDL</t>
  </si>
  <si>
    <t>tCO2-e/t
(sc 1,2 and 3)</t>
  </si>
  <si>
    <r>
      <t>RECALCULATION OF 2019 BASE YEAR due to new EF for Tanzania electrcicity FY 2020: 
 intensity total per ct increase by 3%  thus 1.3418*1.03</t>
    </r>
    <r>
      <rPr>
        <b/>
        <sz val="11"/>
        <color rgb="FFFF0000"/>
        <rFont val="Calibri"/>
        <family val="2"/>
        <scheme val="minor"/>
      </rPr>
      <t xml:space="preserve"> =1.38206
intensity total per ton treated increased by 3%  thus 0.0284*1.03= 0.029223</t>
    </r>
  </si>
  <si>
    <t>Carbon footprint &amp; GHG Management - FY 2020</t>
  </si>
  <si>
    <t>Electrciity use in GJ</t>
  </si>
  <si>
    <t>Diesel use in GJ</t>
  </si>
  <si>
    <t>diesel in J</t>
  </si>
  <si>
    <t>Electricity J</t>
  </si>
  <si>
    <t>Total fuel use in J</t>
  </si>
  <si>
    <t>Ozone depleting gases</t>
  </si>
  <si>
    <t>1,1,1-trichloroethane (“TCA”)</t>
  </si>
  <si>
    <t xml:space="preserve">  Carbon tetrachloride (“CTC”)</t>
  </si>
  <si>
    <t xml:space="preserve">  Halon</t>
  </si>
  <si>
    <t xml:space="preserve">  Methyl bromide</t>
  </si>
  <si>
    <t xml:space="preserve">  R134a</t>
  </si>
  <si>
    <t xml:space="preserve">  Total ozone depleting substances </t>
  </si>
  <si>
    <t>Fy 2018</t>
  </si>
  <si>
    <t xml:space="preserve">to other </t>
  </si>
  <si>
    <t>Total energy use in GJ</t>
  </si>
  <si>
    <t>Water Cathment Area</t>
  </si>
  <si>
    <t>Total Available Resource</t>
  </si>
  <si>
    <t>Resource required for mining</t>
  </si>
  <si>
    <t>Total % of resource used for mining</t>
  </si>
  <si>
    <t>(%)</t>
  </si>
  <si>
    <t>&lt;1</t>
  </si>
  <si>
    <r>
      <t>(M m</t>
    </r>
    <r>
      <rPr>
        <vertAlign val="superscript"/>
        <sz val="11"/>
        <color theme="1"/>
        <rFont val="Calibri"/>
        <family val="2"/>
        <scheme val="minor"/>
      </rPr>
      <t>3</t>
    </r>
    <r>
      <rPr>
        <sz val="11"/>
        <color theme="1"/>
        <rFont val="Calibri"/>
        <family val="2"/>
        <scheme val="minor"/>
      </rPr>
      <t>/a)</t>
    </r>
  </si>
  <si>
    <t xml:space="preserve">Closure  liability at 30 June 2020 </t>
  </si>
  <si>
    <t>USDm</t>
  </si>
  <si>
    <t>Richard Rowe confirmed; exchange rate used= average R15.6775/USD (closing rate R17.321/USD)</t>
  </si>
  <si>
    <t>Total environmental liability</t>
  </si>
  <si>
    <t>3Nuu</t>
  </si>
  <si>
    <t>scope 1</t>
  </si>
  <si>
    <t>Not audited</t>
  </si>
  <si>
    <t>OFFICES</t>
  </si>
  <si>
    <t>check</t>
  </si>
  <si>
    <t>Figure 4 Audit reprot</t>
  </si>
  <si>
    <t>Total potable water used in audit</t>
  </si>
  <si>
    <t>site</t>
  </si>
  <si>
    <t>number of employees</t>
  </si>
  <si>
    <t>av km daily /employ</t>
  </si>
  <si>
    <t>Total km  annual (245 days)</t>
  </si>
  <si>
    <t>Total ton CO2e</t>
  </si>
  <si>
    <t>Materiality %</t>
  </si>
  <si>
    <t>Satellite Kbly</t>
  </si>
  <si>
    <t>HQ</t>
  </si>
  <si>
    <t>Jhb</t>
  </si>
  <si>
    <t>Kbl</t>
  </si>
  <si>
    <t>Assumptions: 245 days  per annum; average distances 90 km /day JHB; 10 km/day KBly; 8km/day Cullinan; medium car (unknown fuel)</t>
  </si>
  <si>
    <t>Location summary audit  finding  and materiality of pDSA Head Office employee commute</t>
  </si>
  <si>
    <t>Graph 7:  Amended Total GHG emissions for Petra Diamonds Limited for the period: FY 2018 – FY 2020</t>
  </si>
  <si>
    <t>Graph 8: Amended Intensity ratio GHG emissions for Petra Diamonds Limited for the period: FY 2018 – FY 2020</t>
  </si>
  <si>
    <t xml:space="preserve">DA 180.02: CALCULATION OF ALLOWANCES </t>
  </si>
  <si>
    <t>A</t>
  </si>
  <si>
    <t>B</t>
  </si>
  <si>
    <t>C</t>
  </si>
  <si>
    <t>D</t>
  </si>
  <si>
    <t>Z</t>
  </si>
  <si>
    <t>B.1 Performance allowance</t>
  </si>
  <si>
    <t>Warehouse</t>
  </si>
  <si>
    <t>IPCC code</t>
  </si>
  <si>
    <t>Benchmark as prescribed or the number zero</t>
  </si>
  <si>
    <t>Greenhouse Gas Emissions Intensity (tCO2e/ct)</t>
  </si>
  <si>
    <t>Prescribed as number one</t>
  </si>
  <si>
    <t>Prescribed as number one hundred</t>
  </si>
  <si>
    <t xml:space="preserve">Performance allowance percentage should not be less than 0 or greater than 5
(A / B - C) x D = Z
</t>
  </si>
  <si>
    <t>tCO2e</t>
  </si>
  <si>
    <t>carats FY 2020 Q1+Q2</t>
  </si>
  <si>
    <t>carats FY 2020 Q1+Q2 +June 2019</t>
  </si>
  <si>
    <t>MAGDA'S NOTES: NOT FOR REPORTING PURPOSES</t>
  </si>
  <si>
    <t>Trade exposure allowance: X = (E+ I)/S  x  Y</t>
  </si>
  <si>
    <t>B.2</t>
  </si>
  <si>
    <t>X</t>
  </si>
  <si>
    <t>E</t>
  </si>
  <si>
    <t>I</t>
  </si>
  <si>
    <t>S</t>
  </si>
  <si>
    <t>Y</t>
  </si>
  <si>
    <t>IPCC Code</t>
  </si>
  <si>
    <t>Activity/
sector</t>
  </si>
  <si>
    <t>692.01
Basic Tax Free (section 7)</t>
  </si>
  <si>
    <t>692.02
Industrial Process Emissions (section 8)</t>
  </si>
  <si>
    <t xml:space="preserve">692.03
Fugitive Emissions (section 9)
</t>
  </si>
  <si>
    <t>692.04
Trade Exposure (section 10)</t>
  </si>
  <si>
    <t>692.05
Performance (section 11)</t>
  </si>
  <si>
    <t xml:space="preserve">692.06
Carbon Budget (section 12)
</t>
  </si>
  <si>
    <t>692.07
Offset
(section 13)</t>
  </si>
  <si>
    <t>G 
Sum of allowances for purpose of column H</t>
  </si>
  <si>
    <t>H 
Maximum Total Allowances Percentage (G may not be &gt; H) as prescribed</t>
  </si>
  <si>
    <t xml:space="preserve">% Trade exposure </t>
  </si>
  <si>
    <t>Monetary value of products exported during tax period ZAR</t>
  </si>
  <si>
    <t>Monetary value of products imported during tax period ZAR</t>
  </si>
  <si>
    <t>Total sales during tax period ZAR</t>
  </si>
  <si>
    <t>Mining and Quarrying</t>
  </si>
  <si>
    <t>DA 180.01A.1: FUEL COMBUSTION STATIONARY</t>
  </si>
  <si>
    <t>B.3: TABLE OF EMISSIONS EQUIVALENT</t>
  </si>
  <si>
    <t>Source</t>
  </si>
  <si>
    <t>M</t>
  </si>
  <si>
    <t>N</t>
  </si>
  <si>
    <t xml:space="preserve">B =
 {[(C x 1) + 
 (M x 23) +
 (N x 296)] x D} / Y </t>
  </si>
  <si>
    <t>E = A x B</t>
  </si>
  <si>
    <t>cal value</t>
  </si>
  <si>
    <t>density</t>
  </si>
  <si>
    <t xml:space="preserve">
1l =0.845kg=0.000845t</t>
  </si>
  <si>
    <t>Fuel Type</t>
  </si>
  <si>
    <r>
      <t>Carbon Dioxide Emissions
CO</t>
    </r>
    <r>
      <rPr>
        <vertAlign val="subscript"/>
        <sz val="8"/>
        <color theme="1"/>
        <rFont val="Calibri"/>
        <family val="2"/>
        <scheme val="minor"/>
      </rPr>
      <t>2</t>
    </r>
    <r>
      <rPr>
        <sz val="8"/>
        <color theme="1"/>
        <rFont val="Calibri"/>
        <family val="2"/>
        <scheme val="minor"/>
      </rPr>
      <t xml:space="preserve"> (KGCO</t>
    </r>
    <r>
      <rPr>
        <vertAlign val="subscript"/>
        <sz val="8"/>
        <color theme="1"/>
        <rFont val="Calibri"/>
        <family val="2"/>
        <scheme val="minor"/>
      </rPr>
      <t>2</t>
    </r>
    <r>
      <rPr>
        <sz val="8"/>
        <color theme="1"/>
        <rFont val="Calibri"/>
        <family val="2"/>
        <scheme val="minor"/>
      </rPr>
      <t>/TJ)</t>
    </r>
  </si>
  <si>
    <r>
      <t>Methane Emissions 
CH</t>
    </r>
    <r>
      <rPr>
        <vertAlign val="subscript"/>
        <sz val="8"/>
        <color theme="1"/>
        <rFont val="Calibri"/>
        <family val="2"/>
        <scheme val="minor"/>
      </rPr>
      <t>4</t>
    </r>
    <r>
      <rPr>
        <sz val="8"/>
        <color theme="1"/>
        <rFont val="Calibri"/>
        <family val="2"/>
        <scheme val="minor"/>
      </rPr>
      <t xml:space="preserve"> (KGCH</t>
    </r>
    <r>
      <rPr>
        <vertAlign val="subscript"/>
        <sz val="8"/>
        <color theme="1"/>
        <rFont val="Calibri"/>
        <family val="2"/>
        <scheme val="minor"/>
      </rPr>
      <t>4</t>
    </r>
    <r>
      <rPr>
        <sz val="8"/>
        <color theme="1"/>
        <rFont val="Calibri"/>
        <family val="2"/>
        <scheme val="minor"/>
      </rPr>
      <t>/TJ)</t>
    </r>
  </si>
  <si>
    <r>
      <t>Nitrous Oxide Emissions
N</t>
    </r>
    <r>
      <rPr>
        <vertAlign val="subscript"/>
        <sz val="8"/>
        <color theme="1"/>
        <rFont val="Calibri"/>
        <family val="2"/>
        <scheme val="minor"/>
      </rPr>
      <t>2</t>
    </r>
    <r>
      <rPr>
        <sz val="8"/>
        <color theme="1"/>
        <rFont val="Calibri"/>
        <family val="2"/>
        <scheme val="minor"/>
      </rPr>
      <t>O (KGN</t>
    </r>
    <r>
      <rPr>
        <vertAlign val="subscript"/>
        <sz val="8"/>
        <color theme="1"/>
        <rFont val="Calibri"/>
        <family val="2"/>
        <scheme val="minor"/>
      </rPr>
      <t>2</t>
    </r>
    <r>
      <rPr>
        <sz val="8"/>
        <color theme="1"/>
        <rFont val="Calibri"/>
        <family val="2"/>
        <scheme val="minor"/>
      </rPr>
      <t>O/TJ)</t>
    </r>
  </si>
  <si>
    <t>Default net calorific value (TJ/TONNE)</t>
  </si>
  <si>
    <t>The number 1000</t>
  </si>
  <si>
    <r>
      <t>Emission factor in CO</t>
    </r>
    <r>
      <rPr>
        <vertAlign val="subscript"/>
        <sz val="8"/>
        <color theme="1"/>
        <rFont val="Calibri"/>
        <family val="2"/>
        <scheme val="minor"/>
      </rPr>
      <t>2</t>
    </r>
    <r>
      <rPr>
        <sz val="8"/>
        <color theme="1"/>
        <rFont val="Calibri"/>
        <family val="2"/>
        <scheme val="minor"/>
      </rPr>
      <t xml:space="preserve"> equivalent per tonne</t>
    </r>
  </si>
  <si>
    <t>Total mass in tonne</t>
  </si>
  <si>
    <t>Emissions Equivalent</t>
  </si>
  <si>
    <t>MJ/l</t>
  </si>
  <si>
    <t>TJ/l</t>
  </si>
  <si>
    <t>kg/l</t>
  </si>
  <si>
    <t>TJ/T</t>
  </si>
  <si>
    <t>activity data liters</t>
  </si>
  <si>
    <t>activity data kg (m = d x vol)</t>
  </si>
  <si>
    <t>activity data in tonne = kg /1000</t>
  </si>
  <si>
    <t>DA 180.01A.2: FUEL COMBUSTION NON-STATIONARY</t>
  </si>
  <si>
    <t xml:space="preserve">B = 
 {[(C x 1) + 
 (M x 23) +
 (N x 296)] x D} / Y </t>
  </si>
  <si>
    <t>1l =0.79kg=0.00079t</t>
  </si>
  <si>
    <t>PDSA Head office</t>
  </si>
  <si>
    <t>PDSA Head Office</t>
  </si>
  <si>
    <t>Jet kerosene</t>
  </si>
  <si>
    <t>DA 180</t>
  </si>
  <si>
    <t>TABLE B.2</t>
  </si>
  <si>
    <t>warehouse</t>
  </si>
  <si>
    <t>Fuel combustion stationary (DA 180.01A.1)</t>
  </si>
  <si>
    <t>Fuel combustion non-stationary (DA 180.01A.2)</t>
  </si>
  <si>
    <t>Fugitive (Oil &amp; Natural gas)</t>
  </si>
  <si>
    <t>Fugitive (Coal mining &amp; Handling)</t>
  </si>
  <si>
    <t>industrial Process</t>
  </si>
  <si>
    <t>TABLE B.3</t>
  </si>
  <si>
    <t>X (Net  emissions equivalent)= {[(E-S) X (1-C)]  -  [D X (1-M)]} + {P X (1-J)}  + {F X (1-K)}</t>
  </si>
  <si>
    <t>P</t>
  </si>
  <si>
    <t>J</t>
  </si>
  <si>
    <t>F</t>
  </si>
  <si>
    <t>K</t>
  </si>
  <si>
    <t>x</t>
  </si>
  <si>
    <t>Total fuel combustion emissions</t>
  </si>
  <si>
    <t>sequestrated emissions</t>
  </si>
  <si>
    <t>Sum of allowances under section 7, 10, 11, 12, 13</t>
  </si>
  <si>
    <t>Petrol and Diesel Emissions</t>
  </si>
  <si>
    <t>Sum of allowances under section 7,  12, 13</t>
  </si>
  <si>
    <t>Total industrial process emissions</t>
  </si>
  <si>
    <t>Sum of allowances under section 7, 8, 10, 11, 12, 13</t>
  </si>
  <si>
    <t>Total fugitive emissions</t>
  </si>
  <si>
    <t>Sum of allowances under section 7, 9, 10, 11, 12, 13</t>
  </si>
  <si>
    <t>Net emission equivalent</t>
  </si>
  <si>
    <t>TABLE C.1</t>
  </si>
  <si>
    <t xml:space="preserve"> (Gross Levy Payable)</t>
  </si>
  <si>
    <t>TABLE C.2</t>
  </si>
  <si>
    <t xml:space="preserve"> (Net Levy Payable)</t>
  </si>
  <si>
    <t>Total net emissions equivalent</t>
  </si>
  <si>
    <t>Gross Levy Payable</t>
  </si>
  <si>
    <t>Renewable energy premium</t>
  </si>
  <si>
    <t>Total of DA176 amount over tax period per company</t>
  </si>
  <si>
    <t>Net levy payable (May not be less than zero)</t>
  </si>
  <si>
    <t>multiply by rate of Env Levy</t>
  </si>
  <si>
    <r>
      <t>R120/ton CO</t>
    </r>
    <r>
      <rPr>
        <vertAlign val="subscript"/>
        <sz val="9"/>
        <color theme="1"/>
        <rFont val="Calibri"/>
        <family val="2"/>
        <scheme val="minor"/>
      </rPr>
      <t>2</t>
    </r>
    <r>
      <rPr>
        <sz val="9"/>
        <color theme="1"/>
        <rFont val="Calibri"/>
        <family val="2"/>
        <scheme val="minor"/>
      </rPr>
      <t>e</t>
    </r>
  </si>
  <si>
    <t>TABLE C.3</t>
  </si>
  <si>
    <t xml:space="preserve"> (Total amount payable)</t>
  </si>
  <si>
    <t>Net Levy Payable</t>
  </si>
  <si>
    <t>Less Overpaid on previous period</t>
  </si>
  <si>
    <t>Plus Underpaid on previous period</t>
  </si>
  <si>
    <t>Total Amount Payable</t>
  </si>
  <si>
    <t xml:space="preserve">ACTIVITY DATA </t>
  </si>
  <si>
    <t>MINE</t>
  </si>
  <si>
    <t>Stationary diesel (l)</t>
  </si>
  <si>
    <t>LPG (kg)</t>
  </si>
  <si>
    <t>Waste water treated (m3)</t>
  </si>
  <si>
    <t>kDM</t>
  </si>
  <si>
    <t>PETRA SA</t>
  </si>
  <si>
    <t>Q3(2019)</t>
  </si>
  <si>
    <t>civil aviation fuel combusted (Kerosene)</t>
  </si>
  <si>
    <t>Q4 (2019)</t>
  </si>
  <si>
    <t>Q1 (2020)</t>
  </si>
  <si>
    <t>Q2(2020)</t>
  </si>
  <si>
    <t>General waste disposed (t)</t>
  </si>
  <si>
    <t>ACTIVITY DATA (CALENDAR YEAR 2019= Q3 + Q4(FY 2019) + Q1 + Q2 (FY 2020)</t>
  </si>
  <si>
    <r>
      <t>T</t>
    </r>
    <r>
      <rPr>
        <sz val="10"/>
        <color theme="1"/>
        <rFont val="Calibri"/>
        <family val="2"/>
        <scheme val="minor"/>
      </rPr>
      <t>ech Guidelines GHG reporting: Annex D (SA cal values: tier 1= 38.1MJ/l)and Annex A (IPCC default EF: tier 1= 74100kg CO</t>
    </r>
    <r>
      <rPr>
        <vertAlign val="subscript"/>
        <sz val="10"/>
        <color theme="1"/>
        <rFont val="Calibri"/>
        <family val="2"/>
        <scheme val="minor"/>
      </rPr>
      <t>2</t>
    </r>
    <r>
      <rPr>
        <sz val="10"/>
        <color theme="1"/>
        <rFont val="Calibri"/>
        <family val="2"/>
        <scheme val="minor"/>
      </rPr>
      <t>/TJ)</t>
    </r>
  </si>
  <si>
    <r>
      <t>Tech Guidelines GHG reporting: Annex D (SA cal values: tier 1= 46.1MJ/kg)and Annex A (IPCC default EF: tier 1= 63100kg CO</t>
    </r>
    <r>
      <rPr>
        <vertAlign val="subscript"/>
        <sz val="10"/>
        <color theme="1"/>
        <rFont val="Calibri"/>
        <family val="2"/>
        <scheme val="minor"/>
      </rPr>
      <t>2</t>
    </r>
    <r>
      <rPr>
        <sz val="10"/>
        <color theme="1"/>
        <rFont val="Calibri"/>
        <family val="2"/>
        <scheme val="minor"/>
      </rPr>
      <t>/TJ)</t>
    </r>
  </si>
  <si>
    <r>
      <t>Tech Guidelines GHG reporting: Annex D (SA cal values: tier 1= 37.5 MJ/l)and Annex A (IPCC default EF: tier 1 = 71 500kg CO</t>
    </r>
    <r>
      <rPr>
        <vertAlign val="subscript"/>
        <sz val="10"/>
        <color theme="1"/>
        <rFont val="Calibri"/>
        <family val="2"/>
        <scheme val="minor"/>
      </rPr>
      <t>2</t>
    </r>
    <r>
      <rPr>
        <sz val="10"/>
        <color theme="1"/>
        <rFont val="Calibri"/>
        <family val="2"/>
        <scheme val="minor"/>
      </rPr>
      <t>/TJ)</t>
    </r>
  </si>
  <si>
    <r>
      <t>Tech Guidelines GHG reporting: Annex D (SA cal values: tier 2= 37.5 MJ/l)and Annex A (IPCC default EF: tier 1 = 0.5 kg CH</t>
    </r>
    <r>
      <rPr>
        <vertAlign val="subscript"/>
        <sz val="10"/>
        <color theme="1"/>
        <rFont val="Calibri"/>
        <family val="2"/>
        <scheme val="minor"/>
      </rPr>
      <t>4</t>
    </r>
    <r>
      <rPr>
        <sz val="10"/>
        <color theme="1"/>
        <rFont val="Calibri"/>
        <family val="2"/>
        <scheme val="minor"/>
      </rPr>
      <t>/TJ)</t>
    </r>
  </si>
  <si>
    <r>
      <t>Tech Guidelines GHG reporting: Annex D (SA cal values: tier 2= 37.5 MJ/l)and Annex A (IPCC default EF: tier 1 = 2 kg N</t>
    </r>
    <r>
      <rPr>
        <vertAlign val="subscript"/>
        <sz val="10"/>
        <color theme="1"/>
        <rFont val="Calibri"/>
        <family val="2"/>
        <scheme val="minor"/>
      </rPr>
      <t>2</t>
    </r>
    <r>
      <rPr>
        <sz val="10"/>
        <color theme="1"/>
        <rFont val="Calibri"/>
        <family val="2"/>
        <scheme val="minor"/>
      </rPr>
      <t>O/TJ)</t>
    </r>
  </si>
  <si>
    <t>Domestic effluent discharged to 
surface water bodies after treatment in a mine controlled WWTW</t>
  </si>
  <si>
    <r>
      <t xml:space="preserve">Domestic effluent discharged to 
surface water bodies after treatment in a </t>
    </r>
    <r>
      <rPr>
        <i/>
        <sz val="10"/>
        <color theme="1"/>
        <rFont val="Calibri"/>
        <family val="2"/>
        <scheme val="minor"/>
      </rPr>
      <t>mine controlled WWTW</t>
    </r>
  </si>
  <si>
    <t>Domestic effluent NOT discharged to 
surface water bodies after treatment in a mine controlled WWTW</t>
  </si>
  <si>
    <r>
      <t xml:space="preserve">Diesel Consumption (company owned/controlled Vehicles/equipment) </t>
    </r>
    <r>
      <rPr>
        <sz val="8"/>
        <color rgb="FFFF0000"/>
        <rFont val="Calibri"/>
        <family val="2"/>
        <scheme val="minor"/>
      </rPr>
      <t>(density = 0.845kg/l)</t>
    </r>
  </si>
  <si>
    <r>
      <t>Petrol Consumption (company owned/controlled  vehicles)</t>
    </r>
    <r>
      <rPr>
        <sz val="8"/>
        <color rgb="FFFF0000"/>
        <rFont val="Calibri"/>
        <family val="2"/>
        <scheme val="minor"/>
      </rPr>
      <t>(density = 0.75kg/l)</t>
    </r>
  </si>
  <si>
    <r>
      <t>Petrol Consumption (company owned/controlled vehicles)</t>
    </r>
    <r>
      <rPr>
        <sz val="8"/>
        <color rgb="FFFF0000"/>
        <rFont val="Calibri"/>
        <family val="2"/>
        <scheme val="minor"/>
      </rPr>
      <t>(density = 0.75kg/l)</t>
    </r>
  </si>
  <si>
    <r>
      <t xml:space="preserve">Diesel Consumption (company owned/controlledVehicles/ equipment) </t>
    </r>
    <r>
      <rPr>
        <sz val="8"/>
        <color rgb="FFFF0000"/>
        <rFont val="Calibri"/>
        <family val="2"/>
        <scheme val="minor"/>
      </rPr>
      <t>(density = 0.845kg/l)</t>
    </r>
  </si>
  <si>
    <r>
      <t xml:space="preserve">Diesel Consumption (company owned/controlled Vehicles   /equipment oof road) </t>
    </r>
    <r>
      <rPr>
        <sz val="8"/>
        <color rgb="FFFF0000"/>
        <rFont val="Calibri"/>
        <family val="2"/>
        <scheme val="minor"/>
      </rPr>
      <t>(density = 0.845kg/l)</t>
    </r>
  </si>
</sst>
</file>

<file path=xl/styles.xml><?xml version="1.0" encoding="utf-8"?>
<styleSheet xmlns="http://schemas.openxmlformats.org/spreadsheetml/2006/main" xmlns:mc="http://schemas.openxmlformats.org/markup-compatibility/2006" xmlns:x14ac="http://schemas.microsoft.com/office/spreadsheetml/2009/9/ac" mc:Ignorable="x14ac">
  <numFmts count="35">
    <numFmt numFmtId="6" formatCode="&quot;R&quot;\ #,##0;[Red]&quot;R&quot;\ \-#,##0"/>
    <numFmt numFmtId="7" formatCode="&quot;R&quot;\ #,##0.00;&quot;R&quot;\ \-#,##0.00"/>
    <numFmt numFmtId="8" formatCode="&quot;R&quot;\ #,##0.00;[Red]&quot;R&quot;\ \-#,##0.00"/>
    <numFmt numFmtId="41" formatCode="_ * #,##0_ ;_ * \-#,##0_ ;_ * &quot;-&quot;_ ;_ @_ "/>
    <numFmt numFmtId="44" formatCode="_ &quot;R&quot;\ * #,##0.00_ ;_ &quot;R&quot;\ * \-#,##0.00_ ;_ &quot;R&quot;\ * &quot;-&quot;??_ ;_ @_ "/>
    <numFmt numFmtId="43" formatCode="_ * #,##0.00_ ;_ * \-#,##0.00_ ;_ * &quot;-&quot;??_ ;_ @_ "/>
    <numFmt numFmtId="164" formatCode="_(* #,##0.00_);_(* \(#,##0.00\);_(* &quot;-&quot;??_);_(@_)"/>
    <numFmt numFmtId="165" formatCode="_ * #,##0_ ;_ * \-#,##0_ ;_ * &quot;-&quot;??_ ;_ @_ "/>
    <numFmt numFmtId="166" formatCode="_ * #,##0.0_ ;_ * \-#,##0.0_ ;_ * &quot;-&quot;??_ ;_ @_ "/>
    <numFmt numFmtId="167" formatCode="#,##0.000_ ;\-#,##0.000\ "/>
    <numFmt numFmtId="168" formatCode="#,##0.000"/>
    <numFmt numFmtId="169" formatCode="#,##0.00_ ;\-#,##0.00\ "/>
    <numFmt numFmtId="170" formatCode="[$-1C09]dd\ mmmm\ yyyy;@"/>
    <numFmt numFmtId="171" formatCode="#,##0_ ;\-#,##0\ "/>
    <numFmt numFmtId="172" formatCode="0.0"/>
    <numFmt numFmtId="173" formatCode="0.000"/>
    <numFmt numFmtId="174" formatCode="&quot;R&quot;\ #,##0.00"/>
    <numFmt numFmtId="175" formatCode="0.0%"/>
    <numFmt numFmtId="176" formatCode="0.0000"/>
    <numFmt numFmtId="177" formatCode="#,##0.0"/>
    <numFmt numFmtId="178" formatCode="0.000000"/>
    <numFmt numFmtId="179" formatCode="#,##0.000000"/>
    <numFmt numFmtId="180" formatCode="#,##0.00000_ ;\-#,##0.00000\ "/>
    <numFmt numFmtId="181" formatCode="0.00000000E+00"/>
    <numFmt numFmtId="182" formatCode="0.0000000E+00"/>
    <numFmt numFmtId="183" formatCode="0.000000E+00"/>
    <numFmt numFmtId="184" formatCode="[$-F400]h:mm:ss\ AM/PM"/>
    <numFmt numFmtId="185" formatCode="_ * #,##0.00000_ ;_ * \-#,##0.00000_ ;_ * &quot;-&quot;?????_ ;_ @_ "/>
    <numFmt numFmtId="186" formatCode="#,##0.0000_ ;\-#,##0.0000\ "/>
    <numFmt numFmtId="187" formatCode="#,##0.0000"/>
    <numFmt numFmtId="188" formatCode="0.0000E+00"/>
    <numFmt numFmtId="189" formatCode="#,##0.00000000"/>
    <numFmt numFmtId="190" formatCode="_ * #,##0.000_ ;_ * \-#,##0.000_ ;_ * &quot;-&quot;???_ ;_ @_ "/>
    <numFmt numFmtId="191" formatCode="0.00000"/>
    <numFmt numFmtId="192" formatCode="#\,##0"/>
  </numFmts>
  <fonts count="168" x14ac:knownFonts="1">
    <font>
      <sz val="11"/>
      <color theme="1"/>
      <name val="Calibri"/>
      <family val="2"/>
      <scheme val="minor"/>
    </font>
    <font>
      <sz val="11"/>
      <color theme="1"/>
      <name val="Calibri"/>
      <family val="2"/>
      <scheme val="minor"/>
    </font>
    <font>
      <b/>
      <sz val="11"/>
      <color theme="1"/>
      <name val="Calibri"/>
      <family val="2"/>
      <scheme val="minor"/>
    </font>
    <font>
      <vertAlign val="superscript"/>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mbria"/>
      <family val="1"/>
    </font>
    <font>
      <b/>
      <sz val="10"/>
      <color theme="1"/>
      <name val="Arial"/>
      <family val="2"/>
    </font>
    <font>
      <sz val="10"/>
      <color theme="1"/>
      <name val="Arial"/>
      <family val="2"/>
    </font>
    <font>
      <vertAlign val="superscript"/>
      <sz val="10"/>
      <color theme="1"/>
      <name val="Arial"/>
      <family val="2"/>
    </font>
    <font>
      <b/>
      <sz val="11"/>
      <color theme="3"/>
      <name val="Calibri"/>
      <family val="2"/>
      <scheme val="minor"/>
    </font>
    <font>
      <sz val="9"/>
      <color theme="1"/>
      <name val="Arial"/>
      <family val="2"/>
    </font>
    <font>
      <sz val="11"/>
      <color rgb="FF00B050"/>
      <name val="Calibri"/>
      <family val="2"/>
      <scheme val="minor"/>
    </font>
    <font>
      <b/>
      <sz val="11"/>
      <color rgb="FFFF0000"/>
      <name val="Calibri"/>
      <family val="2"/>
      <scheme val="minor"/>
    </font>
    <font>
      <sz val="11"/>
      <name val="Calibri"/>
      <family val="2"/>
      <scheme val="minor"/>
    </font>
    <font>
      <sz val="11"/>
      <color rgb="FF000000"/>
      <name val="Calibri"/>
      <family val="2"/>
    </font>
    <font>
      <sz val="11"/>
      <color theme="1"/>
      <name val="Cambria"/>
      <family val="1"/>
    </font>
    <font>
      <sz val="8"/>
      <color theme="1"/>
      <name val="Calibri"/>
      <family val="2"/>
      <scheme val="minor"/>
    </font>
    <font>
      <sz val="10"/>
      <color theme="1"/>
      <name val="Calibri"/>
      <family val="2"/>
      <scheme val="minor"/>
    </font>
    <font>
      <sz val="9"/>
      <color theme="1"/>
      <name val="Calibri"/>
      <family val="2"/>
      <scheme val="minor"/>
    </font>
    <font>
      <sz val="9"/>
      <color rgb="FFFF0000"/>
      <name val="Calibri"/>
      <family val="2"/>
      <scheme val="minor"/>
    </font>
    <font>
      <sz val="9"/>
      <color theme="1"/>
      <name val="Cambria"/>
      <family val="1"/>
    </font>
    <font>
      <sz val="9"/>
      <name val="Calibri"/>
      <family val="2"/>
      <scheme val="minor"/>
    </font>
    <font>
      <b/>
      <sz val="9"/>
      <color theme="1"/>
      <name val="Calibri"/>
      <family val="2"/>
      <scheme val="minor"/>
    </font>
    <font>
      <sz val="8"/>
      <color theme="1"/>
      <name val="Arial"/>
      <family val="2"/>
    </font>
    <font>
      <sz val="9"/>
      <color theme="1"/>
      <name val="Calibri"/>
      <family val="2"/>
    </font>
    <font>
      <sz val="9"/>
      <color rgb="FF002060"/>
      <name val="Calibri"/>
      <family val="2"/>
      <scheme val="minor"/>
    </font>
    <font>
      <b/>
      <sz val="10"/>
      <name val="Calibri"/>
      <family val="2"/>
      <scheme val="minor"/>
    </font>
    <font>
      <b/>
      <sz val="14"/>
      <name val="Calibri"/>
      <family val="2"/>
      <scheme val="minor"/>
    </font>
    <font>
      <sz val="14"/>
      <color theme="1"/>
      <name val="Calibri"/>
      <family val="2"/>
      <scheme val="minor"/>
    </font>
    <font>
      <b/>
      <sz val="12"/>
      <color theme="1"/>
      <name val="Calibri"/>
      <family val="2"/>
      <scheme val="minor"/>
    </font>
    <font>
      <b/>
      <sz val="10"/>
      <color theme="1"/>
      <name val="Calibri"/>
      <family val="2"/>
      <scheme val="minor"/>
    </font>
    <font>
      <b/>
      <sz val="11"/>
      <name val="Calibri"/>
      <family val="2"/>
      <scheme val="minor"/>
    </font>
    <font>
      <b/>
      <sz val="8"/>
      <color theme="1"/>
      <name val="Calibri"/>
      <family val="2"/>
      <scheme val="minor"/>
    </font>
    <font>
      <sz val="8"/>
      <name val="Calibri"/>
      <family val="2"/>
      <scheme val="minor"/>
    </font>
    <font>
      <sz val="10"/>
      <name val="Calibri"/>
      <family val="2"/>
      <scheme val="minor"/>
    </font>
    <font>
      <b/>
      <sz val="14"/>
      <color theme="1"/>
      <name val="Calibri"/>
      <family val="2"/>
      <scheme val="minor"/>
    </font>
    <font>
      <sz val="8"/>
      <color theme="1"/>
      <name val="Calibri"/>
      <family val="2"/>
    </font>
    <font>
      <b/>
      <sz val="8"/>
      <color theme="1"/>
      <name val="Calibri"/>
      <family val="2"/>
    </font>
    <font>
      <sz val="8"/>
      <color rgb="FFFF0000"/>
      <name val="Calibri"/>
      <family val="2"/>
      <scheme val="minor"/>
    </font>
    <font>
      <sz val="8"/>
      <color theme="0" tint="-0.14999847407452621"/>
      <name val="Calibri"/>
      <family val="2"/>
      <scheme val="minor"/>
    </font>
    <font>
      <sz val="8"/>
      <color theme="0" tint="-4.9989318521683403E-2"/>
      <name val="Calibri"/>
      <family val="2"/>
      <scheme val="minor"/>
    </font>
    <font>
      <sz val="8"/>
      <color rgb="FF002060"/>
      <name val="Calibri"/>
      <family val="2"/>
      <scheme val="minor"/>
    </font>
    <font>
      <b/>
      <sz val="10"/>
      <color theme="1"/>
      <name val="Calibri"/>
      <family val="2"/>
    </font>
    <font>
      <b/>
      <sz val="8"/>
      <name val="Calibri"/>
      <family val="2"/>
      <scheme val="minor"/>
    </font>
    <font>
      <sz val="11"/>
      <color theme="1"/>
      <name val="Calibri"/>
      <family val="2"/>
    </font>
    <font>
      <b/>
      <sz val="9"/>
      <color theme="1"/>
      <name val="Calibri"/>
      <family val="2"/>
    </font>
    <font>
      <sz val="11"/>
      <name val="Calibri"/>
      <family val="2"/>
    </font>
    <font>
      <sz val="11"/>
      <color theme="1"/>
      <name val="Arial"/>
      <family val="2"/>
    </font>
    <font>
      <b/>
      <sz val="11"/>
      <color theme="1"/>
      <name val="Arial"/>
      <family val="2"/>
    </font>
    <font>
      <i/>
      <sz val="9"/>
      <color rgb="FF4A66AC"/>
      <name val="Calibri"/>
      <family val="2"/>
      <scheme val="minor"/>
    </font>
    <font>
      <b/>
      <sz val="12"/>
      <name val="Calibri"/>
      <family val="2"/>
      <scheme val="minor"/>
    </font>
    <font>
      <sz val="11"/>
      <color rgb="FF000000"/>
      <name val="Calibri"/>
      <family val="2"/>
      <scheme val="minor"/>
    </font>
    <font>
      <sz val="8"/>
      <color rgb="FF000000"/>
      <name val="Calibri"/>
      <family val="2"/>
      <scheme val="minor"/>
    </font>
    <font>
      <sz val="8"/>
      <color rgb="FF000000"/>
      <name val="Calibri"/>
      <family val="2"/>
    </font>
    <font>
      <b/>
      <sz val="8"/>
      <name val="Calibri"/>
      <family val="2"/>
    </font>
    <font>
      <sz val="10"/>
      <color theme="1"/>
      <name val="Calibri"/>
      <family val="2"/>
    </font>
    <font>
      <b/>
      <sz val="11"/>
      <color theme="0"/>
      <name val="Calibri"/>
      <family val="2"/>
      <scheme val="minor"/>
    </font>
    <font>
      <sz val="11"/>
      <color theme="0"/>
      <name val="Calibri"/>
      <family val="2"/>
      <scheme val="minor"/>
    </font>
    <font>
      <b/>
      <u/>
      <sz val="12"/>
      <color theme="1"/>
      <name val="Calibri"/>
      <family val="2"/>
      <scheme val="minor"/>
    </font>
    <font>
      <b/>
      <sz val="9"/>
      <color theme="0"/>
      <name val="Calibri"/>
      <family val="2"/>
      <scheme val="minor"/>
    </font>
    <font>
      <sz val="9"/>
      <color theme="0"/>
      <name val="Calibri"/>
      <family val="2"/>
      <scheme val="minor"/>
    </font>
    <font>
      <b/>
      <sz val="8"/>
      <color theme="0"/>
      <name val="Calibri"/>
      <family val="2"/>
      <scheme val="minor"/>
    </font>
    <font>
      <b/>
      <sz val="9"/>
      <color theme="1"/>
      <name val="Arial"/>
      <family val="2"/>
    </font>
    <font>
      <sz val="9"/>
      <color rgb="FF000000"/>
      <name val="Arial"/>
      <family val="2"/>
    </font>
    <font>
      <b/>
      <sz val="9"/>
      <color rgb="FF000000"/>
      <name val="Arial"/>
      <family val="2"/>
    </font>
    <font>
      <b/>
      <sz val="9"/>
      <color rgb="FFFF0000"/>
      <name val="Calibri"/>
      <family val="2"/>
      <scheme val="minor"/>
    </font>
    <font>
      <sz val="8"/>
      <color theme="4" tint="-0.249977111117893"/>
      <name val="Calibri"/>
      <family val="2"/>
      <scheme val="minor"/>
    </font>
    <font>
      <sz val="11"/>
      <color theme="4" tint="-0.249977111117893"/>
      <name val="Calibri"/>
      <family val="2"/>
      <scheme val="minor"/>
    </font>
    <font>
      <b/>
      <sz val="9"/>
      <name val="Calibri"/>
      <family val="2"/>
      <scheme val="minor"/>
    </font>
    <font>
      <sz val="8"/>
      <color rgb="FF00B050"/>
      <name val="Calibri"/>
      <family val="2"/>
      <scheme val="minor"/>
    </font>
    <font>
      <vertAlign val="subscript"/>
      <sz val="10"/>
      <color theme="1"/>
      <name val="Calibri"/>
      <family val="2"/>
      <scheme val="minor"/>
    </font>
    <font>
      <b/>
      <vertAlign val="subscript"/>
      <sz val="9"/>
      <color theme="0"/>
      <name val="Calibri"/>
      <family val="2"/>
      <scheme val="minor"/>
    </font>
    <font>
      <b/>
      <sz val="10"/>
      <color theme="0"/>
      <name val="Calibri"/>
      <family val="2"/>
      <scheme val="minor"/>
    </font>
    <font>
      <b/>
      <vertAlign val="subscript"/>
      <sz val="10"/>
      <color theme="0"/>
      <name val="Calibri"/>
      <family val="2"/>
      <scheme val="minor"/>
    </font>
    <font>
      <b/>
      <sz val="11"/>
      <color theme="0"/>
      <name val="Arial"/>
      <family val="2"/>
    </font>
    <font>
      <sz val="10"/>
      <color theme="0"/>
      <name val="Calibri"/>
      <family val="2"/>
      <scheme val="minor"/>
    </font>
    <font>
      <vertAlign val="subscript"/>
      <sz val="11"/>
      <color theme="1"/>
      <name val="Calibri"/>
      <family val="2"/>
      <scheme val="minor"/>
    </font>
    <font>
      <b/>
      <sz val="8"/>
      <color rgb="FF7030A0"/>
      <name val="Calibri"/>
      <family val="2"/>
      <scheme val="minor"/>
    </font>
    <font>
      <sz val="11"/>
      <color rgb="FFC00000"/>
      <name val="Calibri"/>
      <family val="2"/>
      <scheme val="minor"/>
    </font>
    <font>
      <i/>
      <sz val="9"/>
      <color theme="1"/>
      <name val="Calibri"/>
      <family val="2"/>
      <scheme val="minor"/>
    </font>
    <font>
      <b/>
      <i/>
      <sz val="9"/>
      <color theme="0"/>
      <name val="Calibri"/>
      <family val="2"/>
      <scheme val="minor"/>
    </font>
    <font>
      <i/>
      <sz val="8"/>
      <color theme="1"/>
      <name val="Calibri"/>
      <family val="2"/>
      <scheme val="minor"/>
    </font>
    <font>
      <i/>
      <sz val="8"/>
      <name val="Calibri"/>
      <family val="2"/>
      <scheme val="minor"/>
    </font>
    <font>
      <b/>
      <sz val="9"/>
      <color rgb="FF0070C0"/>
      <name val="Calibri"/>
      <family val="2"/>
      <scheme val="minor"/>
    </font>
    <font>
      <sz val="11"/>
      <color rgb="FF7030A0"/>
      <name val="Calibri"/>
      <family val="2"/>
      <scheme val="minor"/>
    </font>
    <font>
      <b/>
      <sz val="9"/>
      <color rgb="FFC00000"/>
      <name val="Calibri"/>
      <family val="2"/>
      <scheme val="minor"/>
    </font>
    <font>
      <b/>
      <i/>
      <sz val="8"/>
      <color theme="1"/>
      <name val="Arial"/>
      <family val="2"/>
    </font>
    <font>
      <b/>
      <i/>
      <vertAlign val="superscript"/>
      <sz val="8"/>
      <color theme="1"/>
      <name val="Arial"/>
      <family val="2"/>
    </font>
    <font>
      <b/>
      <sz val="8"/>
      <color rgb="FF00B050"/>
      <name val="Calibri"/>
      <family val="2"/>
      <scheme val="minor"/>
    </font>
    <font>
      <b/>
      <sz val="10"/>
      <color rgb="FFFF0000"/>
      <name val="Calibri"/>
      <family val="2"/>
      <scheme val="minor"/>
    </font>
    <font>
      <i/>
      <sz val="8"/>
      <color rgb="FFFF0000"/>
      <name val="Calibri"/>
      <family val="2"/>
      <scheme val="minor"/>
    </font>
    <font>
      <b/>
      <sz val="8"/>
      <color rgb="FFFF0000"/>
      <name val="Calibri"/>
      <family val="2"/>
      <scheme val="minor"/>
    </font>
    <font>
      <b/>
      <i/>
      <sz val="8"/>
      <color rgb="FFFF0000"/>
      <name val="Calibri"/>
      <family val="2"/>
      <scheme val="minor"/>
    </font>
    <font>
      <sz val="11"/>
      <color rgb="FF1F497D"/>
      <name val="Calibri"/>
      <family val="2"/>
      <scheme val="minor"/>
    </font>
    <font>
      <sz val="11"/>
      <color rgb="FF1F497D"/>
      <name val="Calibri"/>
      <family val="2"/>
    </font>
    <font>
      <b/>
      <sz val="11"/>
      <name val="Arial"/>
      <family val="2"/>
    </font>
    <font>
      <sz val="11"/>
      <name val="Arial"/>
      <family val="2"/>
    </font>
    <font>
      <sz val="9"/>
      <name val="Arial"/>
      <family val="2"/>
    </font>
    <font>
      <sz val="10"/>
      <color rgb="FFFF0000"/>
      <name val="Calibri"/>
      <family val="2"/>
      <scheme val="minor"/>
    </font>
    <font>
      <u/>
      <sz val="11"/>
      <color theme="1"/>
      <name val="Calibri"/>
      <family val="2"/>
      <scheme val="minor"/>
    </font>
    <font>
      <b/>
      <u/>
      <sz val="10"/>
      <color theme="1"/>
      <name val="Calibri"/>
      <family val="2"/>
      <scheme val="minor"/>
    </font>
    <font>
      <b/>
      <u/>
      <sz val="11"/>
      <color theme="1"/>
      <name val="Calibri"/>
      <family val="2"/>
      <scheme val="minor"/>
    </font>
    <font>
      <b/>
      <vertAlign val="subscript"/>
      <sz val="11"/>
      <color theme="1"/>
      <name val="Calibri"/>
      <family val="2"/>
      <scheme val="minor"/>
    </font>
    <font>
      <b/>
      <sz val="8"/>
      <color theme="1"/>
      <name val="Arial"/>
      <family val="2"/>
    </font>
    <font>
      <b/>
      <sz val="11"/>
      <color rgb="FFFA7D00"/>
      <name val="Calibri"/>
      <family val="2"/>
      <scheme val="minor"/>
    </font>
    <font>
      <b/>
      <sz val="8"/>
      <color rgb="FF000000"/>
      <name val="Calibri"/>
      <family val="2"/>
    </font>
    <font>
      <b/>
      <sz val="16"/>
      <color theme="1"/>
      <name val="Calibri"/>
      <family val="2"/>
      <scheme val="minor"/>
    </font>
    <font>
      <sz val="11"/>
      <color rgb="FFFF99CC"/>
      <name val="Calibri"/>
      <family val="2"/>
      <scheme val="minor"/>
    </font>
    <font>
      <sz val="8"/>
      <color rgb="FFC00000"/>
      <name val="Calibri"/>
      <family val="2"/>
      <scheme val="minor"/>
    </font>
    <font>
      <b/>
      <i/>
      <sz val="8"/>
      <color theme="1"/>
      <name val="Calibri"/>
      <family val="2"/>
      <scheme val="minor"/>
    </font>
    <font>
      <b/>
      <sz val="9"/>
      <color theme="0"/>
      <name val="Arial"/>
      <family val="2"/>
    </font>
    <font>
      <b/>
      <vertAlign val="subscript"/>
      <sz val="11"/>
      <name val="Calibri"/>
      <family val="2"/>
      <scheme val="minor"/>
    </font>
    <font>
      <sz val="10"/>
      <name val="Arial"/>
      <family val="2"/>
    </font>
    <font>
      <sz val="10"/>
      <name val="Arial"/>
      <family val="2"/>
    </font>
    <font>
      <b/>
      <sz val="11"/>
      <color theme="3" tint="-0.249977111117893"/>
      <name val="Calibri"/>
      <family val="2"/>
      <scheme val="minor"/>
    </font>
    <font>
      <b/>
      <vertAlign val="superscript"/>
      <sz val="11"/>
      <color theme="3" tint="-0.249977111117893"/>
      <name val="Calibri"/>
      <family val="2"/>
      <scheme val="minor"/>
    </font>
    <font>
      <sz val="11"/>
      <color theme="3" tint="-0.249977111117893"/>
      <name val="Calibri"/>
      <family val="2"/>
      <scheme val="minor"/>
    </font>
    <font>
      <sz val="5"/>
      <color theme="1"/>
      <name val="Arial"/>
      <family val="2"/>
    </font>
    <font>
      <b/>
      <sz val="11"/>
      <color rgb="FFA6A6A6"/>
      <name val="Arial"/>
      <family val="2"/>
    </font>
    <font>
      <sz val="10"/>
      <color rgb="FF000000"/>
      <name val="Arial Rounded MT Bold"/>
      <family val="2"/>
    </font>
    <font>
      <sz val="10"/>
      <color theme="1"/>
      <name val="Arial Rounded MT Bold"/>
      <family val="2"/>
    </font>
    <font>
      <sz val="9"/>
      <color rgb="FF000000"/>
      <name val="Calibri"/>
      <family val="2"/>
    </font>
    <font>
      <b/>
      <sz val="9"/>
      <color rgb="FF000000"/>
      <name val="Calibri"/>
      <family val="2"/>
    </font>
    <font>
      <sz val="9"/>
      <color rgb="FFFF0000"/>
      <name val="Calibri"/>
      <family val="2"/>
    </font>
    <font>
      <sz val="9"/>
      <color theme="1"/>
      <name val="Times New Roman"/>
      <family val="1"/>
    </font>
    <font>
      <b/>
      <sz val="12"/>
      <color rgb="FF000000"/>
      <name val="Calibri"/>
      <family val="2"/>
    </font>
    <font>
      <sz val="10"/>
      <name val="Arial"/>
      <family val="2"/>
    </font>
    <font>
      <u/>
      <sz val="11"/>
      <color theme="10"/>
      <name val="Calibri"/>
      <family val="2"/>
      <scheme val="minor"/>
    </font>
    <font>
      <sz val="9"/>
      <color rgb="FFFF99CC"/>
      <name val="Calibri"/>
      <family val="2"/>
      <scheme val="minor"/>
    </font>
    <font>
      <sz val="8"/>
      <name val="Arial"/>
      <family val="2"/>
    </font>
    <font>
      <b/>
      <sz val="11"/>
      <color rgb="FF00B050"/>
      <name val="Calibri"/>
      <family val="2"/>
      <scheme val="minor"/>
    </font>
    <font>
      <sz val="10"/>
      <color rgb="FF0070C0"/>
      <name val="Calibri"/>
      <family val="2"/>
      <scheme val="minor"/>
    </font>
    <font>
      <sz val="10"/>
      <color rgb="FF0070C0"/>
      <name val="Arial"/>
      <family val="2"/>
    </font>
    <font>
      <sz val="11"/>
      <color theme="3" tint="0.39997558519241921"/>
      <name val="Calibri"/>
      <family val="2"/>
      <scheme val="minor"/>
    </font>
    <font>
      <sz val="10"/>
      <color theme="3" tint="0.39997558519241921"/>
      <name val="Calibri"/>
      <family val="2"/>
      <scheme val="minor"/>
    </font>
    <font>
      <sz val="10"/>
      <color theme="4"/>
      <name val="Calibri"/>
      <family val="2"/>
      <scheme val="minor"/>
    </font>
    <font>
      <sz val="10"/>
      <color theme="4" tint="-0.249977111117893"/>
      <name val="Calibri"/>
      <family val="2"/>
      <scheme val="minor"/>
    </font>
    <font>
      <sz val="10"/>
      <color theme="5" tint="-0.249977111117893"/>
      <name val="Calibri"/>
      <family val="2"/>
      <scheme val="minor"/>
    </font>
    <font>
      <b/>
      <sz val="8"/>
      <color theme="3" tint="-0.249977111117893"/>
      <name val="Calibri"/>
      <family val="2"/>
      <scheme val="minor"/>
    </font>
    <font>
      <b/>
      <vertAlign val="superscript"/>
      <sz val="8"/>
      <color theme="3" tint="-0.249977111117893"/>
      <name val="Calibri"/>
      <family val="2"/>
      <scheme val="minor"/>
    </font>
    <font>
      <b/>
      <sz val="8"/>
      <color theme="3"/>
      <name val="Calibri"/>
      <family val="2"/>
      <scheme val="minor"/>
    </font>
    <font>
      <sz val="9"/>
      <color rgb="FF00B050"/>
      <name val="Calibri"/>
      <family val="2"/>
      <scheme val="minor"/>
    </font>
    <font>
      <b/>
      <sz val="8"/>
      <color rgb="FF1C5083"/>
      <name val="Calibri"/>
      <family val="2"/>
      <scheme val="minor"/>
    </font>
    <font>
      <vertAlign val="subscript"/>
      <sz val="9"/>
      <name val="Calibri"/>
      <family val="2"/>
      <scheme val="minor"/>
    </font>
    <font>
      <vertAlign val="subscript"/>
      <sz val="10"/>
      <name val="Calibri"/>
      <family val="2"/>
      <scheme val="minor"/>
    </font>
    <font>
      <b/>
      <sz val="9"/>
      <color rgb="FF1F497D"/>
      <name val="Arial"/>
      <family val="2"/>
    </font>
    <font>
      <sz val="8"/>
      <color theme="0"/>
      <name val="Calibri"/>
      <family val="2"/>
      <scheme val="minor"/>
    </font>
    <font>
      <b/>
      <sz val="10"/>
      <name val="Arial"/>
      <family val="2"/>
    </font>
    <font>
      <sz val="9"/>
      <color theme="4"/>
      <name val="Calibri"/>
      <family val="2"/>
      <scheme val="minor"/>
    </font>
    <font>
      <b/>
      <sz val="8"/>
      <color theme="4"/>
      <name val="Calibri"/>
      <family val="2"/>
      <scheme val="minor"/>
    </font>
    <font>
      <sz val="8"/>
      <color theme="4"/>
      <name val="Calibri"/>
      <family val="2"/>
      <scheme val="minor"/>
    </font>
    <font>
      <b/>
      <sz val="9"/>
      <color theme="4"/>
      <name val="Calibri"/>
      <family val="2"/>
      <scheme val="minor"/>
    </font>
    <font>
      <vertAlign val="superscript"/>
      <sz val="8"/>
      <color theme="1"/>
      <name val="Arial"/>
      <family val="2"/>
    </font>
    <font>
      <sz val="14"/>
      <color theme="1"/>
      <name val="Arial"/>
      <family val="2"/>
    </font>
    <font>
      <b/>
      <sz val="9"/>
      <name val="Arial"/>
      <family val="2"/>
    </font>
    <font>
      <b/>
      <i/>
      <sz val="11"/>
      <color rgb="FF1C5083"/>
      <name val="Calibri"/>
      <family val="2"/>
      <scheme val="minor"/>
    </font>
    <font>
      <sz val="16"/>
      <color rgb="FF111111"/>
      <name val="Georgia"/>
      <family val="1"/>
    </font>
    <font>
      <b/>
      <sz val="11"/>
      <color theme="1"/>
      <name val="Calibri"/>
      <family val="2"/>
    </font>
    <font>
      <i/>
      <sz val="8"/>
      <color theme="1"/>
      <name val="Calibri"/>
      <family val="2"/>
    </font>
    <font>
      <i/>
      <sz val="9"/>
      <color theme="1"/>
      <name val="Calibri"/>
      <family val="2"/>
    </font>
    <font>
      <i/>
      <sz val="9"/>
      <color theme="1"/>
      <name val="Arial"/>
      <family val="2"/>
    </font>
    <font>
      <vertAlign val="subscript"/>
      <sz val="8"/>
      <color theme="1"/>
      <name val="Calibri"/>
      <family val="2"/>
      <scheme val="minor"/>
    </font>
    <font>
      <vertAlign val="subscript"/>
      <sz val="9"/>
      <color theme="1"/>
      <name val="Calibri"/>
      <family val="2"/>
      <scheme val="minor"/>
    </font>
    <font>
      <sz val="9"/>
      <color indexed="81"/>
      <name val="Tahoma"/>
      <charset val="1"/>
    </font>
    <font>
      <b/>
      <sz val="9"/>
      <color indexed="81"/>
      <name val="Tahoma"/>
      <charset val="1"/>
    </font>
    <font>
      <i/>
      <sz val="10"/>
      <color theme="1"/>
      <name val="Calibri"/>
      <family val="2"/>
      <scheme val="minor"/>
    </font>
  </fonts>
  <fills count="67">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FAE5B0"/>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97F961"/>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249977111117893"/>
        <bgColor indexed="64"/>
      </patternFill>
    </fill>
    <fill>
      <patternFill patternType="solid">
        <fgColor theme="6"/>
        <bgColor indexed="64"/>
      </patternFill>
    </fill>
    <fill>
      <patternFill patternType="solid">
        <fgColor theme="6" tint="0.79998168889431442"/>
        <bgColor indexed="64"/>
      </patternFill>
    </fill>
    <fill>
      <patternFill patternType="solid">
        <fgColor theme="5" tint="-0.249977111117893"/>
        <bgColor indexed="64"/>
      </patternFill>
    </fill>
    <fill>
      <patternFill patternType="solid">
        <fgColor theme="0" tint="-0.34998626667073579"/>
        <bgColor indexed="64"/>
      </patternFill>
    </fill>
    <fill>
      <patternFill patternType="solid">
        <fgColor theme="4" tint="0.39997558519241921"/>
        <bgColor indexed="64"/>
      </patternFill>
    </fill>
    <fill>
      <patternFill patternType="solid">
        <fgColor theme="4"/>
        <bgColor indexed="64"/>
      </patternFill>
    </fill>
    <fill>
      <patternFill patternType="solid">
        <fgColor rgb="FF92D050"/>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FF0000"/>
        <bgColor indexed="64"/>
      </patternFill>
    </fill>
    <fill>
      <patternFill patternType="solid">
        <fgColor rgb="FF00B050"/>
        <bgColor indexed="64"/>
      </patternFill>
    </fill>
    <fill>
      <patternFill patternType="solid">
        <fgColor rgb="FFFFC000"/>
        <bgColor indexed="64"/>
      </patternFill>
    </fill>
    <fill>
      <patternFill patternType="solid">
        <fgColor theme="2"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6" tint="-0.249977111117893"/>
        <bgColor indexed="64"/>
      </patternFill>
    </fill>
    <fill>
      <patternFill patternType="solid">
        <fgColor theme="9" tint="0.39997558519241921"/>
        <bgColor indexed="64"/>
      </patternFill>
    </fill>
    <fill>
      <patternFill patternType="solid">
        <fgColor rgb="FFEEECE1"/>
        <bgColor indexed="64"/>
      </patternFill>
    </fill>
    <fill>
      <patternFill patternType="solid">
        <fgColor theme="3" tint="-0.249977111117893"/>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theme="3" tint="0.39997558519241921"/>
        <bgColor indexed="64"/>
      </patternFill>
    </fill>
    <fill>
      <patternFill patternType="solid">
        <fgColor theme="8" tint="0.59999389629810485"/>
        <bgColor indexed="64"/>
      </patternFill>
    </fill>
    <fill>
      <patternFill patternType="solid">
        <fgColor rgb="FF002060"/>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3"/>
        <bgColor indexed="64"/>
      </patternFill>
    </fill>
    <fill>
      <patternFill patternType="solid">
        <fgColor theme="1" tint="0.499984740745262"/>
        <bgColor indexed="64"/>
      </patternFill>
    </fill>
    <fill>
      <patternFill patternType="solid">
        <fgColor theme="2" tint="-0.499984740745262"/>
        <bgColor indexed="64"/>
      </patternFill>
    </fill>
    <fill>
      <patternFill patternType="solid">
        <fgColor rgb="FFFFFFFF"/>
        <bgColor indexed="64"/>
      </patternFill>
    </fill>
    <fill>
      <patternFill patternType="solid">
        <fgColor rgb="FFA5A5A5"/>
      </patternFill>
    </fill>
    <fill>
      <patternFill patternType="solid">
        <fgColor rgb="FFF2F2F2"/>
      </patternFill>
    </fill>
    <fill>
      <patternFill patternType="solid">
        <fgColor theme="2" tint="-9.9978637043366805E-2"/>
        <bgColor indexed="64"/>
      </patternFill>
    </fill>
    <fill>
      <patternFill patternType="solid">
        <fgColor theme="2"/>
        <bgColor indexed="64"/>
      </patternFill>
    </fill>
    <fill>
      <patternFill patternType="solid">
        <fgColor rgb="FFF2F2F2"/>
        <bgColor indexed="64"/>
      </patternFill>
    </fill>
    <fill>
      <patternFill patternType="solid">
        <fgColor rgb="FFFF99CC"/>
        <bgColor indexed="64"/>
      </patternFill>
    </fill>
    <fill>
      <patternFill patternType="solid">
        <fgColor theme="0" tint="-0.499984740745262"/>
        <bgColor indexed="64"/>
      </patternFill>
    </fill>
    <fill>
      <patternFill patternType="solid">
        <fgColor theme="1" tint="0.249977111117893"/>
        <bgColor indexed="64"/>
      </patternFill>
    </fill>
    <fill>
      <patternFill patternType="solid">
        <fgColor theme="1" tint="0.34998626667073579"/>
        <bgColor indexed="64"/>
      </patternFill>
    </fill>
    <fill>
      <patternFill patternType="solid">
        <fgColor theme="6" tint="0.39997558519241921"/>
        <bgColor indexed="64"/>
      </patternFill>
    </fill>
    <fill>
      <patternFill patternType="solid">
        <fgColor rgb="FFEDEDED"/>
        <bgColor indexed="64"/>
      </patternFill>
    </fill>
    <fill>
      <patternFill patternType="solid">
        <fgColor rgb="FFED33CA"/>
        <bgColor indexed="64"/>
      </patternFill>
    </fill>
    <fill>
      <patternFill patternType="solid">
        <fgColor rgb="FFFFFF66"/>
        <bgColor indexed="64"/>
      </patternFill>
    </fill>
    <fill>
      <patternFill patternType="solid">
        <fgColor rgb="FF70CFF2"/>
        <bgColor indexed="64"/>
      </patternFill>
    </fill>
    <fill>
      <patternFill patternType="solid">
        <fgColor theme="5" tint="0.39997558519241921"/>
        <bgColor indexed="64"/>
      </patternFill>
    </fill>
    <fill>
      <patternFill patternType="solid">
        <fgColor theme="8"/>
        <bgColor indexed="64"/>
      </patternFill>
    </fill>
    <fill>
      <patternFill patternType="solid">
        <fgColor rgb="FFC8CACB"/>
        <bgColor indexed="64"/>
      </patternFill>
    </fill>
    <fill>
      <patternFill patternType="solid">
        <fgColor theme="7" tint="0.79998168889431442"/>
        <bgColor indexed="64"/>
      </patternFill>
    </fill>
    <fill>
      <patternFill patternType="solid">
        <fgColor rgb="FFA2BAB9"/>
        <bgColor indexed="64"/>
      </patternFill>
    </fill>
    <fill>
      <patternFill patternType="solid">
        <fgColor rgb="FF7D8186"/>
        <bgColor indexed="64"/>
      </patternFill>
    </fill>
  </fills>
  <borders count="20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diagonal/>
    </border>
    <border>
      <left style="thin">
        <color indexed="64"/>
      </left>
      <right style="thin">
        <color indexed="64"/>
      </right>
      <top/>
      <bottom/>
      <diagonal/>
    </border>
    <border>
      <left/>
      <right/>
      <top/>
      <bottom style="double">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diagonal/>
    </border>
    <border>
      <left/>
      <right/>
      <top style="thin">
        <color theme="4" tint="0.79998168889431442"/>
      </top>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style="thin">
        <color theme="4" tint="0.79998168889431442"/>
      </left>
      <right style="thin">
        <color theme="4" tint="0.79998168889431442"/>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top/>
      <bottom/>
      <diagonal/>
    </border>
    <border>
      <left/>
      <right style="thin">
        <color theme="0" tint="-0.249977111117893"/>
      </right>
      <top/>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bottom style="thin">
        <color theme="0" tint="-0.249977111117893"/>
      </bottom>
      <diagonal/>
    </border>
    <border>
      <left style="medium">
        <color theme="1"/>
      </left>
      <right/>
      <top/>
      <bottom/>
      <diagonal/>
    </border>
    <border>
      <left/>
      <right style="medium">
        <color theme="1"/>
      </right>
      <top/>
      <bottom/>
      <diagonal/>
    </border>
    <border>
      <left/>
      <right style="thin">
        <color indexed="64"/>
      </right>
      <top/>
      <bottom/>
      <diagonal/>
    </border>
    <border>
      <left style="medium">
        <color indexed="64"/>
      </left>
      <right style="thin">
        <color theme="0" tint="-0.249977111117893"/>
      </right>
      <top style="medium">
        <color indexed="64"/>
      </top>
      <bottom/>
      <diagonal/>
    </border>
    <border>
      <left style="thin">
        <color theme="0" tint="-0.249977111117893"/>
      </left>
      <right style="thin">
        <color theme="0" tint="-0.249977111117893"/>
      </right>
      <top style="medium">
        <color indexed="64"/>
      </top>
      <bottom/>
      <diagonal/>
    </border>
    <border>
      <left style="thin">
        <color theme="0" tint="-0.249977111117893"/>
      </left>
      <right style="medium">
        <color indexed="64"/>
      </right>
      <top style="medium">
        <color indexed="64"/>
      </top>
      <bottom/>
      <diagonal/>
    </border>
    <border>
      <left style="thin">
        <color theme="0" tint="-0.249977111117893"/>
      </left>
      <right/>
      <top style="medium">
        <color indexed="64"/>
      </top>
      <bottom/>
      <diagonal/>
    </border>
    <border>
      <left/>
      <right style="thin">
        <color theme="0" tint="-0.249977111117893"/>
      </right>
      <top style="medium">
        <color indexed="64"/>
      </top>
      <bottom/>
      <diagonal/>
    </border>
    <border>
      <left style="thin">
        <color theme="0" tint="-0.249977111117893"/>
      </left>
      <right style="medium">
        <color indexed="64"/>
      </right>
      <top/>
      <bottom/>
      <diagonal/>
    </border>
    <border>
      <left/>
      <right style="medium">
        <color indexed="64"/>
      </right>
      <top/>
      <bottom style="thin">
        <color theme="0" tint="-0.14999847407452621"/>
      </bottom>
      <diagonal/>
    </border>
    <border>
      <left style="thin">
        <color theme="0" tint="-0.249977111117893"/>
      </left>
      <right style="medium">
        <color indexed="64"/>
      </right>
      <top/>
      <bottom style="thin">
        <color theme="0" tint="-0.249977111117893"/>
      </bottom>
      <diagonal/>
    </border>
    <border>
      <left style="thin">
        <color theme="0" tint="-0.14999847407452621"/>
      </left>
      <right/>
      <top/>
      <bottom/>
      <diagonal/>
    </border>
    <border>
      <left style="thin">
        <color theme="0" tint="-0.14999847407452621"/>
      </left>
      <right style="thin">
        <color theme="0" tint="-0.14999847407452621"/>
      </right>
      <top style="thin">
        <color theme="0" tint="-0.249977111117893"/>
      </top>
      <bottom/>
      <diagonal/>
    </border>
    <border>
      <left style="thin">
        <color theme="0" tint="-0.14999847407452621"/>
      </left>
      <right style="thin">
        <color theme="0" tint="-0.14999847407452621"/>
      </right>
      <top/>
      <bottom/>
      <diagonal/>
    </border>
    <border>
      <left style="thin">
        <color theme="0" tint="-0.14999847407452621"/>
      </left>
      <right style="medium">
        <color indexed="64"/>
      </right>
      <top/>
      <bottom/>
      <diagonal/>
    </border>
    <border>
      <left style="medium">
        <color indexed="64"/>
      </left>
      <right style="thin">
        <color theme="0" tint="-0.249977111117893"/>
      </right>
      <top/>
      <bottom/>
      <diagonal/>
    </border>
    <border>
      <left style="medium">
        <color indexed="64"/>
      </left>
      <right style="thin">
        <color theme="0" tint="-0.249977111117893"/>
      </right>
      <top/>
      <bottom style="thin">
        <color theme="0" tint="-0.249977111117893"/>
      </bottom>
      <diagonal/>
    </border>
    <border>
      <left/>
      <right style="thin">
        <color theme="0" tint="-0.14999847407452621"/>
      </right>
      <top/>
      <bottom style="thin">
        <color theme="0" tint="-0.14999847407452621"/>
      </bottom>
      <diagonal/>
    </border>
    <border>
      <left/>
      <right style="thin">
        <color theme="0" tint="-0.14999847407452621"/>
      </right>
      <top/>
      <bottom/>
      <diagonal/>
    </border>
    <border>
      <left/>
      <right style="thin">
        <color theme="0" tint="-0.14999847407452621"/>
      </right>
      <top/>
      <bottom style="thin">
        <color theme="2"/>
      </bottom>
      <diagonal/>
    </border>
    <border>
      <left style="medium">
        <color indexed="64"/>
      </left>
      <right style="thin">
        <color theme="0" tint="-0.14999847407452621"/>
      </right>
      <top/>
      <bottom/>
      <diagonal/>
    </border>
    <border>
      <left/>
      <right/>
      <top style="thin">
        <color theme="2"/>
      </top>
      <bottom/>
      <diagonal/>
    </border>
    <border>
      <left style="thin">
        <color theme="0" tint="-0.249977111117893"/>
      </left>
      <right style="thin">
        <color theme="0" tint="-0.249977111117893"/>
      </right>
      <top/>
      <bottom style="thin">
        <color theme="0" tint="-0.14999847407452621"/>
      </bottom>
      <diagonal/>
    </border>
    <border>
      <left/>
      <right style="medium">
        <color indexed="64"/>
      </right>
      <top/>
      <bottom style="thin">
        <color theme="0" tint="-0.249977111117893"/>
      </bottom>
      <diagonal/>
    </border>
    <border>
      <left style="medium">
        <color indexed="64"/>
      </left>
      <right style="thin">
        <color theme="0" tint="-0.249977111117893"/>
      </right>
      <top style="thin">
        <color theme="0" tint="-0.249977111117893"/>
      </top>
      <bottom/>
      <diagonal/>
    </border>
    <border>
      <left/>
      <right style="medium">
        <color indexed="64"/>
      </right>
      <top style="thin">
        <color theme="0" tint="-0.249977111117893"/>
      </top>
      <bottom/>
      <diagonal/>
    </border>
    <border>
      <left/>
      <right style="thin">
        <color theme="0" tint="-0.249977111117893"/>
      </right>
      <top style="thin">
        <color theme="0" tint="-0.249977111117893"/>
      </top>
      <bottom style="thin">
        <color theme="2"/>
      </bottom>
      <diagonal/>
    </border>
    <border>
      <left style="thin">
        <color theme="0" tint="-0.249977111117893"/>
      </left>
      <right/>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medium">
        <color indexed="64"/>
      </right>
      <top style="thin">
        <color theme="0" tint="-0.249977111117893"/>
      </top>
      <bottom style="thin">
        <color theme="0" tint="-0.249977111117893"/>
      </bottom>
      <diagonal/>
    </border>
    <border>
      <left style="medium">
        <color indexed="64"/>
      </left>
      <right/>
      <top style="thin">
        <color theme="0" tint="-0.249977111117893"/>
      </top>
      <bottom style="medium">
        <color indexed="64"/>
      </bottom>
      <diagonal/>
    </border>
    <border>
      <left/>
      <right style="thin">
        <color theme="0" tint="-0.249977111117893"/>
      </right>
      <top style="thin">
        <color theme="0" tint="-0.249977111117893"/>
      </top>
      <bottom style="medium">
        <color indexed="64"/>
      </bottom>
      <diagonal/>
    </border>
    <border>
      <left/>
      <right/>
      <top style="thin">
        <color theme="0" tint="-0.249977111117893"/>
      </top>
      <bottom style="medium">
        <color indexed="64"/>
      </bottom>
      <diagonal/>
    </border>
    <border>
      <left/>
      <right style="medium">
        <color indexed="64"/>
      </right>
      <top style="thin">
        <color theme="0" tint="-0.249977111117893"/>
      </top>
      <bottom style="medium">
        <color indexed="64"/>
      </bottom>
      <diagonal/>
    </border>
    <border>
      <left/>
      <right style="thin">
        <color theme="0" tint="-0.249977111117893"/>
      </right>
      <top/>
      <bottom style="medium">
        <color indexed="64"/>
      </bottom>
      <diagonal/>
    </border>
    <border>
      <left style="thin">
        <color theme="0" tint="-0.14999847407452621"/>
      </left>
      <right/>
      <top style="medium">
        <color indexed="64"/>
      </top>
      <bottom/>
      <diagonal/>
    </border>
    <border>
      <left style="medium">
        <color indexed="64"/>
      </left>
      <right style="thin">
        <color theme="0" tint="-0.14999847407452621"/>
      </right>
      <top/>
      <bottom style="thin">
        <color theme="0" tint="-0.14999847407452621"/>
      </bottom>
      <diagonal/>
    </border>
    <border>
      <left style="medium">
        <color indexed="64"/>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style="thin">
        <color theme="0" tint="-0.14999847407452621"/>
      </right>
      <top/>
      <bottom style="thin">
        <color theme="0" tint="-0.14999847407452621"/>
      </bottom>
      <diagonal/>
    </border>
    <border>
      <left style="medium">
        <color indexed="64"/>
      </left>
      <right/>
      <top/>
      <bottom style="thin">
        <color theme="0" tint="-0.249977111117893"/>
      </bottom>
      <diagonal/>
    </border>
    <border>
      <left style="thin">
        <color theme="0" tint="-0.249977111117893"/>
      </left>
      <right style="thin">
        <color theme="0" tint="-0.14999847407452621"/>
      </right>
      <top/>
      <bottom/>
      <diagonal/>
    </border>
    <border>
      <left style="medium">
        <color indexed="64"/>
      </left>
      <right style="thin">
        <color indexed="64"/>
      </right>
      <top/>
      <bottom/>
      <diagonal/>
    </border>
    <border>
      <left style="medium">
        <color indexed="64"/>
      </left>
      <right style="thin">
        <color theme="0" tint="-0.14999847407452621"/>
      </right>
      <top/>
      <bottom style="thin">
        <color theme="0" tint="-0.249977111117893"/>
      </bottom>
      <diagonal/>
    </border>
    <border>
      <left/>
      <right style="thin">
        <color theme="0" tint="-0.14999847407452621"/>
      </right>
      <top style="thin">
        <color theme="0" tint="-0.14999847407452621"/>
      </top>
      <bottom/>
      <diagonal/>
    </border>
    <border>
      <left style="thin">
        <color theme="0" tint="-0.14999847407452621"/>
      </left>
      <right/>
      <top style="thin">
        <color theme="0" tint="-0.14999847407452621"/>
      </top>
      <bottom/>
      <diagonal/>
    </border>
    <border>
      <left style="medium">
        <color indexed="64"/>
      </left>
      <right style="thin">
        <color theme="0" tint="-0.14999847407452621"/>
      </right>
      <top style="thin">
        <color theme="0" tint="-0.249977111117893"/>
      </top>
      <bottom/>
      <diagonal/>
    </border>
    <border>
      <left style="thin">
        <color theme="0" tint="-0.14999847407452621"/>
      </left>
      <right style="thin">
        <color theme="0" tint="-0.14999847407452621"/>
      </right>
      <top/>
      <bottom style="thin">
        <color theme="0" tint="-0.249977111117893"/>
      </bottom>
      <diagonal/>
    </border>
    <border>
      <left style="thin">
        <color theme="0" tint="-0.249977111117893"/>
      </left>
      <right style="thin">
        <color theme="0" tint="-0.14999847407452621"/>
      </right>
      <top style="thin">
        <color theme="0" tint="-0.249977111117893"/>
      </top>
      <bottom/>
      <diagonal/>
    </border>
    <border>
      <left style="thin">
        <color theme="0" tint="-0.249977111117893"/>
      </left>
      <right style="medium">
        <color indexed="64"/>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14999847407452621"/>
      </bottom>
      <diagonal/>
    </border>
    <border>
      <left style="thin">
        <color theme="0" tint="-0.249977111117893"/>
      </left>
      <right style="medium">
        <color indexed="64"/>
      </right>
      <top style="thin">
        <color theme="0" tint="-0.249977111117893"/>
      </top>
      <bottom style="thin">
        <color theme="0" tint="-0.14999847407452621"/>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14999847407452621"/>
      </top>
      <bottom style="thin">
        <color theme="0" tint="-0.249977111117893"/>
      </bottom>
      <diagonal/>
    </border>
    <border>
      <left style="thin">
        <color theme="0" tint="-0.249977111117893"/>
      </left>
      <right style="medium">
        <color indexed="64"/>
      </right>
      <top style="thin">
        <color theme="0" tint="-0.14999847407452621"/>
      </top>
      <bottom style="thin">
        <color theme="0" tint="-0.249977111117893"/>
      </bottom>
      <diagonal/>
    </border>
    <border>
      <left style="medium">
        <color indexed="64"/>
      </left>
      <right/>
      <top style="thin">
        <color theme="0" tint="-0.249977111117893"/>
      </top>
      <bottom/>
      <diagonal/>
    </border>
    <border>
      <left/>
      <right style="thin">
        <color theme="0" tint="-0.14999847407452621"/>
      </right>
      <top style="thin">
        <color theme="0" tint="-0.249977111117893"/>
      </top>
      <bottom style="medium">
        <color indexed="64"/>
      </bottom>
      <diagonal/>
    </border>
    <border>
      <left style="medium">
        <color indexed="64"/>
      </left>
      <right style="thin">
        <color theme="0" tint="-0.14999847407452621"/>
      </right>
      <top style="thin">
        <color theme="0" tint="-0.249977111117893"/>
      </top>
      <bottom style="medium">
        <color indexed="64"/>
      </bottom>
      <diagonal/>
    </border>
    <border>
      <left style="thin">
        <color theme="0" tint="-0.14999847407452621"/>
      </left>
      <right style="thin">
        <color theme="0" tint="-0.14999847407452621"/>
      </right>
      <top style="thin">
        <color theme="0" tint="-0.249977111117893"/>
      </top>
      <bottom style="medium">
        <color indexed="64"/>
      </bottom>
      <diagonal/>
    </border>
    <border>
      <left style="thin">
        <color theme="0" tint="-0.14999847407452621"/>
      </left>
      <right/>
      <top/>
      <bottom style="medium">
        <color indexed="64"/>
      </bottom>
      <diagonal/>
    </border>
    <border>
      <left style="medium">
        <color indexed="64"/>
      </left>
      <right style="thin">
        <color theme="0" tint="-0.14999847407452621"/>
      </right>
      <top/>
      <bottom style="medium">
        <color indexed="64"/>
      </bottom>
      <diagonal/>
    </border>
    <border>
      <left style="thin">
        <color theme="0" tint="-0.14999847407452621"/>
      </left>
      <right style="thin">
        <color theme="0" tint="-0.14999847407452621"/>
      </right>
      <top/>
      <bottom style="medium">
        <color indexed="64"/>
      </bottom>
      <diagonal/>
    </border>
    <border>
      <left/>
      <right style="thin">
        <color theme="0" tint="-0.14999847407452621"/>
      </right>
      <top/>
      <bottom style="medium">
        <color indexed="64"/>
      </bottom>
      <diagonal/>
    </border>
    <border>
      <left style="thin">
        <color theme="0" tint="-0.14999847407452621"/>
      </left>
      <right/>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style="thin">
        <color theme="0" tint="-0.14999847407452621"/>
      </left>
      <right style="medium">
        <color indexed="64"/>
      </right>
      <top style="thin">
        <color theme="0" tint="-0.14999847407452621"/>
      </top>
      <bottom style="thin">
        <color theme="0" tint="-0.14999847407452621"/>
      </bottom>
      <diagonal/>
    </border>
    <border>
      <left style="thin">
        <color theme="0" tint="-0.14999847407452621"/>
      </left>
      <right style="medium">
        <color indexed="64"/>
      </right>
      <top/>
      <bottom style="thin">
        <color theme="0" tint="-0.14999847407452621"/>
      </bottom>
      <diagonal/>
    </border>
    <border>
      <left style="medium">
        <color indexed="64"/>
      </left>
      <right/>
      <top/>
      <bottom style="medium">
        <color theme="1"/>
      </bottom>
      <diagonal/>
    </border>
    <border>
      <left style="medium">
        <color indexed="64"/>
      </left>
      <right/>
      <top style="medium">
        <color theme="1"/>
      </top>
      <bottom/>
      <diagonal/>
    </border>
    <border>
      <left style="medium">
        <color indexed="64"/>
      </left>
      <right/>
      <top style="medium">
        <color theme="1"/>
      </top>
      <bottom style="thin">
        <color theme="0" tint="-0.249977111117893"/>
      </bottom>
      <diagonal/>
    </border>
    <border>
      <left style="thin">
        <color theme="0" tint="-0.14999847407452621"/>
      </left>
      <right/>
      <top style="thin">
        <color theme="0" tint="-0.249977111117893"/>
      </top>
      <bottom/>
      <diagonal/>
    </border>
    <border>
      <left style="thin">
        <color theme="0" tint="-0.249977111117893"/>
      </left>
      <right style="thin">
        <color theme="0" tint="-0.249977111117893"/>
      </right>
      <top style="thin">
        <color theme="0" tint="-0.14999847407452621"/>
      </top>
      <bottom/>
      <diagonal/>
    </border>
    <border>
      <left style="thin">
        <color theme="0" tint="-0.249977111117893"/>
      </left>
      <right style="thin">
        <color theme="0" tint="-0.14999847407452621"/>
      </right>
      <top style="thin">
        <color theme="0" tint="-0.249977111117893"/>
      </top>
      <bottom style="thin">
        <color theme="0" tint="-0.249977111117893"/>
      </bottom>
      <diagonal/>
    </border>
    <border>
      <left/>
      <right style="thin">
        <color theme="0" tint="-0.14999847407452621"/>
      </right>
      <top style="thin">
        <color theme="0" tint="-0.249977111117893"/>
      </top>
      <bottom/>
      <diagonal/>
    </border>
    <border>
      <left/>
      <right style="thin">
        <color theme="0" tint="-0.249977111117893"/>
      </right>
      <top/>
      <bottom style="thin">
        <color theme="0" tint="-0.14999847407452621"/>
      </bottom>
      <diagonal/>
    </border>
    <border>
      <left/>
      <right/>
      <top/>
      <bottom style="thin">
        <color theme="0" tint="-0.14999847407452621"/>
      </bottom>
      <diagonal/>
    </border>
    <border>
      <left style="thin">
        <color theme="0" tint="-0.249977111117893"/>
      </left>
      <right style="thin">
        <color theme="0" tint="-0.14999847407452621"/>
      </right>
      <top/>
      <bottom style="thin">
        <color theme="0" tint="-0.249977111117893"/>
      </bottom>
      <diagonal/>
    </border>
    <border>
      <left style="medium">
        <color indexed="64"/>
      </left>
      <right style="medium">
        <color indexed="64"/>
      </right>
      <top style="thin">
        <color theme="0" tint="-0.249977111117893"/>
      </top>
      <bottom style="medium">
        <color indexed="64"/>
      </bottom>
      <diagonal/>
    </border>
    <border>
      <left/>
      <right style="thin">
        <color theme="0" tint="-0.249977111117893"/>
      </right>
      <top style="thin">
        <color theme="0" tint="-0.14999847407452621"/>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14999847407452621"/>
      </bottom>
      <diagonal/>
    </border>
    <border>
      <left style="thin">
        <color theme="0" tint="-0.14999847407452621"/>
      </left>
      <right/>
      <top style="thin">
        <color theme="0" tint="-0.249977111117893"/>
      </top>
      <bottom style="medium">
        <color indexed="64"/>
      </bottom>
      <diagonal/>
    </border>
    <border>
      <left style="thin">
        <color theme="0" tint="-0.14999847407452621"/>
      </left>
      <right style="medium">
        <color indexed="64"/>
      </right>
      <top style="thin">
        <color theme="0" tint="-0.249977111117893"/>
      </top>
      <bottom style="medium">
        <color indexed="64"/>
      </bottom>
      <diagonal/>
    </border>
    <border>
      <left/>
      <right/>
      <top style="thin">
        <color theme="0" tint="-0.14999847407452621"/>
      </top>
      <bottom style="thin">
        <color theme="0" tint="-0.14999847407452621"/>
      </bottom>
      <diagonal/>
    </border>
    <border>
      <left style="thin">
        <color theme="0" tint="-0.14999847407452621"/>
      </left>
      <right/>
      <top/>
      <bottom style="thin">
        <color theme="0" tint="-0.249977111117893"/>
      </bottom>
      <diagonal/>
    </border>
    <border>
      <left style="medium">
        <color rgb="FF999999"/>
      </left>
      <right style="medium">
        <color rgb="FF999999"/>
      </right>
      <top/>
      <bottom style="medium">
        <color rgb="FF999999"/>
      </bottom>
      <diagonal/>
    </border>
    <border>
      <left/>
      <right style="medium">
        <color rgb="FF999999"/>
      </right>
      <top/>
      <bottom style="medium">
        <color rgb="FF999999"/>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style="medium">
        <color indexed="64"/>
      </left>
      <right/>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style="thin">
        <color indexed="64"/>
      </left>
      <right style="medium">
        <color indexed="64"/>
      </right>
      <top/>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diagonal/>
    </border>
    <border>
      <left/>
      <right/>
      <top/>
      <bottom style="medium">
        <color rgb="FF999999"/>
      </bottom>
      <diagonal/>
    </border>
    <border>
      <left style="medium">
        <color rgb="FF999999"/>
      </left>
      <right style="medium">
        <color rgb="FF999999"/>
      </right>
      <top/>
      <bottom style="thick">
        <color rgb="FF666666"/>
      </bottom>
      <diagonal/>
    </border>
    <border>
      <left style="thin">
        <color indexed="64"/>
      </left>
      <right/>
      <top/>
      <bottom style="medium">
        <color indexed="6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style="thin">
        <color indexed="64"/>
      </right>
      <top/>
      <bottom style="medium">
        <color indexed="64"/>
      </bottom>
      <diagonal/>
    </border>
    <border>
      <left/>
      <right/>
      <top style="thin">
        <color theme="0" tint="-0.14999847407452621"/>
      </top>
      <bottom/>
      <diagonal/>
    </border>
    <border>
      <left/>
      <right style="thin">
        <color rgb="FF7F7F7F"/>
      </right>
      <top style="thin">
        <color rgb="FF7F7F7F"/>
      </top>
      <bottom style="thin">
        <color rgb="FF7F7F7F"/>
      </bottom>
      <diagonal/>
    </border>
    <border>
      <left/>
      <right style="mediumDashed">
        <color rgb="FFA6A6A6"/>
      </right>
      <top/>
      <bottom/>
      <diagonal/>
    </border>
    <border>
      <left style="mediumDashed">
        <color rgb="FFA6A6A6"/>
      </left>
      <right/>
      <top/>
      <bottom/>
      <diagonal/>
    </border>
    <border>
      <left/>
      <right/>
      <top/>
      <bottom style="medium">
        <color theme="0" tint="-0.249977111117893"/>
      </bottom>
      <diagonal/>
    </border>
    <border>
      <left style="mediumDashed">
        <color rgb="FFA6A6A6"/>
      </left>
      <right/>
      <top style="medium">
        <color theme="0" tint="-0.249977111117893"/>
      </top>
      <bottom/>
      <diagonal/>
    </border>
    <border>
      <left/>
      <right/>
      <top style="medium">
        <color theme="0" tint="-0.249977111117893"/>
      </top>
      <bottom/>
      <diagonal/>
    </border>
    <border>
      <left style="mediumDashed">
        <color rgb="FFA6A6A6"/>
      </left>
      <right/>
      <top/>
      <bottom style="medium">
        <color theme="0" tint="-0.249977111117893"/>
      </bottom>
      <diagonal/>
    </border>
    <border>
      <left/>
      <right style="mediumDashed">
        <color rgb="FFA6A6A6"/>
      </right>
      <top style="medium">
        <color theme="0" tint="-0.249977111117893"/>
      </top>
      <bottom/>
      <diagonal/>
    </border>
    <border>
      <left/>
      <right style="mediumDashed">
        <color rgb="FFA6A6A6"/>
      </right>
      <top/>
      <bottom style="medium">
        <color theme="0" tint="-0.249977111117893"/>
      </bottom>
      <diagonal/>
    </border>
    <border>
      <left style="mediumDashed">
        <color rgb="FFA6A6A6"/>
      </left>
      <right/>
      <top style="medium">
        <color theme="0" tint="-0.249977111117893"/>
      </top>
      <bottom style="thin">
        <color indexed="64"/>
      </bottom>
      <diagonal/>
    </border>
    <border>
      <left/>
      <right/>
      <top style="medium">
        <color theme="0" tint="-0.249977111117893"/>
      </top>
      <bottom style="thin">
        <color indexed="64"/>
      </bottom>
      <diagonal/>
    </border>
    <border>
      <left/>
      <right style="mediumDashed">
        <color rgb="FFA6A6A6"/>
      </right>
      <top style="medium">
        <color theme="0" tint="-0.249977111117893"/>
      </top>
      <bottom style="thin">
        <color indexed="64"/>
      </bottom>
      <diagonal/>
    </border>
    <border>
      <left style="thin">
        <color theme="0" tint="-0.249977111117893"/>
      </left>
      <right/>
      <top style="medium">
        <color indexed="64"/>
      </top>
      <bottom style="medium">
        <color indexed="64"/>
      </bottom>
      <diagonal/>
    </border>
    <border>
      <left/>
      <right style="thin">
        <color indexed="64"/>
      </right>
      <top style="medium">
        <color indexed="64"/>
      </top>
      <bottom style="medium">
        <color indexed="64"/>
      </bottom>
      <diagonal/>
    </border>
    <border>
      <left/>
      <right/>
      <top/>
      <bottom style="thick">
        <color rgb="FFC9C9C9"/>
      </bottom>
      <diagonal/>
    </border>
    <border>
      <left/>
      <right/>
      <top/>
      <bottom style="medium">
        <color rgb="FFC9C9C9"/>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thin">
        <color theme="0" tint="-0.249977111117893"/>
      </left>
      <right style="medium">
        <color indexed="64"/>
      </right>
      <top style="thin">
        <color theme="0" tint="-0.249977111117893"/>
      </top>
      <bottom/>
      <diagonal/>
    </border>
  </borders>
  <cellStyleXfs count="13">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58" fillId="47" borderId="183" applyNumberFormat="0" applyAlignment="0" applyProtection="0"/>
    <xf numFmtId="0" fontId="106" fillId="48" borderId="184" applyNumberFormat="0" applyAlignment="0" applyProtection="0"/>
    <xf numFmtId="0" fontId="114" fillId="0" borderId="0"/>
    <xf numFmtId="43" fontId="115" fillId="0" borderId="0" applyFont="0" applyFill="0" applyBorder="0" applyAlignment="0" applyProtection="0"/>
    <xf numFmtId="0" fontId="128" fillId="0" borderId="0"/>
    <xf numFmtId="43" fontId="1" fillId="0" borderId="0" applyFont="0" applyFill="0" applyBorder="0" applyAlignment="0" applyProtection="0"/>
    <xf numFmtId="43" fontId="114" fillId="0" borderId="0" applyFont="0" applyFill="0" applyBorder="0" applyAlignment="0" applyProtection="0"/>
    <xf numFmtId="0" fontId="129" fillId="0" borderId="0" applyNumberFormat="0" applyFill="0" applyBorder="0" applyAlignment="0" applyProtection="0"/>
  </cellStyleXfs>
  <cellXfs count="5450">
    <xf numFmtId="0" fontId="0" fillId="0" borderId="0" xfId="0"/>
    <xf numFmtId="0" fontId="0" fillId="0" borderId="0" xfId="0" applyBorder="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7" xfId="0" applyBorder="1" applyAlignment="1">
      <alignment horizontal="left" vertical="top" wrapText="1"/>
    </xf>
    <xf numFmtId="0" fontId="0" fillId="0" borderId="7" xfId="0" applyFill="1" applyBorder="1"/>
    <xf numFmtId="0" fontId="0" fillId="0" borderId="8" xfId="0" applyFill="1" applyBorder="1"/>
    <xf numFmtId="0" fontId="0" fillId="0" borderId="9" xfId="0" applyFill="1" applyBorder="1"/>
    <xf numFmtId="0" fontId="0" fillId="0" borderId="10" xfId="0" applyFill="1" applyBorder="1"/>
    <xf numFmtId="0" fontId="0" fillId="0" borderId="7" xfId="0" applyBorder="1" applyAlignment="1">
      <alignment wrapText="1"/>
    </xf>
    <xf numFmtId="0" fontId="0" fillId="0" borderId="9" xfId="0" applyFill="1" applyBorder="1" applyAlignment="1">
      <alignment wrapText="1"/>
    </xf>
    <xf numFmtId="0" fontId="0" fillId="0" borderId="2" xfId="0" applyBorder="1"/>
    <xf numFmtId="0" fontId="0" fillId="0" borderId="16" xfId="0" applyBorder="1"/>
    <xf numFmtId="43" fontId="0" fillId="0" borderId="7" xfId="1" applyFont="1" applyBorder="1"/>
    <xf numFmtId="43" fontId="0" fillId="0" borderId="8" xfId="1" applyFont="1" applyBorder="1"/>
    <xf numFmtId="43" fontId="0" fillId="0" borderId="0" xfId="1" applyFont="1" applyBorder="1"/>
    <xf numFmtId="43" fontId="0" fillId="0" borderId="1" xfId="1" applyFont="1" applyBorder="1"/>
    <xf numFmtId="43" fontId="0" fillId="0" borderId="7" xfId="1" applyFont="1" applyFill="1" applyBorder="1"/>
    <xf numFmtId="43" fontId="0" fillId="0" borderId="0" xfId="1" applyFont="1" applyFill="1" applyBorder="1"/>
    <xf numFmtId="165" fontId="0" fillId="0" borderId="7" xfId="1" applyNumberFormat="1" applyFont="1" applyBorder="1"/>
    <xf numFmtId="165" fontId="0" fillId="0" borderId="0" xfId="1" applyNumberFormat="1" applyFont="1" applyBorder="1"/>
    <xf numFmtId="165" fontId="0" fillId="0" borderId="8" xfId="1" applyNumberFormat="1" applyFont="1" applyBorder="1"/>
    <xf numFmtId="165" fontId="0" fillId="0" borderId="12" xfId="1" applyNumberFormat="1" applyFont="1" applyBorder="1"/>
    <xf numFmtId="0" fontId="0" fillId="0" borderId="0" xfId="0" applyFill="1" applyBorder="1"/>
    <xf numFmtId="0" fontId="2" fillId="0" borderId="0" xfId="0" applyFont="1"/>
    <xf numFmtId="0" fontId="0" fillId="0" borderId="18" xfId="0" applyBorder="1"/>
    <xf numFmtId="0" fontId="0" fillId="0" borderId="19" xfId="0" applyBorder="1"/>
    <xf numFmtId="0" fontId="0" fillId="0" borderId="20" xfId="0" applyBorder="1"/>
    <xf numFmtId="43" fontId="0" fillId="0" borderId="0" xfId="0" applyNumberFormat="1" applyBorder="1"/>
    <xf numFmtId="0" fontId="0" fillId="0" borderId="12" xfId="0" applyFill="1" applyBorder="1"/>
    <xf numFmtId="43" fontId="0" fillId="0" borderId="7" xfId="0" applyNumberFormat="1" applyBorder="1"/>
    <xf numFmtId="43" fontId="0" fillId="0" borderId="8" xfId="0" applyNumberFormat="1" applyBorder="1"/>
    <xf numFmtId="166" fontId="0" fillId="0" borderId="0" xfId="1" applyNumberFormat="1" applyFont="1" applyBorder="1"/>
    <xf numFmtId="166" fontId="0" fillId="0" borderId="0" xfId="1" applyNumberFormat="1" applyFont="1" applyFill="1" applyBorder="1"/>
    <xf numFmtId="0" fontId="7" fillId="0" borderId="0" xfId="0" applyFont="1" applyBorder="1" applyAlignment="1">
      <alignment vertical="top" wrapText="1"/>
    </xf>
    <xf numFmtId="0" fontId="0" fillId="0" borderId="0" xfId="0" applyBorder="1" applyAlignment="1">
      <alignment vertical="top" wrapText="1"/>
    </xf>
    <xf numFmtId="165" fontId="0" fillId="0" borderId="0" xfId="1" applyNumberFormat="1" applyFont="1" applyFill="1" applyBorder="1"/>
    <xf numFmtId="3" fontId="0" fillId="0" borderId="0" xfId="0" applyNumberFormat="1" applyFill="1" applyBorder="1"/>
    <xf numFmtId="3" fontId="0" fillId="0" borderId="0" xfId="0" applyNumberFormat="1"/>
    <xf numFmtId="43" fontId="0" fillId="0" borderId="11" xfId="1" applyFont="1" applyFill="1" applyBorder="1"/>
    <xf numFmtId="0" fontId="9" fillId="0" borderId="0" xfId="0" applyFont="1"/>
    <xf numFmtId="0" fontId="9" fillId="0" borderId="13" xfId="0" applyFont="1" applyBorder="1"/>
    <xf numFmtId="0" fontId="9" fillId="0" borderId="15" xfId="0" applyFont="1" applyBorder="1"/>
    <xf numFmtId="0" fontId="9" fillId="0" borderId="14" xfId="0" applyFont="1" applyBorder="1"/>
    <xf numFmtId="0" fontId="9" fillId="0" borderId="6" xfId="0" applyFont="1" applyBorder="1"/>
    <xf numFmtId="43" fontId="9" fillId="0" borderId="5" xfId="1" applyFont="1" applyBorder="1"/>
    <xf numFmtId="43" fontId="9" fillId="0" borderId="11" xfId="1" applyFont="1" applyBorder="1"/>
    <xf numFmtId="0" fontId="9" fillId="0" borderId="10" xfId="0" applyFont="1" applyBorder="1"/>
    <xf numFmtId="43" fontId="9" fillId="0" borderId="9" xfId="1" applyFont="1" applyBorder="1"/>
    <xf numFmtId="43" fontId="9" fillId="0" borderId="12" xfId="1" applyFont="1" applyBorder="1"/>
    <xf numFmtId="0" fontId="8" fillId="0" borderId="0" xfId="0" applyFont="1" applyBorder="1" applyAlignment="1">
      <alignment horizontal="center" vertical="top" wrapText="1"/>
    </xf>
    <xf numFmtId="0" fontId="9" fillId="0" borderId="0" xfId="0" applyFont="1" applyBorder="1" applyAlignment="1">
      <alignment horizontal="center" vertical="top" wrapText="1"/>
    </xf>
    <xf numFmtId="0" fontId="9" fillId="0" borderId="0" xfId="0" applyFont="1" applyBorder="1" applyAlignment="1">
      <alignment horizontal="center" wrapText="1"/>
    </xf>
    <xf numFmtId="0" fontId="8" fillId="0" borderId="0" xfId="0" applyFont="1" applyBorder="1" applyAlignment="1">
      <alignment horizontal="center" wrapText="1"/>
    </xf>
    <xf numFmtId="0" fontId="0" fillId="0" borderId="5" xfId="0" applyFill="1" applyBorder="1"/>
    <xf numFmtId="0" fontId="0" fillId="0" borderId="27" xfId="0" applyBorder="1"/>
    <xf numFmtId="0" fontId="0" fillId="10" borderId="28" xfId="0" applyFill="1" applyBorder="1"/>
    <xf numFmtId="43" fontId="0" fillId="0" borderId="0" xfId="0" applyNumberFormat="1"/>
    <xf numFmtId="43" fontId="0" fillId="0" borderId="0" xfId="1" applyFont="1" applyFill="1" applyBorder="1" applyAlignment="1">
      <alignment horizontal="right"/>
    </xf>
    <xf numFmtId="0" fontId="2" fillId="0" borderId="0" xfId="0" applyFont="1" applyBorder="1"/>
    <xf numFmtId="0" fontId="0" fillId="0" borderId="1" xfId="0" applyBorder="1"/>
    <xf numFmtId="43" fontId="0" fillId="0" borderId="0" xfId="1" applyNumberFormat="1" applyFont="1" applyFill="1" applyBorder="1"/>
    <xf numFmtId="0" fontId="0" fillId="0" borderId="31" xfId="0" applyBorder="1"/>
    <xf numFmtId="0" fontId="0" fillId="0" borderId="32" xfId="0" applyBorder="1"/>
    <xf numFmtId="0" fontId="0" fillId="0" borderId="33" xfId="0" applyBorder="1"/>
    <xf numFmtId="0" fontId="0" fillId="0" borderId="4" xfId="0" applyBorder="1"/>
    <xf numFmtId="0" fontId="0" fillId="0" borderId="17" xfId="0" applyBorder="1"/>
    <xf numFmtId="0" fontId="0" fillId="0" borderId="26" xfId="0" applyBorder="1"/>
    <xf numFmtId="0" fontId="0" fillId="0" borderId="25" xfId="0" applyBorder="1"/>
    <xf numFmtId="0" fontId="0" fillId="0" borderId="24" xfId="0" applyBorder="1"/>
    <xf numFmtId="0" fontId="16" fillId="0" borderId="0" xfId="0" applyFont="1" applyFill="1" applyBorder="1" applyAlignment="1">
      <alignment horizontal="right" vertical="top"/>
    </xf>
    <xf numFmtId="43" fontId="9" fillId="0" borderId="11" xfId="1" applyNumberFormat="1" applyFont="1" applyFill="1" applyBorder="1"/>
    <xf numFmtId="43" fontId="9" fillId="0" borderId="9" xfId="1" applyFont="1" applyFill="1" applyBorder="1"/>
    <xf numFmtId="43" fontId="9" fillId="0" borderId="12" xfId="1" applyFont="1" applyFill="1" applyBorder="1"/>
    <xf numFmtId="43" fontId="9" fillId="0" borderId="12" xfId="1" applyNumberFormat="1" applyFont="1" applyFill="1" applyBorder="1"/>
    <xf numFmtId="43" fontId="9" fillId="0" borderId="10" xfId="1" applyFont="1" applyFill="1" applyBorder="1"/>
    <xf numFmtId="43" fontId="9" fillId="0" borderId="0" xfId="0" applyNumberFormat="1" applyFont="1" applyFill="1"/>
    <xf numFmtId="165" fontId="0" fillId="0" borderId="0" xfId="0" applyNumberFormat="1"/>
    <xf numFmtId="43" fontId="6" fillId="0" borderId="0" xfId="1" applyFont="1" applyFill="1" applyBorder="1"/>
    <xf numFmtId="4" fontId="0" fillId="0" borderId="0" xfId="1" applyNumberFormat="1" applyFont="1" applyFill="1" applyBorder="1"/>
    <xf numFmtId="0" fontId="0" fillId="0" borderId="0" xfId="0" applyAlignment="1">
      <alignment wrapText="1"/>
    </xf>
    <xf numFmtId="0" fontId="0" fillId="0" borderId="40" xfId="0" applyBorder="1"/>
    <xf numFmtId="43" fontId="15" fillId="0" borderId="0" xfId="1" applyFont="1" applyFill="1" applyBorder="1"/>
    <xf numFmtId="0" fontId="2" fillId="0" borderId="0" xfId="0" applyFont="1" applyFill="1" applyBorder="1"/>
    <xf numFmtId="165" fontId="2" fillId="0" borderId="0" xfId="0" applyNumberFormat="1" applyFont="1" applyFill="1" applyBorder="1"/>
    <xf numFmtId="0" fontId="0" fillId="4" borderId="0" xfId="0" applyFill="1" applyBorder="1"/>
    <xf numFmtId="43" fontId="0" fillId="0" borderId="1" xfId="1" applyFont="1" applyFill="1" applyBorder="1"/>
    <xf numFmtId="0" fontId="0" fillId="0" borderId="7" xfId="0" applyFill="1" applyBorder="1" applyAlignment="1">
      <alignment wrapText="1"/>
    </xf>
    <xf numFmtId="0" fontId="0" fillId="0" borderId="0" xfId="0" applyBorder="1" applyAlignment="1">
      <alignment wrapText="1"/>
    </xf>
    <xf numFmtId="0" fontId="0" fillId="0" borderId="1" xfId="0" applyBorder="1" applyAlignment="1">
      <alignment wrapText="1"/>
    </xf>
    <xf numFmtId="0" fontId="0" fillId="0" borderId="36" xfId="0" applyBorder="1"/>
    <xf numFmtId="0" fontId="0" fillId="0" borderId="37" xfId="0" applyBorder="1"/>
    <xf numFmtId="0" fontId="0" fillId="0" borderId="38" xfId="0" applyBorder="1"/>
    <xf numFmtId="0" fontId="0" fillId="0" borderId="1" xfId="0" applyFill="1" applyBorder="1"/>
    <xf numFmtId="43" fontId="0" fillId="0" borderId="1" xfId="0" applyNumberFormat="1" applyBorder="1"/>
    <xf numFmtId="3" fontId="0" fillId="0" borderId="5" xfId="0" applyNumberFormat="1" applyBorder="1"/>
    <xf numFmtId="0" fontId="18" fillId="0" borderId="1" xfId="0" applyFont="1" applyBorder="1" applyAlignment="1">
      <alignment wrapText="1"/>
    </xf>
    <xf numFmtId="164" fontId="0" fillId="0" borderId="0" xfId="1" applyNumberFormat="1" applyFont="1" applyFill="1" applyBorder="1"/>
    <xf numFmtId="2" fontId="0" fillId="0" borderId="1" xfId="0" applyNumberFormat="1" applyBorder="1"/>
    <xf numFmtId="164" fontId="0" fillId="0" borderId="0" xfId="0" applyNumberFormat="1" applyFill="1" applyBorder="1"/>
    <xf numFmtId="0" fontId="0" fillId="0" borderId="0" xfId="0" applyFill="1"/>
    <xf numFmtId="0" fontId="0" fillId="0" borderId="33" xfId="0" applyBorder="1" applyAlignment="1">
      <alignment horizontal="left" vertical="top" wrapText="1"/>
    </xf>
    <xf numFmtId="0" fontId="0" fillId="0" borderId="43" xfId="0" applyBorder="1" applyAlignment="1">
      <alignment horizontal="left" vertical="top" wrapText="1"/>
    </xf>
    <xf numFmtId="0" fontId="0" fillId="0" borderId="39" xfId="0" applyBorder="1" applyAlignment="1">
      <alignment horizontal="left" vertical="top" wrapText="1"/>
    </xf>
    <xf numFmtId="165" fontId="15" fillId="0" borderId="0" xfId="1" applyNumberFormat="1" applyFont="1" applyFill="1" applyBorder="1"/>
    <xf numFmtId="0" fontId="15" fillId="0" borderId="0" xfId="0" applyFont="1" applyFill="1" applyBorder="1"/>
    <xf numFmtId="0" fontId="15" fillId="0" borderId="7" xfId="0" applyFont="1" applyFill="1" applyBorder="1"/>
    <xf numFmtId="10" fontId="0" fillId="0" borderId="1" xfId="0" applyNumberFormat="1" applyBorder="1"/>
    <xf numFmtId="43" fontId="0" fillId="0" borderId="36" xfId="0" applyNumberFormat="1" applyBorder="1"/>
    <xf numFmtId="4" fontId="0" fillId="0" borderId="1" xfId="0" applyNumberFormat="1" applyBorder="1"/>
    <xf numFmtId="4" fontId="0" fillId="0" borderId="0" xfId="0" applyNumberFormat="1" applyBorder="1"/>
    <xf numFmtId="43" fontId="20" fillId="0" borderId="0" xfId="0" applyNumberFormat="1" applyFont="1" applyBorder="1"/>
    <xf numFmtId="0" fontId="0" fillId="9" borderId="1" xfId="0" applyFill="1" applyBorder="1"/>
    <xf numFmtId="0" fontId="20" fillId="0" borderId="0" xfId="0" applyFont="1"/>
    <xf numFmtId="0" fontId="20" fillId="0" borderId="13" xfId="0" applyFont="1" applyBorder="1"/>
    <xf numFmtId="0" fontId="20" fillId="0" borderId="15" xfId="0" applyFont="1" applyBorder="1"/>
    <xf numFmtId="0" fontId="20" fillId="0" borderId="14" xfId="0" applyFont="1" applyBorder="1"/>
    <xf numFmtId="0" fontId="20" fillId="0" borderId="0" xfId="0" applyFont="1" applyFill="1"/>
    <xf numFmtId="0" fontId="0" fillId="0" borderId="52" xfId="0" applyBorder="1"/>
    <xf numFmtId="165" fontId="0" fillId="0" borderId="12" xfId="1" applyNumberFormat="1" applyFont="1" applyFill="1" applyBorder="1"/>
    <xf numFmtId="165" fontId="0" fillId="0" borderId="0" xfId="0" applyNumberFormat="1" applyFill="1" applyBorder="1"/>
    <xf numFmtId="0" fontId="0" fillId="0" borderId="6" xfId="0" applyFill="1" applyBorder="1"/>
    <xf numFmtId="43" fontId="0" fillId="0" borderId="0" xfId="0" applyNumberFormat="1" applyFill="1" applyBorder="1"/>
    <xf numFmtId="43" fontId="9" fillId="0" borderId="5" xfId="1" applyFont="1" applyFill="1" applyBorder="1"/>
    <xf numFmtId="43" fontId="9" fillId="0" borderId="11" xfId="1" applyFont="1" applyFill="1" applyBorder="1"/>
    <xf numFmtId="43" fontId="9" fillId="0" borderId="6" xfId="1" applyFont="1" applyFill="1" applyBorder="1"/>
    <xf numFmtId="0" fontId="9" fillId="0" borderId="11" xfId="0" applyFont="1" applyBorder="1"/>
    <xf numFmtId="0" fontId="0" fillId="0" borderId="11" xfId="0" applyFill="1" applyBorder="1"/>
    <xf numFmtId="0" fontId="0" fillId="0" borderId="51" xfId="0" applyBorder="1"/>
    <xf numFmtId="165" fontId="2" fillId="0" borderId="0" xfId="1" applyNumberFormat="1" applyFont="1" applyFill="1" applyBorder="1"/>
    <xf numFmtId="0" fontId="15" fillId="0" borderId="8" xfId="0" applyFont="1" applyFill="1" applyBorder="1"/>
    <xf numFmtId="3" fontId="0" fillId="0" borderId="11" xfId="0" applyNumberFormat="1" applyBorder="1"/>
    <xf numFmtId="4" fontId="0" fillId="0" borderId="11" xfId="0" applyNumberFormat="1" applyBorder="1"/>
    <xf numFmtId="0" fontId="0" fillId="0" borderId="30" xfId="0" applyBorder="1"/>
    <xf numFmtId="4" fontId="15" fillId="0" borderId="0" xfId="1" applyNumberFormat="1" applyFont="1" applyFill="1" applyBorder="1"/>
    <xf numFmtId="0" fontId="9" fillId="0" borderId="5" xfId="0" applyFont="1" applyBorder="1"/>
    <xf numFmtId="43" fontId="15" fillId="0" borderId="7" xfId="1" applyFont="1" applyFill="1" applyBorder="1"/>
    <xf numFmtId="0" fontId="19" fillId="0" borderId="5" xfId="0" applyFont="1" applyBorder="1"/>
    <xf numFmtId="0" fontId="19" fillId="0" borderId="11" xfId="0" applyFont="1" applyBorder="1"/>
    <xf numFmtId="0" fontId="19" fillId="0" borderId="6" xfId="0" applyFont="1" applyBorder="1"/>
    <xf numFmtId="0" fontId="0" fillId="0" borderId="53" xfId="0" applyBorder="1"/>
    <xf numFmtId="3" fontId="0" fillId="0" borderId="7" xfId="0" applyNumberFormat="1" applyFill="1" applyBorder="1"/>
    <xf numFmtId="0" fontId="0" fillId="0" borderId="28" xfId="0" applyFill="1" applyBorder="1"/>
    <xf numFmtId="0" fontId="0" fillId="0" borderId="28" xfId="0" applyBorder="1"/>
    <xf numFmtId="0" fontId="0" fillId="0" borderId="29" xfId="0" applyFill="1" applyBorder="1"/>
    <xf numFmtId="3" fontId="0" fillId="0" borderId="0" xfId="0" applyNumberFormat="1" applyBorder="1"/>
    <xf numFmtId="3" fontId="0" fillId="0" borderId="7" xfId="0" applyNumberFormat="1" applyBorder="1"/>
    <xf numFmtId="165" fontId="0" fillId="0" borderId="0" xfId="0" applyNumberFormat="1" applyBorder="1"/>
    <xf numFmtId="0" fontId="0" fillId="0" borderId="50" xfId="0" applyBorder="1"/>
    <xf numFmtId="0" fontId="0" fillId="0" borderId="3" xfId="0" applyBorder="1"/>
    <xf numFmtId="0" fontId="0" fillId="0" borderId="51" xfId="0" applyFill="1" applyBorder="1"/>
    <xf numFmtId="0" fontId="0" fillId="0" borderId="23" xfId="0" applyFill="1" applyBorder="1"/>
    <xf numFmtId="0" fontId="0" fillId="0" borderId="44" xfId="0" applyBorder="1"/>
    <xf numFmtId="0" fontId="0" fillId="0" borderId="45" xfId="0" applyBorder="1"/>
    <xf numFmtId="0" fontId="0" fillId="0" borderId="46" xfId="0" applyBorder="1"/>
    <xf numFmtId="0" fontId="0" fillId="0" borderId="54" xfId="0" applyFill="1" applyBorder="1"/>
    <xf numFmtId="0" fontId="0" fillId="0" borderId="2" xfId="0" applyBorder="1" applyAlignment="1">
      <alignment wrapText="1"/>
    </xf>
    <xf numFmtId="0" fontId="0" fillId="0" borderId="4" xfId="0" applyBorder="1" applyAlignment="1">
      <alignment wrapText="1"/>
    </xf>
    <xf numFmtId="43" fontId="0" fillId="0" borderId="17" xfId="1" applyFont="1" applyBorder="1"/>
    <xf numFmtId="43" fontId="0" fillId="0" borderId="17" xfId="0" applyNumberFormat="1" applyBorder="1"/>
    <xf numFmtId="43" fontId="0" fillId="0" borderId="25" xfId="0" applyNumberFormat="1" applyBorder="1"/>
    <xf numFmtId="10" fontId="0" fillId="0" borderId="0" xfId="0" applyNumberFormat="1" applyBorder="1"/>
    <xf numFmtId="165" fontId="9" fillId="0" borderId="5" xfId="1" applyNumberFormat="1" applyFont="1" applyFill="1" applyBorder="1"/>
    <xf numFmtId="165" fontId="9" fillId="0" borderId="11" xfId="1" applyNumberFormat="1" applyFont="1" applyFill="1" applyBorder="1"/>
    <xf numFmtId="165" fontId="9" fillId="0" borderId="6" xfId="1" applyNumberFormat="1" applyFont="1" applyFill="1" applyBorder="1"/>
    <xf numFmtId="4" fontId="15" fillId="0" borderId="7" xfId="1" applyNumberFormat="1" applyFont="1" applyFill="1" applyBorder="1"/>
    <xf numFmtId="0" fontId="0" fillId="14" borderId="0" xfId="0" applyFill="1"/>
    <xf numFmtId="0" fontId="0" fillId="10" borderId="7" xfId="0" applyFill="1" applyBorder="1"/>
    <xf numFmtId="0" fontId="0" fillId="10" borderId="0" xfId="0" applyFill="1"/>
    <xf numFmtId="43" fontId="0" fillId="10" borderId="0" xfId="1" applyFont="1" applyFill="1" applyBorder="1"/>
    <xf numFmtId="0" fontId="0" fillId="10" borderId="0" xfId="0" applyFill="1" applyBorder="1"/>
    <xf numFmtId="0" fontId="0" fillId="10" borderId="7" xfId="0" applyFill="1" applyBorder="1" applyAlignment="1">
      <alignment wrapText="1"/>
    </xf>
    <xf numFmtId="0" fontId="19" fillId="0" borderId="13" xfId="0" applyFont="1" applyBorder="1"/>
    <xf numFmtId="0" fontId="19" fillId="0" borderId="14" xfId="0" applyFont="1" applyBorder="1"/>
    <xf numFmtId="0" fontId="19" fillId="0" borderId="15" xfId="0" applyFont="1" applyBorder="1"/>
    <xf numFmtId="4" fontId="0" fillId="0" borderId="7" xfId="0" applyNumberFormat="1" applyFill="1" applyBorder="1"/>
    <xf numFmtId="0" fontId="0" fillId="0" borderId="60" xfId="0" applyBorder="1"/>
    <xf numFmtId="0" fontId="0" fillId="0" borderId="61" xfId="0" applyBorder="1"/>
    <xf numFmtId="0" fontId="0" fillId="0" borderId="62" xfId="0" applyBorder="1"/>
    <xf numFmtId="0" fontId="0" fillId="0" borderId="63" xfId="0" applyBorder="1"/>
    <xf numFmtId="41" fontId="9" fillId="0" borderId="11" xfId="1" applyNumberFormat="1" applyFont="1" applyFill="1" applyBorder="1"/>
    <xf numFmtId="0" fontId="19" fillId="0" borderId="5" xfId="0" applyFont="1" applyBorder="1" applyAlignment="1">
      <alignment wrapText="1"/>
    </xf>
    <xf numFmtId="0" fontId="19" fillId="0" borderId="9" xfId="0" applyFont="1" applyBorder="1" applyAlignment="1">
      <alignment wrapText="1"/>
    </xf>
    <xf numFmtId="0" fontId="20" fillId="10" borderId="0" xfId="0" applyFont="1" applyFill="1" applyBorder="1"/>
    <xf numFmtId="0" fontId="20" fillId="0" borderId="0" xfId="0" applyFont="1" applyFill="1" applyBorder="1"/>
    <xf numFmtId="0" fontId="20" fillId="0" borderId="0" xfId="0" applyFont="1" applyFill="1" applyBorder="1" applyAlignment="1">
      <alignment wrapText="1"/>
    </xf>
    <xf numFmtId="0" fontId="20" fillId="0" borderId="12" xfId="0" applyFont="1" applyBorder="1"/>
    <xf numFmtId="0" fontId="20" fillId="0" borderId="9" xfId="0" applyFont="1" applyBorder="1"/>
    <xf numFmtId="0" fontId="20" fillId="0" borderId="0" xfId="0" applyFont="1" applyBorder="1"/>
    <xf numFmtId="3" fontId="20" fillId="0" borderId="0" xfId="0" applyNumberFormat="1" applyFont="1" applyBorder="1"/>
    <xf numFmtId="43" fontId="20" fillId="0" borderId="0" xfId="1" applyFont="1" applyFill="1" applyBorder="1"/>
    <xf numFmtId="43" fontId="20" fillId="0" borderId="0" xfId="1" applyFont="1" applyFill="1" applyBorder="1" applyAlignment="1">
      <alignment horizontal="right"/>
    </xf>
    <xf numFmtId="43" fontId="20" fillId="10" borderId="0" xfId="0" applyNumberFormat="1" applyFont="1" applyFill="1" applyBorder="1"/>
    <xf numFmtId="164" fontId="20" fillId="10" borderId="0" xfId="0" applyNumberFormat="1" applyFont="1" applyFill="1" applyBorder="1"/>
    <xf numFmtId="43" fontId="20" fillId="10" borderId="0" xfId="1" applyFont="1" applyFill="1" applyBorder="1"/>
    <xf numFmtId="43" fontId="20" fillId="0" borderId="0" xfId="1" applyFont="1" applyBorder="1"/>
    <xf numFmtId="0" fontId="20" fillId="16" borderId="0" xfId="0" applyFont="1" applyFill="1" applyBorder="1"/>
    <xf numFmtId="43" fontId="20" fillId="16" borderId="0" xfId="1" applyFont="1" applyFill="1" applyBorder="1"/>
    <xf numFmtId="43" fontId="20" fillId="15" borderId="0" xfId="0" applyNumberFormat="1" applyFont="1" applyFill="1" applyBorder="1"/>
    <xf numFmtId="43" fontId="20" fillId="15" borderId="0" xfId="1" applyFont="1" applyFill="1" applyBorder="1"/>
    <xf numFmtId="167" fontId="20" fillId="0" borderId="0" xfId="1" applyNumberFormat="1" applyFont="1" applyFill="1" applyBorder="1"/>
    <xf numFmtId="0" fontId="20" fillId="0" borderId="0" xfId="0" applyFont="1" applyBorder="1" applyAlignment="1">
      <alignment wrapText="1"/>
    </xf>
    <xf numFmtId="0" fontId="20" fillId="0" borderId="5" xfId="0" applyFont="1" applyBorder="1"/>
    <xf numFmtId="0" fontId="20" fillId="0" borderId="7" xfId="0" applyFont="1" applyBorder="1"/>
    <xf numFmtId="0" fontId="20" fillId="0" borderId="59" xfId="0" applyFont="1" applyBorder="1"/>
    <xf numFmtId="0" fontId="20" fillId="0" borderId="73" xfId="0" applyFont="1" applyBorder="1"/>
    <xf numFmtId="164" fontId="20" fillId="10" borderId="0" xfId="0" applyNumberFormat="1" applyFont="1" applyFill="1" applyBorder="1" applyAlignment="1">
      <alignment wrapText="1"/>
    </xf>
    <xf numFmtId="43" fontId="20" fillId="0" borderId="0" xfId="1" applyFont="1" applyBorder="1" applyAlignment="1">
      <alignment wrapText="1"/>
    </xf>
    <xf numFmtId="0" fontId="27" fillId="0" borderId="0" xfId="0" applyFont="1" applyFill="1" applyBorder="1"/>
    <xf numFmtId="0" fontId="0" fillId="0" borderId="0" xfId="0" applyFill="1" applyBorder="1" applyAlignment="1"/>
    <xf numFmtId="0" fontId="0" fillId="0" borderId="0" xfId="0" applyFill="1" applyBorder="1" applyAlignment="1">
      <alignment wrapText="1"/>
    </xf>
    <xf numFmtId="0" fontId="2" fillId="0" borderId="0" xfId="0" applyFont="1" applyFill="1"/>
    <xf numFmtId="0" fontId="20" fillId="0" borderId="6" xfId="0" applyFont="1" applyBorder="1"/>
    <xf numFmtId="165" fontId="20" fillId="0" borderId="5" xfId="1" applyNumberFormat="1" applyFont="1" applyFill="1" applyBorder="1" applyAlignment="1">
      <alignment horizontal="right"/>
    </xf>
    <xf numFmtId="165" fontId="20" fillId="0" borderId="0" xfId="1" applyNumberFormat="1" applyFont="1" applyFill="1" applyBorder="1"/>
    <xf numFmtId="165" fontId="20" fillId="0" borderId="7" xfId="1" applyNumberFormat="1" applyFont="1" applyFill="1" applyBorder="1"/>
    <xf numFmtId="165" fontId="23" fillId="0" borderId="0" xfId="1" applyNumberFormat="1" applyFont="1" applyFill="1" applyBorder="1"/>
    <xf numFmtId="165" fontId="20" fillId="0" borderId="11" xfId="1" applyNumberFormat="1" applyFont="1" applyFill="1" applyBorder="1"/>
    <xf numFmtId="165" fontId="20" fillId="0" borderId="0" xfId="1" applyNumberFormat="1" applyFont="1" applyFill="1" applyBorder="1" applyAlignment="1">
      <alignment horizontal="right"/>
    </xf>
    <xf numFmtId="165" fontId="23" fillId="0" borderId="11" xfId="1" applyNumberFormat="1" applyFont="1" applyFill="1" applyBorder="1"/>
    <xf numFmtId="0" fontId="18" fillId="0" borderId="7" xfId="0" applyFont="1" applyBorder="1" applyAlignment="1">
      <alignment vertical="top" wrapText="1"/>
    </xf>
    <xf numFmtId="0" fontId="18" fillId="0" borderId="7" xfId="0" applyFont="1" applyBorder="1" applyAlignment="1">
      <alignment wrapText="1"/>
    </xf>
    <xf numFmtId="0" fontId="18" fillId="0" borderId="27" xfId="0" applyFont="1" applyBorder="1" applyAlignment="1">
      <alignment wrapText="1"/>
    </xf>
    <xf numFmtId="0" fontId="18" fillId="0" borderId="28" xfId="0" applyFont="1" applyBorder="1" applyAlignment="1">
      <alignment vertical="top" wrapText="1"/>
    </xf>
    <xf numFmtId="0" fontId="18" fillId="0" borderId="28" xfId="0" applyFont="1" applyBorder="1" applyAlignment="1">
      <alignment wrapText="1"/>
    </xf>
    <xf numFmtId="0" fontId="18" fillId="0" borderId="29" xfId="0" applyFont="1" applyBorder="1" applyAlignment="1">
      <alignment wrapText="1"/>
    </xf>
    <xf numFmtId="0" fontId="18" fillId="0" borderId="28" xfId="0" applyFont="1" applyBorder="1" applyAlignment="1">
      <alignment horizontal="left" vertical="top" wrapText="1"/>
    </xf>
    <xf numFmtId="0" fontId="0" fillId="16" borderId="0" xfId="0" applyFill="1" applyBorder="1"/>
    <xf numFmtId="0" fontId="0" fillId="16" borderId="12" xfId="0" applyFill="1" applyBorder="1"/>
    <xf numFmtId="0" fontId="0" fillId="16" borderId="11" xfId="0" applyFill="1" applyBorder="1"/>
    <xf numFmtId="0" fontId="0" fillId="16" borderId="51" xfId="0" applyFill="1" applyBorder="1"/>
    <xf numFmtId="0" fontId="0" fillId="8" borderId="28" xfId="0" applyFill="1" applyBorder="1"/>
    <xf numFmtId="0" fontId="0" fillId="8" borderId="29" xfId="0" applyFill="1" applyBorder="1"/>
    <xf numFmtId="0" fontId="0" fillId="8" borderId="27" xfId="0" applyFill="1" applyBorder="1"/>
    <xf numFmtId="4" fontId="0" fillId="16" borderId="0" xfId="0" applyNumberFormat="1" applyFill="1" applyBorder="1"/>
    <xf numFmtId="4" fontId="0" fillId="0" borderId="7" xfId="0" applyNumberFormat="1" applyBorder="1"/>
    <xf numFmtId="2" fontId="0" fillId="0" borderId="7" xfId="0" applyNumberFormat="1" applyBorder="1"/>
    <xf numFmtId="2" fontId="0" fillId="0" borderId="0" xfId="0" applyNumberFormat="1" applyBorder="1"/>
    <xf numFmtId="2" fontId="0" fillId="18" borderId="7" xfId="0" applyNumberFormat="1" applyFill="1" applyBorder="1"/>
    <xf numFmtId="2" fontId="0" fillId="18" borderId="0" xfId="0" applyNumberFormat="1" applyFill="1" applyBorder="1"/>
    <xf numFmtId="3" fontId="20" fillId="0" borderId="0" xfId="0" applyNumberFormat="1" applyFont="1" applyFill="1" applyBorder="1" applyAlignment="1">
      <alignment horizontal="center" vertical="center" wrapText="1"/>
    </xf>
    <xf numFmtId="0" fontId="20" fillId="0" borderId="0" xfId="0" applyFont="1" applyFill="1" applyBorder="1" applyAlignment="1"/>
    <xf numFmtId="4" fontId="20" fillId="0" borderId="0" xfId="0" applyNumberFormat="1" applyFont="1" applyFill="1" applyBorder="1"/>
    <xf numFmtId="0" fontId="0" fillId="0" borderId="0" xfId="0" applyBorder="1" applyAlignment="1">
      <alignment horizontal="left" vertical="top" wrapText="1"/>
    </xf>
    <xf numFmtId="0" fontId="0" fillId="0" borderId="0" xfId="0" applyBorder="1" applyAlignment="1"/>
    <xf numFmtId="0" fontId="0" fillId="0" borderId="28" xfId="0" applyBorder="1" applyAlignment="1">
      <alignment horizontal="left" vertical="top" wrapText="1"/>
    </xf>
    <xf numFmtId="0" fontId="0" fillId="0" borderId="28" xfId="0" applyFill="1" applyBorder="1" applyAlignment="1">
      <alignment horizontal="left" vertical="top" wrapText="1"/>
    </xf>
    <xf numFmtId="43" fontId="0" fillId="19" borderId="0" xfId="1" applyFont="1" applyFill="1" applyBorder="1"/>
    <xf numFmtId="0" fontId="0" fillId="19" borderId="0" xfId="0" applyFill="1" applyBorder="1"/>
    <xf numFmtId="0" fontId="0" fillId="0" borderId="19" xfId="0" applyFill="1" applyBorder="1"/>
    <xf numFmtId="0" fontId="11" fillId="0" borderId="7" xfId="0" applyFont="1" applyFill="1" applyBorder="1"/>
    <xf numFmtId="43" fontId="0" fillId="19" borderId="8" xfId="1" applyFont="1" applyFill="1" applyBorder="1"/>
    <xf numFmtId="43" fontId="0" fillId="19" borderId="7" xfId="1" applyFont="1" applyFill="1" applyBorder="1"/>
    <xf numFmtId="44" fontId="0" fillId="0" borderId="0" xfId="2" applyFont="1"/>
    <xf numFmtId="43" fontId="11" fillId="19" borderId="0" xfId="1" applyFont="1" applyFill="1" applyBorder="1"/>
    <xf numFmtId="0" fontId="11" fillId="19" borderId="0" xfId="0" applyFont="1" applyFill="1" applyBorder="1"/>
    <xf numFmtId="44" fontId="0" fillId="10" borderId="1" xfId="2" applyFont="1" applyFill="1" applyBorder="1"/>
    <xf numFmtId="0" fontId="9" fillId="0" borderId="0" xfId="0" applyFont="1" applyBorder="1"/>
    <xf numFmtId="43" fontId="25" fillId="0" borderId="0" xfId="1" applyFont="1" applyFill="1" applyBorder="1"/>
    <xf numFmtId="165" fontId="25" fillId="0" borderId="0" xfId="1" applyNumberFormat="1" applyFont="1" applyBorder="1"/>
    <xf numFmtId="43" fontId="25" fillId="0" borderId="0" xfId="0" applyNumberFormat="1" applyFont="1" applyBorder="1"/>
    <xf numFmtId="43" fontId="9" fillId="0" borderId="0" xfId="0" applyNumberFormat="1" applyFont="1" applyBorder="1"/>
    <xf numFmtId="0" fontId="9" fillId="0" borderId="0" xfId="0" applyFont="1" applyFill="1" applyBorder="1" applyAlignment="1"/>
    <xf numFmtId="0" fontId="9" fillId="0" borderId="0" xfId="0" applyFont="1" applyFill="1" applyBorder="1"/>
    <xf numFmtId="43" fontId="9" fillId="0" borderId="0" xfId="1" applyFont="1" applyFill="1" applyBorder="1"/>
    <xf numFmtId="165" fontId="9" fillId="0" borderId="0" xfId="1" applyNumberFormat="1" applyFont="1" applyFill="1" applyBorder="1"/>
    <xf numFmtId="0" fontId="20" fillId="10" borderId="7" xfId="0" applyFont="1" applyFill="1" applyBorder="1"/>
    <xf numFmtId="0" fontId="32" fillId="19" borderId="55" xfId="0" applyFont="1" applyFill="1" applyBorder="1" applyAlignment="1">
      <alignment vertical="top" wrapText="1"/>
    </xf>
    <xf numFmtId="0" fontId="0" fillId="19" borderId="55" xfId="0" applyFill="1" applyBorder="1"/>
    <xf numFmtId="0" fontId="0" fillId="0" borderId="27" xfId="0" applyBorder="1" applyAlignment="1">
      <alignment wrapText="1"/>
    </xf>
    <xf numFmtId="0" fontId="0" fillId="0" borderId="28" xfId="0" applyBorder="1" applyAlignment="1">
      <alignment wrapText="1"/>
    </xf>
    <xf numFmtId="0" fontId="0" fillId="10" borderId="28" xfId="0" applyFill="1" applyBorder="1" applyAlignment="1">
      <alignment wrapText="1"/>
    </xf>
    <xf numFmtId="43" fontId="1" fillId="0" borderId="0" xfId="1" applyFont="1" applyFill="1" applyBorder="1"/>
    <xf numFmtId="43" fontId="2" fillId="0" borderId="0" xfId="1" applyFont="1" applyFill="1" applyBorder="1"/>
    <xf numFmtId="43" fontId="2" fillId="0" borderId="0" xfId="1" applyNumberFormat="1" applyFont="1" applyFill="1" applyBorder="1"/>
    <xf numFmtId="0" fontId="0" fillId="0" borderId="28" xfId="0" applyBorder="1" applyAlignment="1">
      <alignment vertical="top" wrapText="1"/>
    </xf>
    <xf numFmtId="0" fontId="0" fillId="0" borderId="28" xfId="0" applyFont="1" applyFill="1" applyBorder="1" applyAlignment="1">
      <alignment horizontal="left" wrapText="1"/>
    </xf>
    <xf numFmtId="0" fontId="0" fillId="19" borderId="28" xfId="0" applyFill="1" applyBorder="1"/>
    <xf numFmtId="0" fontId="0" fillId="0" borderId="59" xfId="0" applyBorder="1"/>
    <xf numFmtId="0" fontId="0" fillId="19" borderId="11" xfId="0" applyFill="1" applyBorder="1"/>
    <xf numFmtId="0" fontId="0" fillId="19" borderId="5" xfId="0" applyFill="1" applyBorder="1"/>
    <xf numFmtId="0" fontId="0" fillId="19" borderId="6" xfId="0" applyFill="1" applyBorder="1"/>
    <xf numFmtId="0" fontId="19" fillId="0" borderId="0" xfId="0" applyFont="1" applyBorder="1"/>
    <xf numFmtId="0" fontId="18" fillId="0" borderId="0" xfId="0" applyFont="1" applyBorder="1"/>
    <xf numFmtId="0" fontId="19" fillId="0" borderId="7" xfId="0" applyFont="1" applyFill="1" applyBorder="1"/>
    <xf numFmtId="0" fontId="14" fillId="0" borderId="0" xfId="0" applyFont="1" applyFill="1" applyBorder="1" applyAlignment="1">
      <alignment wrapText="1"/>
    </xf>
    <xf numFmtId="41" fontId="0" fillId="0" borderId="0" xfId="0" applyNumberFormat="1" applyFill="1" applyBorder="1"/>
    <xf numFmtId="3" fontId="0" fillId="0" borderId="0" xfId="1" applyNumberFormat="1" applyFont="1" applyFill="1" applyBorder="1"/>
    <xf numFmtId="0" fontId="20" fillId="15" borderId="0" xfId="0" applyFont="1" applyFill="1" applyBorder="1"/>
    <xf numFmtId="0" fontId="2" fillId="19" borderId="0" xfId="0" applyFont="1" applyFill="1" applyBorder="1"/>
    <xf numFmtId="0" fontId="19" fillId="20" borderId="7" xfId="0" applyFont="1" applyFill="1" applyBorder="1"/>
    <xf numFmtId="0" fontId="19" fillId="20" borderId="0" xfId="0" applyFont="1" applyFill="1" applyBorder="1"/>
    <xf numFmtId="0" fontId="0" fillId="13" borderId="7" xfId="0" applyFill="1" applyBorder="1"/>
    <xf numFmtId="0" fontId="19" fillId="20" borderId="8" xfId="0" applyFont="1" applyFill="1" applyBorder="1"/>
    <xf numFmtId="0" fontId="20" fillId="0" borderId="8" xfId="0" applyFont="1" applyBorder="1"/>
    <xf numFmtId="0" fontId="20" fillId="19" borderId="27" xfId="0" applyFont="1" applyFill="1" applyBorder="1" applyAlignment="1">
      <alignment horizontal="left" vertical="top" wrapText="1"/>
    </xf>
    <xf numFmtId="0" fontId="0" fillId="0" borderId="27" xfId="0" applyFont="1" applyFill="1" applyBorder="1"/>
    <xf numFmtId="0" fontId="19" fillId="0" borderId="28" xfId="0" applyFont="1" applyFill="1" applyBorder="1"/>
    <xf numFmtId="0" fontId="24" fillId="0" borderId="28" xfId="0" applyFont="1" applyBorder="1"/>
    <xf numFmtId="43" fontId="0" fillId="0" borderId="9" xfId="0" applyNumberFormat="1" applyBorder="1"/>
    <xf numFmtId="43" fontId="0" fillId="0" borderId="12" xfId="0" applyNumberFormat="1" applyBorder="1"/>
    <xf numFmtId="43" fontId="0" fillId="0" borderId="10" xfId="0" applyNumberFormat="1" applyBorder="1"/>
    <xf numFmtId="0" fontId="0" fillId="2" borderId="13" xfId="0" applyFill="1" applyBorder="1"/>
    <xf numFmtId="0" fontId="0" fillId="2" borderId="14" xfId="0" applyFill="1" applyBorder="1"/>
    <xf numFmtId="0" fontId="0" fillId="2" borderId="15" xfId="0" applyFill="1" applyBorder="1"/>
    <xf numFmtId="0" fontId="18" fillId="0" borderId="28" xfId="0" applyFont="1" applyBorder="1"/>
    <xf numFmtId="0" fontId="18" fillId="0" borderId="8" xfId="0" applyFont="1" applyBorder="1"/>
    <xf numFmtId="0" fontId="19" fillId="0" borderId="30" xfId="0" applyFont="1" applyBorder="1"/>
    <xf numFmtId="0" fontId="19" fillId="0" borderId="27" xfId="0" applyFont="1" applyBorder="1"/>
    <xf numFmtId="166" fontId="19" fillId="0" borderId="5" xfId="1" applyNumberFormat="1" applyFont="1" applyBorder="1"/>
    <xf numFmtId="166" fontId="19" fillId="0" borderId="11" xfId="1" applyNumberFormat="1" applyFont="1" applyBorder="1"/>
    <xf numFmtId="166" fontId="19" fillId="0" borderId="6" xfId="1" applyNumberFormat="1" applyFont="1" applyFill="1" applyBorder="1"/>
    <xf numFmtId="166" fontId="36" fillId="0" borderId="11" xfId="1" applyNumberFormat="1" applyFont="1" applyBorder="1"/>
    <xf numFmtId="166" fontId="19" fillId="0" borderId="5" xfId="1" applyNumberFormat="1" applyFont="1" applyFill="1" applyBorder="1"/>
    <xf numFmtId="166" fontId="19" fillId="0" borderId="11" xfId="1" applyNumberFormat="1" applyFont="1" applyFill="1" applyBorder="1"/>
    <xf numFmtId="0" fontId="19" fillId="0" borderId="28" xfId="0" applyFont="1" applyBorder="1"/>
    <xf numFmtId="166" fontId="19" fillId="0" borderId="7" xfId="1" applyNumberFormat="1" applyFont="1" applyBorder="1"/>
    <xf numFmtId="166" fontId="19" fillId="0" borderId="0" xfId="1" applyNumberFormat="1" applyFont="1" applyBorder="1"/>
    <xf numFmtId="166" fontId="19" fillId="0" borderId="8" xfId="1" applyNumberFormat="1" applyFont="1" applyFill="1" applyBorder="1"/>
    <xf numFmtId="166" fontId="36" fillId="0" borderId="0" xfId="1" applyNumberFormat="1" applyFont="1" applyBorder="1"/>
    <xf numFmtId="166" fontId="19" fillId="0" borderId="7" xfId="1" applyNumberFormat="1" applyFont="1" applyFill="1" applyBorder="1"/>
    <xf numFmtId="166" fontId="19" fillId="0" borderId="0" xfId="1" applyNumberFormat="1" applyFont="1" applyFill="1" applyBorder="1"/>
    <xf numFmtId="166" fontId="36" fillId="0" borderId="0" xfId="1" applyNumberFormat="1" applyFont="1" applyFill="1" applyBorder="1"/>
    <xf numFmtId="6" fontId="19" fillId="0" borderId="28" xfId="0" applyNumberFormat="1" applyFont="1" applyBorder="1" applyAlignment="1">
      <alignment horizontal="left" vertical="top"/>
    </xf>
    <xf numFmtId="0" fontId="19" fillId="0" borderId="0" xfId="0" applyFont="1"/>
    <xf numFmtId="0" fontId="19" fillId="0" borderId="21" xfId="0" applyFont="1" applyBorder="1"/>
    <xf numFmtId="0" fontId="19" fillId="0" borderId="22" xfId="0" applyFont="1" applyBorder="1"/>
    <xf numFmtId="0" fontId="19" fillId="0" borderId="53" xfId="0" applyFont="1" applyBorder="1"/>
    <xf numFmtId="166" fontId="19" fillId="0" borderId="5" xfId="0" applyNumberFormat="1" applyFont="1" applyFill="1" applyBorder="1"/>
    <xf numFmtId="166" fontId="19" fillId="0" borderId="11" xfId="0" applyNumberFormat="1" applyFont="1" applyFill="1" applyBorder="1"/>
    <xf numFmtId="166" fontId="19" fillId="0" borderId="6" xfId="0" applyNumberFormat="1" applyFont="1" applyFill="1" applyBorder="1"/>
    <xf numFmtId="0" fontId="19" fillId="0" borderId="0" xfId="0" applyFont="1" applyFill="1"/>
    <xf numFmtId="0" fontId="19" fillId="0" borderId="27" xfId="0" applyFont="1" applyFill="1" applyBorder="1"/>
    <xf numFmtId="0" fontId="2" fillId="0" borderId="0" xfId="0" applyFont="1" applyAlignment="1">
      <alignment wrapText="1"/>
    </xf>
    <xf numFmtId="0" fontId="37" fillId="6" borderId="13" xfId="0" applyFont="1" applyFill="1" applyBorder="1" applyAlignment="1">
      <alignment horizontal="left" vertical="top"/>
    </xf>
    <xf numFmtId="0" fontId="30" fillId="6" borderId="14" xfId="0" applyFont="1" applyFill="1" applyBorder="1" applyAlignment="1">
      <alignment horizontal="center" vertical="center"/>
    </xf>
    <xf numFmtId="0" fontId="0" fillId="0" borderId="33" xfId="0" applyFill="1" applyBorder="1"/>
    <xf numFmtId="0" fontId="0" fillId="0" borderId="59" xfId="0" applyFill="1" applyBorder="1" applyAlignment="1">
      <alignment wrapText="1"/>
    </xf>
    <xf numFmtId="0" fontId="0" fillId="0" borderId="59" xfId="0" applyFill="1" applyBorder="1"/>
    <xf numFmtId="0" fontId="20" fillId="0" borderId="30" xfId="0" applyFont="1" applyBorder="1" applyAlignment="1">
      <alignment horizontal="center"/>
    </xf>
    <xf numFmtId="0" fontId="34" fillId="0" borderId="5" xfId="0" applyFont="1" applyBorder="1" applyAlignment="1">
      <alignment vertical="center"/>
    </xf>
    <xf numFmtId="0" fontId="18" fillId="8" borderId="82" xfId="0" applyFont="1" applyFill="1" applyBorder="1" applyAlignment="1">
      <alignment vertical="center" wrapText="1"/>
    </xf>
    <xf numFmtId="0" fontId="18" fillId="8" borderId="83" xfId="0" applyFont="1" applyFill="1" applyBorder="1" applyAlignment="1">
      <alignment vertical="center" wrapText="1"/>
    </xf>
    <xf numFmtId="0" fontId="18" fillId="8" borderId="11" xfId="0" applyFont="1" applyFill="1" applyBorder="1" applyAlignment="1">
      <alignment vertical="center" wrapText="1"/>
    </xf>
    <xf numFmtId="0" fontId="18" fillId="8" borderId="84" xfId="0" applyFont="1" applyFill="1" applyBorder="1" applyAlignment="1">
      <alignment vertical="center" wrapText="1"/>
    </xf>
    <xf numFmtId="0" fontId="34" fillId="8" borderId="5" xfId="0" applyFont="1" applyFill="1" applyBorder="1" applyAlignment="1">
      <alignment vertical="center"/>
    </xf>
    <xf numFmtId="0" fontId="34" fillId="8" borderId="85" xfId="0" applyFont="1" applyFill="1" applyBorder="1" applyAlignment="1">
      <alignment vertical="center"/>
    </xf>
    <xf numFmtId="0" fontId="34" fillId="8" borderId="83" xfId="0" applyFont="1" applyFill="1" applyBorder="1" applyAlignment="1">
      <alignment vertical="center"/>
    </xf>
    <xf numFmtId="0" fontId="34" fillId="8" borderId="6" xfId="0" applyFont="1" applyFill="1" applyBorder="1" applyAlignment="1">
      <alignment vertical="center"/>
    </xf>
    <xf numFmtId="0" fontId="34" fillId="8" borderId="11" xfId="0" applyFont="1" applyFill="1" applyBorder="1" applyAlignment="1">
      <alignment vertical="center"/>
    </xf>
    <xf numFmtId="0" fontId="34" fillId="8" borderId="86" xfId="0" applyFont="1" applyFill="1" applyBorder="1" applyAlignment="1">
      <alignment vertical="center"/>
    </xf>
    <xf numFmtId="0" fontId="34" fillId="8" borderId="84" xfId="0" applyFont="1" applyFill="1" applyBorder="1" applyAlignment="1">
      <alignment vertical="center"/>
    </xf>
    <xf numFmtId="0" fontId="20" fillId="0" borderId="33" xfId="0" applyFont="1" applyFill="1" applyBorder="1" applyAlignment="1"/>
    <xf numFmtId="3" fontId="20" fillId="0" borderId="0" xfId="0" applyNumberFormat="1" applyFont="1"/>
    <xf numFmtId="0" fontId="24" fillId="15" borderId="5" xfId="0" applyFont="1" applyFill="1" applyBorder="1"/>
    <xf numFmtId="0" fontId="20" fillId="15" borderId="7" xfId="0" applyFont="1" applyFill="1" applyBorder="1"/>
    <xf numFmtId="0" fontId="20" fillId="15" borderId="8" xfId="0" applyFont="1" applyFill="1" applyBorder="1"/>
    <xf numFmtId="0" fontId="20" fillId="0" borderId="43" xfId="0" applyFont="1" applyFill="1" applyBorder="1" applyAlignment="1"/>
    <xf numFmtId="4" fontId="20" fillId="0" borderId="0" xfId="0" applyNumberFormat="1" applyFont="1" applyBorder="1"/>
    <xf numFmtId="4" fontId="20" fillId="0" borderId="81" xfId="0" applyNumberFormat="1" applyFont="1" applyBorder="1"/>
    <xf numFmtId="0" fontId="24" fillId="10" borderId="7" xfId="0" applyFont="1" applyFill="1" applyBorder="1"/>
    <xf numFmtId="0" fontId="20" fillId="10" borderId="8" xfId="0" applyFont="1" applyFill="1" applyBorder="1"/>
    <xf numFmtId="0" fontId="18" fillId="10" borderId="0" xfId="0" applyFont="1" applyFill="1" applyBorder="1"/>
    <xf numFmtId="0" fontId="18" fillId="10" borderId="7" xfId="0" applyFont="1" applyFill="1" applyBorder="1"/>
    <xf numFmtId="0" fontId="18" fillId="10" borderId="8" xfId="0" applyFont="1" applyFill="1" applyBorder="1"/>
    <xf numFmtId="0" fontId="18" fillId="10" borderId="28" xfId="0" applyFont="1" applyFill="1" applyBorder="1"/>
    <xf numFmtId="4" fontId="20" fillId="0" borderId="0" xfId="1" applyNumberFormat="1" applyFont="1" applyFill="1" applyBorder="1"/>
    <xf numFmtId="4" fontId="20" fillId="0" borderId="81" xfId="1" applyNumberFormat="1" applyFont="1" applyFill="1" applyBorder="1"/>
    <xf numFmtId="0" fontId="18" fillId="0" borderId="7" xfId="0" applyFont="1" applyBorder="1"/>
    <xf numFmtId="3" fontId="18" fillId="0" borderId="0" xfId="0" applyNumberFormat="1" applyFont="1" applyBorder="1"/>
    <xf numFmtId="4" fontId="35" fillId="0" borderId="7" xfId="0" applyNumberFormat="1" applyFont="1" applyBorder="1"/>
    <xf numFmtId="4" fontId="35" fillId="0" borderId="0" xfId="0" applyNumberFormat="1" applyFont="1" applyBorder="1"/>
    <xf numFmtId="4" fontId="35" fillId="0" borderId="8" xfId="0" applyNumberFormat="1" applyFont="1" applyBorder="1"/>
    <xf numFmtId="4" fontId="18" fillId="0" borderId="0" xfId="0" applyNumberFormat="1" applyFont="1" applyBorder="1"/>
    <xf numFmtId="4" fontId="18" fillId="0" borderId="7" xfId="0" applyNumberFormat="1" applyFont="1" applyBorder="1"/>
    <xf numFmtId="4" fontId="18" fillId="0" borderId="8" xfId="0" applyNumberFormat="1" applyFont="1" applyBorder="1"/>
    <xf numFmtId="4" fontId="18" fillId="0" borderId="71" xfId="0" applyNumberFormat="1" applyFont="1" applyBorder="1"/>
    <xf numFmtId="4" fontId="18" fillId="0" borderId="28" xfId="0" applyNumberFormat="1" applyFont="1" applyBorder="1"/>
    <xf numFmtId="0" fontId="18" fillId="0" borderId="0" xfId="0" applyFont="1" applyFill="1" applyBorder="1" applyAlignment="1">
      <alignment wrapText="1"/>
    </xf>
    <xf numFmtId="0" fontId="20" fillId="0" borderId="39" xfId="0" applyFont="1" applyFill="1" applyBorder="1" applyAlignment="1"/>
    <xf numFmtId="0" fontId="20" fillId="0" borderId="40" xfId="0" applyFont="1" applyFill="1" applyBorder="1"/>
    <xf numFmtId="4" fontId="20" fillId="0" borderId="0" xfId="0" applyNumberFormat="1" applyFont="1"/>
    <xf numFmtId="4" fontId="20" fillId="0" borderId="41" xfId="1" applyNumberFormat="1" applyFont="1" applyFill="1" applyBorder="1"/>
    <xf numFmtId="0" fontId="34" fillId="10" borderId="7" xfId="0" applyFont="1" applyFill="1" applyBorder="1" applyAlignment="1"/>
    <xf numFmtId="4" fontId="35" fillId="10" borderId="7" xfId="0" applyNumberFormat="1" applyFont="1" applyFill="1" applyBorder="1"/>
    <xf numFmtId="4" fontId="35" fillId="10" borderId="0" xfId="0" applyNumberFormat="1" applyFont="1" applyFill="1" applyBorder="1"/>
    <xf numFmtId="4" fontId="35" fillId="10" borderId="8" xfId="0" applyNumberFormat="1" applyFont="1" applyFill="1" applyBorder="1"/>
    <xf numFmtId="4" fontId="18" fillId="10" borderId="0" xfId="0" applyNumberFormat="1" applyFont="1" applyFill="1" applyBorder="1"/>
    <xf numFmtId="4" fontId="18" fillId="10" borderId="7" xfId="0" applyNumberFormat="1" applyFont="1" applyFill="1" applyBorder="1"/>
    <xf numFmtId="4" fontId="18" fillId="10" borderId="8" xfId="0" applyNumberFormat="1" applyFont="1" applyFill="1" applyBorder="1"/>
    <xf numFmtId="4" fontId="18" fillId="0" borderId="28" xfId="0" applyNumberFormat="1" applyFont="1" applyFill="1" applyBorder="1"/>
    <xf numFmtId="4" fontId="20" fillId="0" borderId="42" xfId="1" applyNumberFormat="1" applyFont="1" applyFill="1" applyBorder="1"/>
    <xf numFmtId="43" fontId="18" fillId="0" borderId="0" xfId="0" applyNumberFormat="1" applyFont="1" applyBorder="1"/>
    <xf numFmtId="0" fontId="18" fillId="0" borderId="0" xfId="0" applyFont="1" applyBorder="1" applyAlignment="1">
      <alignment wrapText="1"/>
    </xf>
    <xf numFmtId="43" fontId="18" fillId="0" borderId="0" xfId="1" applyFont="1" applyFill="1" applyBorder="1"/>
    <xf numFmtId="43" fontId="18" fillId="0" borderId="8" xfId="1" applyFont="1" applyFill="1" applyBorder="1" applyAlignment="1">
      <alignment horizontal="right"/>
    </xf>
    <xf numFmtId="4" fontId="35" fillId="0" borderId="7" xfId="1" applyNumberFormat="1" applyFont="1" applyFill="1" applyBorder="1"/>
    <xf numFmtId="4" fontId="35" fillId="0" borderId="71" xfId="1" applyNumberFormat="1" applyFont="1" applyFill="1" applyBorder="1"/>
    <xf numFmtId="4" fontId="35" fillId="13" borderId="71" xfId="1" applyNumberFormat="1" applyFont="1" applyFill="1" applyBorder="1"/>
    <xf numFmtId="4" fontId="18" fillId="0" borderId="0" xfId="1" applyNumberFormat="1" applyFont="1" applyFill="1" applyBorder="1"/>
    <xf numFmtId="4" fontId="18" fillId="0" borderId="7" xfId="1" applyNumberFormat="1" applyFont="1" applyFill="1" applyBorder="1"/>
    <xf numFmtId="4" fontId="18" fillId="0" borderId="88" xfId="0" applyNumberFormat="1" applyFont="1" applyBorder="1"/>
    <xf numFmtId="4" fontId="18" fillId="13" borderId="0" xfId="1" applyNumberFormat="1" applyFont="1" applyFill="1" applyBorder="1"/>
    <xf numFmtId="4" fontId="18" fillId="13" borderId="78" xfId="1" applyNumberFormat="1" applyFont="1" applyFill="1" applyBorder="1"/>
    <xf numFmtId="43" fontId="20" fillId="0" borderId="43" xfId="1" applyFont="1" applyFill="1" applyBorder="1"/>
    <xf numFmtId="43" fontId="18" fillId="0" borderId="0" xfId="1" applyFont="1" applyFill="1" applyBorder="1" applyAlignment="1">
      <alignment wrapText="1"/>
    </xf>
    <xf numFmtId="43" fontId="18" fillId="0" borderId="8" xfId="1" applyFont="1" applyFill="1" applyBorder="1" applyAlignment="1">
      <alignment wrapText="1"/>
    </xf>
    <xf numFmtId="4" fontId="35" fillId="0" borderId="70" xfId="1" applyNumberFormat="1" applyFont="1" applyFill="1" applyBorder="1"/>
    <xf numFmtId="4" fontId="35" fillId="13" borderId="66" xfId="1" applyNumberFormat="1" applyFont="1" applyFill="1" applyBorder="1"/>
    <xf numFmtId="4" fontId="18" fillId="13" borderId="64" xfId="1" applyNumberFormat="1" applyFont="1" applyFill="1" applyBorder="1"/>
    <xf numFmtId="0" fontId="20" fillId="0" borderId="43" xfId="0" applyFont="1" applyFill="1" applyBorder="1"/>
    <xf numFmtId="4" fontId="0" fillId="0" borderId="0" xfId="0" applyNumberFormat="1" applyFill="1" applyBorder="1"/>
    <xf numFmtId="4" fontId="0" fillId="0" borderId="81" xfId="0" applyNumberFormat="1" applyFill="1" applyBorder="1"/>
    <xf numFmtId="43" fontId="18" fillId="0" borderId="8" xfId="1" applyFont="1" applyFill="1" applyBorder="1"/>
    <xf numFmtId="4" fontId="35" fillId="0" borderId="72" xfId="1" applyNumberFormat="1" applyFont="1" applyFill="1" applyBorder="1"/>
    <xf numFmtId="4" fontId="35" fillId="13" borderId="69" xfId="1" applyNumberFormat="1" applyFont="1" applyFill="1" applyBorder="1"/>
    <xf numFmtId="0" fontId="0" fillId="0" borderId="43" xfId="0" applyFill="1" applyBorder="1"/>
    <xf numFmtId="0" fontId="34" fillId="10" borderId="7" xfId="0" applyFont="1" applyFill="1" applyBorder="1"/>
    <xf numFmtId="43" fontId="18" fillId="10" borderId="0" xfId="0" applyNumberFormat="1" applyFont="1" applyFill="1" applyBorder="1"/>
    <xf numFmtId="164" fontId="18" fillId="10" borderId="0" xfId="0" applyNumberFormat="1" applyFont="1" applyFill="1" applyBorder="1" applyAlignment="1">
      <alignment wrapText="1"/>
    </xf>
    <xf numFmtId="164" fontId="18" fillId="10" borderId="0" xfId="0" applyNumberFormat="1" applyFont="1" applyFill="1" applyBorder="1"/>
    <xf numFmtId="43" fontId="18" fillId="10" borderId="8" xfId="1" applyFont="1" applyFill="1" applyBorder="1"/>
    <xf numFmtId="4" fontId="35" fillId="10" borderId="7" xfId="1" applyNumberFormat="1" applyFont="1" applyFill="1" applyBorder="1"/>
    <xf numFmtId="4" fontId="35" fillId="10" borderId="0" xfId="1" applyNumberFormat="1" applyFont="1" applyFill="1" applyBorder="1"/>
    <xf numFmtId="4" fontId="35" fillId="10" borderId="8" xfId="1" applyNumberFormat="1" applyFont="1" applyFill="1" applyBorder="1"/>
    <xf numFmtId="4" fontId="18" fillId="10" borderId="0" xfId="1" applyNumberFormat="1" applyFont="1" applyFill="1" applyBorder="1"/>
    <xf numFmtId="4" fontId="18" fillId="10" borderId="0" xfId="0" applyNumberFormat="1" applyFont="1" applyFill="1" applyBorder="1" applyAlignment="1">
      <alignment horizontal="center" vertical="center"/>
    </xf>
    <xf numFmtId="4" fontId="18" fillId="10" borderId="8" xfId="1" applyNumberFormat="1" applyFont="1" applyFill="1" applyBorder="1"/>
    <xf numFmtId="0" fontId="0" fillId="0" borderId="39" xfId="0" applyFill="1" applyBorder="1"/>
    <xf numFmtId="4" fontId="0" fillId="0" borderId="0" xfId="0" applyNumberFormat="1"/>
    <xf numFmtId="4" fontId="0" fillId="0" borderId="41" xfId="0" applyNumberFormat="1" applyFill="1" applyBorder="1"/>
    <xf numFmtId="43" fontId="18" fillId="0" borderId="0" xfId="1" applyFont="1" applyBorder="1" applyAlignment="1">
      <alignment wrapText="1"/>
    </xf>
    <xf numFmtId="43" fontId="18" fillId="0" borderId="0" xfId="1" applyFont="1" applyBorder="1"/>
    <xf numFmtId="4" fontId="35" fillId="0" borderId="7" xfId="1" applyNumberFormat="1" applyFont="1" applyBorder="1"/>
    <xf numFmtId="4" fontId="35" fillId="0" borderId="0" xfId="1" applyNumberFormat="1" applyFont="1" applyBorder="1"/>
    <xf numFmtId="4" fontId="35" fillId="13" borderId="77" xfId="1" applyNumberFormat="1" applyFont="1" applyFill="1" applyBorder="1"/>
    <xf numFmtId="4" fontId="18" fillId="0" borderId="0" xfId="1" applyNumberFormat="1" applyFont="1" applyBorder="1"/>
    <xf numFmtId="4" fontId="18" fillId="0" borderId="7" xfId="1" applyNumberFormat="1" applyFont="1" applyBorder="1"/>
    <xf numFmtId="4" fontId="18" fillId="13" borderId="75" xfId="1" applyNumberFormat="1" applyFont="1" applyFill="1" applyBorder="1"/>
    <xf numFmtId="0" fontId="20" fillId="0" borderId="33" xfId="0" applyFont="1" applyFill="1" applyBorder="1"/>
    <xf numFmtId="4" fontId="0" fillId="0" borderId="42" xfId="0" applyNumberFormat="1" applyFill="1" applyBorder="1"/>
    <xf numFmtId="6" fontId="18" fillId="0" borderId="7" xfId="0" applyNumberFormat="1" applyFont="1" applyBorder="1" applyAlignment="1">
      <alignment horizontal="left" vertical="top" wrapText="1"/>
    </xf>
    <xf numFmtId="4" fontId="18" fillId="0" borderId="90" xfId="1" applyNumberFormat="1" applyFont="1" applyBorder="1"/>
    <xf numFmtId="4" fontId="18" fillId="0" borderId="73" xfId="1" applyNumberFormat="1" applyFont="1" applyBorder="1"/>
    <xf numFmtId="0" fontId="34" fillId="16" borderId="7" xfId="0" applyFont="1" applyFill="1" applyBorder="1" applyAlignment="1">
      <alignment vertical="center" wrapText="1"/>
    </xf>
    <xf numFmtId="0" fontId="18" fillId="16" borderId="7" xfId="0" applyFont="1" applyFill="1" applyBorder="1"/>
    <xf numFmtId="0" fontId="18" fillId="16" borderId="0" xfId="0" applyFont="1" applyFill="1" applyBorder="1"/>
    <xf numFmtId="43" fontId="18" fillId="16" borderId="0" xfId="0" applyNumberFormat="1" applyFont="1" applyFill="1" applyBorder="1"/>
    <xf numFmtId="43" fontId="18" fillId="16" borderId="0" xfId="1" applyFont="1" applyFill="1" applyBorder="1" applyAlignment="1">
      <alignment wrapText="1"/>
    </xf>
    <xf numFmtId="43" fontId="18" fillId="16" borderId="0" xfId="1" applyFont="1" applyFill="1" applyBorder="1"/>
    <xf numFmtId="4" fontId="35" fillId="16" borderId="7" xfId="1" applyNumberFormat="1" applyFont="1" applyFill="1" applyBorder="1"/>
    <xf numFmtId="4" fontId="35" fillId="16" borderId="90" xfId="1" applyNumberFormat="1" applyFont="1" applyFill="1" applyBorder="1"/>
    <xf numFmtId="4" fontId="35" fillId="16" borderId="0" xfId="1" applyNumberFormat="1" applyFont="1" applyFill="1" applyBorder="1"/>
    <xf numFmtId="4" fontId="35" fillId="16" borderId="91" xfId="1" applyNumberFormat="1" applyFont="1" applyFill="1" applyBorder="1"/>
    <xf numFmtId="4" fontId="35" fillId="16" borderId="92" xfId="1" applyNumberFormat="1" applyFont="1" applyFill="1" applyBorder="1"/>
    <xf numFmtId="4" fontId="35" fillId="16" borderId="8" xfId="1" applyNumberFormat="1" applyFont="1" applyFill="1" applyBorder="1"/>
    <xf numFmtId="4" fontId="35" fillId="16" borderId="93" xfId="1" applyNumberFormat="1" applyFont="1" applyFill="1" applyBorder="1"/>
    <xf numFmtId="0" fontId="18" fillId="15" borderId="7" xfId="0" applyFont="1" applyFill="1" applyBorder="1"/>
    <xf numFmtId="0" fontId="18" fillId="15" borderId="0" xfId="0" applyFont="1" applyFill="1" applyBorder="1"/>
    <xf numFmtId="43" fontId="18" fillId="15" borderId="0" xfId="0" applyNumberFormat="1" applyFont="1" applyFill="1" applyBorder="1"/>
    <xf numFmtId="43" fontId="18" fillId="15" borderId="0" xfId="1" applyFont="1" applyFill="1" applyBorder="1" applyAlignment="1">
      <alignment wrapText="1"/>
    </xf>
    <xf numFmtId="43" fontId="18" fillId="15" borderId="0" xfId="1" applyFont="1" applyFill="1" applyBorder="1"/>
    <xf numFmtId="43" fontId="18" fillId="15" borderId="8" xfId="1" applyFont="1" applyFill="1" applyBorder="1"/>
    <xf numFmtId="4" fontId="41" fillId="15" borderId="0" xfId="1" applyNumberFormat="1" applyFont="1" applyFill="1" applyBorder="1"/>
    <xf numFmtId="4" fontId="18" fillId="15" borderId="0" xfId="1" applyNumberFormat="1" applyFont="1" applyFill="1" applyBorder="1"/>
    <xf numFmtId="4" fontId="35" fillId="15" borderId="0" xfId="1" applyNumberFormat="1" applyFont="1" applyFill="1" applyBorder="1"/>
    <xf numFmtId="4" fontId="18" fillId="15" borderId="7" xfId="1" applyNumberFormat="1" applyFont="1" applyFill="1" applyBorder="1"/>
    <xf numFmtId="4" fontId="18" fillId="15" borderId="8" xfId="1" applyNumberFormat="1" applyFont="1" applyFill="1" applyBorder="1"/>
    <xf numFmtId="4" fontId="18" fillId="15" borderId="0" xfId="0" applyNumberFormat="1" applyFont="1" applyFill="1" applyBorder="1"/>
    <xf numFmtId="0" fontId="40" fillId="0" borderId="7" xfId="0" applyFont="1" applyBorder="1"/>
    <xf numFmtId="43" fontId="18" fillId="0" borderId="8" xfId="0" applyNumberFormat="1" applyFont="1" applyBorder="1"/>
    <xf numFmtId="4" fontId="35" fillId="0" borderId="94" xfId="0" applyNumberFormat="1" applyFont="1" applyBorder="1"/>
    <xf numFmtId="4" fontId="35" fillId="0" borderId="74" xfId="0" applyNumberFormat="1" applyFont="1" applyBorder="1"/>
    <xf numFmtId="4" fontId="35" fillId="0" borderId="74" xfId="0" applyNumberFormat="1" applyFont="1" applyFill="1" applyBorder="1"/>
    <xf numFmtId="4" fontId="35" fillId="0" borderId="8" xfId="1" applyNumberFormat="1" applyFont="1" applyFill="1" applyBorder="1"/>
    <xf numFmtId="4" fontId="35" fillId="0" borderId="0" xfId="1" applyNumberFormat="1" applyFont="1" applyFill="1" applyBorder="1"/>
    <xf numFmtId="4" fontId="35" fillId="13" borderId="73" xfId="1" applyNumberFormat="1" applyFont="1" applyFill="1" applyBorder="1"/>
    <xf numFmtId="4" fontId="35" fillId="0" borderId="95" xfId="1" applyNumberFormat="1" applyFont="1" applyFill="1" applyBorder="1"/>
    <xf numFmtId="4" fontId="35" fillId="0" borderId="74" xfId="1" applyNumberFormat="1" applyFont="1" applyFill="1" applyBorder="1"/>
    <xf numFmtId="4" fontId="35" fillId="0" borderId="87" xfId="1" applyNumberFormat="1" applyFont="1" applyFill="1" applyBorder="1"/>
    <xf numFmtId="4" fontId="42" fillId="13" borderId="96" xfId="1" applyNumberFormat="1" applyFont="1" applyFill="1" applyBorder="1"/>
    <xf numFmtId="4" fontId="42" fillId="0" borderId="0" xfId="1" applyNumberFormat="1" applyFont="1" applyFill="1" applyBorder="1"/>
    <xf numFmtId="0" fontId="18" fillId="0" borderId="97" xfId="0" applyFont="1" applyBorder="1"/>
    <xf numFmtId="4" fontId="35" fillId="13" borderId="76" xfId="1" applyNumberFormat="1" applyFont="1" applyFill="1" applyBorder="1"/>
    <xf numFmtId="4" fontId="42" fillId="13" borderId="98" xfId="1" applyNumberFormat="1" applyFont="1" applyFill="1" applyBorder="1"/>
    <xf numFmtId="0" fontId="40" fillId="16" borderId="7" xfId="0" applyFont="1" applyFill="1" applyBorder="1"/>
    <xf numFmtId="43" fontId="18" fillId="16" borderId="0" xfId="0" applyNumberFormat="1" applyFont="1" applyFill="1" applyBorder="1" applyAlignment="1">
      <alignment wrapText="1"/>
    </xf>
    <xf numFmtId="43" fontId="18" fillId="16" borderId="8" xfId="0" applyNumberFormat="1" applyFont="1" applyFill="1" applyBorder="1"/>
    <xf numFmtId="4" fontId="35" fillId="16" borderId="92" xfId="0" applyNumberFormat="1" applyFont="1" applyFill="1" applyBorder="1"/>
    <xf numFmtId="4" fontId="35" fillId="16" borderId="100" xfId="1" applyNumberFormat="1" applyFont="1" applyFill="1" applyBorder="1"/>
    <xf numFmtId="4" fontId="35" fillId="16" borderId="28" xfId="0" applyNumberFormat="1" applyFont="1" applyFill="1" applyBorder="1"/>
    <xf numFmtId="0" fontId="40" fillId="22" borderId="7" xfId="0" applyFont="1" applyFill="1" applyBorder="1"/>
    <xf numFmtId="0" fontId="18" fillId="22" borderId="0" xfId="0" applyFont="1" applyFill="1" applyBorder="1"/>
    <xf numFmtId="43" fontId="18" fillId="22" borderId="0" xfId="0" applyNumberFormat="1" applyFont="1" applyFill="1" applyBorder="1"/>
    <xf numFmtId="43" fontId="18" fillId="22" borderId="0" xfId="0" applyNumberFormat="1" applyFont="1" applyFill="1" applyBorder="1" applyAlignment="1">
      <alignment wrapText="1"/>
    </xf>
    <xf numFmtId="43" fontId="18" fillId="22" borderId="8" xfId="0" applyNumberFormat="1" applyFont="1" applyFill="1" applyBorder="1"/>
    <xf numFmtId="4" fontId="35" fillId="22" borderId="0" xfId="0" applyNumberFormat="1" applyFont="1" applyFill="1" applyBorder="1"/>
    <xf numFmtId="4" fontId="35" fillId="22" borderId="8" xfId="1" applyNumberFormat="1" applyFont="1" applyFill="1" applyBorder="1"/>
    <xf numFmtId="4" fontId="35" fillId="22" borderId="0" xfId="1" applyNumberFormat="1" applyFont="1" applyFill="1" applyBorder="1"/>
    <xf numFmtId="4" fontId="35" fillId="22" borderId="7" xfId="1" applyNumberFormat="1" applyFont="1" applyFill="1" applyBorder="1"/>
    <xf numFmtId="4" fontId="35" fillId="0" borderId="77" xfId="1" applyNumberFormat="1" applyFont="1" applyFill="1" applyBorder="1"/>
    <xf numFmtId="4" fontId="35" fillId="13" borderId="78" xfId="1" applyNumberFormat="1" applyFont="1" applyFill="1" applyBorder="1"/>
    <xf numFmtId="4" fontId="35" fillId="13" borderId="101" xfId="1" applyNumberFormat="1" applyFont="1" applyFill="1" applyBorder="1"/>
    <xf numFmtId="4" fontId="35" fillId="13" borderId="74" xfId="1" applyNumberFormat="1" applyFont="1" applyFill="1" applyBorder="1"/>
    <xf numFmtId="4" fontId="35" fillId="0" borderId="78" xfId="1" applyNumberFormat="1" applyFont="1" applyFill="1" applyBorder="1"/>
    <xf numFmtId="4" fontId="35" fillId="0" borderId="102" xfId="1" applyNumberFormat="1" applyFont="1" applyFill="1" applyBorder="1"/>
    <xf numFmtId="4" fontId="35" fillId="0" borderId="103" xfId="1" applyNumberFormat="1" applyFont="1" applyFill="1" applyBorder="1"/>
    <xf numFmtId="4" fontId="35" fillId="0" borderId="89" xfId="1" applyNumberFormat="1" applyFont="1" applyFill="1" applyBorder="1"/>
    <xf numFmtId="4" fontId="35" fillId="13" borderId="72" xfId="1" applyNumberFormat="1" applyFont="1" applyFill="1" applyBorder="1"/>
    <xf numFmtId="0" fontId="0" fillId="7" borderId="1" xfId="0" applyFill="1" applyBorder="1"/>
    <xf numFmtId="4" fontId="35" fillId="0" borderId="94" xfId="1" applyNumberFormat="1" applyFont="1" applyFill="1" applyBorder="1"/>
    <xf numFmtId="4" fontId="35" fillId="0" borderId="104" xfId="1" applyNumberFormat="1" applyFont="1" applyFill="1" applyBorder="1"/>
    <xf numFmtId="4" fontId="0" fillId="0" borderId="1" xfId="0" applyNumberFormat="1" applyFill="1" applyBorder="1"/>
    <xf numFmtId="4" fontId="35" fillId="13" borderId="64" xfId="1" applyNumberFormat="1" applyFont="1" applyFill="1" applyBorder="1"/>
    <xf numFmtId="4" fontId="35" fillId="13" borderId="67" xfId="1" applyNumberFormat="1" applyFont="1" applyFill="1" applyBorder="1"/>
    <xf numFmtId="4" fontId="35" fillId="13" borderId="70" xfId="1" applyNumberFormat="1" applyFont="1" applyFill="1" applyBorder="1"/>
    <xf numFmtId="0" fontId="43" fillId="0" borderId="0" xfId="0" applyFont="1" applyFill="1" applyBorder="1"/>
    <xf numFmtId="4" fontId="35" fillId="0" borderId="107" xfId="1" applyNumberFormat="1" applyFont="1" applyFill="1" applyBorder="1"/>
    <xf numFmtId="4" fontId="0" fillId="0" borderId="0" xfId="0" applyNumberFormat="1" applyFill="1"/>
    <xf numFmtId="0" fontId="18" fillId="0" borderId="7" xfId="0" applyFont="1" applyBorder="1" applyAlignment="1">
      <alignment horizontal="left" vertical="top" wrapText="1"/>
    </xf>
    <xf numFmtId="0" fontId="18" fillId="0" borderId="43" xfId="0" applyFont="1" applyBorder="1"/>
    <xf numFmtId="4" fontId="35" fillId="13" borderId="75" xfId="1" applyNumberFormat="1" applyFont="1" applyFill="1" applyBorder="1"/>
    <xf numFmtId="4" fontId="35" fillId="0" borderId="65" xfId="1" applyNumberFormat="1" applyFont="1" applyFill="1" applyBorder="1"/>
    <xf numFmtId="167" fontId="18" fillId="0" borderId="0" xfId="1" applyNumberFormat="1" applyFont="1" applyFill="1" applyBorder="1"/>
    <xf numFmtId="4" fontId="35" fillId="13" borderId="68" xfId="1" applyNumberFormat="1" applyFont="1" applyFill="1" applyBorder="1"/>
    <xf numFmtId="4" fontId="35" fillId="0" borderId="108" xfId="1" applyNumberFormat="1" applyFont="1" applyFill="1" applyBorder="1"/>
    <xf numFmtId="0" fontId="34" fillId="16" borderId="9" xfId="0" applyFont="1" applyFill="1" applyBorder="1" applyAlignment="1">
      <alignment vertical="center" wrapText="1"/>
    </xf>
    <xf numFmtId="0" fontId="18" fillId="16" borderId="9" xfId="0" applyFont="1" applyFill="1" applyBorder="1"/>
    <xf numFmtId="0" fontId="18" fillId="16" borderId="12" xfId="0" applyFont="1" applyFill="1" applyBorder="1"/>
    <xf numFmtId="43" fontId="18" fillId="16" borderId="12" xfId="1" applyFont="1" applyFill="1" applyBorder="1"/>
    <xf numFmtId="43" fontId="18" fillId="16" borderId="12" xfId="1" applyFont="1" applyFill="1" applyBorder="1" applyAlignment="1">
      <alignment wrapText="1"/>
    </xf>
    <xf numFmtId="43" fontId="18" fillId="16" borderId="10" xfId="1" applyFont="1" applyFill="1" applyBorder="1"/>
    <xf numFmtId="4" fontId="35" fillId="16" borderId="109" xfId="1" applyNumberFormat="1" applyFont="1" applyFill="1" applyBorder="1"/>
    <xf numFmtId="4" fontId="35" fillId="16" borderId="110" xfId="1" applyNumberFormat="1" applyFont="1" applyFill="1" applyBorder="1"/>
    <xf numFmtId="4" fontId="35" fillId="16" borderId="10" xfId="1" applyNumberFormat="1" applyFont="1" applyFill="1" applyBorder="1"/>
    <xf numFmtId="4" fontId="35" fillId="16" borderId="12" xfId="1" applyNumberFormat="1" applyFont="1" applyFill="1" applyBorder="1"/>
    <xf numFmtId="4" fontId="35" fillId="16" borderId="111" xfId="1" applyNumberFormat="1" applyFont="1" applyFill="1" applyBorder="1"/>
    <xf numFmtId="4" fontId="35" fillId="16" borderId="112" xfId="1" applyNumberFormat="1" applyFont="1" applyFill="1" applyBorder="1"/>
    <xf numFmtId="4" fontId="35" fillId="16" borderId="113" xfId="1" applyNumberFormat="1" applyFont="1" applyFill="1" applyBorder="1"/>
    <xf numFmtId="0" fontId="0" fillId="21" borderId="1" xfId="0" applyFill="1" applyBorder="1"/>
    <xf numFmtId="0" fontId="32" fillId="17" borderId="13" xfId="0" applyFont="1" applyFill="1" applyBorder="1" applyAlignment="1"/>
    <xf numFmtId="0" fontId="32" fillId="17" borderId="12" xfId="0" applyFont="1" applyFill="1" applyBorder="1" applyAlignment="1"/>
    <xf numFmtId="0" fontId="18" fillId="17" borderId="12" xfId="0" applyFont="1" applyFill="1" applyBorder="1" applyAlignment="1"/>
    <xf numFmtId="4" fontId="35" fillId="17" borderId="13" xfId="0" applyNumberFormat="1" applyFont="1" applyFill="1" applyBorder="1"/>
    <xf numFmtId="4" fontId="35" fillId="17" borderId="14" xfId="0" applyNumberFormat="1" applyFont="1" applyFill="1" applyBorder="1"/>
    <xf numFmtId="4" fontId="35" fillId="17" borderId="15" xfId="0" applyNumberFormat="1" applyFont="1" applyFill="1" applyBorder="1"/>
    <xf numFmtId="4" fontId="35" fillId="17" borderId="9" xfId="0" applyNumberFormat="1" applyFont="1" applyFill="1" applyBorder="1"/>
    <xf numFmtId="4" fontId="35" fillId="17" borderId="12" xfId="0" applyNumberFormat="1" applyFont="1" applyFill="1" applyBorder="1"/>
    <xf numFmtId="4" fontId="35" fillId="17" borderId="10" xfId="0" applyNumberFormat="1" applyFont="1" applyFill="1" applyBorder="1"/>
    <xf numFmtId="0" fontId="32" fillId="17" borderId="14" xfId="0" applyFont="1" applyFill="1" applyBorder="1" applyAlignment="1"/>
    <xf numFmtId="0" fontId="18" fillId="17" borderId="14" xfId="0" applyFont="1" applyFill="1" applyBorder="1" applyAlignment="1"/>
    <xf numFmtId="0" fontId="37" fillId="6" borderId="13" xfId="0" applyFont="1" applyFill="1" applyBorder="1" applyAlignment="1">
      <alignment horizontal="center" vertical="center"/>
    </xf>
    <xf numFmtId="0" fontId="37" fillId="6" borderId="14" xfId="0" applyFont="1" applyFill="1" applyBorder="1" applyAlignment="1">
      <alignment horizontal="center" vertical="center"/>
    </xf>
    <xf numFmtId="4" fontId="45" fillId="8" borderId="6" xfId="0" applyNumberFormat="1" applyFont="1" applyFill="1" applyBorder="1" applyAlignment="1">
      <alignment vertical="center"/>
    </xf>
    <xf numFmtId="0" fontId="34" fillId="0" borderId="13" xfId="0" applyFont="1" applyBorder="1" applyAlignment="1">
      <alignment vertical="center"/>
    </xf>
    <xf numFmtId="0" fontId="34" fillId="8" borderId="5" xfId="0" applyFont="1" applyFill="1" applyBorder="1" applyAlignment="1">
      <alignment vertical="center" wrapText="1"/>
    </xf>
    <xf numFmtId="0" fontId="34" fillId="8" borderId="114" xfId="0" applyFont="1" applyFill="1" applyBorder="1" applyAlignment="1">
      <alignment vertical="center" wrapText="1"/>
    </xf>
    <xf numFmtId="0" fontId="34" fillId="8" borderId="85" xfId="0" applyFont="1" applyFill="1" applyBorder="1" applyAlignment="1">
      <alignment vertical="center" wrapText="1"/>
    </xf>
    <xf numFmtId="0" fontId="34" fillId="8" borderId="84" xfId="0" applyFont="1" applyFill="1" applyBorder="1" applyAlignment="1">
      <alignment vertical="center" wrapText="1"/>
    </xf>
    <xf numFmtId="4" fontId="45" fillId="8" borderId="86" xfId="0" applyNumberFormat="1" applyFont="1" applyFill="1" applyBorder="1" applyAlignment="1">
      <alignment vertical="center"/>
    </xf>
    <xf numFmtId="4" fontId="45" fillId="8" borderId="83" xfId="0" applyNumberFormat="1" applyFont="1" applyFill="1" applyBorder="1" applyAlignment="1">
      <alignment vertical="center"/>
    </xf>
    <xf numFmtId="4" fontId="45" fillId="8" borderId="11" xfId="0" applyNumberFormat="1" applyFont="1" applyFill="1" applyBorder="1" applyAlignment="1">
      <alignment vertical="center"/>
    </xf>
    <xf numFmtId="4" fontId="45" fillId="8" borderId="82" xfId="0" applyNumberFormat="1" applyFont="1" applyFill="1" applyBorder="1" applyAlignment="1">
      <alignment vertical="center"/>
    </xf>
    <xf numFmtId="0" fontId="24" fillId="15" borderId="7" xfId="0" applyFont="1" applyFill="1" applyBorder="1"/>
    <xf numFmtId="4" fontId="35" fillId="15" borderId="0" xfId="0" applyNumberFormat="1" applyFont="1" applyFill="1" applyBorder="1"/>
    <xf numFmtId="4" fontId="35" fillId="15" borderId="7" xfId="0" applyNumberFormat="1" applyFont="1" applyFill="1" applyBorder="1"/>
    <xf numFmtId="4" fontId="35" fillId="15" borderId="8" xfId="0" applyNumberFormat="1" applyFont="1" applyFill="1" applyBorder="1"/>
    <xf numFmtId="4" fontId="35" fillId="15" borderId="28" xfId="0" applyNumberFormat="1" applyFont="1" applyFill="1" applyBorder="1"/>
    <xf numFmtId="4" fontId="35" fillId="10" borderId="28" xfId="0" applyNumberFormat="1" applyFont="1" applyFill="1" applyBorder="1"/>
    <xf numFmtId="4" fontId="35" fillId="0" borderId="115" xfId="0" applyNumberFormat="1" applyFont="1" applyBorder="1"/>
    <xf numFmtId="4" fontId="35" fillId="0" borderId="28" xfId="0" applyNumberFormat="1" applyFont="1" applyBorder="1"/>
    <xf numFmtId="4" fontId="35" fillId="10" borderId="116" xfId="0" applyNumberFormat="1" applyFont="1" applyFill="1" applyBorder="1"/>
    <xf numFmtId="4" fontId="35" fillId="10" borderId="107" xfId="0" applyNumberFormat="1" applyFont="1" applyFill="1" applyBorder="1"/>
    <xf numFmtId="4" fontId="35" fillId="13" borderId="107" xfId="1" applyNumberFormat="1" applyFont="1" applyFill="1" applyBorder="1"/>
    <xf numFmtId="4" fontId="35" fillId="0" borderId="97" xfId="1" applyNumberFormat="1" applyFont="1" applyFill="1" applyBorder="1"/>
    <xf numFmtId="4" fontId="35" fillId="13" borderId="97" xfId="1" applyNumberFormat="1" applyFont="1" applyFill="1" applyBorder="1"/>
    <xf numFmtId="4" fontId="35" fillId="13" borderId="116" xfId="1" applyNumberFormat="1" applyFont="1" applyFill="1" applyBorder="1"/>
    <xf numFmtId="4" fontId="35" fillId="0" borderId="107" xfId="0" applyNumberFormat="1" applyFont="1" applyBorder="1"/>
    <xf numFmtId="0" fontId="0" fillId="0" borderId="0" xfId="0" applyAlignment="1"/>
    <xf numFmtId="0" fontId="0" fillId="16" borderId="1" xfId="0" applyFill="1" applyBorder="1"/>
    <xf numFmtId="43" fontId="18" fillId="0" borderId="87" xfId="1" applyFont="1" applyFill="1" applyBorder="1"/>
    <xf numFmtId="43" fontId="20" fillId="10" borderId="8" xfId="1" applyFont="1" applyFill="1" applyBorder="1"/>
    <xf numFmtId="4" fontId="35" fillId="10" borderId="28" xfId="1" applyNumberFormat="1" applyFont="1" applyFill="1" applyBorder="1"/>
    <xf numFmtId="43" fontId="20" fillId="0" borderId="8" xfId="1" applyFont="1" applyBorder="1"/>
    <xf numFmtId="4" fontId="35" fillId="0" borderId="119" xfId="1" applyNumberFormat="1" applyFont="1" applyBorder="1"/>
    <xf numFmtId="4" fontId="35" fillId="13" borderId="119" xfId="1" applyNumberFormat="1" applyFont="1" applyFill="1" applyBorder="1"/>
    <xf numFmtId="4" fontId="35" fillId="0" borderId="65" xfId="0" applyNumberFormat="1" applyFont="1" applyBorder="1"/>
    <xf numFmtId="4" fontId="35" fillId="0" borderId="120" xfId="1" applyNumberFormat="1" applyFont="1" applyBorder="1"/>
    <xf numFmtId="4" fontId="35" fillId="0" borderId="75" xfId="1" applyNumberFormat="1" applyFont="1" applyBorder="1"/>
    <xf numFmtId="4" fontId="35" fillId="13" borderId="121" xfId="1" applyNumberFormat="1" applyFont="1" applyFill="1" applyBorder="1"/>
    <xf numFmtId="4" fontId="35" fillId="0" borderId="102" xfId="0" applyNumberFormat="1" applyFont="1" applyBorder="1"/>
    <xf numFmtId="4" fontId="35" fillId="0" borderId="74" xfId="1" applyNumberFormat="1" applyFont="1" applyBorder="1"/>
    <xf numFmtId="4" fontId="35" fillId="13" borderId="115" xfId="1" applyNumberFormat="1" applyFont="1" applyFill="1" applyBorder="1"/>
    <xf numFmtId="4" fontId="35" fillId="0" borderId="107" xfId="1" applyNumberFormat="1" applyFont="1" applyBorder="1"/>
    <xf numFmtId="4" fontId="35" fillId="13" borderId="94" xfId="1" applyNumberFormat="1" applyFont="1" applyFill="1" applyBorder="1"/>
    <xf numFmtId="0" fontId="24" fillId="16" borderId="7" xfId="0" applyFont="1" applyFill="1" applyBorder="1" applyAlignment="1">
      <alignment vertical="center" wrapText="1"/>
    </xf>
    <xf numFmtId="0" fontId="20" fillId="16" borderId="7" xfId="0" applyFont="1" applyFill="1" applyBorder="1"/>
    <xf numFmtId="43" fontId="20" fillId="16" borderId="0" xfId="0" applyNumberFormat="1" applyFont="1" applyFill="1" applyBorder="1"/>
    <xf numFmtId="43" fontId="20" fillId="16" borderId="0" xfId="1" applyFont="1" applyFill="1" applyBorder="1" applyAlignment="1">
      <alignment wrapText="1"/>
    </xf>
    <xf numFmtId="43" fontId="20" fillId="16" borderId="8" xfId="1" applyFont="1" applyFill="1" applyBorder="1"/>
    <xf numFmtId="4" fontId="35" fillId="16" borderId="0" xfId="0" applyNumberFormat="1" applyFont="1" applyFill="1" applyBorder="1"/>
    <xf numFmtId="0" fontId="24" fillId="15" borderId="0" xfId="0" applyFont="1" applyFill="1" applyBorder="1" applyAlignment="1">
      <alignment wrapText="1"/>
    </xf>
    <xf numFmtId="43" fontId="20" fillId="15" borderId="0" xfId="1" applyFont="1" applyFill="1" applyBorder="1" applyAlignment="1">
      <alignment wrapText="1"/>
    </xf>
    <xf numFmtId="43" fontId="20" fillId="15" borderId="8" xfId="1" applyFont="1" applyFill="1" applyBorder="1"/>
    <xf numFmtId="4" fontId="35" fillId="15" borderId="7" xfId="1" applyNumberFormat="1" applyFont="1" applyFill="1" applyBorder="1"/>
    <xf numFmtId="4" fontId="35" fillId="15" borderId="8" xfId="1" applyNumberFormat="1" applyFont="1" applyFill="1" applyBorder="1"/>
    <xf numFmtId="43" fontId="20" fillId="0" borderId="8" xfId="0" applyNumberFormat="1" applyFont="1" applyBorder="1"/>
    <xf numFmtId="4" fontId="35" fillId="0" borderId="92" xfId="0" applyNumberFormat="1" applyFont="1" applyBorder="1"/>
    <xf numFmtId="4" fontId="35" fillId="0" borderId="92" xfId="0" applyNumberFormat="1" applyFont="1" applyFill="1" applyBorder="1"/>
    <xf numFmtId="4" fontId="35" fillId="0" borderId="123" xfId="1" applyNumberFormat="1" applyFont="1" applyFill="1" applyBorder="1"/>
    <xf numFmtId="4" fontId="35" fillId="0" borderId="75" xfId="1" applyNumberFormat="1" applyFont="1" applyFill="1" applyBorder="1"/>
    <xf numFmtId="4" fontId="35" fillId="13" borderId="65" xfId="1" applyNumberFormat="1" applyFont="1" applyFill="1" applyBorder="1"/>
    <xf numFmtId="4" fontId="35" fillId="13" borderId="89" xfId="1" applyNumberFormat="1" applyFont="1" applyFill="1" applyBorder="1"/>
    <xf numFmtId="4" fontId="35" fillId="0" borderId="73" xfId="1" applyNumberFormat="1" applyFont="1" applyFill="1" applyBorder="1"/>
    <xf numFmtId="0" fontId="21" fillId="16" borderId="7" xfId="0" applyFont="1" applyFill="1" applyBorder="1"/>
    <xf numFmtId="43" fontId="20" fillId="16" borderId="0" xfId="0" applyNumberFormat="1" applyFont="1" applyFill="1" applyBorder="1" applyAlignment="1">
      <alignment wrapText="1"/>
    </xf>
    <xf numFmtId="43" fontId="20" fillId="16" borderId="8" xfId="0" applyNumberFormat="1" applyFont="1" applyFill="1" applyBorder="1"/>
    <xf numFmtId="4" fontId="35" fillId="16" borderId="124" xfId="0" applyNumberFormat="1" applyFont="1" applyFill="1" applyBorder="1"/>
    <xf numFmtId="4" fontId="35" fillId="16" borderId="118" xfId="0" applyNumberFormat="1" applyFont="1" applyFill="1" applyBorder="1"/>
    <xf numFmtId="4" fontId="35" fillId="16" borderId="125" xfId="1" applyNumberFormat="1" applyFont="1" applyFill="1" applyBorder="1"/>
    <xf numFmtId="4" fontId="35" fillId="16" borderId="126" xfId="1" applyNumberFormat="1" applyFont="1" applyFill="1" applyBorder="1"/>
    <xf numFmtId="4" fontId="35" fillId="16" borderId="118" xfId="1" applyNumberFormat="1" applyFont="1" applyFill="1" applyBorder="1"/>
    <xf numFmtId="4" fontId="35" fillId="16" borderId="73" xfId="1" applyNumberFormat="1" applyFont="1" applyFill="1" applyBorder="1"/>
    <xf numFmtId="4" fontId="35" fillId="16" borderId="94" xfId="1" applyNumberFormat="1" applyFont="1" applyFill="1" applyBorder="1"/>
    <xf numFmtId="0" fontId="21" fillId="15" borderId="7" xfId="0" applyFont="1" applyFill="1" applyBorder="1"/>
    <xf numFmtId="43" fontId="20" fillId="15" borderId="0" xfId="0" applyNumberFormat="1" applyFont="1" applyFill="1" applyBorder="1" applyAlignment="1">
      <alignment wrapText="1"/>
    </xf>
    <xf numFmtId="43" fontId="20" fillId="15" borderId="8" xfId="0" applyNumberFormat="1" applyFont="1" applyFill="1" applyBorder="1"/>
    <xf numFmtId="0" fontId="18" fillId="0" borderId="7" xfId="0" applyFont="1" applyBorder="1" applyAlignment="1">
      <alignment vertical="top"/>
    </xf>
    <xf numFmtId="4" fontId="35" fillId="0" borderId="99" xfId="1" applyNumberFormat="1" applyFont="1" applyFill="1" applyBorder="1"/>
    <xf numFmtId="4" fontId="35" fillId="0" borderId="127" xfId="1" applyNumberFormat="1" applyFont="1" applyFill="1" applyBorder="1"/>
    <xf numFmtId="4" fontId="35" fillId="13" borderId="127" xfId="1" applyNumberFormat="1" applyFont="1" applyFill="1" applyBorder="1"/>
    <xf numFmtId="4" fontId="35" fillId="13" borderId="102" xfId="1" applyNumberFormat="1" applyFont="1" applyFill="1" applyBorder="1"/>
    <xf numFmtId="4" fontId="35" fillId="0" borderId="119" xfId="1" applyNumberFormat="1" applyFont="1" applyFill="1" applyBorder="1"/>
    <xf numFmtId="4" fontId="35" fillId="13" borderId="95" xfId="1" applyNumberFormat="1" applyFont="1" applyFill="1" applyBorder="1"/>
    <xf numFmtId="4" fontId="35" fillId="0" borderId="128" xfId="1" applyNumberFormat="1" applyFont="1" applyFill="1" applyBorder="1"/>
    <xf numFmtId="4" fontId="35" fillId="13" borderId="0" xfId="1" applyNumberFormat="1" applyFont="1" applyFill="1" applyBorder="1"/>
    <xf numFmtId="4" fontId="35" fillId="13" borderId="87" xfId="1" applyNumberFormat="1" applyFont="1" applyFill="1" applyBorder="1"/>
    <xf numFmtId="4" fontId="35" fillId="0" borderId="76" xfId="1" applyNumberFormat="1" applyFont="1" applyFill="1" applyBorder="1"/>
    <xf numFmtId="4" fontId="35" fillId="13" borderId="129" xfId="1" applyNumberFormat="1" applyFont="1" applyFill="1" applyBorder="1"/>
    <xf numFmtId="4" fontId="35" fillId="13" borderId="103" xfId="1" applyNumberFormat="1" applyFont="1" applyFill="1" applyBorder="1"/>
    <xf numFmtId="4" fontId="35" fillId="13" borderId="132" xfId="1" applyNumberFormat="1" applyFont="1" applyFill="1" applyBorder="1"/>
    <xf numFmtId="4" fontId="35" fillId="0" borderId="68" xfId="1" applyNumberFormat="1" applyFont="1" applyFill="1" applyBorder="1"/>
    <xf numFmtId="4" fontId="35" fillId="13" borderId="133" xfId="1" applyNumberFormat="1" applyFont="1" applyFill="1" applyBorder="1"/>
    <xf numFmtId="0" fontId="18" fillId="0" borderId="73" xfId="0" applyFont="1" applyBorder="1"/>
    <xf numFmtId="4" fontId="35" fillId="0" borderId="64" xfId="1" applyNumberFormat="1" applyFont="1" applyFill="1" applyBorder="1"/>
    <xf numFmtId="4" fontId="35" fillId="0" borderId="67" xfId="1" applyNumberFormat="1" applyFont="1" applyFill="1" applyBorder="1"/>
    <xf numFmtId="4" fontId="35" fillId="0" borderId="132" xfId="1" applyNumberFormat="1" applyFont="1" applyFill="1" applyBorder="1"/>
    <xf numFmtId="0" fontId="24" fillId="16" borderId="135" xfId="0" applyFont="1" applyFill="1" applyBorder="1" applyAlignment="1">
      <alignment vertical="center" wrapText="1"/>
    </xf>
    <xf numFmtId="0" fontId="20" fillId="16" borderId="109" xfId="0" applyFont="1" applyFill="1" applyBorder="1"/>
    <xf numFmtId="0" fontId="20" fillId="16" borderId="111" xfId="0" applyFont="1" applyFill="1" applyBorder="1"/>
    <xf numFmtId="43" fontId="20" fillId="16" borderId="111" xfId="1" applyFont="1" applyFill="1" applyBorder="1"/>
    <xf numFmtId="43" fontId="20" fillId="16" borderId="111" xfId="1" applyFont="1" applyFill="1" applyBorder="1" applyAlignment="1">
      <alignment wrapText="1"/>
    </xf>
    <xf numFmtId="43" fontId="20" fillId="16" borderId="112" xfId="1" applyFont="1" applyFill="1" applyBorder="1"/>
    <xf numFmtId="4" fontId="35" fillId="16" borderId="136" xfId="1" applyNumberFormat="1" applyFont="1" applyFill="1" applyBorder="1"/>
    <xf numFmtId="4" fontId="35" fillId="16" borderId="137" xfId="1" applyNumberFormat="1" applyFont="1" applyFill="1" applyBorder="1"/>
    <xf numFmtId="4" fontId="35" fillId="16" borderId="138" xfId="1" applyNumberFormat="1" applyFont="1" applyFill="1" applyBorder="1"/>
    <xf numFmtId="4" fontId="35" fillId="16" borderId="139" xfId="1" applyNumberFormat="1" applyFont="1" applyFill="1" applyBorder="1"/>
    <xf numFmtId="4" fontId="35" fillId="16" borderId="140" xfId="1" applyNumberFormat="1" applyFont="1" applyFill="1" applyBorder="1"/>
    <xf numFmtId="4" fontId="35" fillId="16" borderId="141" xfId="1" applyNumberFormat="1" applyFont="1" applyFill="1" applyBorder="1"/>
    <xf numFmtId="4" fontId="35" fillId="16" borderId="142" xfId="1" applyNumberFormat="1" applyFont="1" applyFill="1" applyBorder="1"/>
    <xf numFmtId="0" fontId="24" fillId="0" borderId="5" xfId="0" applyFont="1" applyBorder="1" applyAlignment="1">
      <alignment horizontal="left" vertical="top" wrapText="1"/>
    </xf>
    <xf numFmtId="0" fontId="24" fillId="8" borderId="5" xfId="0" applyFont="1" applyFill="1" applyBorder="1" applyAlignment="1">
      <alignment horizontal="center" vertical="center" wrapText="1"/>
    </xf>
    <xf numFmtId="0" fontId="24" fillId="8" borderId="11" xfId="0" applyFont="1" applyFill="1" applyBorder="1" applyAlignment="1">
      <alignment horizontal="center" vertical="center" wrapText="1"/>
    </xf>
    <xf numFmtId="4" fontId="45" fillId="8" borderId="82" xfId="0" applyNumberFormat="1" applyFont="1" applyFill="1" applyBorder="1" applyAlignment="1">
      <alignment horizontal="center" vertical="center"/>
    </xf>
    <xf numFmtId="4" fontId="45" fillId="8" borderId="83" xfId="0" applyNumberFormat="1" applyFont="1" applyFill="1" applyBorder="1" applyAlignment="1">
      <alignment horizontal="center" vertical="center"/>
    </xf>
    <xf numFmtId="4" fontId="45" fillId="8" borderId="86" xfId="0" applyNumberFormat="1" applyFont="1" applyFill="1" applyBorder="1" applyAlignment="1">
      <alignment horizontal="center" vertical="center"/>
    </xf>
    <xf numFmtId="4" fontId="45" fillId="8" borderId="6" xfId="0" applyNumberFormat="1" applyFont="1" applyFill="1" applyBorder="1" applyAlignment="1">
      <alignment horizontal="center" vertical="center"/>
    </xf>
    <xf numFmtId="4" fontId="45" fillId="8" borderId="11" xfId="0" applyNumberFormat="1" applyFont="1" applyFill="1" applyBorder="1" applyAlignment="1">
      <alignment horizontal="center" vertical="center"/>
    </xf>
    <xf numFmtId="0" fontId="24" fillId="15" borderId="0" xfId="0" applyFont="1" applyFill="1" applyBorder="1"/>
    <xf numFmtId="0" fontId="24" fillId="10" borderId="0" xfId="0" applyFont="1" applyFill="1" applyBorder="1"/>
    <xf numFmtId="4" fontId="35" fillId="0" borderId="115" xfId="1" applyNumberFormat="1" applyFont="1" applyFill="1" applyBorder="1"/>
    <xf numFmtId="4" fontId="35" fillId="0" borderId="143" xfId="1" applyNumberFormat="1" applyFont="1" applyFill="1" applyBorder="1"/>
    <xf numFmtId="4" fontId="35" fillId="0" borderId="92" xfId="1" applyNumberFormat="1" applyFont="1" applyFill="1" applyBorder="1"/>
    <xf numFmtId="4" fontId="35" fillId="0" borderId="116" xfId="1" applyNumberFormat="1" applyFont="1" applyFill="1" applyBorder="1"/>
    <xf numFmtId="4" fontId="35" fillId="0" borderId="145" xfId="1" applyNumberFormat="1" applyFont="1" applyFill="1" applyBorder="1"/>
    <xf numFmtId="4" fontId="35" fillId="13" borderId="96" xfId="1" applyNumberFormat="1" applyFont="1" applyFill="1" applyBorder="1"/>
    <xf numFmtId="4" fontId="35" fillId="10" borderId="0" xfId="0" applyNumberFormat="1" applyFont="1" applyFill="1" applyBorder="1" applyAlignment="1">
      <alignment vertical="center" wrapText="1"/>
    </xf>
    <xf numFmtId="4" fontId="35" fillId="10" borderId="0" xfId="0" applyNumberFormat="1" applyFont="1" applyFill="1" applyBorder="1" applyAlignment="1">
      <alignment horizontal="center" vertical="center"/>
    </xf>
    <xf numFmtId="4" fontId="35" fillId="0" borderId="94" xfId="1" applyNumberFormat="1" applyFont="1" applyBorder="1"/>
    <xf numFmtId="4" fontId="35" fillId="0" borderId="8" xfId="1" applyNumberFormat="1" applyFont="1" applyBorder="1"/>
    <xf numFmtId="4" fontId="35" fillId="0" borderId="65" xfId="1" applyNumberFormat="1" applyFont="1" applyBorder="1"/>
    <xf numFmtId="4" fontId="35" fillId="0" borderId="146" xfId="1" applyNumberFormat="1" applyFont="1" applyBorder="1"/>
    <xf numFmtId="4" fontId="35" fillId="0" borderId="145" xfId="1" applyNumberFormat="1" applyFont="1" applyBorder="1"/>
    <xf numFmtId="4" fontId="35" fillId="13" borderId="117" xfId="1" applyNumberFormat="1" applyFont="1" applyFill="1" applyBorder="1"/>
    <xf numFmtId="0" fontId="24" fillId="16" borderId="147" xfId="0" applyFont="1" applyFill="1" applyBorder="1" applyAlignment="1">
      <alignment vertical="center" wrapText="1"/>
    </xf>
    <xf numFmtId="0" fontId="20" fillId="16" borderId="147" xfId="0" applyFont="1" applyFill="1" applyBorder="1"/>
    <xf numFmtId="0" fontId="20" fillId="16" borderId="73" xfId="0" applyFont="1" applyFill="1" applyBorder="1"/>
    <xf numFmtId="43" fontId="20" fillId="16" borderId="73" xfId="0" applyNumberFormat="1" applyFont="1" applyFill="1" applyBorder="1"/>
    <xf numFmtId="43" fontId="20" fillId="16" borderId="73" xfId="1" applyFont="1" applyFill="1" applyBorder="1"/>
    <xf numFmtId="0" fontId="24" fillId="15" borderId="148" xfId="0" applyFont="1" applyFill="1" applyBorder="1" applyAlignment="1">
      <alignment wrapText="1"/>
    </xf>
    <xf numFmtId="0" fontId="20" fillId="15" borderId="149" xfId="0" applyFont="1" applyFill="1" applyBorder="1"/>
    <xf numFmtId="0" fontId="20" fillId="16" borderId="92" xfId="0" applyFont="1" applyFill="1" applyBorder="1"/>
    <xf numFmtId="43" fontId="20" fillId="16" borderId="90" xfId="0" applyNumberFormat="1" applyFont="1" applyFill="1" applyBorder="1" applyAlignment="1">
      <alignment wrapText="1"/>
    </xf>
    <xf numFmtId="43" fontId="20" fillId="16" borderId="90" xfId="0" applyNumberFormat="1" applyFont="1" applyFill="1" applyBorder="1"/>
    <xf numFmtId="4" fontId="35" fillId="16" borderId="7" xfId="0" applyNumberFormat="1" applyFont="1" applyFill="1" applyBorder="1"/>
    <xf numFmtId="4" fontId="35" fillId="16" borderId="90" xfId="0" applyNumberFormat="1" applyFont="1" applyFill="1" applyBorder="1"/>
    <xf numFmtId="4" fontId="35" fillId="16" borderId="150" xfId="1" applyNumberFormat="1" applyFont="1" applyFill="1" applyBorder="1"/>
    <xf numFmtId="4" fontId="35" fillId="13" borderId="152" xfId="1" applyNumberFormat="1" applyFont="1" applyFill="1" applyBorder="1"/>
    <xf numFmtId="43" fontId="20" fillId="16" borderId="136" xfId="1" applyFont="1" applyFill="1" applyBorder="1" applyAlignment="1">
      <alignment wrapText="1"/>
    </xf>
    <xf numFmtId="43" fontId="20" fillId="16" borderId="138" xfId="1" applyFont="1" applyFill="1" applyBorder="1"/>
    <xf numFmtId="4" fontId="35" fillId="16" borderId="153" xfId="1" applyNumberFormat="1" applyFont="1" applyFill="1" applyBorder="1"/>
    <xf numFmtId="4" fontId="35" fillId="16" borderId="104" xfId="1" applyNumberFormat="1" applyFont="1" applyFill="1" applyBorder="1"/>
    <xf numFmtId="4" fontId="35" fillId="16" borderId="97" xfId="1" applyNumberFormat="1" applyFont="1" applyFill="1" applyBorder="1"/>
    <xf numFmtId="0" fontId="37" fillId="6" borderId="0" xfId="0" applyFont="1" applyFill="1" applyBorder="1" applyAlignment="1">
      <alignment horizontal="center" vertical="center"/>
    </xf>
    <xf numFmtId="4" fontId="35" fillId="0" borderId="97" xfId="0" applyNumberFormat="1" applyFont="1" applyBorder="1"/>
    <xf numFmtId="4" fontId="35" fillId="0" borderId="99" xfId="0" applyNumberFormat="1" applyFont="1" applyBorder="1"/>
    <xf numFmtId="169" fontId="35" fillId="0" borderId="0" xfId="0" applyNumberFormat="1" applyFont="1" applyBorder="1"/>
    <xf numFmtId="43" fontId="35" fillId="0" borderId="0" xfId="1" applyNumberFormat="1" applyFont="1" applyFill="1" applyBorder="1"/>
    <xf numFmtId="4" fontId="35" fillId="0" borderId="143" xfId="0" applyNumberFormat="1" applyFont="1" applyBorder="1"/>
    <xf numFmtId="0" fontId="34" fillId="10" borderId="0" xfId="0" applyFont="1" applyFill="1" applyBorder="1"/>
    <xf numFmtId="4" fontId="35" fillId="13" borderId="154" xfId="1" applyNumberFormat="1" applyFont="1" applyFill="1" applyBorder="1"/>
    <xf numFmtId="4" fontId="35" fillId="0" borderId="155" xfId="1" applyNumberFormat="1" applyFont="1" applyBorder="1"/>
    <xf numFmtId="6" fontId="18" fillId="0" borderId="28" xfId="0" applyNumberFormat="1" applyFont="1" applyBorder="1" applyAlignment="1">
      <alignment horizontal="left" vertical="top" wrapText="1"/>
    </xf>
    <xf numFmtId="0" fontId="24" fillId="16" borderId="28" xfId="0" applyFont="1" applyFill="1" applyBorder="1" applyAlignment="1">
      <alignment vertical="center" wrapText="1"/>
    </xf>
    <xf numFmtId="4" fontId="35" fillId="15" borderId="28" xfId="1" applyNumberFormat="1" applyFont="1" applyFill="1" applyBorder="1"/>
    <xf numFmtId="0" fontId="21" fillId="15" borderId="0" xfId="0" applyFont="1" applyFill="1" applyBorder="1"/>
    <xf numFmtId="0" fontId="18" fillId="0" borderId="28" xfId="0" applyFont="1" applyBorder="1" applyAlignment="1">
      <alignment horizontal="left" vertical="top"/>
    </xf>
    <xf numFmtId="4" fontId="35" fillId="13" borderId="156" xfId="1" applyNumberFormat="1" applyFont="1" applyFill="1" applyBorder="1"/>
    <xf numFmtId="0" fontId="24" fillId="16" borderId="157" xfId="0" applyFont="1" applyFill="1" applyBorder="1" applyAlignment="1">
      <alignment vertical="center" wrapText="1"/>
    </xf>
    <xf numFmtId="0" fontId="24" fillId="0" borderId="27" xfId="0" applyFont="1" applyBorder="1" applyAlignment="1">
      <alignment horizontal="left" vertical="center" wrapText="1"/>
    </xf>
    <xf numFmtId="0" fontId="24" fillId="8" borderId="0" xfId="0" applyFont="1" applyFill="1" applyBorder="1" applyAlignment="1">
      <alignment horizontal="center" vertical="center" wrapText="1"/>
    </xf>
    <xf numFmtId="2" fontId="35" fillId="13" borderId="96" xfId="1" applyNumberFormat="1" applyFont="1" applyFill="1" applyBorder="1"/>
    <xf numFmtId="4" fontId="35" fillId="0" borderId="153" xfId="1" applyNumberFormat="1" applyFont="1" applyFill="1" applyBorder="1"/>
    <xf numFmtId="4" fontId="35" fillId="0" borderId="91" xfId="1" applyNumberFormat="1" applyFont="1" applyFill="1" applyBorder="1"/>
    <xf numFmtId="4" fontId="35" fillId="0" borderId="73" xfId="0" applyNumberFormat="1" applyFont="1" applyBorder="1"/>
    <xf numFmtId="4" fontId="35" fillId="0" borderId="101" xfId="1" applyNumberFormat="1" applyFont="1" applyBorder="1"/>
    <xf numFmtId="4" fontId="35" fillId="0" borderId="88" xfId="0" applyNumberFormat="1" applyFont="1" applyBorder="1"/>
    <xf numFmtId="4" fontId="35" fillId="13" borderId="158" xfId="1" applyNumberFormat="1" applyFont="1" applyFill="1" applyBorder="1"/>
    <xf numFmtId="4" fontId="35" fillId="13" borderId="144" xfId="1" applyNumberFormat="1" applyFont="1" applyFill="1" applyBorder="1"/>
    <xf numFmtId="4" fontId="35" fillId="16" borderId="160" xfId="1" applyNumberFormat="1" applyFont="1" applyFill="1" applyBorder="1"/>
    <xf numFmtId="4" fontId="35" fillId="16" borderId="161" xfId="1" applyNumberFormat="1" applyFont="1" applyFill="1" applyBorder="1"/>
    <xf numFmtId="0" fontId="37" fillId="6" borderId="7" xfId="0" applyFont="1" applyFill="1" applyBorder="1" applyAlignment="1">
      <alignment horizontal="left" vertical="top"/>
    </xf>
    <xf numFmtId="4" fontId="35" fillId="0" borderId="162" xfId="0" applyNumberFormat="1" applyFont="1" applyBorder="1"/>
    <xf numFmtId="4" fontId="35" fillId="13" borderId="143" xfId="1" applyNumberFormat="1" applyFont="1" applyFill="1" applyBorder="1"/>
    <xf numFmtId="4" fontId="35" fillId="0" borderId="93" xfId="0" applyNumberFormat="1" applyFont="1" applyBorder="1"/>
    <xf numFmtId="0" fontId="18" fillId="0" borderId="9" xfId="0" applyFont="1" applyBorder="1"/>
    <xf numFmtId="0" fontId="20" fillId="16" borderId="135" xfId="0" applyFont="1" applyFill="1" applyBorder="1"/>
    <xf numFmtId="4" fontId="35" fillId="0" borderId="28" xfId="1" applyNumberFormat="1" applyFont="1" applyFill="1" applyBorder="1"/>
    <xf numFmtId="0" fontId="20" fillId="16" borderId="9" xfId="0" applyFont="1" applyFill="1" applyBorder="1"/>
    <xf numFmtId="0" fontId="20" fillId="16" borderId="12" xfId="0" applyFont="1" applyFill="1" applyBorder="1"/>
    <xf numFmtId="43" fontId="20" fillId="16" borderId="12" xfId="0" applyNumberFormat="1" applyFont="1" applyFill="1" applyBorder="1"/>
    <xf numFmtId="43" fontId="20" fillId="16" borderId="12" xfId="1" applyFont="1" applyFill="1" applyBorder="1" applyAlignment="1">
      <alignment wrapText="1"/>
    </xf>
    <xf numFmtId="43" fontId="20" fillId="16" borderId="12" xfId="1" applyFont="1" applyFill="1" applyBorder="1"/>
    <xf numFmtId="0" fontId="24" fillId="15" borderId="27" xfId="0" applyFont="1" applyFill="1" applyBorder="1" applyAlignment="1">
      <alignment wrapText="1"/>
    </xf>
    <xf numFmtId="4" fontId="35" fillId="15" borderId="5" xfId="1" applyNumberFormat="1" applyFont="1" applyFill="1" applyBorder="1"/>
    <xf numFmtId="4" fontId="35" fillId="15" borderId="11" xfId="1" applyNumberFormat="1" applyFont="1" applyFill="1" applyBorder="1"/>
    <xf numFmtId="4" fontId="35" fillId="15" borderId="6" xfId="1" applyNumberFormat="1" applyFont="1" applyFill="1" applyBorder="1"/>
    <xf numFmtId="0" fontId="24" fillId="16" borderId="29" xfId="0" applyFont="1" applyFill="1" applyBorder="1" applyAlignment="1">
      <alignment vertical="center" wrapText="1"/>
    </xf>
    <xf numFmtId="0" fontId="21" fillId="16" borderId="9" xfId="0" applyFont="1" applyFill="1" applyBorder="1"/>
    <xf numFmtId="43" fontId="20" fillId="16" borderId="12" xfId="0" applyNumberFormat="1" applyFont="1" applyFill="1" applyBorder="1" applyAlignment="1">
      <alignment wrapText="1"/>
    </xf>
    <xf numFmtId="4" fontId="35" fillId="16" borderId="9" xfId="0" applyNumberFormat="1" applyFont="1" applyFill="1" applyBorder="1"/>
    <xf numFmtId="4" fontId="35" fillId="16" borderId="9" xfId="1" applyNumberFormat="1" applyFont="1" applyFill="1" applyBorder="1"/>
    <xf numFmtId="4" fontId="35" fillId="15" borderId="5" xfId="0" applyNumberFormat="1" applyFont="1" applyFill="1" applyBorder="1"/>
    <xf numFmtId="4" fontId="35" fillId="15" borderId="11" xfId="0" applyNumberFormat="1" applyFont="1" applyFill="1" applyBorder="1"/>
    <xf numFmtId="0" fontId="18" fillId="0" borderId="7" xfId="0" applyFont="1" applyBorder="1" applyAlignment="1">
      <alignment vertical="center" wrapText="1"/>
    </xf>
    <xf numFmtId="4" fontId="45" fillId="0" borderId="27" xfId="0" applyNumberFormat="1" applyFont="1" applyBorder="1" applyAlignment="1">
      <alignment horizontal="center"/>
    </xf>
    <xf numFmtId="0" fontId="20" fillId="0" borderId="5" xfId="0" applyFont="1" applyBorder="1" applyAlignment="1">
      <alignment horizontal="center" vertical="center"/>
    </xf>
    <xf numFmtId="0" fontId="20" fillId="8" borderId="11" xfId="0" applyFont="1" applyFill="1" applyBorder="1" applyAlignment="1">
      <alignment horizontal="center" vertical="center" wrapText="1"/>
    </xf>
    <xf numFmtId="4" fontId="35" fillId="8" borderId="82" xfId="0" applyNumberFormat="1" applyFont="1" applyFill="1" applyBorder="1" applyAlignment="1">
      <alignment horizontal="center" vertical="center"/>
    </xf>
    <xf numFmtId="4" fontId="35" fillId="8" borderId="83" xfId="0" applyNumberFormat="1" applyFont="1" applyFill="1" applyBorder="1" applyAlignment="1">
      <alignment horizontal="center" vertical="center"/>
    </xf>
    <xf numFmtId="4" fontId="35" fillId="8" borderId="86" xfId="0" applyNumberFormat="1" applyFont="1" applyFill="1" applyBorder="1" applyAlignment="1">
      <alignment horizontal="center" vertical="center"/>
    </xf>
    <xf numFmtId="4" fontId="35" fillId="8" borderId="6" xfId="0" applyNumberFormat="1" applyFont="1" applyFill="1" applyBorder="1" applyAlignment="1">
      <alignment horizontal="center" vertical="center"/>
    </xf>
    <xf numFmtId="4" fontId="35" fillId="8" borderId="11" xfId="0" applyNumberFormat="1" applyFont="1" applyFill="1" applyBorder="1" applyAlignment="1">
      <alignment horizontal="center" vertical="center"/>
    </xf>
    <xf numFmtId="0" fontId="24" fillId="16" borderId="9" xfId="0" applyFont="1" applyFill="1" applyBorder="1" applyAlignment="1">
      <alignment vertical="center" wrapText="1"/>
    </xf>
    <xf numFmtId="0" fontId="20" fillId="15" borderId="5" xfId="0" applyFont="1" applyFill="1" applyBorder="1"/>
    <xf numFmtId="0" fontId="20" fillId="15" borderId="11" xfId="0" applyFont="1" applyFill="1" applyBorder="1"/>
    <xf numFmtId="43" fontId="20" fillId="15" borderId="11" xfId="0" applyNumberFormat="1" applyFont="1" applyFill="1" applyBorder="1"/>
    <xf numFmtId="43" fontId="20" fillId="15" borderId="11" xfId="1" applyFont="1" applyFill="1" applyBorder="1" applyAlignment="1">
      <alignment wrapText="1"/>
    </xf>
    <xf numFmtId="43" fontId="20" fillId="15" borderId="11" xfId="1" applyFont="1" applyFill="1" applyBorder="1"/>
    <xf numFmtId="0" fontId="20" fillId="0" borderId="28" xfId="0" applyFont="1" applyBorder="1" applyAlignment="1">
      <alignment horizontal="left" vertical="top" wrapText="1"/>
    </xf>
    <xf numFmtId="0" fontId="21" fillId="0" borderId="7" xfId="0" applyFont="1" applyBorder="1"/>
    <xf numFmtId="43" fontId="20" fillId="0" borderId="0" xfId="0" applyNumberFormat="1" applyFont="1" applyBorder="1" applyAlignment="1">
      <alignment vertical="center"/>
    </xf>
    <xf numFmtId="0" fontId="24" fillId="15" borderId="28" xfId="0" applyFont="1" applyFill="1" applyBorder="1" applyAlignment="1">
      <alignment wrapText="1"/>
    </xf>
    <xf numFmtId="0" fontId="21" fillId="15" borderId="5" xfId="0" applyFont="1" applyFill="1" applyBorder="1"/>
    <xf numFmtId="43" fontId="20" fillId="15" borderId="11" xfId="0" applyNumberFormat="1" applyFont="1" applyFill="1" applyBorder="1" applyAlignment="1">
      <alignment wrapText="1"/>
    </xf>
    <xf numFmtId="4" fontId="35" fillId="0" borderId="28" xfId="0" applyNumberFormat="1" applyFont="1" applyFill="1" applyBorder="1"/>
    <xf numFmtId="170" fontId="34" fillId="24" borderId="19" xfId="0" applyNumberFormat="1" applyFont="1" applyFill="1" applyBorder="1"/>
    <xf numFmtId="0" fontId="20" fillId="0" borderId="34" xfId="0" applyFont="1" applyBorder="1"/>
    <xf numFmtId="0" fontId="20" fillId="0" borderId="31" xfId="0" applyFont="1" applyBorder="1"/>
    <xf numFmtId="4" fontId="20" fillId="0" borderId="31" xfId="0" applyNumberFormat="1" applyFont="1" applyBorder="1"/>
    <xf numFmtId="4" fontId="20" fillId="2" borderId="31" xfId="0" applyNumberFormat="1" applyFont="1" applyFill="1" applyBorder="1"/>
    <xf numFmtId="4" fontId="20" fillId="2" borderId="39" xfId="0" applyNumberFormat="1" applyFont="1" applyFill="1" applyBorder="1"/>
    <xf numFmtId="4" fontId="20" fillId="16" borderId="35" xfId="0" applyNumberFormat="1" applyFont="1" applyFill="1" applyBorder="1"/>
    <xf numFmtId="0" fontId="20" fillId="0" borderId="26" xfId="0" applyFont="1" applyBorder="1"/>
    <xf numFmtId="0" fontId="20" fillId="0" borderId="24" xfId="0" applyFont="1" applyBorder="1"/>
    <xf numFmtId="4" fontId="20" fillId="0" borderId="24" xfId="0" applyNumberFormat="1" applyFont="1" applyBorder="1"/>
    <xf numFmtId="4" fontId="20" fillId="2" borderId="24" xfId="0" applyNumberFormat="1" applyFont="1" applyFill="1" applyBorder="1"/>
    <xf numFmtId="4" fontId="0" fillId="0" borderId="24" xfId="0" applyNumberFormat="1" applyBorder="1"/>
    <xf numFmtId="4" fontId="0" fillId="2" borderId="52" xfId="0" applyNumberFormat="1" applyFill="1" applyBorder="1"/>
    <xf numFmtId="4" fontId="0" fillId="16" borderId="25" xfId="0" applyNumberFormat="1" applyFill="1" applyBorder="1"/>
    <xf numFmtId="0" fontId="34" fillId="24" borderId="18" xfId="0" applyFont="1" applyFill="1" applyBorder="1"/>
    <xf numFmtId="0" fontId="34" fillId="24" borderId="19" xfId="0" applyFont="1" applyFill="1" applyBorder="1"/>
    <xf numFmtId="170" fontId="34" fillId="24" borderId="19" xfId="0" applyNumberFormat="1" applyFont="1" applyFill="1" applyBorder="1" applyAlignment="1"/>
    <xf numFmtId="170" fontId="34" fillId="24" borderId="51" xfId="0" applyNumberFormat="1" applyFont="1" applyFill="1" applyBorder="1"/>
    <xf numFmtId="0" fontId="18" fillId="24" borderId="20" xfId="0" applyFont="1" applyFill="1" applyBorder="1"/>
    <xf numFmtId="0" fontId="24" fillId="0" borderId="0" xfId="0" applyFont="1"/>
    <xf numFmtId="0" fontId="0" fillId="0" borderId="10" xfId="0" applyBorder="1"/>
    <xf numFmtId="3" fontId="0" fillId="16" borderId="11" xfId="0" applyNumberFormat="1" applyFill="1" applyBorder="1"/>
    <xf numFmtId="2" fontId="0" fillId="16" borderId="0" xfId="0" applyNumberFormat="1" applyFill="1" applyBorder="1"/>
    <xf numFmtId="4" fontId="0" fillId="18" borderId="0" xfId="0" applyNumberFormat="1" applyFill="1" applyBorder="1"/>
    <xf numFmtId="3" fontId="0" fillId="18" borderId="0" xfId="0" applyNumberFormat="1" applyFill="1" applyBorder="1"/>
    <xf numFmtId="43" fontId="0" fillId="24" borderId="7" xfId="1" applyFont="1" applyFill="1" applyBorder="1"/>
    <xf numFmtId="43" fontId="0" fillId="24" borderId="0" xfId="1" applyFont="1" applyFill="1" applyBorder="1"/>
    <xf numFmtId="43" fontId="0" fillId="24" borderId="8" xfId="1" applyFont="1" applyFill="1" applyBorder="1"/>
    <xf numFmtId="4" fontId="35" fillId="13" borderId="90" xfId="1" applyNumberFormat="1" applyFont="1" applyFill="1" applyBorder="1"/>
    <xf numFmtId="4" fontId="35" fillId="13" borderId="7" xfId="1" applyNumberFormat="1" applyFont="1" applyFill="1" applyBorder="1"/>
    <xf numFmtId="43" fontId="35" fillId="0" borderId="0" xfId="0" applyNumberFormat="1" applyFont="1" applyBorder="1"/>
    <xf numFmtId="0" fontId="12" fillId="0" borderId="8" xfId="0" applyFont="1" applyBorder="1"/>
    <xf numFmtId="4" fontId="0" fillId="0" borderId="7" xfId="1" applyNumberFormat="1" applyFont="1" applyFill="1" applyBorder="1"/>
    <xf numFmtId="3" fontId="0" fillId="0" borderId="18" xfId="0" applyNumberFormat="1" applyBorder="1"/>
    <xf numFmtId="3" fontId="0" fillId="0" borderId="19" xfId="0" applyNumberFormat="1" applyBorder="1"/>
    <xf numFmtId="3" fontId="0" fillId="0" borderId="20" xfId="0" applyNumberFormat="1" applyBorder="1"/>
    <xf numFmtId="0" fontId="2" fillId="19" borderId="28" xfId="0" applyFont="1" applyFill="1" applyBorder="1" applyAlignment="1">
      <alignment wrapText="1"/>
    </xf>
    <xf numFmtId="1" fontId="0" fillId="0" borderId="0" xfId="0" applyNumberFormat="1" applyBorder="1"/>
    <xf numFmtId="0" fontId="15" fillId="0" borderId="0" xfId="0" applyFont="1" applyFill="1" applyBorder="1" applyAlignment="1">
      <alignment horizontal="left" vertical="top" wrapText="1"/>
    </xf>
    <xf numFmtId="0" fontId="20" fillId="0" borderId="0" xfId="0" applyFont="1" applyBorder="1" applyAlignment="1">
      <alignment horizontal="center"/>
    </xf>
    <xf numFmtId="3" fontId="0" fillId="0" borderId="11" xfId="0" applyNumberFormat="1" applyFill="1" applyBorder="1"/>
    <xf numFmtId="3" fontId="0" fillId="0" borderId="12" xfId="0" applyNumberFormat="1" applyFill="1" applyBorder="1"/>
    <xf numFmtId="0" fontId="0" fillId="13" borderId="1" xfId="0" applyFill="1" applyBorder="1" applyAlignment="1">
      <alignment wrapText="1"/>
    </xf>
    <xf numFmtId="10" fontId="0" fillId="0" borderId="1" xfId="3" applyNumberFormat="1" applyFont="1" applyBorder="1"/>
    <xf numFmtId="0" fontId="34" fillId="34" borderId="30" xfId="0" applyFont="1" applyFill="1" applyBorder="1" applyAlignment="1">
      <alignment horizontal="center" vertical="center" wrapText="1"/>
    </xf>
    <xf numFmtId="0" fontId="34" fillId="34" borderId="15" xfId="0" applyFont="1" applyFill="1" applyBorder="1" applyAlignment="1">
      <alignment horizontal="center" vertical="center" wrapText="1"/>
    </xf>
    <xf numFmtId="0" fontId="34" fillId="34" borderId="29" xfId="0" applyFont="1" applyFill="1" applyBorder="1" applyAlignment="1">
      <alignment horizontal="center" vertical="center" wrapText="1"/>
    </xf>
    <xf numFmtId="0" fontId="34" fillId="34" borderId="10" xfId="0" applyFont="1" applyFill="1" applyBorder="1" applyAlignment="1">
      <alignment horizontal="center" vertical="center" wrapText="1"/>
    </xf>
    <xf numFmtId="1" fontId="0" fillId="0" borderId="0" xfId="0" applyNumberFormat="1"/>
    <xf numFmtId="0" fontId="0" fillId="4" borderId="0" xfId="0" applyFill="1"/>
    <xf numFmtId="0" fontId="18" fillId="0" borderId="0" xfId="0" applyFont="1" applyFill="1" applyBorder="1"/>
    <xf numFmtId="43" fontId="18" fillId="0" borderId="0" xfId="0" applyNumberFormat="1" applyFont="1" applyFill="1" applyBorder="1"/>
    <xf numFmtId="43" fontId="18" fillId="0" borderId="0" xfId="0" applyNumberFormat="1" applyFont="1" applyFill="1" applyBorder="1" applyAlignment="1">
      <alignment wrapText="1"/>
    </xf>
    <xf numFmtId="4" fontId="35" fillId="0" borderId="7" xfId="0" applyNumberFormat="1" applyFont="1" applyFill="1" applyBorder="1"/>
    <xf numFmtId="4" fontId="35" fillId="0" borderId="0" xfId="0" applyNumberFormat="1" applyFont="1" applyFill="1" applyBorder="1"/>
    <xf numFmtId="0" fontId="35" fillId="0" borderId="7" xfId="0" applyFont="1" applyFill="1" applyBorder="1"/>
    <xf numFmtId="0" fontId="0" fillId="0" borderId="0" xfId="0" applyAlignment="1">
      <alignment horizontal="center"/>
    </xf>
    <xf numFmtId="0" fontId="0" fillId="5" borderId="0" xfId="0" applyFill="1"/>
    <xf numFmtId="0" fontId="0" fillId="5" borderId="0" xfId="0" applyFill="1" applyBorder="1"/>
    <xf numFmtId="3" fontId="0" fillId="0" borderId="5" xfId="0" applyNumberFormat="1" applyFill="1" applyBorder="1"/>
    <xf numFmtId="3" fontId="20" fillId="0" borderId="0" xfId="0" applyNumberFormat="1" applyFont="1" applyFill="1"/>
    <xf numFmtId="9" fontId="0" fillId="0" borderId="0" xfId="3" applyFont="1" applyFill="1" applyBorder="1"/>
    <xf numFmtId="2" fontId="0" fillId="0" borderId="0" xfId="0" applyNumberFormat="1"/>
    <xf numFmtId="0" fontId="0" fillId="0" borderId="38" xfId="0" applyBorder="1" applyAlignment="1">
      <alignment wrapText="1"/>
    </xf>
    <xf numFmtId="0" fontId="0" fillId="9" borderId="38" xfId="0" applyFill="1" applyBorder="1"/>
    <xf numFmtId="0" fontId="2" fillId="0" borderId="1" xfId="0" applyFont="1" applyBorder="1"/>
    <xf numFmtId="0" fontId="2" fillId="9" borderId="1" xfId="0" applyFont="1" applyFill="1" applyBorder="1"/>
    <xf numFmtId="0" fontId="2" fillId="9" borderId="38" xfId="0" applyFont="1" applyFill="1" applyBorder="1"/>
    <xf numFmtId="0" fontId="0" fillId="0" borderId="38" xfId="0" applyFill="1" applyBorder="1"/>
    <xf numFmtId="169" fontId="18" fillId="0" borderId="0" xfId="1" applyNumberFormat="1" applyFont="1" applyFill="1" applyBorder="1"/>
    <xf numFmtId="0" fontId="32" fillId="2" borderId="51" xfId="0" applyFont="1" applyFill="1" applyBorder="1" applyAlignment="1" applyProtection="1">
      <alignment horizontal="center" vertical="center"/>
    </xf>
    <xf numFmtId="0" fontId="36" fillId="13" borderId="44" xfId="0" applyFont="1" applyFill="1" applyBorder="1" applyAlignment="1" applyProtection="1">
      <alignment horizontal="center" vertical="center"/>
    </xf>
    <xf numFmtId="0" fontId="36" fillId="13" borderId="45" xfId="0" applyFont="1" applyFill="1" applyBorder="1" applyAlignment="1" applyProtection="1">
      <alignment horizontal="center" vertical="center"/>
    </xf>
    <xf numFmtId="0" fontId="36" fillId="13" borderId="46" xfId="0" applyFont="1" applyFill="1" applyBorder="1" applyAlignment="1" applyProtection="1">
      <alignment horizontal="center" vertical="center"/>
    </xf>
    <xf numFmtId="166" fontId="19" fillId="0" borderId="9" xfId="1" applyNumberFormat="1" applyFont="1" applyBorder="1"/>
    <xf numFmtId="166" fontId="19" fillId="0" borderId="12" xfId="1" applyNumberFormat="1" applyFont="1" applyBorder="1"/>
    <xf numFmtId="166" fontId="19" fillId="0" borderId="10" xfId="1" applyNumberFormat="1" applyFont="1" applyFill="1" applyBorder="1"/>
    <xf numFmtId="166" fontId="19" fillId="0" borderId="12" xfId="1" applyNumberFormat="1" applyFont="1" applyFill="1" applyBorder="1"/>
    <xf numFmtId="166" fontId="36" fillId="0" borderId="12" xfId="1" applyNumberFormat="1" applyFont="1" applyBorder="1"/>
    <xf numFmtId="166" fontId="19" fillId="0" borderId="9" xfId="1" applyNumberFormat="1" applyFont="1" applyFill="1" applyBorder="1"/>
    <xf numFmtId="0" fontId="15" fillId="0" borderId="0" xfId="0" applyFont="1" applyFill="1"/>
    <xf numFmtId="0" fontId="32" fillId="2" borderId="42" xfId="0" applyFont="1" applyFill="1" applyBorder="1" applyAlignment="1" applyProtection="1">
      <alignment horizontal="center" vertical="center"/>
    </xf>
    <xf numFmtId="43" fontId="35" fillId="0" borderId="0" xfId="1" applyFont="1" applyFill="1" applyBorder="1"/>
    <xf numFmtId="166" fontId="20" fillId="0" borderId="5" xfId="1" applyNumberFormat="1" applyFont="1" applyBorder="1"/>
    <xf numFmtId="166" fontId="20" fillId="0" borderId="6" xfId="1" applyNumberFormat="1" applyFont="1" applyFill="1" applyBorder="1"/>
    <xf numFmtId="166" fontId="20" fillId="0" borderId="7" xfId="1" applyNumberFormat="1" applyFont="1" applyBorder="1"/>
    <xf numFmtId="166" fontId="20" fillId="0" borderId="0" xfId="1" applyNumberFormat="1" applyFont="1" applyBorder="1"/>
    <xf numFmtId="166" fontId="23" fillId="0" borderId="0" xfId="1" applyNumberFormat="1" applyFont="1" applyBorder="1"/>
    <xf numFmtId="166" fontId="20" fillId="0" borderId="9" xfId="1" applyNumberFormat="1" applyFont="1" applyBorder="1"/>
    <xf numFmtId="166" fontId="20" fillId="0" borderId="12" xfId="1" applyNumberFormat="1" applyFont="1" applyBorder="1"/>
    <xf numFmtId="166" fontId="23" fillId="0" borderId="12" xfId="1" applyNumberFormat="1" applyFont="1" applyBorder="1"/>
    <xf numFmtId="166" fontId="20" fillId="0" borderId="0" xfId="1" applyNumberFormat="1" applyFont="1" applyFill="1" applyBorder="1"/>
    <xf numFmtId="43" fontId="18" fillId="0" borderId="7" xfId="1" applyFont="1" applyBorder="1"/>
    <xf numFmtId="43" fontId="18" fillId="0" borderId="8" xfId="1" applyFont="1" applyBorder="1"/>
    <xf numFmtId="3" fontId="18" fillId="0" borderId="0" xfId="1" applyNumberFormat="1" applyFont="1" applyFill="1" applyBorder="1"/>
    <xf numFmtId="0" fontId="20" fillId="0" borderId="0" xfId="0" applyFont="1" applyBorder="1" applyAlignment="1">
      <alignment horizontal="center" vertical="center" wrapText="1"/>
    </xf>
    <xf numFmtId="0" fontId="19" fillId="0" borderId="0" xfId="0" applyFont="1" applyFill="1" applyBorder="1" applyAlignment="1">
      <alignment vertical="center" wrapText="1"/>
    </xf>
    <xf numFmtId="43" fontId="0" fillId="2" borderId="13" xfId="1" applyFont="1" applyFill="1" applyBorder="1"/>
    <xf numFmtId="43" fontId="0" fillId="2" borderId="14" xfId="1" applyFont="1" applyFill="1" applyBorder="1"/>
    <xf numFmtId="0" fontId="0" fillId="0" borderId="14" xfId="0" applyFill="1" applyBorder="1"/>
    <xf numFmtId="43" fontId="35" fillId="0" borderId="5" xfId="1" applyFont="1" applyFill="1" applyBorder="1"/>
    <xf numFmtId="8" fontId="55" fillId="0" borderId="11" xfId="0" applyNumberFormat="1" applyFont="1" applyBorder="1" applyAlignment="1">
      <alignment horizontal="right" vertical="center"/>
    </xf>
    <xf numFmtId="10" fontId="18" fillId="0" borderId="27" xfId="3" applyNumberFormat="1" applyFont="1" applyBorder="1"/>
    <xf numFmtId="43" fontId="35" fillId="0" borderId="7" xfId="1" applyFont="1" applyFill="1" applyBorder="1"/>
    <xf numFmtId="8" fontId="55" fillId="0" borderId="0" xfId="0" applyNumberFormat="1" applyFont="1" applyBorder="1" applyAlignment="1">
      <alignment horizontal="right" vertical="center"/>
    </xf>
    <xf numFmtId="43" fontId="35" fillId="0" borderId="13" xfId="1" applyFont="1" applyFill="1" applyBorder="1"/>
    <xf numFmtId="8" fontId="56" fillId="0" borderId="30" xfId="0" applyNumberFormat="1" applyFont="1" applyBorder="1" applyAlignment="1">
      <alignment horizontal="right" vertical="center"/>
    </xf>
    <xf numFmtId="10" fontId="18" fillId="0" borderId="30" xfId="3" applyNumberFormat="1" applyFont="1" applyBorder="1"/>
    <xf numFmtId="43" fontId="35" fillId="0" borderId="14" xfId="1" applyFont="1" applyFill="1" applyBorder="1"/>
    <xf numFmtId="0" fontId="0" fillId="2" borderId="30" xfId="0" applyFill="1" applyBorder="1"/>
    <xf numFmtId="0" fontId="18" fillId="0" borderId="30" xfId="0" applyFont="1" applyBorder="1"/>
    <xf numFmtId="1" fontId="0" fillId="0" borderId="0" xfId="3" applyNumberFormat="1" applyFont="1"/>
    <xf numFmtId="0" fontId="19" fillId="0" borderId="0" xfId="0" applyFont="1" applyFill="1" applyBorder="1"/>
    <xf numFmtId="0" fontId="19" fillId="0" borderId="0" xfId="0" applyFont="1" applyFill="1" applyBorder="1" applyAlignment="1">
      <alignment wrapText="1"/>
    </xf>
    <xf numFmtId="4" fontId="19" fillId="0" borderId="0" xfId="0" applyNumberFormat="1" applyFont="1" applyFill="1" applyBorder="1"/>
    <xf numFmtId="4" fontId="18" fillId="0" borderId="12" xfId="0" applyNumberFormat="1" applyFont="1" applyFill="1" applyBorder="1"/>
    <xf numFmtId="4" fontId="18" fillId="0" borderId="28" xfId="0" applyNumberFormat="1" applyFont="1" applyBorder="1" applyAlignment="1">
      <alignment horizontal="right"/>
    </xf>
    <xf numFmtId="4" fontId="50" fillId="0" borderId="164" xfId="0" applyNumberFormat="1" applyFont="1" applyBorder="1" applyAlignment="1">
      <alignment horizontal="right" vertical="center"/>
    </xf>
    <xf numFmtId="0" fontId="60" fillId="0" borderId="0" xfId="0" applyFont="1"/>
    <xf numFmtId="0" fontId="0" fillId="24" borderId="22" xfId="0" applyFill="1" applyBorder="1"/>
    <xf numFmtId="0" fontId="20" fillId="0" borderId="1" xfId="0" applyFont="1" applyBorder="1"/>
    <xf numFmtId="43" fontId="58" fillId="35" borderId="54" xfId="0" applyNumberFormat="1" applyFont="1" applyFill="1" applyBorder="1"/>
    <xf numFmtId="43" fontId="0" fillId="36" borderId="1" xfId="1" applyFont="1" applyFill="1" applyBorder="1"/>
    <xf numFmtId="0" fontId="0" fillId="24" borderId="53" xfId="0" applyFill="1" applyBorder="1"/>
    <xf numFmtId="43" fontId="0" fillId="0" borderId="36" xfId="1" applyFont="1" applyBorder="1"/>
    <xf numFmtId="0" fontId="0" fillId="4" borderId="1" xfId="0" applyFill="1" applyBorder="1"/>
    <xf numFmtId="0" fontId="0" fillId="0" borderId="29" xfId="0" applyBorder="1"/>
    <xf numFmtId="0" fontId="31" fillId="0" borderId="0" xfId="0" applyFont="1"/>
    <xf numFmtId="0" fontId="19" fillId="21" borderId="1" xfId="0" applyFont="1" applyFill="1" applyBorder="1"/>
    <xf numFmtId="0" fontId="18" fillId="0" borderId="1" xfId="0" applyFont="1" applyBorder="1" applyAlignment="1">
      <alignment vertical="top" wrapText="1"/>
    </xf>
    <xf numFmtId="4" fontId="20" fillId="0" borderId="1" xfId="0" applyNumberFormat="1" applyFont="1" applyBorder="1"/>
    <xf numFmtId="43" fontId="20" fillId="0" borderId="1" xfId="0" applyNumberFormat="1" applyFont="1" applyBorder="1"/>
    <xf numFmtId="0" fontId="0" fillId="36" borderId="0" xfId="0" applyFill="1"/>
    <xf numFmtId="43" fontId="20" fillId="36" borderId="1" xfId="0" applyNumberFormat="1" applyFont="1" applyFill="1" applyBorder="1"/>
    <xf numFmtId="0" fontId="24" fillId="2" borderId="1" xfId="0" applyFont="1" applyFill="1" applyBorder="1"/>
    <xf numFmtId="0" fontId="20" fillId="13" borderId="1" xfId="0" applyFont="1" applyFill="1" applyBorder="1"/>
    <xf numFmtId="4" fontId="20" fillId="13" borderId="1" xfId="0" applyNumberFormat="1" applyFont="1" applyFill="1" applyBorder="1"/>
    <xf numFmtId="0" fontId="24" fillId="3" borderId="1" xfId="0" applyFont="1" applyFill="1" applyBorder="1" applyAlignment="1">
      <alignment wrapText="1"/>
    </xf>
    <xf numFmtId="43" fontId="20" fillId="13" borderId="1" xfId="0" applyNumberFormat="1" applyFont="1" applyFill="1" applyBorder="1"/>
    <xf numFmtId="0" fontId="18" fillId="3" borderId="1" xfId="0" applyFont="1" applyFill="1" applyBorder="1" applyAlignment="1">
      <alignment wrapText="1"/>
    </xf>
    <xf numFmtId="0" fontId="61" fillId="37" borderId="1" xfId="0" applyFont="1" applyFill="1" applyBorder="1" applyAlignment="1">
      <alignment wrapText="1"/>
    </xf>
    <xf numFmtId="0" fontId="62" fillId="37" borderId="1" xfId="0" applyFont="1" applyFill="1" applyBorder="1"/>
    <xf numFmtId="43" fontId="62" fillId="37" borderId="1" xfId="0" applyNumberFormat="1" applyFont="1" applyFill="1" applyBorder="1"/>
    <xf numFmtId="0" fontId="63" fillId="37" borderId="1" xfId="0" applyFont="1" applyFill="1" applyBorder="1" applyAlignment="1">
      <alignment wrapText="1"/>
    </xf>
    <xf numFmtId="9" fontId="62" fillId="37" borderId="1" xfId="3" applyFont="1" applyFill="1" applyBorder="1"/>
    <xf numFmtId="9" fontId="62" fillId="36" borderId="1" xfId="3" applyFont="1" applyFill="1" applyBorder="1"/>
    <xf numFmtId="0" fontId="0" fillId="15" borderId="1" xfId="0" applyFill="1" applyBorder="1"/>
    <xf numFmtId="0" fontId="0" fillId="38" borderId="1" xfId="0" applyFill="1" applyBorder="1"/>
    <xf numFmtId="0" fontId="0" fillId="38" borderId="36" xfId="0" applyFill="1" applyBorder="1"/>
    <xf numFmtId="0" fontId="0" fillId="38" borderId="45" xfId="0" applyFill="1" applyBorder="1"/>
    <xf numFmtId="3" fontId="15" fillId="0" borderId="36" xfId="0" applyNumberFormat="1" applyFont="1" applyBorder="1" applyAlignment="1">
      <alignment horizontal="center" vertical="center"/>
    </xf>
    <xf numFmtId="0" fontId="59" fillId="15" borderId="1" xfId="0" applyFont="1" applyFill="1" applyBorder="1"/>
    <xf numFmtId="0" fontId="0" fillId="39" borderId="54" xfId="0" applyFill="1" applyBorder="1"/>
    <xf numFmtId="0" fontId="0" fillId="0" borderId="16" xfId="0" applyFill="1" applyBorder="1"/>
    <xf numFmtId="0" fontId="59" fillId="15" borderId="36" xfId="0" applyFont="1" applyFill="1" applyBorder="1"/>
    <xf numFmtId="0" fontId="59" fillId="15" borderId="16" xfId="0" applyFont="1" applyFill="1" applyBorder="1"/>
    <xf numFmtId="0" fontId="59" fillId="15" borderId="26" xfId="0" applyFont="1" applyFill="1" applyBorder="1"/>
    <xf numFmtId="0" fontId="59" fillId="15" borderId="24" xfId="0" applyFont="1" applyFill="1" applyBorder="1"/>
    <xf numFmtId="0" fontId="59" fillId="15" borderId="25" xfId="0" applyFont="1" applyFill="1" applyBorder="1"/>
    <xf numFmtId="0" fontId="0" fillId="0" borderId="47" xfId="0" applyBorder="1"/>
    <xf numFmtId="0" fontId="59" fillId="15" borderId="47" xfId="0" applyFont="1" applyFill="1" applyBorder="1"/>
    <xf numFmtId="0" fontId="0" fillId="15" borderId="52" xfId="0" applyFill="1" applyBorder="1"/>
    <xf numFmtId="0" fontId="65" fillId="0" borderId="0" xfId="0" applyFont="1" applyFill="1" applyBorder="1" applyAlignment="1">
      <alignment horizontal="right" vertical="center" wrapText="1"/>
    </xf>
    <xf numFmtId="0" fontId="65" fillId="0" borderId="8" xfId="0" applyFont="1" applyFill="1" applyBorder="1" applyAlignment="1">
      <alignment horizontal="right" vertical="center" wrapText="1"/>
    </xf>
    <xf numFmtId="0" fontId="12" fillId="0" borderId="0" xfId="0" applyFont="1" applyFill="1" applyBorder="1" applyAlignment="1">
      <alignment horizontal="right" vertical="center" wrapText="1"/>
    </xf>
    <xf numFmtId="0" fontId="12" fillId="0" borderId="8" xfId="0" applyFont="1" applyFill="1" applyBorder="1" applyAlignment="1">
      <alignment horizontal="right" vertical="center" wrapText="1"/>
    </xf>
    <xf numFmtId="0" fontId="65" fillId="0" borderId="11" xfId="0" applyFont="1" applyFill="1" applyBorder="1" applyAlignment="1">
      <alignment horizontal="right" vertical="center" wrapText="1"/>
    </xf>
    <xf numFmtId="0" fontId="65" fillId="0" borderId="6" xfId="0" applyFont="1" applyFill="1" applyBorder="1" applyAlignment="1">
      <alignment horizontal="right" vertical="center" wrapText="1"/>
    </xf>
    <xf numFmtId="0" fontId="12" fillId="0" borderId="11" xfId="0" applyFont="1" applyFill="1" applyBorder="1" applyAlignment="1">
      <alignment horizontal="right" vertical="center" wrapText="1"/>
    </xf>
    <xf numFmtId="0" fontId="12" fillId="0" borderId="6" xfId="0" applyFont="1" applyFill="1" applyBorder="1" applyAlignment="1">
      <alignment horizontal="right" vertical="center" wrapText="1"/>
    </xf>
    <xf numFmtId="0" fontId="64" fillId="0" borderId="0" xfId="0" applyFont="1" applyFill="1" applyBorder="1" applyAlignment="1">
      <alignment horizontal="center" vertical="center" wrapText="1"/>
    </xf>
    <xf numFmtId="3" fontId="12" fillId="0" borderId="0" xfId="0" applyNumberFormat="1" applyFont="1" applyFill="1" applyBorder="1" applyAlignment="1">
      <alignment horizontal="right" vertical="center" wrapText="1"/>
    </xf>
    <xf numFmtId="3" fontId="12" fillId="0" borderId="11" xfId="0" applyNumberFormat="1" applyFont="1" applyFill="1" applyBorder="1" applyAlignment="1">
      <alignment horizontal="right" vertical="center" wrapText="1"/>
    </xf>
    <xf numFmtId="0" fontId="12" fillId="0" borderId="0" xfId="0" applyFont="1" applyFill="1" applyBorder="1" applyAlignment="1">
      <alignment vertical="center" wrapText="1"/>
    </xf>
    <xf numFmtId="0" fontId="12" fillId="0" borderId="5" xfId="0" applyFont="1" applyBorder="1" applyAlignment="1">
      <alignment vertical="center" wrapText="1"/>
    </xf>
    <xf numFmtId="0" fontId="12" fillId="0" borderId="7" xfId="0" applyFont="1" applyBorder="1" applyAlignment="1">
      <alignment vertical="center" wrapText="1"/>
    </xf>
    <xf numFmtId="0" fontId="64" fillId="0" borderId="0" xfId="0" applyFont="1" applyFill="1" applyBorder="1" applyAlignment="1">
      <alignment horizontal="right" vertical="center" wrapText="1"/>
    </xf>
    <xf numFmtId="3" fontId="64" fillId="0" borderId="0" xfId="0" applyNumberFormat="1" applyFont="1" applyFill="1" applyBorder="1" applyAlignment="1">
      <alignment horizontal="right" vertical="center" wrapText="1"/>
    </xf>
    <xf numFmtId="0" fontId="64" fillId="0" borderId="11" xfId="0" applyFont="1" applyFill="1" applyBorder="1" applyAlignment="1">
      <alignment horizontal="right" vertical="center" wrapText="1"/>
    </xf>
    <xf numFmtId="0" fontId="0" fillId="21" borderId="13" xfId="0" applyFill="1" applyBorder="1"/>
    <xf numFmtId="0" fontId="64" fillId="21" borderId="14" xfId="0" applyFont="1" applyFill="1" applyBorder="1" applyAlignment="1">
      <alignment horizontal="center" vertical="center" wrapText="1"/>
    </xf>
    <xf numFmtId="0" fontId="64" fillId="21" borderId="15" xfId="0" applyFont="1" applyFill="1" applyBorder="1" applyAlignment="1">
      <alignment horizontal="center" vertical="center" wrapText="1"/>
    </xf>
    <xf numFmtId="0" fontId="0" fillId="21" borderId="14" xfId="0" applyFill="1" applyBorder="1"/>
    <xf numFmtId="0" fontId="66" fillId="21" borderId="13" xfId="0" applyFont="1" applyFill="1" applyBorder="1" applyAlignment="1">
      <alignment horizontal="right" vertical="center" wrapText="1"/>
    </xf>
    <xf numFmtId="0" fontId="12" fillId="15" borderId="9" xfId="0" applyFont="1" applyFill="1" applyBorder="1" applyAlignment="1">
      <alignment vertical="center" wrapText="1"/>
    </xf>
    <xf numFmtId="0" fontId="0" fillId="15" borderId="9" xfId="0" applyFill="1" applyBorder="1"/>
    <xf numFmtId="3" fontId="64" fillId="15" borderId="12" xfId="0" applyNumberFormat="1" applyFont="1" applyFill="1" applyBorder="1" applyAlignment="1">
      <alignment horizontal="right" vertical="center" wrapText="1"/>
    </xf>
    <xf numFmtId="0" fontId="65" fillId="15" borderId="12" xfId="0" applyFont="1" applyFill="1" applyBorder="1" applyAlignment="1">
      <alignment horizontal="right" vertical="center" wrapText="1"/>
    </xf>
    <xf numFmtId="0" fontId="65" fillId="15" borderId="10" xfId="0" applyFont="1" applyFill="1" applyBorder="1" applyAlignment="1">
      <alignment horizontal="right" vertical="center" wrapText="1"/>
    </xf>
    <xf numFmtId="0" fontId="0" fillId="15" borderId="12" xfId="0" applyFill="1" applyBorder="1"/>
    <xf numFmtId="0" fontId="12" fillId="15" borderId="12" xfId="0" applyFont="1" applyFill="1" applyBorder="1" applyAlignment="1">
      <alignment horizontal="right" vertical="center" wrapText="1"/>
    </xf>
    <xf numFmtId="0" fontId="0" fillId="15" borderId="29" xfId="0" applyFill="1" applyBorder="1"/>
    <xf numFmtId="3" fontId="12" fillId="15" borderId="12" xfId="0" applyNumberFormat="1" applyFont="1" applyFill="1" applyBorder="1" applyAlignment="1">
      <alignment horizontal="right" vertical="center" wrapText="1"/>
    </xf>
    <xf numFmtId="0" fontId="12" fillId="15" borderId="10" xfId="0" applyFont="1" applyFill="1" applyBorder="1" applyAlignment="1">
      <alignment horizontal="right" vertical="center" wrapText="1"/>
    </xf>
    <xf numFmtId="0" fontId="0" fillId="21" borderId="36" xfId="0" applyFill="1" applyBorder="1"/>
    <xf numFmtId="0" fontId="0" fillId="0" borderId="24" xfId="0" applyFill="1" applyBorder="1"/>
    <xf numFmtId="0" fontId="0" fillId="0" borderId="25" xfId="0" applyFill="1" applyBorder="1"/>
    <xf numFmtId="0" fontId="0" fillId="0" borderId="31" xfId="0" applyFill="1" applyBorder="1"/>
    <xf numFmtId="0" fontId="69" fillId="0" borderId="0" xfId="0" applyFont="1" applyFill="1" applyBorder="1"/>
    <xf numFmtId="9" fontId="15" fillId="0" borderId="0" xfId="3" applyFont="1" applyFill="1" applyBorder="1"/>
    <xf numFmtId="9" fontId="6" fillId="0" borderId="0" xfId="3" applyFont="1" applyFill="1" applyBorder="1"/>
    <xf numFmtId="9" fontId="13" fillId="0" borderId="0" xfId="3" applyFont="1" applyFill="1" applyBorder="1"/>
    <xf numFmtId="9" fontId="71" fillId="0" borderId="0" xfId="3" applyFont="1" applyFill="1" applyBorder="1"/>
    <xf numFmtId="9" fontId="33" fillId="0" borderId="0" xfId="3" applyFont="1" applyFill="1" applyBorder="1"/>
    <xf numFmtId="4" fontId="0" fillId="36" borderId="36" xfId="0" applyNumberFormat="1" applyFill="1" applyBorder="1"/>
    <xf numFmtId="4" fontId="0" fillId="4" borderId="36" xfId="0" applyNumberFormat="1" applyFill="1" applyBorder="1"/>
    <xf numFmtId="9" fontId="0" fillId="4" borderId="1" xfId="3" applyFont="1" applyFill="1" applyBorder="1"/>
    <xf numFmtId="4" fontId="12" fillId="0" borderId="165" xfId="0" applyNumberFormat="1" applyFont="1" applyBorder="1" applyAlignment="1">
      <alignment horizontal="right" vertical="center"/>
    </xf>
    <xf numFmtId="0" fontId="19" fillId="0" borderId="16" xfId="0" applyFont="1" applyBorder="1"/>
    <xf numFmtId="0" fontId="19" fillId="0" borderId="1" xfId="0" applyFont="1" applyBorder="1"/>
    <xf numFmtId="4" fontId="50" fillId="36" borderId="164" xfId="0" applyNumberFormat="1" applyFont="1" applyFill="1" applyBorder="1" applyAlignment="1">
      <alignment horizontal="right" vertical="center"/>
    </xf>
    <xf numFmtId="0" fontId="20" fillId="2" borderId="0" xfId="0" applyFont="1" applyFill="1" applyBorder="1"/>
    <xf numFmtId="0" fontId="61" fillId="35" borderId="173" xfId="0" applyFont="1" applyFill="1" applyBorder="1" applyAlignment="1">
      <alignment horizontal="center" vertical="top" wrapText="1"/>
    </xf>
    <xf numFmtId="0" fontId="74" fillId="35" borderId="54" xfId="0" applyFont="1" applyFill="1" applyBorder="1"/>
    <xf numFmtId="43" fontId="59" fillId="37" borderId="1" xfId="1" applyFont="1" applyFill="1" applyBorder="1"/>
    <xf numFmtId="4" fontId="76" fillId="37" borderId="164" xfId="0" applyNumberFormat="1" applyFont="1" applyFill="1" applyBorder="1" applyAlignment="1">
      <alignment horizontal="right" vertical="center"/>
    </xf>
    <xf numFmtId="43" fontId="59" fillId="37" borderId="36" xfId="1" applyFont="1" applyFill="1" applyBorder="1"/>
    <xf numFmtId="4" fontId="59" fillId="37" borderId="36" xfId="0" applyNumberFormat="1" applyFont="1" applyFill="1" applyBorder="1"/>
    <xf numFmtId="0" fontId="77" fillId="35" borderId="122" xfId="0" applyFont="1" applyFill="1" applyBorder="1" applyAlignment="1">
      <alignment vertical="top" wrapText="1"/>
    </xf>
    <xf numFmtId="43" fontId="59" fillId="37" borderId="17" xfId="1" applyFont="1" applyFill="1" applyBorder="1"/>
    <xf numFmtId="169" fontId="0" fillId="36" borderId="17" xfId="1" applyNumberFormat="1" applyFont="1" applyFill="1" applyBorder="1"/>
    <xf numFmtId="4" fontId="0" fillId="4" borderId="36" xfId="0" applyNumberFormat="1" applyFill="1" applyBorder="1" applyAlignment="1">
      <alignment wrapText="1"/>
    </xf>
    <xf numFmtId="0" fontId="74" fillId="35" borderId="173" xfId="0" applyFont="1" applyFill="1" applyBorder="1" applyAlignment="1">
      <alignment wrapText="1"/>
    </xf>
    <xf numFmtId="43" fontId="58" fillId="35" borderId="54" xfId="1" applyFont="1" applyFill="1" applyBorder="1"/>
    <xf numFmtId="43" fontId="58" fillId="35" borderId="171" xfId="1" applyFont="1" applyFill="1" applyBorder="1"/>
    <xf numFmtId="4" fontId="59" fillId="36" borderId="7" xfId="0" applyNumberFormat="1" applyFont="1" applyFill="1" applyBorder="1"/>
    <xf numFmtId="0" fontId="77" fillId="35" borderId="122" xfId="0" applyFont="1" applyFill="1" applyBorder="1"/>
    <xf numFmtId="0" fontId="77" fillId="35" borderId="1" xfId="0" applyFont="1" applyFill="1" applyBorder="1"/>
    <xf numFmtId="0" fontId="59" fillId="35" borderId="1" xfId="0" applyFont="1" applyFill="1" applyBorder="1"/>
    <xf numFmtId="43" fontId="59" fillId="35" borderId="1" xfId="0" applyNumberFormat="1" applyFont="1" applyFill="1" applyBorder="1"/>
    <xf numFmtId="4" fontId="59" fillId="35" borderId="36" xfId="0" applyNumberFormat="1" applyFont="1" applyFill="1" applyBorder="1"/>
    <xf numFmtId="4" fontId="59" fillId="36" borderId="36" xfId="0" applyNumberFormat="1" applyFont="1" applyFill="1" applyBorder="1"/>
    <xf numFmtId="0" fontId="19" fillId="24" borderId="21" xfId="0" applyFont="1" applyFill="1" applyBorder="1" applyAlignment="1">
      <alignment wrapText="1"/>
    </xf>
    <xf numFmtId="0" fontId="19" fillId="0" borderId="2" xfId="0" applyFont="1" applyBorder="1" applyAlignment="1">
      <alignment wrapText="1"/>
    </xf>
    <xf numFmtId="43" fontId="19" fillId="0" borderId="3" xfId="1" applyFont="1" applyBorder="1"/>
    <xf numFmtId="43" fontId="19" fillId="0" borderId="50" xfId="1" applyFont="1" applyBorder="1"/>
    <xf numFmtId="4" fontId="19" fillId="0" borderId="1" xfId="0" applyNumberFormat="1" applyFont="1" applyBorder="1"/>
    <xf numFmtId="9" fontId="0" fillId="0" borderId="1" xfId="3" applyFont="1" applyBorder="1"/>
    <xf numFmtId="0" fontId="19" fillId="0" borderId="26" xfId="0" applyFont="1" applyBorder="1" applyAlignment="1">
      <alignment wrapText="1"/>
    </xf>
    <xf numFmtId="0" fontId="19" fillId="0" borderId="24" xfId="0" applyFont="1" applyBorder="1"/>
    <xf numFmtId="43" fontId="19" fillId="0" borderId="24" xfId="1" applyFont="1" applyFill="1" applyBorder="1"/>
    <xf numFmtId="43" fontId="19" fillId="0" borderId="24" xfId="1" applyFont="1" applyBorder="1"/>
    <xf numFmtId="43" fontId="19" fillId="0" borderId="52" xfId="1" applyFont="1" applyBorder="1"/>
    <xf numFmtId="0" fontId="58" fillId="35" borderId="54" xfId="0" applyFont="1" applyFill="1" applyBorder="1"/>
    <xf numFmtId="43" fontId="61" fillId="35" borderId="54" xfId="0" applyNumberFormat="1" applyFont="1" applyFill="1" applyBorder="1"/>
    <xf numFmtId="43" fontId="61" fillId="35" borderId="54" xfId="1" applyFont="1" applyFill="1" applyBorder="1"/>
    <xf numFmtId="43" fontId="61" fillId="35" borderId="43" xfId="1" applyFont="1" applyFill="1" applyBorder="1"/>
    <xf numFmtId="4" fontId="62" fillId="35" borderId="32" xfId="0" applyNumberFormat="1" applyFont="1" applyFill="1" applyBorder="1"/>
    <xf numFmtId="0" fontId="63" fillId="35" borderId="173" xfId="0" applyFont="1" applyFill="1" applyBorder="1" applyAlignment="1">
      <alignment wrapText="1"/>
    </xf>
    <xf numFmtId="0" fontId="58" fillId="35" borderId="1" xfId="0" applyFont="1" applyFill="1" applyBorder="1"/>
    <xf numFmtId="43" fontId="61" fillId="35" borderId="1" xfId="0" applyNumberFormat="1" applyFont="1" applyFill="1" applyBorder="1"/>
    <xf numFmtId="43" fontId="61" fillId="35" borderId="1" xfId="1" applyFont="1" applyFill="1" applyBorder="1"/>
    <xf numFmtId="43" fontId="61" fillId="36" borderId="1" xfId="1" applyFont="1" applyFill="1" applyBorder="1"/>
    <xf numFmtId="4" fontId="62" fillId="36" borderId="1" xfId="0" applyNumberFormat="1" applyFont="1" applyFill="1" applyBorder="1"/>
    <xf numFmtId="0" fontId="19" fillId="24" borderId="18" xfId="0" applyFont="1" applyFill="1" applyBorder="1" applyAlignment="1">
      <alignment wrapText="1"/>
    </xf>
    <xf numFmtId="0" fontId="0" fillId="24" borderId="19" xfId="0" applyFill="1" applyBorder="1"/>
    <xf numFmtId="0" fontId="0" fillId="24" borderId="20" xfId="0" applyFill="1" applyBorder="1"/>
    <xf numFmtId="0" fontId="19" fillId="0" borderId="34" xfId="0" applyFont="1" applyBorder="1" applyAlignment="1">
      <alignment wrapText="1"/>
    </xf>
    <xf numFmtId="0" fontId="19" fillId="0" borderId="177" xfId="0" applyFont="1" applyBorder="1" applyAlignment="1">
      <alignment wrapText="1"/>
    </xf>
    <xf numFmtId="43" fontId="0" fillId="0" borderId="32" xfId="1" applyFont="1" applyFill="1" applyBorder="1"/>
    <xf numFmtId="0" fontId="74" fillId="35" borderId="18" xfId="0" applyFont="1" applyFill="1" applyBorder="1" applyAlignment="1">
      <alignment wrapText="1"/>
    </xf>
    <xf numFmtId="0" fontId="58" fillId="35" borderId="19" xfId="0" applyFont="1" applyFill="1" applyBorder="1"/>
    <xf numFmtId="0" fontId="19" fillId="0" borderId="31" xfId="0" applyFont="1" applyBorder="1"/>
    <xf numFmtId="9" fontId="0" fillId="0" borderId="0" xfId="3" applyFont="1"/>
    <xf numFmtId="0" fontId="0" fillId="24" borderId="18" xfId="0" applyFill="1" applyBorder="1"/>
    <xf numFmtId="165" fontId="15" fillId="0" borderId="49" xfId="1" applyNumberFormat="1" applyFont="1" applyBorder="1"/>
    <xf numFmtId="165" fontId="15" fillId="0" borderId="11" xfId="1" applyNumberFormat="1" applyFont="1" applyBorder="1"/>
    <xf numFmtId="9" fontId="2" fillId="0" borderId="169" xfId="3" applyFont="1" applyBorder="1"/>
    <xf numFmtId="0" fontId="2" fillId="0" borderId="169" xfId="0" applyFont="1" applyBorder="1"/>
    <xf numFmtId="9" fontId="2" fillId="0" borderId="11" xfId="3" applyFont="1" applyBorder="1"/>
    <xf numFmtId="165" fontId="15" fillId="0" borderId="11" xfId="1" applyNumberFormat="1" applyFont="1" applyFill="1" applyBorder="1"/>
    <xf numFmtId="0" fontId="2" fillId="0" borderId="11" xfId="0" applyFont="1" applyFill="1" applyBorder="1"/>
    <xf numFmtId="165" fontId="2" fillId="0" borderId="5" xfId="0" applyNumberFormat="1" applyFont="1" applyFill="1" applyBorder="1"/>
    <xf numFmtId="0" fontId="2" fillId="0" borderId="6" xfId="0" applyFont="1" applyFill="1" applyBorder="1"/>
    <xf numFmtId="43" fontId="15" fillId="0" borderId="5" xfId="1" applyFont="1" applyBorder="1"/>
    <xf numFmtId="9" fontId="33" fillId="0" borderId="11" xfId="3" applyFont="1" applyBorder="1"/>
    <xf numFmtId="0" fontId="0" fillId="0" borderId="11" xfId="0" applyFont="1" applyBorder="1"/>
    <xf numFmtId="0" fontId="20" fillId="0" borderId="36" xfId="0" applyFont="1" applyBorder="1"/>
    <xf numFmtId="3" fontId="18" fillId="0" borderId="16" xfId="0" applyNumberFormat="1" applyFont="1" applyFill="1" applyBorder="1"/>
    <xf numFmtId="3" fontId="18" fillId="0" borderId="1" xfId="0" applyNumberFormat="1" applyFont="1" applyFill="1" applyBorder="1"/>
    <xf numFmtId="165" fontId="35" fillId="0" borderId="1" xfId="1" applyNumberFormat="1" applyFont="1" applyBorder="1"/>
    <xf numFmtId="1" fontId="18" fillId="0" borderId="1" xfId="3" applyNumberFormat="1" applyFont="1" applyFill="1" applyBorder="1"/>
    <xf numFmtId="9" fontId="18" fillId="0" borderId="36" xfId="3" applyFont="1" applyFill="1" applyBorder="1"/>
    <xf numFmtId="4" fontId="18" fillId="0" borderId="31" xfId="0" applyNumberFormat="1" applyFont="1" applyFill="1" applyBorder="1"/>
    <xf numFmtId="9" fontId="18" fillId="0" borderId="39" xfId="3" applyFont="1" applyFill="1" applyBorder="1"/>
    <xf numFmtId="43" fontId="79" fillId="0" borderId="168" xfId="1" applyFont="1" applyFill="1" applyBorder="1"/>
    <xf numFmtId="9" fontId="79" fillId="0" borderId="172" xfId="3" applyFont="1" applyFill="1" applyBorder="1"/>
    <xf numFmtId="4" fontId="68" fillId="0" borderId="34" xfId="0" applyNumberFormat="1" applyFont="1" applyFill="1" applyBorder="1"/>
    <xf numFmtId="3" fontId="18" fillId="4" borderId="16" xfId="0" applyNumberFormat="1" applyFont="1" applyFill="1" applyBorder="1"/>
    <xf numFmtId="3" fontId="18" fillId="4" borderId="1" xfId="0" applyNumberFormat="1" applyFont="1" applyFill="1" applyBorder="1"/>
    <xf numFmtId="43" fontId="45" fillId="4" borderId="1" xfId="1" applyFont="1" applyFill="1" applyBorder="1"/>
    <xf numFmtId="165" fontId="35" fillId="4" borderId="1" xfId="1" applyNumberFormat="1" applyFont="1" applyFill="1" applyBorder="1"/>
    <xf numFmtId="4" fontId="18" fillId="0" borderId="16" xfId="0" applyNumberFormat="1" applyFont="1" applyFill="1" applyBorder="1"/>
    <xf numFmtId="0" fontId="26" fillId="0" borderId="1" xfId="0" applyFont="1" applyFill="1" applyBorder="1" applyAlignment="1" applyProtection="1">
      <alignment vertical="center"/>
    </xf>
    <xf numFmtId="165" fontId="26" fillId="0" borderId="1" xfId="1" applyNumberFormat="1" applyFont="1" applyFill="1" applyBorder="1" applyAlignment="1" applyProtection="1">
      <alignment vertical="center"/>
    </xf>
    <xf numFmtId="165" fontId="79" fillId="0" borderId="47" xfId="1" applyNumberFormat="1" applyFont="1" applyFill="1" applyBorder="1"/>
    <xf numFmtId="9" fontId="79" fillId="0" borderId="57" xfId="3" applyFont="1" applyFill="1" applyBorder="1"/>
    <xf numFmtId="4" fontId="68" fillId="0" borderId="16" xfId="0" applyNumberFormat="1" applyFont="1" applyFill="1" applyBorder="1"/>
    <xf numFmtId="4" fontId="18" fillId="0" borderId="1" xfId="0" applyNumberFormat="1" applyFont="1" applyFill="1" applyBorder="1"/>
    <xf numFmtId="43" fontId="35" fillId="0" borderId="1" xfId="1" applyFont="1" applyBorder="1"/>
    <xf numFmtId="3" fontId="68" fillId="0" borderId="16" xfId="0" applyNumberFormat="1" applyFont="1" applyFill="1" applyBorder="1"/>
    <xf numFmtId="3" fontId="18" fillId="27" borderId="1" xfId="0" applyNumberFormat="1" applyFont="1" applyFill="1" applyBorder="1"/>
    <xf numFmtId="165" fontId="18" fillId="0" borderId="1" xfId="1" applyNumberFormat="1" applyFont="1" applyFill="1" applyBorder="1"/>
    <xf numFmtId="43" fontId="79" fillId="0" borderId="47" xfId="1" applyFont="1" applyFill="1" applyBorder="1"/>
    <xf numFmtId="43" fontId="35" fillId="0" borderId="1" xfId="1" applyFont="1" applyFill="1" applyBorder="1"/>
    <xf numFmtId="0" fontId="81" fillId="0" borderId="36" xfId="0" applyFont="1" applyBorder="1"/>
    <xf numFmtId="165" fontId="18" fillId="4" borderId="1" xfId="1" applyNumberFormat="1" applyFont="1" applyFill="1" applyBorder="1"/>
    <xf numFmtId="43" fontId="79" fillId="4" borderId="47" xfId="1" applyFont="1" applyFill="1" applyBorder="1"/>
    <xf numFmtId="9" fontId="79" fillId="4" borderId="57" xfId="3" applyFont="1" applyFill="1" applyBorder="1"/>
    <xf numFmtId="0" fontId="82" fillId="35" borderId="7" xfId="0" applyFont="1" applyFill="1" applyBorder="1"/>
    <xf numFmtId="165" fontId="35" fillId="0" borderId="1" xfId="1" applyNumberFormat="1" applyFont="1" applyFill="1" applyBorder="1"/>
    <xf numFmtId="0" fontId="82" fillId="35" borderId="36" xfId="0" applyFont="1" applyFill="1" applyBorder="1" applyAlignment="1">
      <alignment wrapText="1"/>
    </xf>
    <xf numFmtId="9" fontId="18" fillId="4" borderId="36" xfId="3" applyFont="1" applyFill="1" applyBorder="1"/>
    <xf numFmtId="2" fontId="18" fillId="0" borderId="16" xfId="0" applyNumberFormat="1" applyFont="1" applyFill="1" applyBorder="1"/>
    <xf numFmtId="2" fontId="18" fillId="0" borderId="1" xfId="0" applyNumberFormat="1" applyFont="1" applyFill="1" applyBorder="1"/>
    <xf numFmtId="0" fontId="82" fillId="35" borderId="36" xfId="0" applyFont="1" applyFill="1" applyBorder="1"/>
    <xf numFmtId="0" fontId="20" fillId="5" borderId="7" xfId="0" applyFont="1" applyFill="1" applyBorder="1"/>
    <xf numFmtId="43" fontId="86" fillId="5" borderId="0" xfId="0" applyNumberFormat="1" applyFont="1" applyFill="1" applyBorder="1"/>
    <xf numFmtId="9" fontId="86" fillId="5" borderId="8" xfId="3" applyFont="1" applyFill="1" applyBorder="1"/>
    <xf numFmtId="43" fontId="86" fillId="0" borderId="0" xfId="0" applyNumberFormat="1" applyFont="1" applyBorder="1"/>
    <xf numFmtId="9" fontId="86" fillId="0" borderId="8" xfId="3" applyFont="1" applyBorder="1"/>
    <xf numFmtId="0" fontId="24" fillId="0" borderId="0" xfId="0" applyFont="1" applyFill="1" applyBorder="1"/>
    <xf numFmtId="0" fontId="50" fillId="0" borderId="29" xfId="0" applyFont="1" applyBorder="1" applyAlignment="1">
      <alignment horizontal="justify" vertical="center" wrapText="1"/>
    </xf>
    <xf numFmtId="0" fontId="49" fillId="0" borderId="10" xfId="0" applyFont="1" applyBorder="1" applyAlignment="1">
      <alignment horizontal="justify" vertical="center" wrapText="1"/>
    </xf>
    <xf numFmtId="0" fontId="23" fillId="0" borderId="7" xfId="0" applyFont="1" applyFill="1" applyBorder="1"/>
    <xf numFmtId="0" fontId="20" fillId="0" borderId="44" xfId="0" applyFont="1" applyBorder="1"/>
    <xf numFmtId="0" fontId="20" fillId="5" borderId="45" xfId="0" applyFont="1" applyFill="1" applyBorder="1"/>
    <xf numFmtId="0" fontId="20" fillId="0" borderId="45" xfId="0" applyFont="1" applyBorder="1"/>
    <xf numFmtId="0" fontId="70" fillId="0" borderId="45" xfId="0" applyFont="1" applyFill="1" applyBorder="1"/>
    <xf numFmtId="0" fontId="23" fillId="5" borderId="45" xfId="0" applyFont="1" applyFill="1" applyBorder="1" applyAlignment="1">
      <alignment wrapText="1"/>
    </xf>
    <xf numFmtId="0" fontId="23" fillId="0" borderId="45" xfId="0" applyFont="1" applyFill="1" applyBorder="1" applyAlignment="1">
      <alignment wrapText="1"/>
    </xf>
    <xf numFmtId="0" fontId="23" fillId="5" borderId="45" xfId="0" applyFont="1" applyFill="1" applyBorder="1"/>
    <xf numFmtId="0" fontId="23" fillId="0" borderId="45" xfId="0" applyFont="1" applyFill="1" applyBorder="1"/>
    <xf numFmtId="0" fontId="23" fillId="5" borderId="46" xfId="0" applyFont="1" applyFill="1" applyBorder="1"/>
    <xf numFmtId="43" fontId="20" fillId="36" borderId="2" xfId="1" applyFont="1" applyFill="1" applyBorder="1"/>
    <xf numFmtId="43" fontId="20" fillId="0" borderId="3" xfId="1" applyFont="1" applyBorder="1"/>
    <xf numFmtId="9" fontId="20" fillId="0" borderId="4" xfId="3" applyFont="1" applyBorder="1"/>
    <xf numFmtId="43" fontId="20" fillId="0" borderId="167" xfId="1" applyFont="1" applyBorder="1"/>
    <xf numFmtId="43" fontId="20" fillId="36" borderId="16" xfId="1" applyFont="1" applyFill="1" applyBorder="1"/>
    <xf numFmtId="43" fontId="20" fillId="5" borderId="1" xfId="1" applyFont="1" applyFill="1" applyBorder="1"/>
    <xf numFmtId="9" fontId="20" fillId="5" borderId="17" xfId="3" applyFont="1" applyFill="1" applyBorder="1"/>
    <xf numFmtId="43" fontId="20" fillId="5" borderId="38" xfId="1" applyFont="1" applyFill="1" applyBorder="1"/>
    <xf numFmtId="43" fontId="20" fillId="0" borderId="1" xfId="1" applyFont="1" applyBorder="1"/>
    <xf numFmtId="9" fontId="20" fillId="0" borderId="17" xfId="3" applyFont="1" applyBorder="1"/>
    <xf numFmtId="43" fontId="20" fillId="0" borderId="38" xfId="1" applyFont="1" applyBorder="1"/>
    <xf numFmtId="43" fontId="20" fillId="4" borderId="1" xfId="1" applyFont="1" applyFill="1" applyBorder="1"/>
    <xf numFmtId="9" fontId="20" fillId="4" borderId="17" xfId="3" applyFont="1" applyFill="1" applyBorder="1"/>
    <xf numFmtId="9" fontId="20" fillId="36" borderId="17" xfId="3" applyFont="1" applyFill="1" applyBorder="1"/>
    <xf numFmtId="43" fontId="24" fillId="0" borderId="16" xfId="1" applyFont="1" applyBorder="1"/>
    <xf numFmtId="43" fontId="24" fillId="0" borderId="1" xfId="1" applyFont="1" applyBorder="1"/>
    <xf numFmtId="9" fontId="24" fillId="0" borderId="17" xfId="3" applyFont="1" applyBorder="1"/>
    <xf numFmtId="43" fontId="24" fillId="36" borderId="16" xfId="1" applyFont="1" applyFill="1" applyBorder="1"/>
    <xf numFmtId="43" fontId="24" fillId="0" borderId="38" xfId="1" applyFont="1" applyBorder="1"/>
    <xf numFmtId="0" fontId="20" fillId="5" borderId="38" xfId="0" applyFont="1" applyFill="1" applyBorder="1"/>
    <xf numFmtId="43" fontId="20" fillId="0" borderId="16" xfId="1" applyFont="1" applyBorder="1"/>
    <xf numFmtId="0" fontId="20" fillId="0" borderId="38" xfId="0" applyFont="1" applyBorder="1"/>
    <xf numFmtId="43" fontId="20" fillId="5" borderId="16" xfId="1" applyFont="1" applyFill="1" applyBorder="1"/>
    <xf numFmtId="9" fontId="20" fillId="5" borderId="26" xfId="3" applyFont="1" applyFill="1" applyBorder="1"/>
    <xf numFmtId="9" fontId="20" fillId="5" borderId="24" xfId="3" applyFont="1" applyFill="1" applyBorder="1"/>
    <xf numFmtId="9" fontId="20" fillId="5" borderId="25" xfId="3" applyFont="1" applyFill="1" applyBorder="1"/>
    <xf numFmtId="9" fontId="20" fillId="36" borderId="26" xfId="3" applyFont="1" applyFill="1" applyBorder="1"/>
    <xf numFmtId="9" fontId="20" fillId="5" borderId="176" xfId="3" applyFont="1" applyFill="1" applyBorder="1"/>
    <xf numFmtId="0" fontId="0" fillId="0" borderId="0" xfId="0" applyFont="1"/>
    <xf numFmtId="9" fontId="20" fillId="0" borderId="50" xfId="3" applyFont="1" applyBorder="1"/>
    <xf numFmtId="9" fontId="20" fillId="5" borderId="36" xfId="3" applyFont="1" applyFill="1" applyBorder="1"/>
    <xf numFmtId="9" fontId="20" fillId="0" borderId="36" xfId="3" applyFont="1" applyBorder="1"/>
    <xf numFmtId="9" fontId="24" fillId="0" borderId="36" xfId="3" applyFont="1" applyBorder="1"/>
    <xf numFmtId="0" fontId="20" fillId="5" borderId="36" xfId="0" applyFont="1" applyFill="1" applyBorder="1"/>
    <xf numFmtId="9" fontId="20" fillId="5" borderId="52" xfId="3" applyFont="1" applyFill="1" applyBorder="1"/>
    <xf numFmtId="43" fontId="0" fillId="0" borderId="47" xfId="0" applyNumberFormat="1" applyBorder="1"/>
    <xf numFmtId="2" fontId="0" fillId="0" borderId="48" xfId="0" applyNumberFormat="1" applyBorder="1"/>
    <xf numFmtId="9" fontId="0" fillId="0" borderId="52" xfId="3" applyFont="1" applyBorder="1"/>
    <xf numFmtId="0" fontId="58" fillId="22" borderId="122" xfId="0" applyFont="1" applyFill="1" applyBorder="1"/>
    <xf numFmtId="0" fontId="58" fillId="22" borderId="54" xfId="0" applyFont="1" applyFill="1" applyBorder="1"/>
    <xf numFmtId="0" fontId="58" fillId="22" borderId="54" xfId="0" applyFont="1" applyFill="1" applyBorder="1" applyAlignment="1">
      <alignment horizontal="center"/>
    </xf>
    <xf numFmtId="0" fontId="58" fillId="27" borderId="54" xfId="0" applyFont="1" applyFill="1" applyBorder="1"/>
    <xf numFmtId="0" fontId="58" fillId="27" borderId="54" xfId="0" applyFont="1" applyFill="1" applyBorder="1" applyAlignment="1">
      <alignment horizontal="center"/>
    </xf>
    <xf numFmtId="0" fontId="58" fillId="22" borderId="43" xfId="0" applyFont="1" applyFill="1" applyBorder="1" applyAlignment="1">
      <alignment horizontal="center"/>
    </xf>
    <xf numFmtId="165" fontId="0" fillId="0" borderId="14" xfId="1" applyNumberFormat="1" applyFont="1" applyBorder="1"/>
    <xf numFmtId="9" fontId="0" fillId="0" borderId="14" xfId="3" applyFont="1" applyBorder="1"/>
    <xf numFmtId="3" fontId="0" fillId="0" borderId="14" xfId="0" applyNumberFormat="1" applyBorder="1"/>
    <xf numFmtId="0" fontId="25" fillId="0" borderId="6" xfId="0" applyFont="1" applyBorder="1" applyAlignment="1">
      <alignment horizontal="center" vertical="top" wrapText="1"/>
    </xf>
    <xf numFmtId="0" fontId="88" fillId="0" borderId="10" xfId="0" applyFont="1" applyBorder="1" applyAlignment="1">
      <alignment horizontal="center" vertical="top" wrapText="1"/>
    </xf>
    <xf numFmtId="0" fontId="18" fillId="0" borderId="1" xfId="0" applyFont="1" applyBorder="1"/>
    <xf numFmtId="43" fontId="18" fillId="0" borderId="1" xfId="0" applyNumberFormat="1" applyFont="1" applyBorder="1"/>
    <xf numFmtId="0" fontId="18" fillId="0" borderId="6" xfId="0" applyFont="1" applyBorder="1"/>
    <xf numFmtId="0" fontId="18" fillId="0" borderId="2" xfId="0" applyFont="1" applyBorder="1"/>
    <xf numFmtId="0" fontId="18" fillId="0" borderId="3" xfId="0" applyFont="1" applyBorder="1"/>
    <xf numFmtId="0" fontId="18" fillId="0" borderId="11" xfId="0" applyFont="1" applyBorder="1"/>
    <xf numFmtId="0" fontId="18" fillId="0" borderId="4" xfId="0" applyFont="1" applyBorder="1"/>
    <xf numFmtId="0" fontId="18" fillId="0" borderId="16" xfId="0" applyFont="1" applyBorder="1"/>
    <xf numFmtId="0" fontId="18" fillId="0" borderId="17" xfId="0" applyFont="1" applyBorder="1"/>
    <xf numFmtId="0" fontId="18" fillId="0" borderId="26" xfId="0" applyFont="1" applyBorder="1"/>
    <xf numFmtId="43" fontId="18" fillId="0" borderId="24" xfId="0" applyNumberFormat="1" applyFont="1" applyBorder="1"/>
    <xf numFmtId="0" fontId="18" fillId="0" borderId="24" xfId="0" applyFont="1" applyBorder="1"/>
    <xf numFmtId="43" fontId="18" fillId="0" borderId="25" xfId="0" applyNumberFormat="1" applyFont="1" applyBorder="1"/>
    <xf numFmtId="0" fontId="20" fillId="0" borderId="7" xfId="0" applyFont="1" applyFill="1" applyBorder="1"/>
    <xf numFmtId="0" fontId="20" fillId="0" borderId="9" xfId="0" applyFont="1" applyFill="1" applyBorder="1"/>
    <xf numFmtId="0" fontId="20" fillId="0" borderId="12" xfId="0" applyFont="1" applyBorder="1" applyAlignment="1">
      <alignment horizontal="left" vertical="top"/>
    </xf>
    <xf numFmtId="0" fontId="20" fillId="0" borderId="10" xfId="0" applyFont="1" applyBorder="1"/>
    <xf numFmtId="0" fontId="25" fillId="0" borderId="0" xfId="0" applyFont="1" applyBorder="1" applyAlignment="1">
      <alignment horizontal="center" vertical="top" wrapText="1"/>
    </xf>
    <xf numFmtId="0" fontId="88" fillId="0" borderId="0" xfId="0" applyFont="1" applyBorder="1" applyAlignment="1">
      <alignment horizontal="center" vertical="top" wrapText="1"/>
    </xf>
    <xf numFmtId="0" fontId="50" fillId="0" borderId="0" xfId="0" applyFont="1" applyBorder="1" applyAlignment="1">
      <alignment horizontal="justify" vertical="center" wrapText="1"/>
    </xf>
    <xf numFmtId="0" fontId="49" fillId="0" borderId="0" xfId="0" applyFont="1" applyBorder="1" applyAlignment="1">
      <alignment horizontal="justify" vertical="center" wrapText="1"/>
    </xf>
    <xf numFmtId="0" fontId="25" fillId="0" borderId="0" xfId="0" applyFont="1" applyBorder="1" applyAlignment="1">
      <alignment vertical="top" wrapText="1"/>
    </xf>
    <xf numFmtId="0" fontId="49" fillId="0" borderId="0" xfId="0" applyFont="1" applyBorder="1" applyAlignment="1">
      <alignment vertical="center" wrapText="1"/>
    </xf>
    <xf numFmtId="0" fontId="18" fillId="0" borderId="0" xfId="0" applyFont="1" applyFill="1" applyBorder="1" applyAlignment="1">
      <alignment vertical="top"/>
    </xf>
    <xf numFmtId="3" fontId="18" fillId="0" borderId="0" xfId="0" applyNumberFormat="1" applyFont="1" applyFill="1" applyBorder="1"/>
    <xf numFmtId="9" fontId="18" fillId="0" borderId="0" xfId="3" applyFont="1" applyFill="1" applyBorder="1"/>
    <xf numFmtId="0" fontId="33" fillId="21" borderId="37" xfId="0" applyFont="1" applyFill="1" applyBorder="1"/>
    <xf numFmtId="0" fontId="45" fillId="21" borderId="37" xfId="0" applyFont="1" applyFill="1" applyBorder="1" applyAlignment="1">
      <alignment wrapText="1"/>
    </xf>
    <xf numFmtId="3" fontId="40" fillId="0" borderId="1" xfId="3" applyNumberFormat="1" applyFont="1" applyBorder="1"/>
    <xf numFmtId="3" fontId="40" fillId="4" borderId="1" xfId="3" applyNumberFormat="1" applyFont="1" applyFill="1" applyBorder="1"/>
    <xf numFmtId="3" fontId="40" fillId="0" borderId="1" xfId="3" applyNumberFormat="1" applyFont="1" applyFill="1" applyBorder="1"/>
    <xf numFmtId="4" fontId="40" fillId="0" borderId="1" xfId="3" applyNumberFormat="1" applyFont="1" applyBorder="1"/>
    <xf numFmtId="4" fontId="40" fillId="0" borderId="1" xfId="3" applyNumberFormat="1" applyFont="1" applyFill="1" applyBorder="1"/>
    <xf numFmtId="169" fontId="23" fillId="0" borderId="11" xfId="1" applyNumberFormat="1" applyFont="1" applyBorder="1"/>
    <xf numFmtId="2" fontId="40" fillId="0" borderId="1" xfId="3" applyNumberFormat="1" applyFont="1" applyFill="1" applyBorder="1"/>
    <xf numFmtId="43" fontId="35" fillId="0" borderId="1" xfId="1" applyNumberFormat="1" applyFont="1" applyFill="1" applyBorder="1"/>
    <xf numFmtId="2" fontId="40" fillId="0" borderId="1" xfId="3" applyNumberFormat="1" applyFont="1" applyBorder="1"/>
    <xf numFmtId="4" fontId="18" fillId="0" borderId="41" xfId="0" applyNumberFormat="1" applyFont="1" applyFill="1" applyBorder="1"/>
    <xf numFmtId="4" fontId="18" fillId="0" borderId="38" xfId="0" applyNumberFormat="1" applyFont="1" applyFill="1" applyBorder="1"/>
    <xf numFmtId="3" fontId="18" fillId="0" borderId="38" xfId="0" applyNumberFormat="1" applyFont="1" applyFill="1" applyBorder="1"/>
    <xf numFmtId="3" fontId="18" fillId="4" borderId="38" xfId="0" applyNumberFormat="1" applyFont="1" applyFill="1" applyBorder="1"/>
    <xf numFmtId="4" fontId="18" fillId="4" borderId="38" xfId="0" applyNumberFormat="1" applyFont="1" applyFill="1" applyBorder="1"/>
    <xf numFmtId="165" fontId="15" fillId="0" borderId="0" xfId="1" applyNumberFormat="1" applyFont="1" applyBorder="1"/>
    <xf numFmtId="9" fontId="2" fillId="0" borderId="0" xfId="3" applyFont="1" applyBorder="1"/>
    <xf numFmtId="0" fontId="2" fillId="0" borderId="6" xfId="0" applyFont="1" applyBorder="1"/>
    <xf numFmtId="0" fontId="0" fillId="21" borderId="3" xfId="0" applyFill="1" applyBorder="1"/>
    <xf numFmtId="0" fontId="33" fillId="21" borderId="3" xfId="0" applyFont="1" applyFill="1" applyBorder="1"/>
    <xf numFmtId="4" fontId="18" fillId="0" borderId="17" xfId="0" applyNumberFormat="1" applyFont="1" applyBorder="1"/>
    <xf numFmtId="9" fontId="18" fillId="0" borderId="17" xfId="3" applyFont="1" applyBorder="1"/>
    <xf numFmtId="3" fontId="18" fillId="0" borderId="31" xfId="3" applyNumberFormat="1" applyFont="1" applyFill="1" applyBorder="1"/>
    <xf numFmtId="0" fontId="0" fillId="21" borderId="167" xfId="0" applyFill="1" applyBorder="1"/>
    <xf numFmtId="3" fontId="35" fillId="0" borderId="38" xfId="0" applyNumberFormat="1" applyFont="1" applyFill="1" applyBorder="1"/>
    <xf numFmtId="43" fontId="40" fillId="0" borderId="1" xfId="3" applyNumberFormat="1" applyFont="1" applyFill="1" applyBorder="1"/>
    <xf numFmtId="43" fontId="40" fillId="4" borderId="1" xfId="3" applyNumberFormat="1" applyFont="1" applyFill="1" applyBorder="1"/>
    <xf numFmtId="165" fontId="2" fillId="0" borderId="11" xfId="3" applyNumberFormat="1" applyFont="1" applyFill="1" applyBorder="1"/>
    <xf numFmtId="43" fontId="18" fillId="0" borderId="31" xfId="0" applyNumberFormat="1" applyFont="1" applyFill="1" applyBorder="1"/>
    <xf numFmtId="0" fontId="37" fillId="0" borderId="30" xfId="0" applyFont="1" applyBorder="1"/>
    <xf numFmtId="3" fontId="2" fillId="0" borderId="169" xfId="3" applyNumberFormat="1" applyFont="1" applyBorder="1"/>
    <xf numFmtId="9" fontId="45" fillId="0" borderId="36" xfId="3" applyFont="1" applyBorder="1"/>
    <xf numFmtId="3" fontId="2" fillId="0" borderId="11" xfId="0" applyNumberFormat="1" applyFont="1" applyBorder="1"/>
    <xf numFmtId="3" fontId="2" fillId="0" borderId="11" xfId="0" applyNumberFormat="1" applyFont="1" applyFill="1" applyBorder="1"/>
    <xf numFmtId="3" fontId="0" fillId="0" borderId="11" xfId="0" applyNumberFormat="1" applyFont="1" applyBorder="1"/>
    <xf numFmtId="9" fontId="0" fillId="0" borderId="6" xfId="3" applyFont="1" applyBorder="1"/>
    <xf numFmtId="165" fontId="15" fillId="0" borderId="7" xfId="1" applyNumberFormat="1" applyFont="1" applyBorder="1"/>
    <xf numFmtId="3" fontId="2" fillId="0" borderId="0" xfId="0" applyNumberFormat="1" applyFont="1" applyBorder="1"/>
    <xf numFmtId="9" fontId="2" fillId="26" borderId="0" xfId="3" applyFont="1" applyFill="1" applyBorder="1"/>
    <xf numFmtId="0" fontId="0" fillId="0" borderId="14" xfId="0" applyFont="1" applyBorder="1"/>
    <xf numFmtId="0" fontId="34" fillId="33" borderId="1" xfId="0" applyFont="1" applyFill="1" applyBorder="1" applyAlignment="1">
      <alignment wrapText="1"/>
    </xf>
    <xf numFmtId="0" fontId="18" fillId="33" borderId="1" xfId="0" applyFont="1" applyFill="1" applyBorder="1" applyAlignment="1">
      <alignment vertical="top"/>
    </xf>
    <xf numFmtId="0" fontId="18" fillId="12" borderId="1" xfId="0" applyFont="1" applyFill="1" applyBorder="1"/>
    <xf numFmtId="3" fontId="18" fillId="12" borderId="1" xfId="0" applyNumberFormat="1" applyFont="1" applyFill="1" applyBorder="1"/>
    <xf numFmtId="9" fontId="18" fillId="12" borderId="1" xfId="3" applyFont="1" applyFill="1" applyBorder="1"/>
    <xf numFmtId="0" fontId="34" fillId="41" borderId="1" xfId="0" applyFont="1" applyFill="1" applyBorder="1" applyAlignment="1">
      <alignment wrapText="1"/>
    </xf>
    <xf numFmtId="0" fontId="18" fillId="41" borderId="1" xfId="0" applyFont="1" applyFill="1" applyBorder="1"/>
    <xf numFmtId="0" fontId="18" fillId="42" borderId="1" xfId="0" applyFont="1" applyFill="1" applyBorder="1" applyAlignment="1">
      <alignment wrapText="1"/>
    </xf>
    <xf numFmtId="3" fontId="18" fillId="42" borderId="1" xfId="0" applyNumberFormat="1" applyFont="1" applyFill="1" applyBorder="1"/>
    <xf numFmtId="9" fontId="18" fillId="42" borderId="1" xfId="3" applyFont="1" applyFill="1" applyBorder="1"/>
    <xf numFmtId="0" fontId="18" fillId="42" borderId="1" xfId="0" applyFont="1" applyFill="1" applyBorder="1"/>
    <xf numFmtId="3" fontId="18" fillId="12" borderId="0" xfId="0" applyNumberFormat="1" applyFont="1" applyFill="1"/>
    <xf numFmtId="0" fontId="0" fillId="42" borderId="1" xfId="0" applyFill="1" applyBorder="1"/>
    <xf numFmtId="0" fontId="2" fillId="21" borderId="7" xfId="0" applyFont="1" applyFill="1" applyBorder="1"/>
    <xf numFmtId="0" fontId="49" fillId="41" borderId="26" xfId="0" applyFont="1" applyFill="1" applyBorder="1" applyAlignment="1">
      <alignment horizontal="justify" vertical="center" wrapText="1"/>
    </xf>
    <xf numFmtId="0" fontId="25" fillId="41" borderId="24" xfId="0" applyFont="1" applyFill="1" applyBorder="1" applyAlignment="1">
      <alignment horizontal="justify" vertical="center" wrapText="1"/>
    </xf>
    <xf numFmtId="0" fontId="49" fillId="42" borderId="7" xfId="0" applyFont="1" applyFill="1" applyBorder="1" applyAlignment="1">
      <alignment vertical="center"/>
    </xf>
    <xf numFmtId="3" fontId="25" fillId="42" borderId="31" xfId="0" applyNumberFormat="1" applyFont="1" applyFill="1" applyBorder="1" applyAlignment="1">
      <alignment vertical="center" wrapText="1"/>
    </xf>
    <xf numFmtId="3" fontId="18" fillId="42" borderId="31" xfId="0" applyNumberFormat="1" applyFont="1" applyFill="1" applyBorder="1"/>
    <xf numFmtId="3" fontId="18" fillId="42" borderId="1" xfId="0" applyNumberFormat="1" applyFont="1" applyFill="1" applyBorder="1" applyAlignment="1">
      <alignment vertical="top"/>
    </xf>
    <xf numFmtId="3" fontId="25" fillId="42" borderId="1" xfId="0" applyNumberFormat="1" applyFont="1" applyFill="1" applyBorder="1" applyAlignment="1">
      <alignment vertical="center" wrapText="1"/>
    </xf>
    <xf numFmtId="3" fontId="18" fillId="42" borderId="1" xfId="3" applyNumberFormat="1" applyFont="1" applyFill="1" applyBorder="1"/>
    <xf numFmtId="3" fontId="25" fillId="42" borderId="1" xfId="0" applyNumberFormat="1" applyFont="1" applyFill="1" applyBorder="1" applyAlignment="1">
      <alignment horizontal="justify" vertical="center" wrapText="1"/>
    </xf>
    <xf numFmtId="3" fontId="18" fillId="0" borderId="34" xfId="0" applyNumberFormat="1" applyFont="1" applyFill="1" applyBorder="1"/>
    <xf numFmtId="3" fontId="18" fillId="0" borderId="31" xfId="0" applyNumberFormat="1" applyFont="1" applyFill="1" applyBorder="1"/>
    <xf numFmtId="165" fontId="35" fillId="0" borderId="31" xfId="1" applyNumberFormat="1" applyFont="1" applyFill="1" applyBorder="1"/>
    <xf numFmtId="0" fontId="33" fillId="21" borderId="1" xfId="0" applyFont="1" applyFill="1" applyBorder="1"/>
    <xf numFmtId="0" fontId="2" fillId="21" borderId="1" xfId="0" applyFont="1" applyFill="1" applyBorder="1" applyAlignment="1">
      <alignment wrapText="1"/>
    </xf>
    <xf numFmtId="9" fontId="33" fillId="21" borderId="1" xfId="3" applyFont="1" applyFill="1" applyBorder="1" applyAlignment="1">
      <alignment wrapText="1"/>
    </xf>
    <xf numFmtId="0" fontId="0" fillId="26" borderId="0" xfId="0" applyFill="1" applyBorder="1"/>
    <xf numFmtId="0" fontId="45" fillId="26" borderId="51" xfId="0" applyFont="1" applyFill="1" applyBorder="1" applyAlignment="1">
      <alignment wrapText="1"/>
    </xf>
    <xf numFmtId="9" fontId="0" fillId="26" borderId="50" xfId="0" applyNumberFormat="1" applyFill="1" applyBorder="1"/>
    <xf numFmtId="9" fontId="0" fillId="26" borderId="39" xfId="0" applyNumberFormat="1" applyFill="1" applyBorder="1"/>
    <xf numFmtId="0" fontId="0" fillId="21" borderId="16" xfId="0" applyFill="1" applyBorder="1"/>
    <xf numFmtId="0" fontId="0" fillId="0" borderId="2" xfId="0" applyFont="1" applyBorder="1"/>
    <xf numFmtId="3" fontId="0" fillId="0" borderId="16" xfId="0" applyNumberFormat="1" applyBorder="1"/>
    <xf numFmtId="9" fontId="0" fillId="26" borderId="17" xfId="3" applyFont="1" applyFill="1" applyBorder="1"/>
    <xf numFmtId="0" fontId="45" fillId="26" borderId="23" xfId="0" applyFont="1" applyFill="1" applyBorder="1" applyAlignment="1">
      <alignment vertical="center" wrapText="1"/>
    </xf>
    <xf numFmtId="0" fontId="58" fillId="40" borderId="0" xfId="0" applyFont="1" applyFill="1" applyBorder="1"/>
    <xf numFmtId="0" fontId="0" fillId="21" borderId="1" xfId="0" applyFont="1" applyFill="1" applyBorder="1" applyAlignment="1">
      <alignment vertical="center"/>
    </xf>
    <xf numFmtId="0" fontId="33" fillId="21" borderId="1" xfId="0" applyFont="1" applyFill="1" applyBorder="1" applyAlignment="1">
      <alignment vertical="center"/>
    </xf>
    <xf numFmtId="0" fontId="2" fillId="21" borderId="1" xfId="0" applyFont="1" applyFill="1" applyBorder="1" applyAlignment="1">
      <alignment vertical="center" wrapText="1"/>
    </xf>
    <xf numFmtId="0" fontId="45" fillId="21" borderId="50" xfId="0" applyFont="1" applyFill="1" applyBorder="1" applyAlignment="1">
      <alignment wrapText="1"/>
    </xf>
    <xf numFmtId="0" fontId="45" fillId="21" borderId="1" xfId="0" applyFont="1" applyFill="1" applyBorder="1" applyAlignment="1">
      <alignment wrapText="1"/>
    </xf>
    <xf numFmtId="3" fontId="91" fillId="0" borderId="39" xfId="3" applyNumberFormat="1" applyFont="1" applyFill="1" applyBorder="1"/>
    <xf numFmtId="4" fontId="91" fillId="0" borderId="39" xfId="3" applyNumberFormat="1" applyFont="1" applyFill="1" applyBorder="1"/>
    <xf numFmtId="3" fontId="40" fillId="0" borderId="36" xfId="3" applyNumberFormat="1" applyFont="1" applyBorder="1"/>
    <xf numFmtId="2" fontId="40" fillId="0" borderId="36" xfId="3" applyNumberFormat="1" applyFont="1" applyBorder="1"/>
    <xf numFmtId="9" fontId="2" fillId="21" borderId="35" xfId="3" applyFont="1" applyFill="1" applyBorder="1" applyAlignment="1">
      <alignment wrapText="1"/>
    </xf>
    <xf numFmtId="9" fontId="18" fillId="4" borderId="17" xfId="3" applyFont="1" applyFill="1" applyBorder="1"/>
    <xf numFmtId="43" fontId="18" fillId="4" borderId="31" xfId="0" applyNumberFormat="1" applyFont="1" applyFill="1" applyBorder="1"/>
    <xf numFmtId="3" fontId="91" fillId="4" borderId="39" xfId="3" applyNumberFormat="1" applyFont="1" applyFill="1" applyBorder="1"/>
    <xf numFmtId="9" fontId="18" fillId="0" borderId="17" xfId="3" applyFont="1" applyFill="1" applyBorder="1"/>
    <xf numFmtId="4" fontId="18" fillId="28" borderId="38" xfId="0" applyNumberFormat="1" applyFont="1" applyFill="1" applyBorder="1"/>
    <xf numFmtId="4" fontId="18" fillId="28" borderId="1" xfId="0" applyNumberFormat="1" applyFont="1" applyFill="1" applyBorder="1"/>
    <xf numFmtId="43" fontId="35" fillId="28" borderId="1" xfId="1" applyFont="1" applyFill="1" applyBorder="1"/>
    <xf numFmtId="9" fontId="18" fillId="28" borderId="17" xfId="3" applyFont="1" applyFill="1" applyBorder="1"/>
    <xf numFmtId="43" fontId="79" fillId="28" borderId="47" xfId="1" applyFont="1" applyFill="1" applyBorder="1"/>
    <xf numFmtId="9" fontId="79" fillId="28" borderId="57" xfId="3" applyFont="1" applyFill="1" applyBorder="1"/>
    <xf numFmtId="4" fontId="91" fillId="28" borderId="39" xfId="3" applyNumberFormat="1" applyFont="1" applyFill="1" applyBorder="1"/>
    <xf numFmtId="43" fontId="45" fillId="0" borderId="1" xfId="1" applyFont="1" applyFill="1" applyBorder="1"/>
    <xf numFmtId="9" fontId="45" fillId="4" borderId="36" xfId="3" applyFont="1" applyFill="1" applyBorder="1"/>
    <xf numFmtId="9" fontId="0" fillId="4" borderId="39" xfId="0" applyNumberFormat="1" applyFill="1" applyBorder="1"/>
    <xf numFmtId="0" fontId="0" fillId="4" borderId="16" xfId="0" applyFill="1" applyBorder="1"/>
    <xf numFmtId="0" fontId="18" fillId="4" borderId="1" xfId="0" applyFont="1" applyFill="1" applyBorder="1"/>
    <xf numFmtId="0" fontId="18" fillId="4" borderId="17" xfId="0" applyFont="1" applyFill="1" applyBorder="1"/>
    <xf numFmtId="3" fontId="18" fillId="28" borderId="16" xfId="0" applyNumberFormat="1" applyFont="1" applyFill="1" applyBorder="1"/>
    <xf numFmtId="3" fontId="18" fillId="28" borderId="1" xfId="0" applyNumberFormat="1" applyFont="1" applyFill="1" applyBorder="1"/>
    <xf numFmtId="3" fontId="40" fillId="28" borderId="1" xfId="3" applyNumberFormat="1" applyFont="1" applyFill="1" applyBorder="1"/>
    <xf numFmtId="9" fontId="45" fillId="28" borderId="36" xfId="3" applyFont="1" applyFill="1" applyBorder="1"/>
    <xf numFmtId="165" fontId="35" fillId="28" borderId="1" xfId="1" applyNumberFormat="1" applyFont="1" applyFill="1" applyBorder="1"/>
    <xf numFmtId="9" fontId="18" fillId="28" borderId="36" xfId="3" applyFont="1" applyFill="1" applyBorder="1"/>
    <xf numFmtId="9" fontId="0" fillId="28" borderId="39" xfId="0" applyNumberFormat="1" applyFill="1" applyBorder="1"/>
    <xf numFmtId="0" fontId="0" fillId="28" borderId="16" xfId="0" applyFill="1" applyBorder="1"/>
    <xf numFmtId="0" fontId="0" fillId="28" borderId="1" xfId="0" applyFill="1" applyBorder="1"/>
    <xf numFmtId="0" fontId="18" fillId="28" borderId="1" xfId="0" applyFont="1" applyFill="1" applyBorder="1"/>
    <xf numFmtId="0" fontId="18" fillId="28" borderId="17" xfId="0" applyFont="1" applyFill="1" applyBorder="1"/>
    <xf numFmtId="165" fontId="18" fillId="28" borderId="1" xfId="1" applyNumberFormat="1" applyFont="1" applyFill="1" applyBorder="1"/>
    <xf numFmtId="4" fontId="68" fillId="28" borderId="16" xfId="0" applyNumberFormat="1" applyFont="1" applyFill="1" applyBorder="1"/>
    <xf numFmtId="43" fontId="18" fillId="28" borderId="31" xfId="0" applyNumberFormat="1" applyFont="1" applyFill="1" applyBorder="1"/>
    <xf numFmtId="3" fontId="91" fillId="28" borderId="39" xfId="3" applyNumberFormat="1" applyFont="1" applyFill="1" applyBorder="1"/>
    <xf numFmtId="4" fontId="18" fillId="32" borderId="16" xfId="0" applyNumberFormat="1" applyFont="1" applyFill="1" applyBorder="1"/>
    <xf numFmtId="4" fontId="18" fillId="32" borderId="1" xfId="0" applyNumberFormat="1" applyFont="1" applyFill="1" applyBorder="1"/>
    <xf numFmtId="4" fontId="40" fillId="32" borderId="1" xfId="3" applyNumberFormat="1" applyFont="1" applyFill="1" applyBorder="1"/>
    <xf numFmtId="43" fontId="35" fillId="32" borderId="1" xfId="1" applyFont="1" applyFill="1" applyBorder="1"/>
    <xf numFmtId="9" fontId="45" fillId="32" borderId="36" xfId="3" applyFont="1" applyFill="1" applyBorder="1"/>
    <xf numFmtId="9" fontId="18" fillId="32" borderId="36" xfId="3" applyFont="1" applyFill="1" applyBorder="1"/>
    <xf numFmtId="2" fontId="18" fillId="32" borderId="16" xfId="0" applyNumberFormat="1" applyFont="1" applyFill="1" applyBorder="1"/>
    <xf numFmtId="2" fontId="18" fillId="32" borderId="1" xfId="0" applyNumberFormat="1" applyFont="1" applyFill="1" applyBorder="1"/>
    <xf numFmtId="2" fontId="40" fillId="32" borderId="1" xfId="3" applyNumberFormat="1" applyFont="1" applyFill="1" applyBorder="1"/>
    <xf numFmtId="9" fontId="0" fillId="32" borderId="39" xfId="0" applyNumberFormat="1" applyFill="1" applyBorder="1"/>
    <xf numFmtId="0" fontId="0" fillId="32" borderId="16" xfId="0" applyFill="1" applyBorder="1"/>
    <xf numFmtId="0" fontId="0" fillId="32" borderId="1" xfId="0" applyFill="1" applyBorder="1"/>
    <xf numFmtId="0" fontId="18" fillId="32" borderId="1" xfId="0" applyFont="1" applyFill="1" applyBorder="1"/>
    <xf numFmtId="0" fontId="18" fillId="32" borderId="17" xfId="0" applyFont="1" applyFill="1" applyBorder="1"/>
    <xf numFmtId="4" fontId="18" fillId="32" borderId="38" xfId="0" applyNumberFormat="1" applyFont="1" applyFill="1" applyBorder="1"/>
    <xf numFmtId="9" fontId="18" fillId="32" borderId="17" xfId="3" applyFont="1" applyFill="1" applyBorder="1"/>
    <xf numFmtId="43" fontId="79" fillId="32" borderId="47" xfId="1" applyFont="1" applyFill="1" applyBorder="1"/>
    <xf numFmtId="9" fontId="79" fillId="32" borderId="57" xfId="3" applyFont="1" applyFill="1" applyBorder="1"/>
    <xf numFmtId="4" fontId="91" fillId="32" borderId="39" xfId="3" applyNumberFormat="1" applyFont="1" applyFill="1" applyBorder="1"/>
    <xf numFmtId="9" fontId="0" fillId="32" borderId="17" xfId="3" applyFont="1" applyFill="1" applyBorder="1"/>
    <xf numFmtId="9" fontId="18" fillId="32" borderId="26" xfId="3" applyFont="1" applyFill="1" applyBorder="1"/>
    <xf numFmtId="9" fontId="18" fillId="32" borderId="24" xfId="3" applyFont="1" applyFill="1" applyBorder="1"/>
    <xf numFmtId="9" fontId="40" fillId="32" borderId="24" xfId="3" applyNumberFormat="1" applyFont="1" applyFill="1" applyBorder="1"/>
    <xf numFmtId="9" fontId="45" fillId="32" borderId="24" xfId="3" applyFont="1" applyFill="1" applyBorder="1"/>
    <xf numFmtId="9" fontId="90" fillId="32" borderId="52" xfId="3" applyFont="1" applyFill="1" applyBorder="1"/>
    <xf numFmtId="9" fontId="35" fillId="32" borderId="24" xfId="3" applyFont="1" applyFill="1" applyBorder="1"/>
    <xf numFmtId="9" fontId="71" fillId="32" borderId="52" xfId="3" applyFont="1" applyFill="1" applyBorder="1"/>
    <xf numFmtId="9" fontId="83" fillId="32" borderId="26" xfId="3" applyFont="1" applyFill="1" applyBorder="1"/>
    <xf numFmtId="9" fontId="83" fillId="32" borderId="24" xfId="3" applyFont="1" applyFill="1" applyBorder="1"/>
    <xf numFmtId="9" fontId="84" fillId="32" borderId="24" xfId="3" applyFont="1" applyFill="1" applyBorder="1"/>
    <xf numFmtId="0" fontId="0" fillId="32" borderId="52" xfId="0" applyFill="1" applyBorder="1"/>
    <xf numFmtId="0" fontId="0" fillId="32" borderId="26" xfId="0" applyFill="1" applyBorder="1"/>
    <xf numFmtId="0" fontId="0" fillId="32" borderId="24" xfId="0" applyFill="1" applyBorder="1"/>
    <xf numFmtId="0" fontId="18" fillId="32" borderId="24" xfId="0" applyFont="1" applyFill="1" applyBorder="1"/>
    <xf numFmtId="0" fontId="18" fillId="32" borderId="25" xfId="0" applyFont="1" applyFill="1" applyBorder="1"/>
    <xf numFmtId="9" fontId="83" fillId="32" borderId="176" xfId="3" applyFont="1" applyFill="1" applyBorder="1"/>
    <xf numFmtId="9" fontId="83" fillId="32" borderId="25" xfId="3" applyFont="1" applyFill="1" applyBorder="1"/>
    <xf numFmtId="9" fontId="18" fillId="32" borderId="176" xfId="3" applyFont="1" applyFill="1" applyBorder="1"/>
    <xf numFmtId="175" fontId="35" fillId="32" borderId="24" xfId="3" applyNumberFormat="1" applyFont="1" applyFill="1" applyBorder="1"/>
    <xf numFmtId="9" fontId="79" fillId="32" borderId="48" xfId="3" applyFont="1" applyFill="1" applyBorder="1"/>
    <xf numFmtId="9" fontId="79" fillId="32" borderId="58" xfId="3" applyFont="1" applyFill="1" applyBorder="1"/>
    <xf numFmtId="9" fontId="40" fillId="32" borderId="24" xfId="3" applyFont="1" applyFill="1" applyBorder="1"/>
    <xf numFmtId="9" fontId="0" fillId="32" borderId="25" xfId="0" applyNumberFormat="1" applyFill="1" applyBorder="1"/>
    <xf numFmtId="9" fontId="91" fillId="32" borderId="52" xfId="3" applyFont="1" applyFill="1" applyBorder="1"/>
    <xf numFmtId="9" fontId="40" fillId="0" borderId="31" xfId="3" applyFont="1" applyFill="1" applyBorder="1"/>
    <xf numFmtId="43" fontId="40" fillId="28" borderId="1" xfId="3" applyNumberFormat="1" applyFont="1" applyFill="1" applyBorder="1"/>
    <xf numFmtId="3" fontId="40" fillId="0" borderId="1" xfId="0" applyNumberFormat="1" applyFont="1" applyBorder="1"/>
    <xf numFmtId="9" fontId="92" fillId="32" borderId="24" xfId="3" applyFont="1" applyFill="1" applyBorder="1"/>
    <xf numFmtId="3" fontId="93" fillId="0" borderId="39" xfId="3" applyNumberFormat="1" applyFont="1" applyFill="1" applyBorder="1"/>
    <xf numFmtId="3" fontId="93" fillId="0" borderId="50" xfId="3" applyNumberFormat="1" applyFont="1" applyFill="1" applyBorder="1"/>
    <xf numFmtId="3" fontId="93" fillId="4" borderId="50" xfId="3" applyNumberFormat="1" applyFont="1" applyFill="1" applyBorder="1"/>
    <xf numFmtId="3" fontId="93" fillId="28" borderId="50" xfId="3" applyNumberFormat="1" applyFont="1" applyFill="1" applyBorder="1"/>
    <xf numFmtId="4" fontId="93" fillId="0" borderId="50" xfId="3" applyNumberFormat="1" applyFont="1" applyFill="1" applyBorder="1"/>
    <xf numFmtId="4" fontId="93" fillId="32" borderId="50" xfId="3" applyNumberFormat="1" applyFont="1" applyFill="1" applyBorder="1"/>
    <xf numFmtId="9" fontId="94" fillId="32" borderId="52" xfId="3" applyFont="1" applyFill="1" applyBorder="1"/>
    <xf numFmtId="3" fontId="40" fillId="0" borderId="31" xfId="3" applyNumberFormat="1" applyFont="1" applyFill="1" applyBorder="1"/>
    <xf numFmtId="9" fontId="92" fillId="32" borderId="24" xfId="3" applyNumberFormat="1" applyFont="1" applyFill="1" applyBorder="1"/>
    <xf numFmtId="0" fontId="2" fillId="21" borderId="47" xfId="0" applyFont="1" applyFill="1" applyBorder="1"/>
    <xf numFmtId="0" fontId="2" fillId="21" borderId="37" xfId="0" applyFont="1" applyFill="1" applyBorder="1"/>
    <xf numFmtId="0" fontId="2" fillId="21" borderId="38" xfId="0" applyFont="1" applyFill="1" applyBorder="1"/>
    <xf numFmtId="3" fontId="34" fillId="0" borderId="16" xfId="0" applyNumberFormat="1" applyFont="1" applyFill="1" applyBorder="1"/>
    <xf numFmtId="3" fontId="34" fillId="0" borderId="1" xfId="0" applyNumberFormat="1" applyFont="1" applyFill="1" applyBorder="1"/>
    <xf numFmtId="3" fontId="34" fillId="0" borderId="1" xfId="3" applyNumberFormat="1" applyFont="1" applyFill="1" applyBorder="1"/>
    <xf numFmtId="0" fontId="19" fillId="0" borderId="7" xfId="0" applyFont="1" applyBorder="1" applyAlignment="1">
      <alignment wrapText="1"/>
    </xf>
    <xf numFmtId="0" fontId="9" fillId="0" borderId="9" xfId="0" applyFont="1" applyBorder="1"/>
    <xf numFmtId="9" fontId="0" fillId="39" borderId="1" xfId="3" applyFont="1" applyFill="1" applyBorder="1"/>
    <xf numFmtId="43" fontId="0" fillId="0" borderId="1" xfId="0" applyNumberFormat="1" applyFill="1" applyBorder="1"/>
    <xf numFmtId="9" fontId="0" fillId="39" borderId="54" xfId="0" applyNumberFormat="1" applyFill="1" applyBorder="1"/>
    <xf numFmtId="9" fontId="0" fillId="27" borderId="1" xfId="3" applyFont="1" applyFill="1" applyBorder="1"/>
    <xf numFmtId="0" fontId="0" fillId="4" borderId="31" xfId="0" applyFill="1" applyBorder="1"/>
    <xf numFmtId="0" fontId="18" fillId="21" borderId="32" xfId="0" applyFont="1" applyFill="1" applyBorder="1" applyAlignment="1">
      <alignment wrapText="1"/>
    </xf>
    <xf numFmtId="0" fontId="18" fillId="21" borderId="1" xfId="0" applyFont="1" applyFill="1" applyBorder="1" applyAlignment="1">
      <alignment wrapText="1"/>
    </xf>
    <xf numFmtId="43" fontId="0" fillId="42" borderId="1" xfId="0" applyNumberFormat="1" applyFill="1" applyBorder="1"/>
    <xf numFmtId="9" fontId="0" fillId="42" borderId="1" xfId="3" applyFont="1" applyFill="1" applyBorder="1"/>
    <xf numFmtId="0" fontId="0" fillId="15" borderId="15" xfId="0" applyFill="1" applyBorder="1"/>
    <xf numFmtId="0" fontId="0" fillId="15" borderId="49" xfId="0" applyFill="1" applyBorder="1"/>
    <xf numFmtId="0" fontId="0" fillId="38" borderId="47" xfId="0" applyFill="1" applyBorder="1"/>
    <xf numFmtId="4" fontId="0" fillId="0" borderId="47" xfId="0" applyNumberFormat="1" applyBorder="1"/>
    <xf numFmtId="0" fontId="0" fillId="43" borderId="44" xfId="0" applyFill="1" applyBorder="1"/>
    <xf numFmtId="4" fontId="0" fillId="0" borderId="36" xfId="0" applyNumberFormat="1" applyBorder="1"/>
    <xf numFmtId="0" fontId="2" fillId="38" borderId="27" xfId="0" applyFont="1" applyFill="1" applyBorder="1"/>
    <xf numFmtId="0" fontId="2" fillId="38" borderId="28" xfId="0" applyFont="1" applyFill="1" applyBorder="1"/>
    <xf numFmtId="0" fontId="2" fillId="38" borderId="5" xfId="0" applyFont="1" applyFill="1" applyBorder="1"/>
    <xf numFmtId="0" fontId="2" fillId="38" borderId="6" xfId="0" applyFont="1" applyFill="1" applyBorder="1"/>
    <xf numFmtId="0" fontId="2" fillId="38" borderId="7" xfId="0" applyFont="1" applyFill="1" applyBorder="1"/>
    <xf numFmtId="0" fontId="2" fillId="38" borderId="8" xfId="0" applyFont="1" applyFill="1" applyBorder="1"/>
    <xf numFmtId="4" fontId="0" fillId="0" borderId="16" xfId="0" applyNumberFormat="1" applyBorder="1"/>
    <xf numFmtId="0" fontId="0" fillId="38" borderId="34" xfId="0" applyFill="1" applyBorder="1"/>
    <xf numFmtId="0" fontId="0" fillId="38" borderId="31" xfId="0" applyFill="1" applyBorder="1"/>
    <xf numFmtId="0" fontId="0" fillId="38" borderId="171" xfId="0" applyFill="1" applyBorder="1"/>
    <xf numFmtId="0" fontId="0" fillId="0" borderId="45" xfId="0" applyBorder="1" applyAlignment="1">
      <alignment horizontal="right"/>
    </xf>
    <xf numFmtId="0" fontId="0" fillId="0" borderId="46" xfId="0" applyBorder="1" applyAlignment="1">
      <alignment horizontal="right"/>
    </xf>
    <xf numFmtId="0" fontId="0" fillId="38" borderId="17" xfId="0" applyFill="1" applyBorder="1"/>
    <xf numFmtId="0" fontId="0" fillId="44" borderId="1" xfId="0" applyFill="1" applyBorder="1"/>
    <xf numFmtId="0" fontId="0" fillId="16" borderId="16" xfId="0" applyFill="1" applyBorder="1"/>
    <xf numFmtId="0" fontId="0" fillId="16" borderId="17" xfId="0" applyFill="1" applyBorder="1"/>
    <xf numFmtId="0" fontId="0" fillId="16" borderId="36" xfId="0" applyFill="1" applyBorder="1"/>
    <xf numFmtId="0" fontId="59" fillId="15" borderId="0" xfId="0" applyFont="1" applyFill="1" applyBorder="1"/>
    <xf numFmtId="0" fontId="95" fillId="0" borderId="0" xfId="0" applyFont="1"/>
    <xf numFmtId="9" fontId="0" fillId="0" borderId="36" xfId="3" applyFont="1" applyBorder="1"/>
    <xf numFmtId="9" fontId="0" fillId="36" borderId="36" xfId="3" applyFont="1" applyFill="1" applyBorder="1"/>
    <xf numFmtId="9" fontId="0" fillId="0" borderId="17" xfId="3" applyFont="1" applyBorder="1"/>
    <xf numFmtId="43" fontId="0" fillId="0" borderId="26" xfId="0" applyNumberFormat="1" applyBorder="1"/>
    <xf numFmtId="4" fontId="19" fillId="0" borderId="31" xfId="0" applyNumberFormat="1" applyFont="1" applyBorder="1"/>
    <xf numFmtId="9" fontId="0" fillId="0" borderId="39" xfId="3" applyFont="1" applyBorder="1"/>
    <xf numFmtId="0" fontId="20" fillId="8" borderId="20" xfId="0" applyFont="1" applyFill="1" applyBorder="1"/>
    <xf numFmtId="0" fontId="0" fillId="8" borderId="18" xfId="0" applyFill="1" applyBorder="1"/>
    <xf numFmtId="0" fontId="18" fillId="0" borderId="0" xfId="0" applyFont="1" applyFill="1" applyBorder="1" applyAlignment="1"/>
    <xf numFmtId="11" fontId="20" fillId="2" borderId="0" xfId="0" applyNumberFormat="1" applyFont="1" applyFill="1" applyBorder="1"/>
    <xf numFmtId="4" fontId="12" fillId="0" borderId="180" xfId="0" applyNumberFormat="1" applyFont="1" applyBorder="1" applyAlignment="1">
      <alignment horizontal="right" vertical="center"/>
    </xf>
    <xf numFmtId="0" fontId="18" fillId="28" borderId="0" xfId="0" applyFont="1" applyFill="1"/>
    <xf numFmtId="8" fontId="56" fillId="0" borderId="0" xfId="0" applyNumberFormat="1" applyFont="1" applyBorder="1" applyAlignment="1">
      <alignment horizontal="right" vertical="center"/>
    </xf>
    <xf numFmtId="10" fontId="18" fillId="0" borderId="0" xfId="3" applyNumberFormat="1" applyFont="1" applyBorder="1"/>
    <xf numFmtId="3" fontId="0" fillId="0" borderId="16" xfId="0" applyNumberFormat="1" applyBorder="1" applyAlignment="1">
      <alignment horizontal="center" vertical="center"/>
    </xf>
    <xf numFmtId="3" fontId="0" fillId="0" borderId="17" xfId="0" applyNumberFormat="1" applyBorder="1" applyAlignment="1">
      <alignment horizontal="center" vertical="center"/>
    </xf>
    <xf numFmtId="0" fontId="98" fillId="0" borderId="10" xfId="0" applyFont="1" applyBorder="1" applyAlignment="1">
      <alignment vertical="center"/>
    </xf>
    <xf numFmtId="0" fontId="99" fillId="0" borderId="29" xfId="0" applyFont="1" applyBorder="1" applyAlignment="1">
      <alignment vertical="center"/>
    </xf>
    <xf numFmtId="11" fontId="20" fillId="0" borderId="0" xfId="0" applyNumberFormat="1" applyFont="1" applyFill="1" applyBorder="1"/>
    <xf numFmtId="0" fontId="20" fillId="21" borderId="14" xfId="0" applyFont="1" applyFill="1" applyBorder="1"/>
    <xf numFmtId="11" fontId="20" fillId="38" borderId="14" xfId="0" applyNumberFormat="1" applyFont="1" applyFill="1" applyBorder="1"/>
    <xf numFmtId="0" fontId="18" fillId="0" borderId="33" xfId="0" applyFont="1" applyBorder="1"/>
    <xf numFmtId="0" fontId="18" fillId="2" borderId="43" xfId="0" applyFont="1" applyFill="1" applyBorder="1"/>
    <xf numFmtId="0" fontId="18" fillId="0" borderId="43" xfId="0" applyFont="1" applyFill="1" applyBorder="1"/>
    <xf numFmtId="0" fontId="18" fillId="0" borderId="43" xfId="0" applyFont="1" applyBorder="1" applyAlignment="1">
      <alignment vertical="top" wrapText="1"/>
    </xf>
    <xf numFmtId="0" fontId="18" fillId="21" borderId="51" xfId="0" applyFont="1" applyFill="1" applyBorder="1"/>
    <xf numFmtId="0" fontId="18" fillId="38" borderId="51" xfId="0" applyFont="1" applyFill="1" applyBorder="1" applyAlignment="1"/>
    <xf numFmtId="0" fontId="18" fillId="0" borderId="27" xfId="0" applyFont="1" applyBorder="1"/>
    <xf numFmtId="3" fontId="40" fillId="2" borderId="28" xfId="0" applyNumberFormat="1" applyFont="1" applyFill="1" applyBorder="1"/>
    <xf numFmtId="3" fontId="40" fillId="0" borderId="28" xfId="0" applyNumberFormat="1" applyFont="1" applyFill="1" applyBorder="1"/>
    <xf numFmtId="4" fontId="40" fillId="2" borderId="28" xfId="0" applyNumberFormat="1" applyFont="1" applyFill="1" applyBorder="1"/>
    <xf numFmtId="4" fontId="40" fillId="21" borderId="30" xfId="0" applyNumberFormat="1" applyFont="1" applyFill="1" applyBorder="1"/>
    <xf numFmtId="0" fontId="18" fillId="38" borderId="30" xfId="0" applyFont="1" applyFill="1" applyBorder="1" applyAlignment="1"/>
    <xf numFmtId="0" fontId="18" fillId="0" borderId="30" xfId="0" applyFont="1" applyFill="1" applyBorder="1" applyAlignment="1">
      <alignment wrapText="1"/>
    </xf>
    <xf numFmtId="0" fontId="18" fillId="7" borderId="13" xfId="0" applyFont="1" applyFill="1" applyBorder="1"/>
    <xf numFmtId="4" fontId="40" fillId="7" borderId="30" xfId="0" applyNumberFormat="1" applyFont="1" applyFill="1" applyBorder="1"/>
    <xf numFmtId="11" fontId="20" fillId="7" borderId="14" xfId="0" applyNumberFormat="1" applyFont="1" applyFill="1" applyBorder="1"/>
    <xf numFmtId="0" fontId="0" fillId="15" borderId="0" xfId="0" applyFill="1"/>
    <xf numFmtId="9" fontId="0" fillId="4" borderId="36" xfId="3" applyFont="1" applyFill="1" applyBorder="1"/>
    <xf numFmtId="4" fontId="0" fillId="0" borderId="2" xfId="0" applyNumberFormat="1" applyBorder="1"/>
    <xf numFmtId="9" fontId="0" fillId="0" borderId="4" xfId="3" applyFont="1" applyBorder="1"/>
    <xf numFmtId="4" fontId="59" fillId="15" borderId="16" xfId="0" applyNumberFormat="1" applyFont="1" applyFill="1" applyBorder="1"/>
    <xf numFmtId="0" fontId="59" fillId="15" borderId="9" xfId="0" applyFont="1" applyFill="1" applyBorder="1"/>
    <xf numFmtId="4" fontId="20" fillId="0" borderId="3" xfId="0" applyNumberFormat="1" applyFont="1" applyBorder="1"/>
    <xf numFmtId="4" fontId="0" fillId="0" borderId="4" xfId="0" applyNumberFormat="1" applyBorder="1"/>
    <xf numFmtId="0" fontId="0" fillId="0" borderId="177" xfId="0" applyBorder="1"/>
    <xf numFmtId="4" fontId="20" fillId="0" borderId="32" xfId="0" applyNumberFormat="1" applyFont="1" applyBorder="1"/>
    <xf numFmtId="4" fontId="0" fillId="0" borderId="32" xfId="0" applyNumberFormat="1" applyBorder="1"/>
    <xf numFmtId="4" fontId="0" fillId="0" borderId="178" xfId="0" applyNumberFormat="1" applyBorder="1"/>
    <xf numFmtId="0" fontId="18" fillId="0" borderId="42" xfId="0" applyFont="1" applyBorder="1" applyAlignment="1">
      <alignment wrapText="1"/>
    </xf>
    <xf numFmtId="0" fontId="0" fillId="4" borderId="33" xfId="0" applyFill="1" applyBorder="1" applyAlignment="1">
      <alignment wrapText="1"/>
    </xf>
    <xf numFmtId="4" fontId="0" fillId="0" borderId="177" xfId="0" applyNumberFormat="1" applyBorder="1"/>
    <xf numFmtId="9" fontId="0" fillId="0" borderId="178" xfId="3" applyFont="1" applyBorder="1"/>
    <xf numFmtId="0" fontId="19" fillId="0" borderId="34" xfId="0" applyFont="1" applyBorder="1"/>
    <xf numFmtId="4" fontId="50" fillId="0" borderId="181" xfId="0" applyNumberFormat="1" applyFont="1" applyBorder="1" applyAlignment="1">
      <alignment horizontal="right" vertical="center"/>
    </xf>
    <xf numFmtId="43" fontId="0" fillId="36" borderId="31" xfId="1" applyFont="1" applyFill="1" applyBorder="1"/>
    <xf numFmtId="4" fontId="50" fillId="36" borderId="181" xfId="0" applyNumberFormat="1" applyFont="1" applyFill="1" applyBorder="1" applyAlignment="1">
      <alignment horizontal="right" vertical="center"/>
    </xf>
    <xf numFmtId="43" fontId="0" fillId="0" borderId="39" xfId="1" applyFont="1" applyFill="1" applyBorder="1"/>
    <xf numFmtId="4" fontId="0" fillId="36" borderId="39" xfId="0" applyNumberFormat="1" applyFill="1" applyBorder="1"/>
    <xf numFmtId="4" fontId="0" fillId="4" borderId="39" xfId="0" applyNumberFormat="1" applyFill="1" applyBorder="1"/>
    <xf numFmtId="9" fontId="0" fillId="4" borderId="39" xfId="3" applyFont="1" applyFill="1" applyBorder="1"/>
    <xf numFmtId="2" fontId="59" fillId="15" borderId="16" xfId="0" applyNumberFormat="1" applyFont="1" applyFill="1" applyBorder="1"/>
    <xf numFmtId="0" fontId="32" fillId="45" borderId="18" xfId="0" applyFont="1" applyFill="1" applyBorder="1"/>
    <xf numFmtId="0" fontId="32" fillId="45" borderId="19" xfId="0" applyFont="1" applyFill="1" applyBorder="1"/>
    <xf numFmtId="0" fontId="32" fillId="45" borderId="13" xfId="0" applyFont="1" applyFill="1" applyBorder="1"/>
    <xf numFmtId="0" fontId="32" fillId="45" borderId="51" xfId="0" applyFont="1" applyFill="1" applyBorder="1"/>
    <xf numFmtId="3" fontId="32" fillId="45" borderId="51" xfId="3" applyNumberFormat="1" applyFont="1" applyFill="1" applyBorder="1"/>
    <xf numFmtId="0" fontId="32" fillId="45" borderId="30" xfId="0" applyFont="1" applyFill="1" applyBorder="1"/>
    <xf numFmtId="9" fontId="32" fillId="45" borderId="15" xfId="3" applyFont="1" applyFill="1" applyBorder="1"/>
    <xf numFmtId="0" fontId="32" fillId="45" borderId="20" xfId="0" applyFont="1" applyFill="1" applyBorder="1" applyAlignment="1">
      <alignment wrapText="1"/>
    </xf>
    <xf numFmtId="0" fontId="32" fillId="45" borderId="20" xfId="0" applyFont="1" applyFill="1" applyBorder="1" applyAlignment="1">
      <alignment horizontal="right" wrapText="1"/>
    </xf>
    <xf numFmtId="4" fontId="98" fillId="0" borderId="10" xfId="0" applyNumberFormat="1" applyFont="1" applyBorder="1" applyAlignment="1">
      <alignment horizontal="center" wrapText="1"/>
    </xf>
    <xf numFmtId="177" fontId="0" fillId="0" borderId="1" xfId="0" applyNumberFormat="1" applyBorder="1"/>
    <xf numFmtId="175" fontId="0" fillId="0" borderId="17" xfId="3" applyNumberFormat="1" applyFont="1" applyBorder="1"/>
    <xf numFmtId="0" fontId="0" fillId="8" borderId="1" xfId="0" applyFill="1" applyBorder="1"/>
    <xf numFmtId="0" fontId="0" fillId="24" borderId="4" xfId="0" applyFill="1" applyBorder="1"/>
    <xf numFmtId="0" fontId="0" fillId="8" borderId="16" xfId="0" applyFill="1" applyBorder="1"/>
    <xf numFmtId="0" fontId="18" fillId="0" borderId="9" xfId="0" applyFont="1" applyFill="1" applyBorder="1" applyAlignment="1">
      <alignment wrapText="1"/>
    </xf>
    <xf numFmtId="0" fontId="18" fillId="0" borderId="5" xfId="0" applyFont="1" applyBorder="1"/>
    <xf numFmtId="3" fontId="40" fillId="2" borderId="7" xfId="0" applyNumberFormat="1" applyFont="1" applyFill="1" applyBorder="1"/>
    <xf numFmtId="4" fontId="40" fillId="2" borderId="7" xfId="0" applyNumberFormat="1" applyFont="1" applyFill="1" applyBorder="1"/>
    <xf numFmtId="4" fontId="40" fillId="21" borderId="13" xfId="0" applyNumberFormat="1" applyFont="1" applyFill="1" applyBorder="1"/>
    <xf numFmtId="0" fontId="18" fillId="38" borderId="13" xfId="0" applyFont="1" applyFill="1" applyBorder="1" applyAlignment="1"/>
    <xf numFmtId="4" fontId="40" fillId="7" borderId="13" xfId="0" applyNumberFormat="1" applyFont="1" applyFill="1" applyBorder="1"/>
    <xf numFmtId="0" fontId="0" fillId="0" borderId="3" xfId="0" applyFill="1" applyBorder="1"/>
    <xf numFmtId="0" fontId="0" fillId="0" borderId="4" xfId="0" applyFill="1" applyBorder="1"/>
    <xf numFmtId="11" fontId="0" fillId="2" borderId="7" xfId="0" applyNumberFormat="1" applyFill="1" applyBorder="1"/>
    <xf numFmtId="11" fontId="0" fillId="2" borderId="0" xfId="0" applyNumberFormat="1" applyFill="1" applyBorder="1"/>
    <xf numFmtId="4" fontId="59" fillId="15" borderId="34" xfId="0" applyNumberFormat="1" applyFont="1" applyFill="1" applyBorder="1"/>
    <xf numFmtId="0" fontId="77" fillId="35" borderId="0" xfId="0" applyFont="1" applyFill="1" applyBorder="1"/>
    <xf numFmtId="0" fontId="77" fillId="0" borderId="0" xfId="0" applyFont="1" applyFill="1" applyBorder="1"/>
    <xf numFmtId="0" fontId="59" fillId="0" borderId="0" xfId="0" applyFont="1" applyFill="1" applyBorder="1"/>
    <xf numFmtId="0" fontId="18" fillId="0" borderId="0" xfId="0" applyFont="1" applyFill="1" applyAlignment="1">
      <alignment wrapText="1"/>
    </xf>
    <xf numFmtId="4" fontId="0" fillId="0" borderId="35" xfId="0" applyNumberFormat="1" applyBorder="1"/>
    <xf numFmtId="0" fontId="19" fillId="0" borderId="39" xfId="0" applyFont="1" applyBorder="1"/>
    <xf numFmtId="0" fontId="19" fillId="0" borderId="36" xfId="0" applyFont="1" applyBorder="1"/>
    <xf numFmtId="0" fontId="74" fillId="35" borderId="43" xfId="0" applyFont="1" applyFill="1" applyBorder="1"/>
    <xf numFmtId="43" fontId="0" fillId="45" borderId="174" xfId="1" applyFont="1" applyFill="1" applyBorder="1"/>
    <xf numFmtId="43" fontId="0" fillId="45" borderId="175" xfId="1" applyFont="1" applyFill="1" applyBorder="1"/>
    <xf numFmtId="0" fontId="0" fillId="0" borderId="49" xfId="0" applyBorder="1"/>
    <xf numFmtId="0" fontId="0" fillId="0" borderId="179" xfId="0" applyBorder="1"/>
    <xf numFmtId="0" fontId="32" fillId="45" borderId="9" xfId="0" applyFont="1" applyFill="1" applyBorder="1"/>
    <xf numFmtId="4" fontId="0" fillId="0" borderId="3" xfId="0" applyNumberFormat="1" applyFill="1" applyBorder="1"/>
    <xf numFmtId="4" fontId="0" fillId="0" borderId="24" xfId="0" applyNumberFormat="1" applyFill="1" applyBorder="1"/>
    <xf numFmtId="4" fontId="0" fillId="0" borderId="25" xfId="0" applyNumberFormat="1" applyBorder="1"/>
    <xf numFmtId="4" fontId="0" fillId="0" borderId="31" xfId="1" applyNumberFormat="1" applyFont="1" applyFill="1" applyBorder="1"/>
    <xf numFmtId="4" fontId="0" fillId="0" borderId="31" xfId="0" applyNumberFormat="1" applyFill="1" applyBorder="1"/>
    <xf numFmtId="4" fontId="0" fillId="0" borderId="31" xfId="0" applyNumberFormat="1" applyBorder="1"/>
    <xf numFmtId="4" fontId="0" fillId="0" borderId="1" xfId="1" applyNumberFormat="1" applyFont="1" applyFill="1" applyBorder="1"/>
    <xf numFmtId="4" fontId="59" fillId="35" borderId="1" xfId="1" applyNumberFormat="1" applyFont="1" applyFill="1" applyBorder="1"/>
    <xf numFmtId="0" fontId="18" fillId="28" borderId="0" xfId="0" applyFont="1" applyFill="1" applyAlignment="1">
      <alignment wrapText="1"/>
    </xf>
    <xf numFmtId="0" fontId="80" fillId="0" borderId="2" xfId="0" applyFont="1" applyBorder="1"/>
    <xf numFmtId="0" fontId="80" fillId="0" borderId="26" xfId="0" applyFont="1" applyBorder="1"/>
    <xf numFmtId="178" fontId="0" fillId="15" borderId="0" xfId="0" applyNumberFormat="1" applyFill="1"/>
    <xf numFmtId="179" fontId="58" fillId="35" borderId="1" xfId="0" applyNumberFormat="1" applyFont="1" applyFill="1" applyBorder="1"/>
    <xf numFmtId="179" fontId="59" fillId="35" borderId="1" xfId="0" applyNumberFormat="1" applyFont="1" applyFill="1" applyBorder="1"/>
    <xf numFmtId="0" fontId="15" fillId="0" borderId="0" xfId="0" applyFont="1"/>
    <xf numFmtId="4" fontId="15" fillId="0" borderId="0" xfId="0" applyNumberFormat="1" applyFont="1" applyFill="1" applyBorder="1"/>
    <xf numFmtId="0" fontId="18" fillId="0" borderId="0" xfId="0" applyFont="1" applyFill="1"/>
    <xf numFmtId="0" fontId="0" fillId="0" borderId="7" xfId="0" applyFill="1" applyBorder="1" applyAlignment="1"/>
    <xf numFmtId="179" fontId="58" fillId="35" borderId="32" xfId="0" applyNumberFormat="1" applyFont="1" applyFill="1" applyBorder="1"/>
    <xf numFmtId="179" fontId="59" fillId="35" borderId="32" xfId="0" applyNumberFormat="1" applyFont="1" applyFill="1" applyBorder="1"/>
    <xf numFmtId="0" fontId="15" fillId="0" borderId="36" xfId="0" applyFont="1" applyFill="1" applyBorder="1"/>
    <xf numFmtId="0" fontId="15" fillId="0" borderId="37" xfId="0" applyFont="1" applyFill="1" applyBorder="1"/>
    <xf numFmtId="4" fontId="15" fillId="0" borderId="37" xfId="0" applyNumberFormat="1" applyFont="1" applyFill="1" applyBorder="1"/>
    <xf numFmtId="0" fontId="15" fillId="0" borderId="38" xfId="0" applyFont="1" applyBorder="1"/>
    <xf numFmtId="4" fontId="0" fillId="46" borderId="3" xfId="0" applyNumberFormat="1" applyFill="1" applyBorder="1"/>
    <xf numFmtId="4" fontId="0" fillId="46" borderId="24" xfId="0" applyNumberFormat="1" applyFill="1" applyBorder="1"/>
    <xf numFmtId="0" fontId="0" fillId="46" borderId="0" xfId="0" applyFill="1"/>
    <xf numFmtId="4" fontId="0" fillId="46" borderId="50" xfId="0" applyNumberFormat="1" applyFill="1" applyBorder="1"/>
    <xf numFmtId="43" fontId="0" fillId="45" borderId="182" xfId="1" applyFont="1" applyFill="1" applyBorder="1"/>
    <xf numFmtId="4" fontId="0" fillId="0" borderId="39" xfId="0" applyNumberFormat="1" applyBorder="1"/>
    <xf numFmtId="3" fontId="80" fillId="0" borderId="2" xfId="0" applyNumberFormat="1" applyFont="1" applyBorder="1"/>
    <xf numFmtId="3" fontId="80" fillId="0" borderId="26" xfId="0" applyNumberFormat="1" applyFont="1" applyBorder="1"/>
    <xf numFmtId="168" fontId="0" fillId="0" borderId="31" xfId="1" applyNumberFormat="1" applyFont="1" applyFill="1" applyBorder="1"/>
    <xf numFmtId="168" fontId="0" fillId="0" borderId="0" xfId="0" applyNumberFormat="1"/>
    <xf numFmtId="4" fontId="59" fillId="35" borderId="36" xfId="1" applyNumberFormat="1" applyFont="1" applyFill="1" applyBorder="1"/>
    <xf numFmtId="0" fontId="18" fillId="0" borderId="7" xfId="0" applyFont="1" applyFill="1" applyBorder="1" applyAlignment="1">
      <alignment horizontal="center"/>
    </xf>
    <xf numFmtId="0" fontId="18" fillId="0" borderId="8" xfId="0" applyFont="1" applyFill="1" applyBorder="1" applyAlignment="1">
      <alignment horizontal="center"/>
    </xf>
    <xf numFmtId="0" fontId="18" fillId="0" borderId="0" xfId="0" applyFont="1" applyFill="1" applyBorder="1" applyAlignment="1">
      <alignment horizontal="center"/>
    </xf>
    <xf numFmtId="0" fontId="18" fillId="0" borderId="1" xfId="0" applyFont="1" applyFill="1" applyBorder="1" applyAlignment="1"/>
    <xf numFmtId="0" fontId="18" fillId="0" borderId="1" xfId="0" applyFont="1" applyFill="1" applyBorder="1" applyAlignment="1">
      <alignment horizontal="center"/>
    </xf>
    <xf numFmtId="4" fontId="98" fillId="0" borderId="10" xfId="0" applyNumberFormat="1" applyFont="1" applyFill="1" applyBorder="1" applyAlignment="1">
      <alignment horizontal="center" wrapText="1"/>
    </xf>
    <xf numFmtId="0" fontId="101" fillId="0" borderId="0" xfId="0" applyFont="1"/>
    <xf numFmtId="3" fontId="0" fillId="0" borderId="16" xfId="0" applyNumberFormat="1" applyBorder="1" applyAlignment="1">
      <alignment horizontal="center"/>
    </xf>
    <xf numFmtId="3" fontId="0" fillId="0" borderId="26" xfId="0" applyNumberFormat="1" applyBorder="1" applyAlignment="1">
      <alignment horizontal="center"/>
    </xf>
    <xf numFmtId="3" fontId="0" fillId="0" borderId="17" xfId="0" applyNumberFormat="1" applyBorder="1" applyAlignment="1">
      <alignment horizontal="center"/>
    </xf>
    <xf numFmtId="3" fontId="0" fillId="0" borderId="25" xfId="0" applyNumberFormat="1" applyBorder="1" applyAlignment="1">
      <alignment horizontal="center"/>
    </xf>
    <xf numFmtId="0" fontId="0" fillId="2" borderId="0" xfId="0" applyFill="1" applyBorder="1"/>
    <xf numFmtId="0" fontId="18" fillId="5" borderId="7" xfId="0" applyFont="1" applyFill="1" applyBorder="1"/>
    <xf numFmtId="0" fontId="18" fillId="5" borderId="0" xfId="0" applyFont="1" applyFill="1" applyBorder="1"/>
    <xf numFmtId="0" fontId="18" fillId="5" borderId="0" xfId="0" applyFont="1" applyFill="1" applyBorder="1" applyAlignment="1">
      <alignment wrapText="1"/>
    </xf>
    <xf numFmtId="43" fontId="18" fillId="5" borderId="8" xfId="1" applyFont="1" applyFill="1" applyBorder="1"/>
    <xf numFmtId="4" fontId="35" fillId="5" borderId="0" xfId="1" applyNumberFormat="1" applyFont="1" applyFill="1" applyBorder="1"/>
    <xf numFmtId="4" fontId="35" fillId="5" borderId="74" xfId="1" applyNumberFormat="1" applyFont="1" applyFill="1" applyBorder="1"/>
    <xf numFmtId="4" fontId="35" fillId="5" borderId="64" xfId="1" applyNumberFormat="1" applyFont="1" applyFill="1" applyBorder="1"/>
    <xf numFmtId="4" fontId="35" fillId="5" borderId="7" xfId="1" applyNumberFormat="1" applyFont="1" applyFill="1" applyBorder="1"/>
    <xf numFmtId="4" fontId="35" fillId="5" borderId="77" xfId="1" applyNumberFormat="1" applyFont="1" applyFill="1" applyBorder="1"/>
    <xf numFmtId="4" fontId="35" fillId="5" borderId="133" xfId="1" applyNumberFormat="1" applyFont="1" applyFill="1" applyBorder="1"/>
    <xf numFmtId="4" fontId="35" fillId="5" borderId="134" xfId="1" applyNumberFormat="1" applyFont="1" applyFill="1" applyBorder="1"/>
    <xf numFmtId="4" fontId="35" fillId="5" borderId="132" xfId="1" applyNumberFormat="1" applyFont="1" applyFill="1" applyBorder="1"/>
    <xf numFmtId="4" fontId="35" fillId="5" borderId="8" xfId="1" applyNumberFormat="1" applyFont="1" applyFill="1" applyBorder="1"/>
    <xf numFmtId="4" fontId="35" fillId="5" borderId="28" xfId="0" applyNumberFormat="1" applyFont="1" applyFill="1" applyBorder="1"/>
    <xf numFmtId="43" fontId="20" fillId="16" borderId="13" xfId="1" applyFont="1" applyFill="1" applyBorder="1" applyAlignment="1">
      <alignment wrapText="1"/>
    </xf>
    <xf numFmtId="43" fontId="20" fillId="16" borderId="14" xfId="1" applyFont="1" applyFill="1" applyBorder="1"/>
    <xf numFmtId="43" fontId="20" fillId="16" borderId="15" xfId="1" applyFont="1" applyFill="1" applyBorder="1"/>
    <xf numFmtId="4" fontId="35" fillId="5" borderId="73" xfId="1" applyNumberFormat="1" applyFont="1" applyFill="1" applyBorder="1"/>
    <xf numFmtId="4" fontId="35" fillId="5" borderId="94" xfId="1" applyNumberFormat="1" applyFont="1" applyFill="1" applyBorder="1"/>
    <xf numFmtId="4" fontId="35" fillId="5" borderId="68" xfId="1" applyNumberFormat="1" applyFont="1" applyFill="1" applyBorder="1"/>
    <xf numFmtId="4" fontId="35" fillId="5" borderId="159" xfId="1" applyNumberFormat="1" applyFont="1" applyFill="1" applyBorder="1"/>
    <xf numFmtId="4" fontId="35" fillId="5" borderId="130" xfId="1" applyNumberFormat="1" applyFont="1" applyFill="1" applyBorder="1"/>
    <xf numFmtId="0" fontId="24" fillId="0" borderId="5" xfId="0" applyFont="1" applyBorder="1" applyAlignment="1">
      <alignment horizontal="left" vertical="center"/>
    </xf>
    <xf numFmtId="0" fontId="24" fillId="8" borderId="6" xfId="0" applyFont="1" applyFill="1" applyBorder="1" applyAlignment="1">
      <alignment horizontal="center" vertical="center" wrapText="1"/>
    </xf>
    <xf numFmtId="43" fontId="20" fillId="0" borderId="8" xfId="1" applyFont="1" applyFill="1" applyBorder="1" applyAlignment="1">
      <alignment horizontal="right"/>
    </xf>
    <xf numFmtId="43" fontId="20" fillId="0" borderId="8" xfId="1" applyFont="1" applyFill="1" applyBorder="1"/>
    <xf numFmtId="0" fontId="18" fillId="17" borderId="15" xfId="0" applyFont="1" applyFill="1" applyBorder="1" applyAlignment="1"/>
    <xf numFmtId="0" fontId="24" fillId="16" borderId="13" xfId="0" applyFont="1" applyFill="1" applyBorder="1" applyAlignment="1">
      <alignment vertical="center" wrapText="1"/>
    </xf>
    <xf numFmtId="0" fontId="20" fillId="16" borderId="13" xfId="0" applyFont="1" applyFill="1" applyBorder="1"/>
    <xf numFmtId="0" fontId="20" fillId="16" borderId="14" xfId="0" applyFont="1" applyFill="1" applyBorder="1"/>
    <xf numFmtId="43" fontId="20" fillId="16" borderId="14" xfId="1" applyFont="1" applyFill="1" applyBorder="1" applyAlignment="1">
      <alignment wrapText="1"/>
    </xf>
    <xf numFmtId="4" fontId="35" fillId="16" borderId="14" xfId="1" applyNumberFormat="1" applyFont="1" applyFill="1" applyBorder="1"/>
    <xf numFmtId="4" fontId="35" fillId="16" borderId="15" xfId="1" applyNumberFormat="1" applyFont="1" applyFill="1" applyBorder="1"/>
    <xf numFmtId="4" fontId="35" fillId="16" borderId="13" xfId="1" applyNumberFormat="1" applyFont="1" applyFill="1" applyBorder="1"/>
    <xf numFmtId="6" fontId="35" fillId="5" borderId="7" xfId="0" applyNumberFormat="1" applyFont="1" applyFill="1" applyBorder="1" applyAlignment="1">
      <alignment horizontal="left" vertical="top"/>
    </xf>
    <xf numFmtId="4" fontId="35" fillId="5" borderId="76" xfId="1" applyNumberFormat="1" applyFont="1" applyFill="1" applyBorder="1"/>
    <xf numFmtId="4" fontId="35" fillId="5" borderId="70" xfId="1" applyNumberFormat="1" applyFont="1" applyFill="1" applyBorder="1"/>
    <xf numFmtId="4" fontId="35" fillId="5" borderId="106" xfId="1" applyNumberFormat="1" applyFont="1" applyFill="1" applyBorder="1"/>
    <xf numFmtId="4" fontId="20" fillId="5" borderId="1" xfId="0" applyNumberFormat="1" applyFont="1" applyFill="1" applyBorder="1"/>
    <xf numFmtId="0" fontId="15" fillId="0" borderId="0" xfId="0" applyFont="1" applyBorder="1"/>
    <xf numFmtId="4" fontId="0" fillId="0" borderId="69" xfId="0" applyNumberFormat="1" applyBorder="1" applyAlignment="1"/>
    <xf numFmtId="4" fontId="0" fillId="0" borderId="70" xfId="0" applyNumberFormat="1" applyBorder="1" applyAlignment="1"/>
    <xf numFmtId="4" fontId="0" fillId="0" borderId="72" xfId="0" applyNumberFormat="1" applyBorder="1" applyAlignment="1"/>
    <xf numFmtId="0" fontId="102" fillId="0" borderId="0" xfId="0" applyFont="1" applyFill="1" applyBorder="1" applyAlignment="1"/>
    <xf numFmtId="0" fontId="32" fillId="0" borderId="0" xfId="0" applyFont="1" applyFill="1" applyBorder="1" applyAlignment="1"/>
    <xf numFmtId="0" fontId="103" fillId="0" borderId="0" xfId="0" applyFont="1" applyFill="1" applyBorder="1"/>
    <xf numFmtId="9" fontId="0" fillId="0" borderId="0" xfId="0" applyNumberFormat="1" applyFill="1" applyBorder="1"/>
    <xf numFmtId="17" fontId="0" fillId="0" borderId="0" xfId="0" applyNumberFormat="1"/>
    <xf numFmtId="0" fontId="18" fillId="4" borderId="0" xfId="0" applyFont="1" applyFill="1" applyBorder="1" applyAlignment="1">
      <alignment wrapText="1"/>
    </xf>
    <xf numFmtId="0" fontId="0" fillId="4" borderId="43" xfId="0" applyFill="1" applyBorder="1"/>
    <xf numFmtId="4" fontId="0" fillId="4" borderId="81" xfId="0" applyNumberFormat="1" applyFill="1" applyBorder="1"/>
    <xf numFmtId="0" fontId="18" fillId="0" borderId="7" xfId="0" applyFont="1" applyFill="1" applyBorder="1" applyAlignment="1">
      <alignment vertical="top" wrapText="1"/>
    </xf>
    <xf numFmtId="0" fontId="18" fillId="0" borderId="7" xfId="0" applyFont="1" applyFill="1" applyBorder="1"/>
    <xf numFmtId="4" fontId="35" fillId="0" borderId="8" xfId="0" applyNumberFormat="1" applyFont="1" applyFill="1" applyBorder="1"/>
    <xf numFmtId="4" fontId="18" fillId="0" borderId="8" xfId="0" applyNumberFormat="1" applyFont="1" applyFill="1" applyBorder="1"/>
    <xf numFmtId="180" fontId="18" fillId="0" borderId="0" xfId="0" applyNumberFormat="1" applyFont="1" applyFill="1" applyBorder="1"/>
    <xf numFmtId="180" fontId="18" fillId="0" borderId="8" xfId="0" applyNumberFormat="1" applyFont="1" applyFill="1" applyBorder="1"/>
    <xf numFmtId="0" fontId="32" fillId="0" borderId="0" xfId="0" applyFont="1" applyFill="1" applyBorder="1" applyAlignment="1" applyProtection="1">
      <alignment horizontal="center" vertical="center"/>
    </xf>
    <xf numFmtId="0" fontId="36" fillId="0" borderId="0" xfId="0" applyFont="1" applyFill="1" applyBorder="1" applyAlignment="1" applyProtection="1">
      <alignment horizontal="center" vertical="center"/>
    </xf>
    <xf numFmtId="6" fontId="52" fillId="0" borderId="0" xfId="0" applyNumberFormat="1" applyFont="1" applyFill="1" applyBorder="1" applyAlignment="1" applyProtection="1">
      <alignment vertical="center"/>
    </xf>
    <xf numFmtId="6" fontId="36" fillId="0" borderId="0" xfId="0" applyNumberFormat="1" applyFont="1" applyFill="1" applyBorder="1" applyAlignment="1" applyProtection="1">
      <alignment vertical="top"/>
    </xf>
    <xf numFmtId="6" fontId="28" fillId="0" borderId="0" xfId="0" applyNumberFormat="1" applyFont="1" applyFill="1" applyBorder="1" applyAlignment="1" applyProtection="1">
      <alignment vertical="top"/>
    </xf>
    <xf numFmtId="166" fontId="0" fillId="0" borderId="8" xfId="1" applyNumberFormat="1" applyFont="1" applyFill="1" applyBorder="1"/>
    <xf numFmtId="166" fontId="0" fillId="0" borderId="11" xfId="1" applyNumberFormat="1" applyFont="1" applyBorder="1"/>
    <xf numFmtId="166" fontId="0" fillId="0" borderId="6" xfId="1" applyNumberFormat="1" applyFont="1" applyFill="1" applyBorder="1"/>
    <xf numFmtId="4" fontId="0" fillId="0" borderId="0" xfId="0" applyNumberFormat="1" applyBorder="1" applyAlignment="1">
      <alignment horizontal="right" vertical="center" wrapText="1"/>
    </xf>
    <xf numFmtId="0" fontId="50" fillId="0" borderId="0" xfId="0" applyFont="1" applyFill="1" applyBorder="1" applyAlignment="1">
      <alignment horizontal="justify" vertical="center" wrapText="1"/>
    </xf>
    <xf numFmtId="3" fontId="18" fillId="42" borderId="32" xfId="0" applyNumberFormat="1" applyFont="1" applyFill="1" applyBorder="1"/>
    <xf numFmtId="3" fontId="25" fillId="42" borderId="81" xfId="0" applyNumberFormat="1" applyFont="1" applyFill="1" applyBorder="1" applyAlignment="1">
      <alignment horizontal="center" vertical="center"/>
    </xf>
    <xf numFmtId="3" fontId="34" fillId="42" borderId="39" xfId="0" applyNumberFormat="1" applyFont="1" applyFill="1" applyBorder="1" applyAlignment="1">
      <alignment wrapText="1"/>
    </xf>
    <xf numFmtId="3" fontId="34" fillId="42" borderId="43" xfId="0" applyNumberFormat="1" applyFont="1" applyFill="1" applyBorder="1" applyAlignment="1">
      <alignment wrapText="1"/>
    </xf>
    <xf numFmtId="0" fontId="18" fillId="41" borderId="52" xfId="0" applyFont="1" applyFill="1" applyBorder="1"/>
    <xf numFmtId="3" fontId="18" fillId="12" borderId="16" xfId="0" applyNumberFormat="1" applyFont="1" applyFill="1" applyBorder="1"/>
    <xf numFmtId="3" fontId="34" fillId="12" borderId="1" xfId="0" applyNumberFormat="1" applyFont="1" applyFill="1" applyBorder="1"/>
    <xf numFmtId="3" fontId="18" fillId="12" borderId="26" xfId="0" applyNumberFormat="1" applyFont="1" applyFill="1" applyBorder="1"/>
    <xf numFmtId="3" fontId="18" fillId="12" borderId="24" xfId="0" applyNumberFormat="1" applyFont="1" applyFill="1" applyBorder="1"/>
    <xf numFmtId="3" fontId="88" fillId="0" borderId="0" xfId="0" applyNumberFormat="1" applyFont="1" applyBorder="1" applyAlignment="1">
      <alignment horizontal="center" vertical="top" wrapText="1"/>
    </xf>
    <xf numFmtId="3" fontId="25" fillId="12" borderId="24" xfId="0" applyNumberFormat="1" applyFont="1" applyFill="1" applyBorder="1" applyAlignment="1">
      <alignment horizontal="center" wrapText="1"/>
    </xf>
    <xf numFmtId="3" fontId="18" fillId="42" borderId="54" xfId="0" applyNumberFormat="1" applyFont="1" applyFill="1" applyBorder="1" applyAlignment="1">
      <alignment horizontal="center" vertical="center"/>
    </xf>
    <xf numFmtId="3" fontId="18" fillId="42" borderId="54" xfId="3" applyNumberFormat="1" applyFont="1" applyFill="1" applyBorder="1" applyAlignment="1">
      <alignment horizontal="center" vertical="center"/>
    </xf>
    <xf numFmtId="3" fontId="18" fillId="42" borderId="171" xfId="0" applyNumberFormat="1" applyFont="1" applyFill="1" applyBorder="1" applyAlignment="1">
      <alignment horizontal="center" vertical="center"/>
    </xf>
    <xf numFmtId="9" fontId="25" fillId="42" borderId="42" xfId="3" applyFont="1" applyFill="1" applyBorder="1" applyAlignment="1">
      <alignment horizontal="center" vertical="center"/>
    </xf>
    <xf numFmtId="9" fontId="18" fillId="42" borderId="32" xfId="3" applyFont="1" applyFill="1" applyBorder="1" applyAlignment="1">
      <alignment horizontal="center" vertical="center"/>
    </xf>
    <xf numFmtId="3" fontId="25" fillId="12" borderId="2" xfId="0" applyNumberFormat="1" applyFont="1" applyFill="1" applyBorder="1" applyAlignment="1">
      <alignment horizontal="center" vertical="center"/>
    </xf>
    <xf numFmtId="3" fontId="18" fillId="12" borderId="3" xfId="0" applyNumberFormat="1" applyFont="1" applyFill="1" applyBorder="1" applyAlignment="1">
      <alignment horizontal="center" vertical="center"/>
    </xf>
    <xf numFmtId="3" fontId="18" fillId="12" borderId="4" xfId="0" applyNumberFormat="1" applyFont="1" applyFill="1" applyBorder="1" applyAlignment="1">
      <alignment horizontal="center" vertical="center"/>
    </xf>
    <xf numFmtId="3" fontId="34" fillId="12" borderId="17" xfId="0" applyNumberFormat="1" applyFont="1" applyFill="1" applyBorder="1"/>
    <xf numFmtId="3" fontId="105" fillId="12" borderId="25" xfId="0" applyNumberFormat="1" applyFont="1" applyFill="1" applyBorder="1" applyAlignment="1">
      <alignment horizontal="center" wrapText="1"/>
    </xf>
    <xf numFmtId="181" fontId="20" fillId="2" borderId="0" xfId="0" applyNumberFormat="1" applyFont="1" applyFill="1" applyBorder="1"/>
    <xf numFmtId="2" fontId="0" fillId="0" borderId="0" xfId="0" applyNumberFormat="1" applyFill="1" applyBorder="1"/>
    <xf numFmtId="0" fontId="58" fillId="47" borderId="183" xfId="5" applyAlignment="1">
      <alignment horizontal="left" vertical="top"/>
    </xf>
    <xf numFmtId="3" fontId="35" fillId="0" borderId="7" xfId="0" applyNumberFormat="1" applyFont="1" applyFill="1" applyBorder="1"/>
    <xf numFmtId="4" fontId="19" fillId="0" borderId="7" xfId="0" applyNumberFormat="1" applyFont="1" applyBorder="1" applyAlignment="1">
      <alignment horizontal="center"/>
    </xf>
    <xf numFmtId="4" fontId="19" fillId="0" borderId="0" xfId="0" applyNumberFormat="1" applyFont="1" applyBorder="1" applyAlignment="1">
      <alignment horizontal="center"/>
    </xf>
    <xf numFmtId="4" fontId="19" fillId="0" borderId="0" xfId="0" applyNumberFormat="1" applyFont="1" applyBorder="1"/>
    <xf numFmtId="4" fontId="19" fillId="0" borderId="0" xfId="0" applyNumberFormat="1" applyFont="1" applyFill="1" applyBorder="1" applyAlignment="1">
      <alignment horizontal="center"/>
    </xf>
    <xf numFmtId="4" fontId="19" fillId="0" borderId="8" xfId="0" applyNumberFormat="1" applyFont="1" applyFill="1" applyBorder="1"/>
    <xf numFmtId="11" fontId="19" fillId="2" borderId="7" xfId="0" applyNumberFormat="1" applyFont="1" applyFill="1" applyBorder="1" applyAlignment="1">
      <alignment horizontal="center"/>
    </xf>
    <xf numFmtId="11" fontId="19" fillId="2" borderId="0" xfId="0" applyNumberFormat="1" applyFont="1" applyFill="1" applyBorder="1" applyAlignment="1">
      <alignment horizontal="center"/>
    </xf>
    <xf numFmtId="11" fontId="19" fillId="2" borderId="0" xfId="0" applyNumberFormat="1" applyFont="1" applyFill="1" applyBorder="1"/>
    <xf numFmtId="11" fontId="32" fillId="2" borderId="0" xfId="0" applyNumberFormat="1" applyFont="1" applyFill="1" applyBorder="1"/>
    <xf numFmtId="11" fontId="19" fillId="2" borderId="8" xfId="0" applyNumberFormat="1" applyFont="1" applyFill="1" applyBorder="1"/>
    <xf numFmtId="11" fontId="19" fillId="2" borderId="0" xfId="0" applyNumberFormat="1" applyFont="1" applyFill="1" applyBorder="1" applyAlignment="1">
      <alignment wrapText="1"/>
    </xf>
    <xf numFmtId="11" fontId="19" fillId="0" borderId="10" xfId="0" applyNumberFormat="1" applyFont="1" applyFill="1" applyBorder="1"/>
    <xf numFmtId="11" fontId="19" fillId="24" borderId="9" xfId="0" applyNumberFormat="1" applyFont="1" applyFill="1" applyBorder="1" applyAlignment="1">
      <alignment horizontal="center"/>
    </xf>
    <xf numFmtId="11" fontId="28" fillId="24" borderId="12" xfId="0" applyNumberFormat="1" applyFont="1" applyFill="1" applyBorder="1"/>
    <xf numFmtId="11" fontId="19" fillId="24" borderId="12" xfId="0" applyNumberFormat="1" applyFont="1" applyFill="1" applyBorder="1"/>
    <xf numFmtId="2" fontId="49" fillId="0" borderId="0" xfId="0" applyNumberFormat="1" applyFont="1" applyBorder="1" applyAlignment="1">
      <alignment horizontal="justify" vertical="center" wrapText="1"/>
    </xf>
    <xf numFmtId="2" fontId="49" fillId="0" borderId="0" xfId="0" applyNumberFormat="1" applyFont="1" applyBorder="1" applyAlignment="1">
      <alignment vertical="center" wrapText="1"/>
    </xf>
    <xf numFmtId="0" fontId="95" fillId="0" borderId="7" xfId="0" applyFont="1" applyBorder="1"/>
    <xf numFmtId="0" fontId="0" fillId="2" borderId="5" xfId="0" applyFill="1" applyBorder="1"/>
    <xf numFmtId="0" fontId="0" fillId="2" borderId="11" xfId="0" applyFill="1" applyBorder="1" applyAlignment="1"/>
    <xf numFmtId="0" fontId="2" fillId="0" borderId="13" xfId="0" applyFont="1" applyBorder="1"/>
    <xf numFmtId="0" fontId="2" fillId="0" borderId="14" xfId="0" applyFont="1" applyBorder="1"/>
    <xf numFmtId="0" fontId="2" fillId="0" borderId="15" xfId="0" applyFont="1" applyBorder="1"/>
    <xf numFmtId="9" fontId="18" fillId="12" borderId="36" xfId="3" applyFont="1" applyFill="1" applyBorder="1"/>
    <xf numFmtId="0" fontId="18" fillId="12" borderId="36" xfId="0" applyFont="1" applyFill="1" applyBorder="1"/>
    <xf numFmtId="0" fontId="18" fillId="41" borderId="36" xfId="0" applyFont="1" applyFill="1" applyBorder="1"/>
    <xf numFmtId="9" fontId="18" fillId="42" borderId="36" xfId="3" applyFont="1" applyFill="1" applyBorder="1"/>
    <xf numFmtId="0" fontId="49" fillId="42" borderId="0" xfId="0" applyFont="1" applyFill="1" applyBorder="1" applyAlignment="1">
      <alignment vertical="center"/>
    </xf>
    <xf numFmtId="3" fontId="25" fillId="0" borderId="0" xfId="0" applyNumberFormat="1" applyFont="1" applyFill="1" applyBorder="1" applyAlignment="1">
      <alignment vertical="center" wrapText="1"/>
    </xf>
    <xf numFmtId="10" fontId="18" fillId="12" borderId="177" xfId="3" applyNumberFormat="1" applyFont="1" applyFill="1" applyBorder="1" applyAlignment="1">
      <alignment horizontal="center" vertical="center"/>
    </xf>
    <xf numFmtId="10" fontId="18" fillId="12" borderId="32" xfId="3" applyNumberFormat="1" applyFont="1" applyFill="1" applyBorder="1" applyAlignment="1">
      <alignment horizontal="center" vertical="center"/>
    </xf>
    <xf numFmtId="10" fontId="18" fillId="12" borderId="178" xfId="3" applyNumberFormat="1" applyFont="1" applyFill="1" applyBorder="1" applyAlignment="1">
      <alignment horizontal="center" vertical="center"/>
    </xf>
    <xf numFmtId="10" fontId="0" fillId="42" borderId="1" xfId="0" applyNumberFormat="1" applyFill="1" applyBorder="1"/>
    <xf numFmtId="0" fontId="0" fillId="12" borderId="1" xfId="0" applyFill="1" applyBorder="1"/>
    <xf numFmtId="10" fontId="0" fillId="12" borderId="1" xfId="0" applyNumberFormat="1" applyFill="1" applyBorder="1"/>
    <xf numFmtId="0" fontId="0" fillId="25" borderId="1" xfId="0" applyFill="1" applyBorder="1"/>
    <xf numFmtId="10" fontId="0" fillId="25" borderId="1" xfId="0" applyNumberFormat="1" applyFill="1" applyBorder="1"/>
    <xf numFmtId="0" fontId="6" fillId="0" borderId="0" xfId="0" applyFont="1" applyBorder="1"/>
    <xf numFmtId="0" fontId="6" fillId="0" borderId="0" xfId="0" applyFont="1" applyFill="1" applyBorder="1"/>
    <xf numFmtId="0" fontId="0" fillId="3" borderId="1" xfId="0" applyFill="1" applyBorder="1" applyAlignment="1">
      <alignment vertical="top"/>
    </xf>
    <xf numFmtId="0" fontId="0" fillId="10" borderId="1" xfId="0" applyFill="1" applyBorder="1" applyAlignment="1">
      <alignment vertical="top" wrapText="1"/>
    </xf>
    <xf numFmtId="0" fontId="0" fillId="42" borderId="17" xfId="0" applyFill="1" applyBorder="1"/>
    <xf numFmtId="0" fontId="0" fillId="12" borderId="20" xfId="0" applyFill="1" applyBorder="1" applyAlignment="1">
      <alignment vertical="center"/>
    </xf>
    <xf numFmtId="166" fontId="19" fillId="42" borderId="18" xfId="1" applyNumberFormat="1" applyFont="1" applyFill="1" applyBorder="1" applyAlignment="1">
      <alignment horizontal="center" vertical="center" wrapText="1"/>
    </xf>
    <xf numFmtId="0" fontId="0" fillId="42" borderId="19" xfId="0" applyFill="1" applyBorder="1" applyAlignment="1">
      <alignment vertical="center"/>
    </xf>
    <xf numFmtId="0" fontId="0" fillId="42" borderId="20" xfId="0" applyFill="1" applyBorder="1" applyAlignment="1">
      <alignment vertical="center"/>
    </xf>
    <xf numFmtId="0" fontId="0" fillId="18" borderId="19" xfId="0" applyFill="1" applyBorder="1" applyAlignment="1">
      <alignment vertical="center"/>
    </xf>
    <xf numFmtId="0" fontId="0" fillId="18" borderId="20" xfId="0" applyFill="1" applyBorder="1" applyAlignment="1">
      <alignment vertical="center"/>
    </xf>
    <xf numFmtId="166" fontId="19" fillId="3" borderId="18" xfId="1" applyNumberFormat="1" applyFont="1" applyFill="1" applyBorder="1" applyAlignment="1">
      <alignment horizontal="center" vertical="center" wrapText="1"/>
    </xf>
    <xf numFmtId="0" fontId="0" fillId="3" borderId="19" xfId="0" applyFill="1" applyBorder="1" applyAlignment="1">
      <alignment vertical="center"/>
    </xf>
    <xf numFmtId="0" fontId="0" fillId="3" borderId="20" xfId="0" applyFill="1" applyBorder="1" applyAlignment="1">
      <alignment vertical="center"/>
    </xf>
    <xf numFmtId="0" fontId="95" fillId="0" borderId="7" xfId="0" applyFont="1" applyFill="1" applyBorder="1"/>
    <xf numFmtId="180" fontId="18" fillId="5" borderId="0" xfId="1" applyNumberFormat="1" applyFont="1" applyFill="1" applyBorder="1"/>
    <xf numFmtId="185" fontId="18" fillId="5" borderId="0" xfId="1" applyNumberFormat="1" applyFont="1" applyFill="1" applyBorder="1"/>
    <xf numFmtId="0" fontId="0" fillId="0" borderId="0" xfId="0" applyBorder="1" applyAlignment="1">
      <alignment horizontal="left" vertical="top" wrapText="1"/>
    </xf>
    <xf numFmtId="4" fontId="35" fillId="5" borderId="151" xfId="1" applyNumberFormat="1" applyFont="1" applyFill="1" applyBorder="1"/>
    <xf numFmtId="4" fontId="35" fillId="5" borderId="28" xfId="1" applyNumberFormat="1" applyFont="1" applyFill="1" applyBorder="1"/>
    <xf numFmtId="0" fontId="20" fillId="24" borderId="7" xfId="0" applyFont="1" applyFill="1" applyBorder="1"/>
    <xf numFmtId="165" fontId="20" fillId="5" borderId="6" xfId="1" applyNumberFormat="1" applyFont="1" applyFill="1" applyBorder="1"/>
    <xf numFmtId="165" fontId="20" fillId="5" borderId="8" xfId="1" applyNumberFormat="1" applyFont="1" applyFill="1" applyBorder="1"/>
    <xf numFmtId="165" fontId="23" fillId="5" borderId="6" xfId="1" applyNumberFormat="1" applyFont="1" applyFill="1" applyBorder="1"/>
    <xf numFmtId="165" fontId="23" fillId="5" borderId="8" xfId="1" applyNumberFormat="1" applyFont="1" applyFill="1" applyBorder="1"/>
    <xf numFmtId="165" fontId="20" fillId="21" borderId="0" xfId="1" applyNumberFormat="1" applyFont="1" applyFill="1" applyBorder="1"/>
    <xf numFmtId="165" fontId="20" fillId="21" borderId="8" xfId="1" applyNumberFormat="1" applyFont="1" applyFill="1" applyBorder="1"/>
    <xf numFmtId="3" fontId="20" fillId="5" borderId="8" xfId="1" applyNumberFormat="1" applyFont="1" applyFill="1" applyBorder="1"/>
    <xf numFmtId="165" fontId="20" fillId="0" borderId="11" xfId="1" applyNumberFormat="1" applyFont="1" applyFill="1" applyBorder="1" applyAlignment="1">
      <alignment horizontal="right"/>
    </xf>
    <xf numFmtId="0" fontId="20" fillId="0" borderId="21" xfId="0" applyFont="1" applyFill="1" applyBorder="1"/>
    <xf numFmtId="0" fontId="20" fillId="0" borderId="22" xfId="0" applyFont="1" applyFill="1" applyBorder="1"/>
    <xf numFmtId="165" fontId="20" fillId="5" borderId="1" xfId="0" applyNumberFormat="1" applyFont="1" applyFill="1" applyBorder="1"/>
    <xf numFmtId="165" fontId="20" fillId="5" borderId="2" xfId="0" applyNumberFormat="1" applyFont="1" applyFill="1" applyBorder="1"/>
    <xf numFmtId="165" fontId="20" fillId="5" borderId="16" xfId="0" applyNumberFormat="1" applyFont="1" applyFill="1" applyBorder="1"/>
    <xf numFmtId="3" fontId="54" fillId="0" borderId="0" xfId="0" applyNumberFormat="1" applyFont="1" applyBorder="1" applyAlignment="1">
      <alignment horizontal="center" vertical="center" wrapText="1"/>
    </xf>
    <xf numFmtId="3" fontId="54" fillId="0" borderId="0" xfId="0" applyNumberFormat="1" applyFont="1" applyBorder="1"/>
    <xf numFmtId="165" fontId="20" fillId="0" borderId="5" xfId="1" applyNumberFormat="1" applyFont="1" applyFill="1" applyBorder="1"/>
    <xf numFmtId="3" fontId="20" fillId="0" borderId="7" xfId="1" applyNumberFormat="1" applyFont="1" applyFill="1" applyBorder="1"/>
    <xf numFmtId="43" fontId="0" fillId="5" borderId="0" xfId="1" applyFont="1" applyFill="1" applyBorder="1"/>
    <xf numFmtId="43" fontId="0" fillId="5" borderId="8" xfId="1" applyFont="1" applyFill="1" applyBorder="1"/>
    <xf numFmtId="43" fontId="0" fillId="18" borderId="5" xfId="1" applyFont="1" applyFill="1" applyBorder="1"/>
    <xf numFmtId="43" fontId="0" fillId="18" borderId="11" xfId="1" applyFont="1" applyFill="1" applyBorder="1"/>
    <xf numFmtId="43" fontId="0" fillId="18" borderId="6" xfId="1" applyFont="1" applyFill="1" applyBorder="1"/>
    <xf numFmtId="43" fontId="0" fillId="18" borderId="7" xfId="1" applyFont="1" applyFill="1" applyBorder="1"/>
    <xf numFmtId="43" fontId="0" fillId="18" borderId="0" xfId="1" applyFont="1" applyFill="1" applyBorder="1"/>
    <xf numFmtId="43" fontId="0" fillId="18" borderId="8" xfId="1" applyFont="1" applyFill="1" applyBorder="1"/>
    <xf numFmtId="43" fontId="6" fillId="18" borderId="7" xfId="1" applyFont="1" applyFill="1" applyBorder="1"/>
    <xf numFmtId="43" fontId="6" fillId="18" borderId="0" xfId="1" applyFont="1" applyFill="1" applyBorder="1"/>
    <xf numFmtId="43" fontId="15" fillId="5" borderId="8" xfId="1" applyFont="1" applyFill="1" applyBorder="1"/>
    <xf numFmtId="4" fontId="15" fillId="5" borderId="8" xfId="1" applyNumberFormat="1" applyFont="1" applyFill="1" applyBorder="1"/>
    <xf numFmtId="169" fontId="23" fillId="0" borderId="0" xfId="1" applyNumberFormat="1" applyFont="1" applyFill="1" applyBorder="1"/>
    <xf numFmtId="43" fontId="15" fillId="21" borderId="0" xfId="1" applyFont="1" applyFill="1" applyBorder="1"/>
    <xf numFmtId="0" fontId="18" fillId="0" borderId="8" xfId="0" applyFont="1" applyFill="1" applyBorder="1"/>
    <xf numFmtId="4" fontId="18" fillId="0" borderId="0" xfId="0" applyNumberFormat="1" applyFont="1" applyFill="1" applyBorder="1" applyAlignment="1" applyProtection="1">
      <alignment horizontal="center" vertical="center"/>
      <protection locked="0"/>
    </xf>
    <xf numFmtId="43" fontId="15" fillId="21" borderId="7" xfId="1" applyFont="1" applyFill="1" applyBorder="1"/>
    <xf numFmtId="4" fontId="0" fillId="10" borderId="7" xfId="1" applyNumberFormat="1" applyFont="1" applyFill="1" applyBorder="1"/>
    <xf numFmtId="4" fontId="0" fillId="10" borderId="0" xfId="1" applyNumberFormat="1" applyFont="1" applyFill="1" applyBorder="1"/>
    <xf numFmtId="4" fontId="0" fillId="8" borderId="0" xfId="1" applyNumberFormat="1" applyFont="1" applyFill="1" applyBorder="1"/>
    <xf numFmtId="0" fontId="6" fillId="0" borderId="0" xfId="0" applyFont="1" applyFill="1"/>
    <xf numFmtId="3" fontId="6" fillId="0" borderId="0" xfId="0" applyNumberFormat="1" applyFont="1" applyFill="1" applyBorder="1"/>
    <xf numFmtId="0" fontId="2" fillId="50" borderId="28" xfId="0" applyFont="1" applyFill="1" applyBorder="1"/>
    <xf numFmtId="0" fontId="2" fillId="50" borderId="28" xfId="0" applyFont="1" applyFill="1" applyBorder="1" applyAlignment="1">
      <alignment wrapText="1"/>
    </xf>
    <xf numFmtId="0" fontId="0" fillId="50" borderId="28" xfId="0" applyFill="1" applyBorder="1" applyAlignment="1">
      <alignment wrapText="1"/>
    </xf>
    <xf numFmtId="43" fontId="0" fillId="50" borderId="7" xfId="1" applyFont="1" applyFill="1" applyBorder="1"/>
    <xf numFmtId="43" fontId="0" fillId="50" borderId="0" xfId="1" applyFont="1" applyFill="1" applyBorder="1"/>
    <xf numFmtId="165" fontId="2" fillId="50" borderId="0" xfId="0" applyNumberFormat="1" applyFont="1" applyFill="1" applyBorder="1"/>
    <xf numFmtId="0" fontId="2" fillId="50" borderId="0" xfId="0" applyFont="1" applyFill="1" applyBorder="1"/>
    <xf numFmtId="165" fontId="2" fillId="50" borderId="0" xfId="1" applyNumberFormat="1" applyFont="1" applyFill="1" applyBorder="1"/>
    <xf numFmtId="0" fontId="2" fillId="50" borderId="0" xfId="0" applyFont="1" applyFill="1"/>
    <xf numFmtId="165" fontId="0" fillId="0" borderId="11" xfId="1" applyNumberFormat="1" applyFont="1" applyBorder="1"/>
    <xf numFmtId="3" fontId="0" fillId="0" borderId="9" xfId="0" applyNumberFormat="1" applyFill="1" applyBorder="1"/>
    <xf numFmtId="3" fontId="20" fillId="0" borderId="0" xfId="0" applyNumberFormat="1" applyFont="1" applyBorder="1" applyAlignment="1">
      <alignment vertical="center" wrapText="1"/>
    </xf>
    <xf numFmtId="0" fontId="34" fillId="19" borderId="7" xfId="0" applyFont="1" applyFill="1" applyBorder="1" applyAlignment="1">
      <alignment horizontal="left" vertical="top" wrapText="1"/>
    </xf>
    <xf numFmtId="0" fontId="0" fillId="0" borderId="18" xfId="0" applyFill="1" applyBorder="1"/>
    <xf numFmtId="4" fontId="0" fillId="0" borderId="11" xfId="0" applyNumberFormat="1" applyFill="1" applyBorder="1"/>
    <xf numFmtId="4" fontId="0" fillId="0" borderId="12" xfId="0" applyNumberFormat="1" applyFill="1" applyBorder="1"/>
    <xf numFmtId="3" fontId="53" fillId="0" borderId="12" xfId="0" applyNumberFormat="1" applyFont="1" applyFill="1" applyBorder="1"/>
    <xf numFmtId="3" fontId="0" fillId="16" borderId="8" xfId="0" applyNumberFormat="1" applyFill="1" applyBorder="1"/>
    <xf numFmtId="3" fontId="0" fillId="16" borderId="6" xfId="0" applyNumberFormat="1" applyFill="1" applyBorder="1"/>
    <xf numFmtId="0" fontId="0" fillId="16" borderId="20" xfId="0" applyFill="1" applyBorder="1"/>
    <xf numFmtId="0" fontId="0" fillId="16" borderId="30" xfId="0" applyFill="1" applyBorder="1"/>
    <xf numFmtId="0" fontId="18" fillId="0" borderId="27" xfId="0" applyFont="1" applyBorder="1" applyAlignment="1">
      <alignment horizontal="left" vertical="top" wrapText="1"/>
    </xf>
    <xf numFmtId="0" fontId="18" fillId="0" borderId="29" xfId="0" applyFont="1" applyBorder="1" applyAlignment="1">
      <alignment horizontal="left" vertical="top" wrapText="1"/>
    </xf>
    <xf numFmtId="4" fontId="0" fillId="0" borderId="5" xfId="1" applyNumberFormat="1" applyFont="1" applyFill="1" applyBorder="1"/>
    <xf numFmtId="4" fontId="0" fillId="0" borderId="11" xfId="1" applyNumberFormat="1" applyFont="1" applyFill="1" applyBorder="1"/>
    <xf numFmtId="4" fontId="0" fillId="5" borderId="6" xfId="1" applyNumberFormat="1" applyFont="1" applyFill="1" applyBorder="1"/>
    <xf numFmtId="4" fontId="0" fillId="5" borderId="8" xfId="1" applyNumberFormat="1" applyFont="1" applyFill="1" applyBorder="1"/>
    <xf numFmtId="4" fontId="0" fillId="0" borderId="0" xfId="1" applyNumberFormat="1" applyFont="1" applyFill="1" applyBorder="1" applyAlignment="1">
      <alignment wrapText="1"/>
    </xf>
    <xf numFmtId="0" fontId="11" fillId="0" borderId="7" xfId="0" applyFont="1" applyFill="1" applyBorder="1" applyAlignment="1">
      <alignment wrapText="1"/>
    </xf>
    <xf numFmtId="0" fontId="2" fillId="19" borderId="7" xfId="0" applyFont="1" applyFill="1" applyBorder="1" applyAlignment="1">
      <alignment wrapText="1"/>
    </xf>
    <xf numFmtId="43" fontId="2" fillId="19" borderId="7" xfId="1" applyFont="1" applyFill="1" applyBorder="1"/>
    <xf numFmtId="43" fontId="2" fillId="19" borderId="0" xfId="1" applyFont="1" applyFill="1" applyBorder="1"/>
    <xf numFmtId="43" fontId="2" fillId="19" borderId="8" xfId="1" applyFont="1" applyFill="1" applyBorder="1"/>
    <xf numFmtId="0" fontId="11" fillId="0" borderId="0" xfId="0" applyFont="1" applyFill="1" applyBorder="1"/>
    <xf numFmtId="0" fontId="34" fillId="19" borderId="7" xfId="0" applyFont="1" applyFill="1" applyBorder="1" applyAlignment="1">
      <alignment wrapText="1"/>
    </xf>
    <xf numFmtId="0" fontId="45" fillId="0" borderId="0" xfId="0" applyFont="1" applyFill="1" applyBorder="1" applyAlignment="1">
      <alignment wrapText="1"/>
    </xf>
    <xf numFmtId="0" fontId="33" fillId="0" borderId="0" xfId="0" applyFont="1" applyFill="1" applyBorder="1"/>
    <xf numFmtId="0" fontId="14" fillId="0" borderId="0" xfId="0" applyFont="1" applyFill="1" applyBorder="1"/>
    <xf numFmtId="0" fontId="15" fillId="0" borderId="5" xfId="0" applyFont="1" applyFill="1" applyBorder="1"/>
    <xf numFmtId="0" fontId="15" fillId="0" borderId="11" xfId="0" applyFont="1" applyFill="1" applyBorder="1"/>
    <xf numFmtId="0" fontId="18" fillId="0" borderId="20" xfId="0" applyFont="1" applyBorder="1" applyAlignment="1">
      <alignment wrapText="1"/>
    </xf>
    <xf numFmtId="4" fontId="0" fillId="16" borderId="8" xfId="1" applyNumberFormat="1" applyFont="1" applyFill="1" applyBorder="1"/>
    <xf numFmtId="8" fontId="55" fillId="0" borderId="27" xfId="0" applyNumberFormat="1" applyFont="1" applyBorder="1" applyAlignment="1">
      <alignment horizontal="right" vertical="center"/>
    </xf>
    <xf numFmtId="8" fontId="55" fillId="0" borderId="28" xfId="0" applyNumberFormat="1" applyFont="1" applyBorder="1" applyAlignment="1">
      <alignment horizontal="right" vertical="center"/>
    </xf>
    <xf numFmtId="8" fontId="55" fillId="0" borderId="29" xfId="0" applyNumberFormat="1" applyFont="1" applyBorder="1" applyAlignment="1">
      <alignment horizontal="right" vertical="center"/>
    </xf>
    <xf numFmtId="10" fontId="18" fillId="0" borderId="28" xfId="3" applyNumberFormat="1" applyFont="1" applyBorder="1"/>
    <xf numFmtId="10" fontId="18" fillId="0" borderId="29" xfId="3" applyNumberFormat="1" applyFont="1" applyBorder="1"/>
    <xf numFmtId="0" fontId="20" fillId="0" borderId="30" xfId="0" applyFont="1" applyBorder="1" applyAlignment="1">
      <alignment horizontal="center" wrapText="1"/>
    </xf>
    <xf numFmtId="8" fontId="55" fillId="0" borderId="5" xfId="0" applyNumberFormat="1" applyFont="1" applyBorder="1" applyAlignment="1">
      <alignment horizontal="right" vertical="center" wrapText="1"/>
    </xf>
    <xf numFmtId="8" fontId="54" fillId="0" borderId="7" xfId="0" applyNumberFormat="1" applyFont="1" applyBorder="1"/>
    <xf numFmtId="8" fontId="54" fillId="0" borderId="9" xfId="0" applyNumberFormat="1" applyFont="1" applyBorder="1"/>
    <xf numFmtId="8" fontId="107" fillId="0" borderId="13" xfId="0" applyNumberFormat="1" applyFont="1" applyBorder="1" applyAlignment="1">
      <alignment horizontal="right" vertical="center" wrapText="1"/>
    </xf>
    <xf numFmtId="0" fontId="20" fillId="0" borderId="27" xfId="0" applyFont="1" applyBorder="1" applyAlignment="1">
      <alignment wrapText="1"/>
    </xf>
    <xf numFmtId="4" fontId="20" fillId="0" borderId="0" xfId="0" applyNumberFormat="1" applyFont="1" applyBorder="1" applyAlignment="1">
      <alignment vertical="center" wrapText="1"/>
    </xf>
    <xf numFmtId="0" fontId="34" fillId="34" borderId="0" xfId="0" applyFont="1" applyFill="1" applyBorder="1" applyAlignment="1">
      <alignment horizontal="center" vertical="center" wrapText="1"/>
    </xf>
    <xf numFmtId="0" fontId="0" fillId="4" borderId="0" xfId="0" applyFill="1" applyBorder="1" applyAlignment="1">
      <alignment wrapText="1"/>
    </xf>
    <xf numFmtId="0" fontId="15" fillId="4" borderId="13" xfId="0" applyFont="1" applyFill="1" applyBorder="1" applyAlignment="1">
      <alignment wrapText="1"/>
    </xf>
    <xf numFmtId="0" fontId="0" fillId="4" borderId="13" xfId="0" applyFill="1" applyBorder="1"/>
    <xf numFmtId="0" fontId="0" fillId="4" borderId="14" xfId="0" applyFill="1" applyBorder="1"/>
    <xf numFmtId="43" fontId="35" fillId="4" borderId="14" xfId="1" applyFont="1" applyFill="1" applyBorder="1"/>
    <xf numFmtId="0" fontId="0" fillId="4" borderId="13" xfId="0" applyFill="1" applyBorder="1" applyAlignment="1">
      <alignment wrapText="1"/>
    </xf>
    <xf numFmtId="0" fontId="18" fillId="4" borderId="15" xfId="0" applyFont="1" applyFill="1" applyBorder="1"/>
    <xf numFmtId="10" fontId="0" fillId="23" borderId="9" xfId="3" applyNumberFormat="1" applyFont="1" applyFill="1" applyBorder="1"/>
    <xf numFmtId="0" fontId="0" fillId="0" borderId="0" xfId="0" applyAlignment="1">
      <alignment horizontal="right"/>
    </xf>
    <xf numFmtId="3" fontId="0" fillId="16" borderId="0" xfId="0" applyNumberFormat="1" applyFill="1" applyBorder="1"/>
    <xf numFmtId="3" fontId="0" fillId="16" borderId="12" xfId="0" applyNumberFormat="1" applyFill="1" applyBorder="1"/>
    <xf numFmtId="9" fontId="0" fillId="0" borderId="0" xfId="0" applyNumberFormat="1"/>
    <xf numFmtId="4" fontId="0" fillId="0" borderId="5" xfId="0" applyNumberFormat="1" applyFill="1" applyBorder="1"/>
    <xf numFmtId="4" fontId="18" fillId="13" borderId="70" xfId="1" applyNumberFormat="1" applyFont="1" applyFill="1" applyBorder="1"/>
    <xf numFmtId="4" fontId="35" fillId="13" borderId="186" xfId="1" applyNumberFormat="1" applyFont="1" applyFill="1" applyBorder="1"/>
    <xf numFmtId="4" fontId="35" fillId="0" borderId="92" xfId="1" applyNumberFormat="1" applyFont="1" applyBorder="1"/>
    <xf numFmtId="4" fontId="35" fillId="13" borderId="92" xfId="1" applyNumberFormat="1" applyFont="1" applyFill="1" applyBorder="1"/>
    <xf numFmtId="4" fontId="35" fillId="0" borderId="118" xfId="1" applyNumberFormat="1" applyFont="1" applyBorder="1"/>
    <xf numFmtId="4" fontId="35" fillId="0" borderId="90" xfId="0" applyNumberFormat="1" applyFont="1" applyBorder="1"/>
    <xf numFmtId="0" fontId="2" fillId="24" borderId="1" xfId="0" applyFont="1" applyFill="1" applyBorder="1"/>
    <xf numFmtId="0" fontId="2" fillId="24" borderId="1" xfId="0" applyFont="1" applyFill="1" applyBorder="1" applyAlignment="1">
      <alignment wrapText="1"/>
    </xf>
    <xf numFmtId="0" fontId="2" fillId="10" borderId="1" xfId="0" applyFont="1" applyFill="1" applyBorder="1" applyAlignment="1">
      <alignment vertical="top" wrapText="1"/>
    </xf>
    <xf numFmtId="0" fontId="0" fillId="10" borderId="1" xfId="0" applyFill="1" applyBorder="1" applyAlignment="1">
      <alignment vertical="top"/>
    </xf>
    <xf numFmtId="0" fontId="0" fillId="0" borderId="0" xfId="0" applyFill="1" applyBorder="1" applyAlignment="1">
      <alignment vertical="top"/>
    </xf>
    <xf numFmtId="0" fontId="19" fillId="0" borderId="0" xfId="0" applyFont="1" applyBorder="1" applyAlignment="1">
      <alignment vertical="top" wrapText="1"/>
    </xf>
    <xf numFmtId="0" fontId="20" fillId="3" borderId="1" xfId="0" applyFont="1" applyFill="1" applyBorder="1" applyAlignment="1">
      <alignment vertical="top" wrapText="1"/>
    </xf>
    <xf numFmtId="0" fontId="19" fillId="3" borderId="1" xfId="0" applyFont="1" applyFill="1" applyBorder="1" applyAlignment="1">
      <alignment horizontal="left" vertical="top" wrapText="1"/>
    </xf>
    <xf numFmtId="0" fontId="18" fillId="3" borderId="1" xfId="0" applyFont="1" applyFill="1" applyBorder="1" applyAlignment="1">
      <alignment horizontal="left" vertical="top" wrapText="1"/>
    </xf>
    <xf numFmtId="0" fontId="19" fillId="3" borderId="36" xfId="0" applyFont="1" applyFill="1" applyBorder="1" applyAlignment="1">
      <alignment horizontal="left" vertical="top" wrapText="1"/>
    </xf>
    <xf numFmtId="0" fontId="0" fillId="3" borderId="1" xfId="0" applyFill="1" applyBorder="1" applyAlignment="1">
      <alignment vertical="top" wrapText="1"/>
    </xf>
    <xf numFmtId="0" fontId="19" fillId="3" borderId="1" xfId="0" applyFont="1" applyFill="1" applyBorder="1" applyAlignment="1">
      <alignment vertical="top" wrapText="1"/>
    </xf>
    <xf numFmtId="0" fontId="0" fillId="3" borderId="1" xfId="0" applyFill="1" applyBorder="1" applyAlignment="1">
      <alignment horizontal="left" vertical="top" wrapText="1"/>
    </xf>
    <xf numFmtId="0" fontId="0" fillId="0" borderId="0" xfId="0" applyBorder="1" applyAlignment="1">
      <alignment horizontal="left" vertical="top"/>
    </xf>
    <xf numFmtId="0" fontId="0" fillId="10" borderId="36" xfId="0" applyFill="1" applyBorder="1" applyAlignment="1">
      <alignment vertical="top"/>
    </xf>
    <xf numFmtId="0" fontId="20" fillId="0" borderId="16" xfId="0" applyFont="1" applyBorder="1" applyAlignment="1">
      <alignment vertical="top" wrapText="1"/>
    </xf>
    <xf numFmtId="0" fontId="19" fillId="0" borderId="16" xfId="0" applyFont="1" applyBorder="1" applyAlignment="1">
      <alignment vertical="top" wrapText="1"/>
    </xf>
    <xf numFmtId="0" fontId="0" fillId="0" borderId="24" xfId="0" applyFill="1" applyBorder="1" applyAlignment="1">
      <alignment vertical="top"/>
    </xf>
    <xf numFmtId="0" fontId="0" fillId="0" borderId="24" xfId="0" applyBorder="1" applyAlignment="1">
      <alignment vertical="top" wrapText="1"/>
    </xf>
    <xf numFmtId="0" fontId="108" fillId="24" borderId="16" xfId="0" applyFont="1" applyFill="1" applyBorder="1" applyAlignment="1"/>
    <xf numFmtId="0" fontId="2" fillId="10" borderId="16" xfId="0" applyFont="1" applyFill="1" applyBorder="1" applyAlignment="1">
      <alignment horizontal="center" vertical="top" wrapText="1"/>
    </xf>
    <xf numFmtId="0" fontId="0" fillId="10" borderId="38" xfId="0" applyFill="1" applyBorder="1" applyAlignment="1">
      <alignment horizontal="center" vertical="top" wrapText="1"/>
    </xf>
    <xf numFmtId="0" fontId="2" fillId="24" borderId="17" xfId="0" applyFont="1" applyFill="1" applyBorder="1"/>
    <xf numFmtId="0" fontId="2" fillId="10" borderId="17" xfId="0" applyFont="1" applyFill="1" applyBorder="1" applyAlignment="1">
      <alignment vertical="top"/>
    </xf>
    <xf numFmtId="43" fontId="0" fillId="3" borderId="1" xfId="0" applyNumberFormat="1" applyFill="1" applyBorder="1" applyAlignment="1">
      <alignment horizontal="left" vertical="top"/>
    </xf>
    <xf numFmtId="0" fontId="0" fillId="3" borderId="1" xfId="0" applyFill="1" applyBorder="1" applyAlignment="1">
      <alignment horizontal="left" vertical="top"/>
    </xf>
    <xf numFmtId="186" fontId="0" fillId="3" borderId="1" xfId="0" applyNumberFormat="1" applyFill="1" applyBorder="1" applyAlignment="1">
      <alignment horizontal="left" vertical="top"/>
    </xf>
    <xf numFmtId="43" fontId="0" fillId="0" borderId="1" xfId="0" applyNumberFormat="1" applyBorder="1" applyAlignment="1">
      <alignment horizontal="left" vertical="top"/>
    </xf>
    <xf numFmtId="0" fontId="0" fillId="0" borderId="1" xfId="0" applyBorder="1" applyAlignment="1">
      <alignment horizontal="left" vertical="top"/>
    </xf>
    <xf numFmtId="0" fontId="0" fillId="18" borderId="1" xfId="0" applyFill="1" applyBorder="1" applyAlignment="1">
      <alignment horizontal="left" vertical="top"/>
    </xf>
    <xf numFmtId="2" fontId="0" fillId="3" borderId="1" xfId="0" applyNumberFormat="1" applyFill="1" applyBorder="1" applyAlignment="1">
      <alignment horizontal="left" vertical="top"/>
    </xf>
    <xf numFmtId="176" fontId="0" fillId="3" borderId="1" xfId="0" applyNumberFormat="1" applyFill="1" applyBorder="1" applyAlignment="1">
      <alignment horizontal="left" vertical="top"/>
    </xf>
    <xf numFmtId="4" fontId="0" fillId="0" borderId="1" xfId="0" applyNumberFormat="1" applyBorder="1" applyAlignment="1">
      <alignment horizontal="left" vertical="top"/>
    </xf>
    <xf numFmtId="0" fontId="0" fillId="3" borderId="36" xfId="0" applyFill="1" applyBorder="1" applyAlignment="1">
      <alignment horizontal="left" vertical="top"/>
    </xf>
    <xf numFmtId="0" fontId="0" fillId="0" borderId="32" xfId="0" applyBorder="1" applyAlignment="1">
      <alignment horizontal="left" vertical="top"/>
    </xf>
    <xf numFmtId="0" fontId="20" fillId="3" borderId="38" xfId="0" applyFont="1" applyFill="1" applyBorder="1" applyAlignment="1">
      <alignment horizontal="left" vertical="top" wrapText="1"/>
    </xf>
    <xf numFmtId="0" fontId="19" fillId="3" borderId="38" xfId="0" applyFont="1" applyFill="1" applyBorder="1" applyAlignment="1">
      <alignment horizontal="left" vertical="top" wrapText="1"/>
    </xf>
    <xf numFmtId="0" fontId="19" fillId="0" borderId="12" xfId="0" applyFont="1" applyBorder="1" applyAlignment="1">
      <alignment horizontal="left" vertical="top" wrapText="1"/>
    </xf>
    <xf numFmtId="0" fontId="0" fillId="0" borderId="12" xfId="0" applyBorder="1" applyAlignment="1">
      <alignment horizontal="left" vertical="top"/>
    </xf>
    <xf numFmtId="0" fontId="0" fillId="0" borderId="24" xfId="0" applyBorder="1" applyAlignment="1">
      <alignment horizontal="left" vertical="top"/>
    </xf>
    <xf numFmtId="0" fontId="0" fillId="0" borderId="11" xfId="0" applyBorder="1" applyAlignment="1">
      <alignment horizontal="left" vertical="top"/>
    </xf>
    <xf numFmtId="0" fontId="0" fillId="0" borderId="3" xfId="0" applyBorder="1" applyAlignment="1">
      <alignment horizontal="left" vertical="top"/>
    </xf>
    <xf numFmtId="0" fontId="24" fillId="10" borderId="1" xfId="0" applyFont="1" applyFill="1" applyBorder="1" applyAlignment="1">
      <alignment horizontal="center" vertical="center" wrapText="1"/>
    </xf>
    <xf numFmtId="0" fontId="24" fillId="0" borderId="0" xfId="0" applyFont="1" applyFill="1" applyBorder="1" applyAlignment="1">
      <alignment vertical="top" wrapText="1"/>
    </xf>
    <xf numFmtId="0" fontId="20" fillId="0" borderId="0" xfId="0" applyFont="1" applyFill="1" applyBorder="1" applyAlignment="1">
      <alignment vertical="top"/>
    </xf>
    <xf numFmtId="0" fontId="0" fillId="0" borderId="33" xfId="0" applyBorder="1" applyAlignment="1">
      <alignment horizontal="left" vertical="top"/>
    </xf>
    <xf numFmtId="0" fontId="0" fillId="18" borderId="32" xfId="0" applyFill="1" applyBorder="1" applyAlignment="1">
      <alignment horizontal="left" vertical="top"/>
    </xf>
    <xf numFmtId="0" fontId="0" fillId="0" borderId="35" xfId="0" applyBorder="1"/>
    <xf numFmtId="0" fontId="2" fillId="25" borderId="13" xfId="0" applyFont="1" applyFill="1" applyBorder="1" applyAlignment="1">
      <alignment horizontal="center" vertical="center"/>
    </xf>
    <xf numFmtId="0" fontId="2" fillId="25" borderId="15" xfId="0" applyFont="1" applyFill="1" applyBorder="1" applyAlignment="1">
      <alignment horizontal="center" vertical="center"/>
    </xf>
    <xf numFmtId="174" fontId="2" fillId="25" borderId="30" xfId="0" applyNumberFormat="1" applyFont="1" applyFill="1" applyBorder="1" applyAlignment="1">
      <alignment horizontal="center" vertical="center"/>
    </xf>
    <xf numFmtId="0" fontId="0" fillId="0" borderId="52" xfId="0" applyBorder="1" applyAlignment="1">
      <alignment horizontal="left" vertical="top"/>
    </xf>
    <xf numFmtId="0" fontId="0" fillId="0" borderId="31" xfId="0" applyBorder="1" applyAlignment="1">
      <alignment horizontal="left" vertical="top"/>
    </xf>
    <xf numFmtId="0" fontId="0" fillId="0" borderId="35" xfId="0" applyBorder="1" applyAlignment="1">
      <alignment horizontal="left" vertical="top"/>
    </xf>
    <xf numFmtId="0" fontId="108" fillId="24" borderId="16" xfId="0" applyFont="1" applyFill="1" applyBorder="1" applyAlignment="1">
      <alignment horizontal="center" vertical="center" wrapText="1"/>
    </xf>
    <xf numFmtId="0" fontId="2" fillId="24" borderId="1" xfId="0" applyFont="1" applyFill="1" applyBorder="1" applyAlignment="1">
      <alignment horizontal="center" vertical="center"/>
    </xf>
    <xf numFmtId="0" fontId="2" fillId="10" borderId="16"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0" borderId="36" xfId="0" applyFont="1" applyFill="1" applyBorder="1" applyAlignment="1">
      <alignment horizontal="center" vertical="center" wrapText="1"/>
    </xf>
    <xf numFmtId="0" fontId="0" fillId="10" borderId="1" xfId="0" applyFill="1" applyBorder="1" applyAlignment="1">
      <alignment horizontal="center" vertical="center" wrapText="1"/>
    </xf>
    <xf numFmtId="0" fontId="2" fillId="24" borderId="1" xfId="0" applyFont="1" applyFill="1" applyBorder="1" applyAlignment="1">
      <alignment horizontal="center" vertical="center" wrapText="1"/>
    </xf>
    <xf numFmtId="0" fontId="24" fillId="0" borderId="1" xfId="0" applyFont="1" applyBorder="1" applyAlignment="1">
      <alignment vertical="top" wrapText="1"/>
    </xf>
    <xf numFmtId="0" fontId="18" fillId="0" borderId="1" xfId="0" applyFont="1" applyFill="1" applyBorder="1"/>
    <xf numFmtId="10" fontId="0" fillId="0" borderId="0" xfId="0" applyNumberFormat="1" applyFill="1" applyBorder="1"/>
    <xf numFmtId="10" fontId="0" fillId="0" borderId="0" xfId="0" applyNumberFormat="1"/>
    <xf numFmtId="0" fontId="0" fillId="0" borderId="1" xfId="0" applyBorder="1" applyAlignment="1">
      <alignment horizontal="center" wrapText="1"/>
    </xf>
    <xf numFmtId="0" fontId="6" fillId="0" borderId="0" xfId="0" applyFont="1"/>
    <xf numFmtId="0" fontId="12" fillId="0" borderId="1" xfId="0" applyFont="1" applyBorder="1"/>
    <xf numFmtId="0" fontId="12" fillId="4" borderId="1" xfId="0" applyFont="1" applyFill="1" applyBorder="1"/>
    <xf numFmtId="4" fontId="0" fillId="4" borderId="1" xfId="1" applyNumberFormat="1" applyFont="1" applyFill="1" applyBorder="1"/>
    <xf numFmtId="4" fontId="0" fillId="4" borderId="1" xfId="0" applyNumberFormat="1" applyFill="1" applyBorder="1"/>
    <xf numFmtId="0" fontId="2" fillId="28" borderId="1" xfId="0" applyFont="1" applyFill="1" applyBorder="1" applyAlignment="1">
      <alignment wrapText="1"/>
    </xf>
    <xf numFmtId="187" fontId="0" fillId="28" borderId="1" xfId="0" applyNumberFormat="1" applyFill="1" applyBorder="1"/>
    <xf numFmtId="4" fontId="0" fillId="28" borderId="1" xfId="0" applyNumberFormat="1" applyFill="1" applyBorder="1"/>
    <xf numFmtId="0" fontId="0" fillId="11" borderId="1" xfId="0" applyFill="1" applyBorder="1" applyAlignment="1">
      <alignment wrapText="1"/>
    </xf>
    <xf numFmtId="187" fontId="0" fillId="11" borderId="1" xfId="0" applyNumberFormat="1" applyFill="1" applyBorder="1"/>
    <xf numFmtId="0" fontId="12" fillId="0" borderId="3" xfId="0" applyFont="1" applyBorder="1"/>
    <xf numFmtId="4" fontId="0" fillId="0" borderId="3" xfId="1" applyNumberFormat="1" applyFont="1" applyFill="1" applyBorder="1"/>
    <xf numFmtId="6" fontId="0" fillId="0" borderId="16" xfId="0" applyNumberFormat="1" applyBorder="1"/>
    <xf numFmtId="9" fontId="0" fillId="4" borderId="17" xfId="3" applyFont="1" applyFill="1" applyBorder="1"/>
    <xf numFmtId="9" fontId="0" fillId="28" borderId="17" xfId="3" applyFont="1" applyFill="1" applyBorder="1"/>
    <xf numFmtId="0" fontId="0" fillId="11" borderId="16" xfId="0" applyFill="1" applyBorder="1" applyAlignment="1">
      <alignment wrapText="1"/>
    </xf>
    <xf numFmtId="9" fontId="0" fillId="11" borderId="17" xfId="3" applyFont="1" applyFill="1" applyBorder="1"/>
    <xf numFmtId="0" fontId="0" fillId="0" borderId="26" xfId="0" applyFill="1" applyBorder="1"/>
    <xf numFmtId="0" fontId="0" fillId="0" borderId="177" xfId="0" applyFill="1" applyBorder="1" applyAlignment="1">
      <alignment wrapText="1"/>
    </xf>
    <xf numFmtId="0" fontId="0" fillId="0" borderId="32" xfId="0" applyFill="1" applyBorder="1"/>
    <xf numFmtId="4" fontId="0" fillId="0" borderId="32" xfId="1" applyNumberFormat="1" applyFont="1" applyFill="1" applyBorder="1"/>
    <xf numFmtId="0" fontId="0" fillId="0" borderId="34" xfId="0" applyFill="1" applyBorder="1" applyAlignment="1">
      <alignment wrapText="1"/>
    </xf>
    <xf numFmtId="9" fontId="0" fillId="0" borderId="35" xfId="3" applyFont="1" applyBorder="1"/>
    <xf numFmtId="0" fontId="0" fillId="28" borderId="2" xfId="0" applyFill="1" applyBorder="1"/>
    <xf numFmtId="0" fontId="2" fillId="28" borderId="3" xfId="0" applyFont="1" applyFill="1" applyBorder="1" applyAlignment="1">
      <alignment wrapText="1"/>
    </xf>
    <xf numFmtId="187" fontId="0" fillId="28" borderId="3" xfId="0" applyNumberFormat="1" applyFill="1" applyBorder="1"/>
    <xf numFmtId="9" fontId="0" fillId="28" borderId="4" xfId="3" applyFont="1" applyFill="1" applyBorder="1"/>
    <xf numFmtId="10" fontId="0" fillId="0" borderId="24" xfId="0" applyNumberFormat="1" applyBorder="1"/>
    <xf numFmtId="10" fontId="0" fillId="0" borderId="24" xfId="0" applyNumberFormat="1" applyFill="1" applyBorder="1"/>
    <xf numFmtId="4" fontId="0" fillId="0" borderId="3" xfId="0" applyNumberFormat="1" applyBorder="1"/>
    <xf numFmtId="187" fontId="0" fillId="11" borderId="1" xfId="0" applyNumberFormat="1" applyFont="1" applyFill="1" applyBorder="1" applyAlignment="1"/>
    <xf numFmtId="176" fontId="0" fillId="11" borderId="1" xfId="0" applyNumberFormat="1" applyFill="1" applyBorder="1"/>
    <xf numFmtId="3" fontId="0" fillId="0" borderId="9" xfId="0" applyNumberFormat="1" applyBorder="1"/>
    <xf numFmtId="3" fontId="0" fillId="0" borderId="12" xfId="0" applyNumberFormat="1" applyBorder="1"/>
    <xf numFmtId="3" fontId="0" fillId="16" borderId="27" xfId="0" applyNumberFormat="1" applyFill="1" applyBorder="1"/>
    <xf numFmtId="0" fontId="58" fillId="0" borderId="0" xfId="0" applyFont="1" applyFill="1" applyBorder="1"/>
    <xf numFmtId="43" fontId="58" fillId="0" borderId="0" xfId="0" applyNumberFormat="1" applyFont="1" applyFill="1" applyBorder="1"/>
    <xf numFmtId="176" fontId="59" fillId="15" borderId="16" xfId="0" applyNumberFormat="1" applyFont="1" applyFill="1" applyBorder="1"/>
    <xf numFmtId="9" fontId="0" fillId="0" borderId="50" xfId="3" applyFont="1" applyBorder="1"/>
    <xf numFmtId="9" fontId="0" fillId="0" borderId="33" xfId="3" applyFont="1" applyBorder="1"/>
    <xf numFmtId="9" fontId="59" fillId="15" borderId="39" xfId="3" applyFont="1" applyFill="1" applyBorder="1"/>
    <xf numFmtId="9" fontId="59" fillId="15" borderId="36" xfId="3" applyFont="1" applyFill="1" applyBorder="1"/>
    <xf numFmtId="0" fontId="59" fillId="15" borderId="12" xfId="0" applyFont="1" applyFill="1" applyBorder="1"/>
    <xf numFmtId="0" fontId="32" fillId="45" borderId="28" xfId="0" applyFont="1" applyFill="1" applyBorder="1"/>
    <xf numFmtId="9" fontId="32" fillId="45" borderId="8" xfId="3" applyFont="1" applyFill="1" applyBorder="1"/>
    <xf numFmtId="10" fontId="0" fillId="15" borderId="4" xfId="0" applyNumberFormat="1" applyFill="1" applyBorder="1"/>
    <xf numFmtId="10" fontId="0" fillId="0" borderId="42" xfId="0" applyNumberFormat="1" applyBorder="1"/>
    <xf numFmtId="4" fontId="0" fillId="0" borderId="33" xfId="0" applyNumberFormat="1" applyBorder="1"/>
    <xf numFmtId="0" fontId="77" fillId="35" borderId="0" xfId="0" applyFont="1" applyFill="1" applyBorder="1" applyAlignment="1">
      <alignment wrapText="1"/>
    </xf>
    <xf numFmtId="4" fontId="80" fillId="0" borderId="2" xfId="0" applyNumberFormat="1" applyFont="1" applyBorder="1"/>
    <xf numFmtId="0" fontId="0" fillId="24" borderId="2" xfId="0" applyFill="1" applyBorder="1" applyAlignment="1">
      <alignment horizontal="center"/>
    </xf>
    <xf numFmtId="0" fontId="0" fillId="24" borderId="3" xfId="0" applyFill="1" applyBorder="1" applyAlignment="1">
      <alignment horizontal="center"/>
    </xf>
    <xf numFmtId="0" fontId="0" fillId="24" borderId="3" xfId="0" applyFill="1" applyBorder="1"/>
    <xf numFmtId="0" fontId="18" fillId="24" borderId="17" xfId="0" applyFont="1" applyFill="1" applyBorder="1"/>
    <xf numFmtId="183" fontId="20" fillId="7" borderId="14" xfId="0" applyNumberFormat="1" applyFont="1" applyFill="1" applyBorder="1"/>
    <xf numFmtId="0" fontId="19" fillId="24" borderId="166" xfId="0" applyFont="1" applyFill="1" applyBorder="1" applyAlignment="1">
      <alignment wrapText="1"/>
    </xf>
    <xf numFmtId="0" fontId="19" fillId="0" borderId="167" xfId="0" applyFont="1" applyBorder="1" applyAlignment="1">
      <alignment wrapText="1"/>
    </xf>
    <xf numFmtId="0" fontId="19" fillId="0" borderId="176" xfId="0" applyFont="1" applyBorder="1" applyAlignment="1">
      <alignment wrapText="1"/>
    </xf>
    <xf numFmtId="0" fontId="74" fillId="35" borderId="185" xfId="0" applyFont="1" applyFill="1" applyBorder="1" applyAlignment="1">
      <alignment wrapText="1"/>
    </xf>
    <xf numFmtId="2" fontId="63" fillId="35" borderId="185" xfId="0" applyNumberFormat="1" applyFont="1" applyFill="1" applyBorder="1" applyAlignment="1">
      <alignment horizontal="left" vertical="top"/>
    </xf>
    <xf numFmtId="184" fontId="63" fillId="35" borderId="185" xfId="0" applyNumberFormat="1" applyFont="1" applyFill="1" applyBorder="1" applyAlignment="1">
      <alignment horizontal="center" vertical="top" wrapText="1"/>
    </xf>
    <xf numFmtId="4" fontId="19" fillId="0" borderId="16" xfId="0" applyNumberFormat="1" applyFont="1" applyBorder="1" applyAlignment="1">
      <alignment horizontal="center" vertical="center"/>
    </xf>
    <xf numFmtId="182" fontId="19" fillId="2" borderId="16" xfId="0" applyNumberFormat="1" applyFont="1" applyFill="1" applyBorder="1" applyAlignment="1">
      <alignment horizontal="center" vertical="center"/>
    </xf>
    <xf numFmtId="4" fontId="19" fillId="0" borderId="16" xfId="0" applyNumberFormat="1" applyFont="1" applyFill="1" applyBorder="1" applyAlignment="1">
      <alignment horizontal="center" vertical="center"/>
    </xf>
    <xf numFmtId="11" fontId="19" fillId="2" borderId="16" xfId="0" applyNumberFormat="1" applyFont="1" applyFill="1" applyBorder="1" applyAlignment="1">
      <alignment horizontal="center" vertical="center"/>
    </xf>
    <xf numFmtId="0" fontId="19" fillId="21" borderId="16" xfId="0" applyFont="1" applyFill="1" applyBorder="1" applyAlignment="1">
      <alignment vertical="center"/>
    </xf>
    <xf numFmtId="11" fontId="19" fillId="38" borderId="16" xfId="0" applyNumberFormat="1" applyFont="1" applyFill="1" applyBorder="1" applyAlignment="1">
      <alignment vertical="center"/>
    </xf>
    <xf numFmtId="4" fontId="19" fillId="0" borderId="34" xfId="0" applyNumberFormat="1" applyFont="1" applyBorder="1" applyAlignment="1">
      <alignment horizontal="center" vertical="center"/>
    </xf>
    <xf numFmtId="0" fontId="18" fillId="0" borderId="18" xfId="0" applyFont="1" applyBorder="1" applyAlignment="1">
      <alignment horizontal="center"/>
    </xf>
    <xf numFmtId="0" fontId="18" fillId="0" borderId="20" xfId="0" applyFont="1" applyBorder="1"/>
    <xf numFmtId="43" fontId="0" fillId="0" borderId="1" xfId="3" applyNumberFormat="1" applyFont="1" applyBorder="1"/>
    <xf numFmtId="4" fontId="0" fillId="0" borderId="1" xfId="3" applyNumberFormat="1" applyFont="1" applyBorder="1"/>
    <xf numFmtId="43" fontId="0" fillId="0" borderId="24" xfId="3" applyNumberFormat="1" applyFont="1" applyBorder="1"/>
    <xf numFmtId="10" fontId="0" fillId="0" borderId="17" xfId="0" applyNumberFormat="1" applyBorder="1"/>
    <xf numFmtId="10" fontId="0" fillId="0" borderId="35" xfId="0" applyNumberFormat="1" applyFont="1" applyBorder="1"/>
    <xf numFmtId="0" fontId="18" fillId="0" borderId="3" xfId="0" applyFont="1" applyFill="1" applyBorder="1"/>
    <xf numFmtId="0" fontId="0" fillId="0" borderId="13" xfId="0" applyFont="1" applyBorder="1" applyAlignment="1">
      <alignment vertical="top"/>
    </xf>
    <xf numFmtId="0" fontId="0" fillId="0" borderId="14" xfId="0" applyFont="1" applyBorder="1" applyAlignment="1">
      <alignment vertical="top"/>
    </xf>
    <xf numFmtId="0" fontId="0" fillId="0" borderId="15" xfId="0" applyFont="1" applyBorder="1" applyAlignment="1">
      <alignment vertical="top"/>
    </xf>
    <xf numFmtId="11" fontId="19" fillId="0" borderId="7" xfId="0" applyNumberFormat="1" applyFont="1" applyBorder="1" applyAlignment="1">
      <alignment horizontal="center"/>
    </xf>
    <xf numFmtId="0" fontId="0" fillId="8" borderId="21" xfId="0" applyFill="1" applyBorder="1"/>
    <xf numFmtId="0" fontId="20" fillId="8" borderId="23" xfId="0" applyFont="1" applyFill="1" applyBorder="1"/>
    <xf numFmtId="43" fontId="0" fillId="0" borderId="2" xfId="0" applyNumberFormat="1" applyBorder="1"/>
    <xf numFmtId="43" fontId="0" fillId="0" borderId="16" xfId="0" applyNumberFormat="1" applyBorder="1"/>
    <xf numFmtId="175" fontId="0" fillId="0" borderId="4" xfId="3" applyNumberFormat="1" applyFont="1" applyBorder="1"/>
    <xf numFmtId="175" fontId="0" fillId="0" borderId="25" xfId="3" applyNumberFormat="1" applyFont="1" applyBorder="1"/>
    <xf numFmtId="10" fontId="0" fillId="0" borderId="4" xfId="0" applyNumberFormat="1" applyBorder="1"/>
    <xf numFmtId="10" fontId="0" fillId="0" borderId="1" xfId="0" applyNumberFormat="1" applyFill="1" applyBorder="1"/>
    <xf numFmtId="0" fontId="0" fillId="0" borderId="1" xfId="0" applyFill="1" applyBorder="1" applyAlignment="1"/>
    <xf numFmtId="0" fontId="15" fillId="0" borderId="2" xfId="0" applyFont="1" applyFill="1" applyBorder="1"/>
    <xf numFmtId="0" fontId="15" fillId="0" borderId="3" xfId="0" applyFont="1" applyFill="1" applyBorder="1"/>
    <xf numFmtId="4" fontId="15" fillId="0" borderId="3" xfId="0" applyNumberFormat="1" applyFont="1" applyFill="1" applyBorder="1"/>
    <xf numFmtId="0" fontId="18" fillId="0" borderId="16" xfId="0" applyFont="1" applyFill="1" applyBorder="1"/>
    <xf numFmtId="10" fontId="0" fillId="0" borderId="17" xfId="0" applyNumberFormat="1" applyFill="1" applyBorder="1"/>
    <xf numFmtId="0" fontId="0" fillId="0" borderId="16" xfId="0" applyFill="1" applyBorder="1" applyAlignment="1"/>
    <xf numFmtId="0" fontId="0" fillId="0" borderId="26" xfId="0" applyBorder="1" applyAlignment="1">
      <alignment horizontal="center"/>
    </xf>
    <xf numFmtId="0" fontId="0" fillId="0" borderId="24" xfId="0" applyBorder="1" applyAlignment="1">
      <alignment horizontal="center"/>
    </xf>
    <xf numFmtId="10" fontId="0" fillId="0" borderId="25" xfId="0" applyNumberFormat="1" applyBorder="1"/>
    <xf numFmtId="4" fontId="18" fillId="0" borderId="0" xfId="0" applyNumberFormat="1" applyFont="1" applyFill="1" applyBorder="1" applyAlignment="1">
      <alignment horizontal="center"/>
    </xf>
    <xf numFmtId="11" fontId="18" fillId="0" borderId="0" xfId="0" applyNumberFormat="1" applyFont="1" applyBorder="1" applyAlignment="1">
      <alignment horizontal="center"/>
    </xf>
    <xf numFmtId="188" fontId="18" fillId="0" borderId="0" xfId="0" applyNumberFormat="1" applyFont="1" applyBorder="1" applyAlignment="1">
      <alignment horizontal="center"/>
    </xf>
    <xf numFmtId="189" fontId="18" fillId="0" borderId="0" xfId="0" applyNumberFormat="1" applyFont="1" applyFill="1" applyBorder="1" applyAlignment="1"/>
    <xf numFmtId="0" fontId="37" fillId="0" borderId="30" xfId="0" applyFont="1" applyBorder="1" applyAlignment="1">
      <alignment wrapText="1"/>
    </xf>
    <xf numFmtId="4" fontId="18" fillId="0" borderId="0" xfId="0" applyNumberFormat="1" applyFont="1" applyFill="1" applyBorder="1"/>
    <xf numFmtId="9" fontId="15" fillId="0" borderId="11" xfId="1" applyNumberFormat="1" applyFont="1" applyBorder="1"/>
    <xf numFmtId="4" fontId="2" fillId="0" borderId="169" xfId="3" applyNumberFormat="1" applyFont="1" applyBorder="1"/>
    <xf numFmtId="3" fontId="45" fillId="0" borderId="1" xfId="3" applyNumberFormat="1" applyFont="1" applyFill="1" applyBorder="1"/>
    <xf numFmtId="3" fontId="35" fillId="0" borderId="1" xfId="3" applyNumberFormat="1" applyFont="1" applyFill="1" applyBorder="1"/>
    <xf numFmtId="3" fontId="35" fillId="4" borderId="1" xfId="3" applyNumberFormat="1" applyFont="1" applyFill="1" applyBorder="1"/>
    <xf numFmtId="3" fontId="35" fillId="28" borderId="1" xfId="3" applyNumberFormat="1" applyFont="1" applyFill="1" applyBorder="1"/>
    <xf numFmtId="4" fontId="35" fillId="0" borderId="1" xfId="3" applyNumberFormat="1" applyFont="1" applyFill="1" applyBorder="1"/>
    <xf numFmtId="4" fontId="35" fillId="32" borderId="1" xfId="3" applyNumberFormat="1" applyFont="1" applyFill="1" applyBorder="1"/>
    <xf numFmtId="9" fontId="35" fillId="32" borderId="24" xfId="3" applyNumberFormat="1" applyFont="1" applyFill="1" applyBorder="1"/>
    <xf numFmtId="3" fontId="35" fillId="0" borderId="1" xfId="3" applyNumberFormat="1" applyFont="1" applyBorder="1"/>
    <xf numFmtId="4" fontId="35" fillId="0" borderId="1" xfId="3" applyNumberFormat="1" applyFont="1" applyBorder="1"/>
    <xf numFmtId="3" fontId="35" fillId="0" borderId="1" xfId="0" applyNumberFormat="1" applyFont="1" applyBorder="1"/>
    <xf numFmtId="2" fontId="35" fillId="0" borderId="1" xfId="3" applyNumberFormat="1" applyFont="1" applyFill="1" applyBorder="1"/>
    <xf numFmtId="2" fontId="35" fillId="0" borderId="1" xfId="3" applyNumberFormat="1" applyFont="1" applyBorder="1"/>
    <xf numFmtId="2" fontId="35" fillId="32" borderId="1" xfId="3" applyNumberFormat="1" applyFont="1" applyFill="1" applyBorder="1"/>
    <xf numFmtId="4" fontId="15" fillId="0" borderId="11" xfId="1" applyNumberFormat="1" applyFont="1" applyBorder="1"/>
    <xf numFmtId="4" fontId="2" fillId="0" borderId="11" xfId="3" applyNumberFormat="1" applyFont="1" applyBorder="1"/>
    <xf numFmtId="4" fontId="2" fillId="0" borderId="11" xfId="0" applyNumberFormat="1" applyFont="1" applyBorder="1"/>
    <xf numFmtId="0" fontId="2" fillId="0" borderId="14" xfId="0" applyFont="1" applyFill="1" applyBorder="1" applyAlignment="1"/>
    <xf numFmtId="0" fontId="2" fillId="0" borderId="15" xfId="0" applyFont="1" applyFill="1" applyBorder="1" applyAlignment="1"/>
    <xf numFmtId="0" fontId="2" fillId="0" borderId="13" xfId="0" applyFont="1" applyFill="1" applyBorder="1" applyAlignment="1"/>
    <xf numFmtId="10" fontId="18" fillId="0" borderId="36" xfId="0" applyNumberFormat="1" applyFont="1" applyBorder="1"/>
    <xf numFmtId="10" fontId="18" fillId="4" borderId="36" xfId="0" applyNumberFormat="1" applyFont="1" applyFill="1" applyBorder="1"/>
    <xf numFmtId="10" fontId="18" fillId="28" borderId="36" xfId="0" applyNumberFormat="1" applyFont="1" applyFill="1" applyBorder="1"/>
    <xf numFmtId="9" fontId="83" fillId="32" borderId="52" xfId="3" applyFont="1" applyFill="1" applyBorder="1"/>
    <xf numFmtId="165" fontId="15" fillId="0" borderId="5" xfId="1" applyNumberFormat="1" applyFont="1" applyFill="1" applyBorder="1"/>
    <xf numFmtId="4" fontId="18" fillId="0" borderId="34" xfId="0" applyNumberFormat="1" applyFont="1" applyFill="1" applyBorder="1"/>
    <xf numFmtId="4" fontId="18" fillId="4" borderId="16" xfId="0" applyNumberFormat="1" applyFont="1" applyFill="1" applyBorder="1"/>
    <xf numFmtId="4" fontId="18" fillId="28" borderId="16" xfId="0" applyNumberFormat="1" applyFont="1" applyFill="1" applyBorder="1"/>
    <xf numFmtId="0" fontId="24" fillId="21" borderId="0" xfId="0" applyFont="1" applyFill="1" applyBorder="1"/>
    <xf numFmtId="0" fontId="33" fillId="21" borderId="36" xfId="0" applyFont="1" applyFill="1" applyBorder="1"/>
    <xf numFmtId="4" fontId="18" fillId="0" borderId="39" xfId="0" applyNumberFormat="1" applyFont="1" applyFill="1" applyBorder="1"/>
    <xf numFmtId="165" fontId="26" fillId="0" borderId="36" xfId="1" applyNumberFormat="1" applyFont="1" applyFill="1" applyBorder="1" applyAlignment="1" applyProtection="1">
      <alignment vertical="center"/>
    </xf>
    <xf numFmtId="3" fontId="18" fillId="0" borderId="36" xfId="0" applyNumberFormat="1" applyFont="1" applyFill="1" applyBorder="1"/>
    <xf numFmtId="165" fontId="18" fillId="0" borderId="36" xfId="1" applyNumberFormat="1" applyFont="1" applyFill="1" applyBorder="1"/>
    <xf numFmtId="3" fontId="35" fillId="0" borderId="36" xfId="0" applyNumberFormat="1" applyFont="1" applyFill="1" applyBorder="1"/>
    <xf numFmtId="165" fontId="35" fillId="4" borderId="36" xfId="1" applyNumberFormat="1" applyFont="1" applyFill="1" applyBorder="1"/>
    <xf numFmtId="43" fontId="35" fillId="28" borderId="36" xfId="1" applyFont="1" applyFill="1" applyBorder="1"/>
    <xf numFmtId="43" fontId="35" fillId="0" borderId="36" xfId="1" applyFont="1" applyFill="1" applyBorder="1"/>
    <xf numFmtId="43" fontId="35" fillId="32" borderId="36" xfId="1" applyFont="1" applyFill="1" applyBorder="1"/>
    <xf numFmtId="175" fontId="35" fillId="32" borderId="52" xfId="3" applyNumberFormat="1" applyFont="1" applyFill="1" applyBorder="1"/>
    <xf numFmtId="0" fontId="45" fillId="21" borderId="34" xfId="0" applyFont="1" applyFill="1" applyBorder="1" applyAlignment="1">
      <alignment wrapText="1"/>
    </xf>
    <xf numFmtId="165" fontId="2" fillId="0" borderId="1" xfId="0" applyNumberFormat="1" applyFont="1" applyFill="1" applyBorder="1"/>
    <xf numFmtId="4" fontId="2" fillId="0" borderId="1" xfId="0" applyNumberFormat="1" applyFont="1" applyFill="1" applyBorder="1"/>
    <xf numFmtId="4" fontId="18" fillId="0" borderId="168" xfId="3" applyNumberFormat="1" applyFont="1" applyFill="1" applyBorder="1"/>
    <xf numFmtId="4" fontId="18" fillId="4" borderId="168" xfId="3" applyNumberFormat="1" applyFont="1" applyFill="1" applyBorder="1"/>
    <xf numFmtId="4" fontId="18" fillId="28" borderId="168" xfId="3" applyNumberFormat="1" applyFont="1" applyFill="1" applyBorder="1"/>
    <xf numFmtId="4" fontId="18" fillId="32" borderId="168" xfId="3" applyNumberFormat="1" applyFont="1" applyFill="1" applyBorder="1"/>
    <xf numFmtId="10" fontId="40" fillId="32" borderId="48" xfId="3" applyNumberFormat="1" applyFont="1" applyFill="1" applyBorder="1"/>
    <xf numFmtId="0" fontId="11" fillId="4" borderId="36" xfId="0" applyFont="1" applyFill="1" applyBorder="1"/>
    <xf numFmtId="44" fontId="0" fillId="10" borderId="36" xfId="2" applyFont="1" applyFill="1" applyBorder="1"/>
    <xf numFmtId="43" fontId="0" fillId="0" borderId="35" xfId="1" applyFont="1" applyFill="1" applyBorder="1"/>
    <xf numFmtId="43" fontId="11" fillId="19" borderId="7" xfId="1" applyFont="1" applyFill="1" applyBorder="1"/>
    <xf numFmtId="43" fontId="11" fillId="19" borderId="8" xfId="1" applyFont="1" applyFill="1" applyBorder="1"/>
    <xf numFmtId="0" fontId="0" fillId="19" borderId="1" xfId="0" applyFill="1" applyBorder="1"/>
    <xf numFmtId="43" fontId="0" fillId="0" borderId="17" xfId="0" applyNumberFormat="1" applyBorder="1" applyAlignment="1">
      <alignment horizontal="center"/>
    </xf>
    <xf numFmtId="0" fontId="0" fillId="19" borderId="16" xfId="0" applyFill="1" applyBorder="1"/>
    <xf numFmtId="43" fontId="0" fillId="0" borderId="16" xfId="0" applyNumberFormat="1" applyFill="1" applyBorder="1"/>
    <xf numFmtId="10" fontId="0" fillId="4" borderId="17" xfId="0" applyNumberFormat="1" applyFill="1" applyBorder="1"/>
    <xf numFmtId="0" fontId="23" fillId="0" borderId="0" xfId="0" applyFont="1" applyFill="1" applyBorder="1"/>
    <xf numFmtId="43" fontId="86" fillId="0" borderId="0" xfId="0" applyNumberFormat="1" applyFont="1" applyFill="1" applyBorder="1"/>
    <xf numFmtId="9" fontId="86" fillId="0" borderId="0" xfId="3" applyFont="1" applyFill="1" applyBorder="1"/>
    <xf numFmtId="0" fontId="23" fillId="0" borderId="0" xfId="0" applyFont="1" applyFill="1" applyBorder="1" applyAlignment="1"/>
    <xf numFmtId="0" fontId="86" fillId="0" borderId="0" xfId="0" applyFont="1" applyFill="1" applyBorder="1"/>
    <xf numFmtId="0" fontId="59" fillId="35" borderId="40" xfId="0" applyFont="1" applyFill="1" applyBorder="1" applyAlignment="1"/>
    <xf numFmtId="0" fontId="0" fillId="39" borderId="54" xfId="0" applyFill="1" applyBorder="1" applyAlignment="1">
      <alignment vertical="center"/>
    </xf>
    <xf numFmtId="0" fontId="0" fillId="39" borderId="31" xfId="0" applyFill="1" applyBorder="1" applyAlignment="1">
      <alignment vertical="center"/>
    </xf>
    <xf numFmtId="0" fontId="0" fillId="33" borderId="33" xfId="0" applyFill="1" applyBorder="1" applyAlignment="1">
      <alignment vertical="center"/>
    </xf>
    <xf numFmtId="0" fontId="0" fillId="33" borderId="39" xfId="0" applyFill="1" applyBorder="1" applyAlignment="1">
      <alignment vertical="center"/>
    </xf>
    <xf numFmtId="0" fontId="0" fillId="33" borderId="43" xfId="0" applyFill="1" applyBorder="1" applyAlignment="1">
      <alignment vertical="center"/>
    </xf>
    <xf numFmtId="0" fontId="0" fillId="25" borderId="5" xfId="0" applyFill="1" applyBorder="1" applyAlignment="1"/>
    <xf numFmtId="0" fontId="0" fillId="25" borderId="9" xfId="0" applyFill="1" applyBorder="1" applyAlignment="1"/>
    <xf numFmtId="0" fontId="0" fillId="39" borderId="21" xfId="0" applyFill="1" applyBorder="1" applyAlignment="1">
      <alignment horizontal="center" vertical="center"/>
    </xf>
    <xf numFmtId="0" fontId="12" fillId="42" borderId="166" xfId="0" applyFont="1" applyFill="1" applyBorder="1" applyAlignment="1">
      <alignment horizontal="center" vertical="center"/>
    </xf>
    <xf numFmtId="0" fontId="20" fillId="42" borderId="22" xfId="0" applyFont="1" applyFill="1" applyBorder="1" applyAlignment="1">
      <alignment horizontal="center" vertical="center"/>
    </xf>
    <xf numFmtId="0" fontId="20" fillId="42" borderId="22" xfId="0" applyFont="1" applyFill="1" applyBorder="1" applyAlignment="1">
      <alignment horizontal="center" vertical="center" wrapText="1"/>
    </xf>
    <xf numFmtId="0" fontId="20" fillId="42" borderId="23" xfId="0" applyFont="1" applyFill="1" applyBorder="1" applyAlignment="1">
      <alignment horizontal="center" vertical="center"/>
    </xf>
    <xf numFmtId="0" fontId="18" fillId="12" borderId="1" xfId="0" applyFont="1" applyFill="1" applyBorder="1" applyAlignment="1">
      <alignment wrapText="1"/>
    </xf>
    <xf numFmtId="0" fontId="34" fillId="14" borderId="1" xfId="0" applyFont="1" applyFill="1" applyBorder="1" applyAlignment="1">
      <alignment wrapText="1"/>
    </xf>
    <xf numFmtId="0" fontId="18" fillId="14" borderId="1" xfId="0" applyFont="1" applyFill="1" applyBorder="1"/>
    <xf numFmtId="0" fontId="18" fillId="14" borderId="36" xfId="0" applyFont="1" applyFill="1" applyBorder="1"/>
    <xf numFmtId="0" fontId="20" fillId="5" borderId="0" xfId="0" applyFont="1" applyFill="1" applyBorder="1"/>
    <xf numFmtId="0" fontId="70" fillId="0" borderId="0" xfId="0" applyFont="1" applyFill="1" applyBorder="1"/>
    <xf numFmtId="0" fontId="23" fillId="5" borderId="0" xfId="0" applyFont="1" applyFill="1" applyBorder="1" applyAlignment="1">
      <alignment wrapText="1"/>
    </xf>
    <xf numFmtId="0" fontId="23" fillId="0" borderId="0" xfId="0" applyFont="1" applyFill="1" applyBorder="1" applyAlignment="1">
      <alignment wrapText="1"/>
    </xf>
    <xf numFmtId="0" fontId="23" fillId="5" borderId="0" xfId="0" applyFont="1" applyFill="1" applyBorder="1"/>
    <xf numFmtId="0" fontId="24" fillId="0" borderId="7" xfId="0" applyFont="1" applyBorder="1"/>
    <xf numFmtId="0" fontId="0" fillId="0" borderId="0" xfId="0" applyFont="1" applyBorder="1"/>
    <xf numFmtId="0" fontId="0" fillId="0" borderId="8" xfId="0" applyFont="1" applyBorder="1"/>
    <xf numFmtId="0" fontId="87" fillId="0" borderId="7" xfId="0" applyFont="1" applyBorder="1"/>
    <xf numFmtId="0" fontId="24" fillId="0" borderId="7" xfId="0" applyFont="1" applyFill="1" applyBorder="1"/>
    <xf numFmtId="2" fontId="18" fillId="0" borderId="0" xfId="0" applyNumberFormat="1" applyFont="1" applyFill="1" applyBorder="1"/>
    <xf numFmtId="9" fontId="40" fillId="0" borderId="0" xfId="3" applyFont="1" applyFill="1" applyBorder="1"/>
    <xf numFmtId="4" fontId="67" fillId="0" borderId="0" xfId="0" applyNumberFormat="1" applyFont="1" applyFill="1" applyBorder="1"/>
    <xf numFmtId="9" fontId="2" fillId="0" borderId="0" xfId="3" applyFont="1" applyFill="1" applyBorder="1"/>
    <xf numFmtId="4" fontId="24" fillId="0" borderId="0" xfId="0" applyNumberFormat="1" applyFont="1" applyFill="1" applyBorder="1"/>
    <xf numFmtId="4" fontId="68" fillId="0" borderId="0" xfId="0" applyNumberFormat="1" applyFont="1" applyFill="1" applyBorder="1"/>
    <xf numFmtId="0" fontId="26" fillId="0" borderId="0" xfId="0" applyFont="1" applyFill="1" applyBorder="1" applyAlignment="1" applyProtection="1">
      <alignment vertical="center"/>
    </xf>
    <xf numFmtId="3" fontId="68" fillId="0" borderId="0" xfId="0" applyNumberFormat="1" applyFont="1" applyFill="1" applyBorder="1"/>
    <xf numFmtId="0" fontId="61" fillId="0" borderId="0" xfId="0" applyFont="1" applyFill="1" applyBorder="1"/>
    <xf numFmtId="0" fontId="61" fillId="0" borderId="0" xfId="0" applyFont="1" applyFill="1" applyBorder="1" applyAlignment="1">
      <alignment vertical="top" wrapText="1"/>
    </xf>
    <xf numFmtId="0" fontId="61" fillId="0" borderId="0" xfId="0" applyFont="1" applyFill="1" applyBorder="1" applyAlignment="1">
      <alignment wrapText="1"/>
    </xf>
    <xf numFmtId="3" fontId="20" fillId="0" borderId="0" xfId="0" applyNumberFormat="1" applyFont="1" applyFill="1" applyBorder="1"/>
    <xf numFmtId="0" fontId="62" fillId="0" borderId="0" xfId="0" applyFont="1" applyFill="1" applyBorder="1"/>
    <xf numFmtId="165" fontId="35" fillId="0" borderId="0" xfId="1" applyNumberFormat="1" applyFont="1" applyFill="1" applyBorder="1"/>
    <xf numFmtId="43" fontId="45" fillId="0" borderId="0" xfId="1" applyFont="1" applyFill="1" applyBorder="1"/>
    <xf numFmtId="0" fontId="59" fillId="0" borderId="0" xfId="0" applyFont="1" applyFill="1" applyBorder="1" applyAlignment="1"/>
    <xf numFmtId="0" fontId="34" fillId="0" borderId="0" xfId="0" applyFont="1" applyFill="1" applyBorder="1" applyAlignment="1">
      <alignment wrapText="1"/>
    </xf>
    <xf numFmtId="0" fontId="25" fillId="0" borderId="0" xfId="0" applyFont="1" applyFill="1" applyBorder="1" applyAlignment="1">
      <alignment vertical="top" wrapText="1"/>
    </xf>
    <xf numFmtId="0" fontId="49" fillId="0" borderId="0" xfId="0" applyFont="1" applyFill="1" applyBorder="1" applyAlignment="1">
      <alignment vertical="center" wrapText="1"/>
    </xf>
    <xf numFmtId="3" fontId="0" fillId="0" borderId="0" xfId="0" applyNumberFormat="1" applyFont="1" applyFill="1" applyBorder="1" applyAlignment="1"/>
    <xf numFmtId="0" fontId="49" fillId="0" borderId="0" xfId="0" applyFont="1" applyFill="1" applyBorder="1" applyAlignment="1">
      <alignment horizontal="justify" vertical="center" wrapText="1"/>
    </xf>
    <xf numFmtId="0" fontId="25" fillId="0" borderId="0" xfId="0" applyFont="1" applyFill="1" applyBorder="1" applyAlignment="1">
      <alignment horizontal="justify" vertical="center" wrapText="1"/>
    </xf>
    <xf numFmtId="3" fontId="34" fillId="0" borderId="0" xfId="0" applyNumberFormat="1" applyFont="1" applyFill="1" applyBorder="1" applyAlignment="1">
      <alignment wrapText="1"/>
    </xf>
    <xf numFmtId="3" fontId="18" fillId="0" borderId="0" xfId="0" applyNumberFormat="1" applyFont="1" applyFill="1" applyBorder="1" applyAlignment="1">
      <alignment vertical="top"/>
    </xf>
    <xf numFmtId="3" fontId="18" fillId="0" borderId="0" xfId="3" applyNumberFormat="1" applyFont="1" applyFill="1" applyBorder="1"/>
    <xf numFmtId="3" fontId="25" fillId="0" borderId="0" xfId="0" applyNumberFormat="1" applyFont="1" applyFill="1" applyBorder="1" applyAlignment="1">
      <alignment horizontal="justify" vertical="center" wrapText="1"/>
    </xf>
    <xf numFmtId="3" fontId="34" fillId="0" borderId="0" xfId="0" applyNumberFormat="1" applyFont="1" applyFill="1" applyBorder="1"/>
    <xf numFmtId="3" fontId="25" fillId="0" borderId="0" xfId="0" applyNumberFormat="1" applyFont="1" applyFill="1" applyBorder="1" applyAlignment="1">
      <alignment horizontal="center" wrapText="1"/>
    </xf>
    <xf numFmtId="0" fontId="12" fillId="0" borderId="0" xfId="0" applyFont="1" applyFill="1" applyBorder="1" applyAlignment="1">
      <alignment horizontal="center" vertical="center"/>
    </xf>
    <xf numFmtId="0" fontId="20" fillId="0" borderId="0" xfId="0" applyFont="1" applyFill="1" applyBorder="1" applyAlignment="1">
      <alignment horizontal="center" vertical="center"/>
    </xf>
    <xf numFmtId="0" fontId="0" fillId="0" borderId="0" xfId="0" applyFill="1" applyBorder="1" applyAlignment="1">
      <alignment vertical="center"/>
    </xf>
    <xf numFmtId="3" fontId="25" fillId="0" borderId="0" xfId="0" applyNumberFormat="1" applyFont="1" applyFill="1" applyBorder="1" applyAlignment="1">
      <alignment horizontal="center" vertical="center"/>
    </xf>
    <xf numFmtId="3" fontId="18" fillId="0" borderId="0" xfId="0" applyNumberFormat="1" applyFont="1" applyFill="1" applyBorder="1" applyAlignment="1">
      <alignment horizontal="center" vertical="center"/>
    </xf>
    <xf numFmtId="3" fontId="18" fillId="0" borderId="0" xfId="3" applyNumberFormat="1" applyFont="1" applyFill="1" applyBorder="1" applyAlignment="1">
      <alignment horizontal="center" vertical="center"/>
    </xf>
    <xf numFmtId="9" fontId="25" fillId="0" borderId="0" xfId="3" applyFont="1" applyFill="1" applyBorder="1" applyAlignment="1">
      <alignment horizontal="center" vertical="center"/>
    </xf>
    <xf numFmtId="9" fontId="18" fillId="0" borderId="0" xfId="3" applyFont="1" applyFill="1" applyBorder="1" applyAlignment="1">
      <alignment horizontal="center" vertical="center"/>
    </xf>
    <xf numFmtId="10" fontId="18" fillId="0" borderId="0" xfId="3" applyNumberFormat="1" applyFont="1" applyFill="1" applyBorder="1" applyAlignment="1">
      <alignment horizontal="center" vertical="center"/>
    </xf>
    <xf numFmtId="0" fontId="25" fillId="33" borderId="2" xfId="0" applyFont="1" applyFill="1" applyBorder="1" applyAlignment="1">
      <alignment horizontal="justify" vertical="center" wrapText="1"/>
    </xf>
    <xf numFmtId="0" fontId="25" fillId="33" borderId="3" xfId="0" applyFont="1" applyFill="1" applyBorder="1" applyAlignment="1">
      <alignment horizontal="justify" vertical="center" wrapText="1"/>
    </xf>
    <xf numFmtId="0" fontId="18" fillId="33" borderId="4" xfId="0" applyFont="1" applyFill="1" applyBorder="1"/>
    <xf numFmtId="0" fontId="49" fillId="33" borderId="177" xfId="0" applyFont="1" applyFill="1" applyBorder="1" applyAlignment="1">
      <alignment horizontal="justify" vertical="center" wrapText="1"/>
    </xf>
    <xf numFmtId="0" fontId="25" fillId="33" borderId="32" xfId="0" applyFont="1" applyFill="1" applyBorder="1" applyAlignment="1">
      <alignment horizontal="justify" vertical="center" wrapText="1"/>
    </xf>
    <xf numFmtId="0" fontId="18" fillId="33" borderId="33" xfId="0" applyFont="1" applyFill="1" applyBorder="1"/>
    <xf numFmtId="0" fontId="49" fillId="12" borderId="2" xfId="0" applyFont="1" applyFill="1" applyBorder="1" applyAlignment="1">
      <alignment vertical="center"/>
    </xf>
    <xf numFmtId="0" fontId="49" fillId="12" borderId="16" xfId="0" applyFont="1" applyFill="1" applyBorder="1" applyAlignment="1">
      <alignment vertical="center"/>
    </xf>
    <xf numFmtId="0" fontId="49" fillId="12" borderId="26" xfId="0" applyFont="1" applyFill="1" applyBorder="1" applyAlignment="1">
      <alignment vertical="center"/>
    </xf>
    <xf numFmtId="0" fontId="0" fillId="15" borderId="14" xfId="0" applyFill="1" applyBorder="1" applyAlignment="1"/>
    <xf numFmtId="9" fontId="0" fillId="0" borderId="1" xfId="0" applyNumberFormat="1" applyBorder="1"/>
    <xf numFmtId="43" fontId="20" fillId="0" borderId="1" xfId="0" applyNumberFormat="1" applyFont="1" applyFill="1" applyBorder="1"/>
    <xf numFmtId="0" fontId="2" fillId="38" borderId="5" xfId="0" applyFont="1" applyFill="1" applyBorder="1" applyAlignment="1"/>
    <xf numFmtId="0" fontId="2" fillId="38" borderId="6" xfId="0" applyFont="1" applyFill="1" applyBorder="1" applyAlignment="1"/>
    <xf numFmtId="0" fontId="97" fillId="38" borderId="29" xfId="0" applyFont="1" applyFill="1" applyBorder="1" applyAlignment="1">
      <alignment horizontal="center" vertical="center"/>
    </xf>
    <xf numFmtId="0" fontId="97" fillId="38" borderId="10" xfId="0" applyFont="1" applyFill="1" applyBorder="1" applyAlignment="1">
      <alignment horizontal="center" vertical="center"/>
    </xf>
    <xf numFmtId="0" fontId="97" fillId="38" borderId="10" xfId="0" applyFont="1" applyFill="1" applyBorder="1" applyAlignment="1">
      <alignment horizontal="center" vertical="center" wrapText="1"/>
    </xf>
    <xf numFmtId="0" fontId="16" fillId="0" borderId="16" xfId="0" applyFont="1" applyBorder="1" applyAlignment="1">
      <alignment horizontal="center" vertical="center"/>
    </xf>
    <xf numFmtId="0" fontId="16" fillId="0" borderId="17" xfId="0" applyFont="1" applyBorder="1" applyAlignment="1">
      <alignment horizontal="center" vertical="center"/>
    </xf>
    <xf numFmtId="3" fontId="48" fillId="0" borderId="16" xfId="0" applyNumberFormat="1" applyFont="1" applyBorder="1" applyAlignment="1">
      <alignment horizontal="center" vertical="center" wrapText="1"/>
    </xf>
    <xf numFmtId="3" fontId="48" fillId="0" borderId="17" xfId="0" applyNumberFormat="1" applyFont="1" applyBorder="1" applyAlignment="1">
      <alignment horizontal="center" vertical="center" wrapText="1"/>
    </xf>
    <xf numFmtId="0" fontId="97" fillId="0" borderId="0" xfId="0" applyFont="1" applyFill="1" applyBorder="1" applyAlignment="1">
      <alignment horizontal="center" vertical="center" wrapText="1"/>
    </xf>
    <xf numFmtId="4" fontId="98" fillId="0" borderId="0" xfId="0" applyNumberFormat="1" applyFont="1" applyFill="1" applyBorder="1" applyAlignment="1">
      <alignment horizontal="center" wrapText="1"/>
    </xf>
    <xf numFmtId="0" fontId="0" fillId="53" borderId="1" xfId="0" applyFill="1" applyBorder="1"/>
    <xf numFmtId="4" fontId="59" fillId="15" borderId="0" xfId="0" applyNumberFormat="1" applyFont="1" applyFill="1" applyBorder="1"/>
    <xf numFmtId="4" fontId="59" fillId="0" borderId="0" xfId="0" applyNumberFormat="1" applyFont="1" applyFill="1" applyBorder="1"/>
    <xf numFmtId="3" fontId="0" fillId="0" borderId="0" xfId="0" applyNumberFormat="1" applyBorder="1" applyAlignment="1">
      <alignment horizontal="center"/>
    </xf>
    <xf numFmtId="0" fontId="0" fillId="0" borderId="0" xfId="0" applyBorder="1" applyAlignment="1">
      <alignment horizontal="right"/>
    </xf>
    <xf numFmtId="0" fontId="0" fillId="0" borderId="44" xfId="0" applyBorder="1" applyAlignment="1">
      <alignment horizontal="right"/>
    </xf>
    <xf numFmtId="3" fontId="46" fillId="0" borderId="2" xfId="0" applyNumberFormat="1" applyFont="1" applyFill="1" applyBorder="1" applyAlignment="1">
      <alignment horizontal="center" vertical="center"/>
    </xf>
    <xf numFmtId="3" fontId="46" fillId="0" borderId="4" xfId="0" applyNumberFormat="1" applyFont="1" applyFill="1" applyBorder="1" applyAlignment="1">
      <alignment horizontal="center" vertical="center"/>
    </xf>
    <xf numFmtId="4" fontId="0" fillId="0" borderId="26" xfId="0" applyNumberFormat="1" applyBorder="1"/>
    <xf numFmtId="4" fontId="0" fillId="0" borderId="17" xfId="0" applyNumberFormat="1" applyBorder="1"/>
    <xf numFmtId="4" fontId="35" fillId="43" borderId="6" xfId="1" applyNumberFormat="1" applyFont="1" applyFill="1" applyBorder="1"/>
    <xf numFmtId="4" fontId="35" fillId="43" borderId="28" xfId="1" applyNumberFormat="1" applyFont="1" applyFill="1" applyBorder="1"/>
    <xf numFmtId="4" fontId="35" fillId="16" borderId="28" xfId="1" applyNumberFormat="1" applyFont="1" applyFill="1" applyBorder="1"/>
    <xf numFmtId="4" fontId="35" fillId="23" borderId="28" xfId="1" applyNumberFormat="1" applyFont="1" applyFill="1" applyBorder="1"/>
    <xf numFmtId="3" fontId="6" fillId="16" borderId="11" xfId="0" applyNumberFormat="1" applyFont="1" applyFill="1" applyBorder="1"/>
    <xf numFmtId="3" fontId="6" fillId="0" borderId="0" xfId="0" applyNumberFormat="1" applyFont="1" applyBorder="1"/>
    <xf numFmtId="0" fontId="18" fillId="0" borderId="7" xfId="0" applyFont="1" applyBorder="1" applyAlignment="1">
      <alignment horizontal="center" wrapText="1"/>
    </xf>
    <xf numFmtId="0" fontId="6" fillId="0" borderId="7" xfId="0" applyFont="1" applyFill="1" applyBorder="1"/>
    <xf numFmtId="4" fontId="0" fillId="0" borderId="17" xfId="0" applyNumberFormat="1" applyFill="1" applyBorder="1"/>
    <xf numFmtId="16" fontId="0" fillId="0" borderId="0" xfId="1" applyNumberFormat="1" applyFont="1" applyFill="1" applyBorder="1"/>
    <xf numFmtId="17" fontId="0" fillId="0" borderId="0" xfId="1" applyNumberFormat="1" applyFont="1" applyFill="1" applyBorder="1"/>
    <xf numFmtId="0" fontId="0" fillId="2" borderId="10" xfId="0" applyFill="1" applyBorder="1" applyAlignment="1">
      <alignment wrapText="1"/>
    </xf>
    <xf numFmtId="0" fontId="0" fillId="2" borderId="29" xfId="0" applyFill="1" applyBorder="1"/>
    <xf numFmtId="0" fontId="6" fillId="0" borderId="0" xfId="0" applyFont="1" applyBorder="1" applyAlignment="1">
      <alignment horizontal="center"/>
    </xf>
    <xf numFmtId="3" fontId="0" fillId="0" borderId="28" xfId="0" applyNumberFormat="1" applyBorder="1"/>
    <xf numFmtId="3" fontId="0" fillId="0" borderId="27" xfId="0" applyNumberFormat="1" applyBorder="1"/>
    <xf numFmtId="0" fontId="32" fillId="51" borderId="30" xfId="0" applyFont="1" applyFill="1" applyBorder="1" applyAlignment="1">
      <alignment horizontal="center" vertical="center" wrapText="1"/>
    </xf>
    <xf numFmtId="0" fontId="32" fillId="34" borderId="15" xfId="0" applyFont="1" applyFill="1" applyBorder="1" applyAlignment="1">
      <alignment horizontal="center" vertical="center" wrapText="1"/>
    </xf>
    <xf numFmtId="1" fontId="32" fillId="51" borderId="30" xfId="0" applyNumberFormat="1" applyFont="1" applyFill="1" applyBorder="1" applyAlignment="1">
      <alignment horizontal="center" vertical="center" wrapText="1"/>
    </xf>
    <xf numFmtId="1" fontId="32" fillId="34" borderId="15" xfId="0" applyNumberFormat="1" applyFont="1" applyFill="1" applyBorder="1" applyAlignment="1">
      <alignment horizontal="center" vertical="center" wrapText="1"/>
    </xf>
    <xf numFmtId="3" fontId="0" fillId="42" borderId="34" xfId="0" applyNumberFormat="1" applyFill="1" applyBorder="1"/>
    <xf numFmtId="8" fontId="54" fillId="41" borderId="7" xfId="0" applyNumberFormat="1" applyFont="1" applyFill="1" applyBorder="1"/>
    <xf numFmtId="0" fontId="20" fillId="0" borderId="0" xfId="0" applyFont="1" applyFill="1" applyBorder="1" applyAlignment="1">
      <alignment horizontal="center" vertical="center" wrapText="1"/>
    </xf>
    <xf numFmtId="4" fontId="59" fillId="15" borderId="48" xfId="0" applyNumberFormat="1" applyFont="1" applyFill="1" applyBorder="1"/>
    <xf numFmtId="0" fontId="2" fillId="38" borderId="2" xfId="0" applyFont="1" applyFill="1" applyBorder="1"/>
    <xf numFmtId="0" fontId="0" fillId="38" borderId="4" xfId="0" applyFill="1" applyBorder="1"/>
    <xf numFmtId="0" fontId="0" fillId="16" borderId="26" xfId="0" applyFill="1" applyBorder="1"/>
    <xf numFmtId="3" fontId="0" fillId="16" borderId="48" xfId="0" applyNumberFormat="1" applyFill="1" applyBorder="1"/>
    <xf numFmtId="0" fontId="0" fillId="16" borderId="25" xfId="0" applyFill="1" applyBorder="1"/>
    <xf numFmtId="0" fontId="0" fillId="15" borderId="2" xfId="0" applyFill="1" applyBorder="1"/>
    <xf numFmtId="0" fontId="0" fillId="15" borderId="3" xfId="0" applyFill="1" applyBorder="1"/>
    <xf numFmtId="0" fontId="0" fillId="15" borderId="50" xfId="0" applyFill="1" applyBorder="1"/>
    <xf numFmtId="0" fontId="2" fillId="38" borderId="16" xfId="0" applyFont="1" applyFill="1" applyBorder="1"/>
    <xf numFmtId="0" fontId="0" fillId="16" borderId="52" xfId="0" applyFill="1" applyBorder="1"/>
    <xf numFmtId="0" fontId="0" fillId="38" borderId="50" xfId="0" applyFill="1" applyBorder="1"/>
    <xf numFmtId="0" fontId="59" fillId="15" borderId="52" xfId="0" applyFont="1" applyFill="1" applyBorder="1"/>
    <xf numFmtId="174" fontId="0" fillId="16" borderId="47" xfId="0" applyNumberFormat="1" applyFill="1" applyBorder="1"/>
    <xf numFmtId="174" fontId="0" fillId="16" borderId="48" xfId="0" applyNumberFormat="1" applyFill="1" applyBorder="1"/>
    <xf numFmtId="174" fontId="0" fillId="38" borderId="49" xfId="0" applyNumberFormat="1" applyFill="1" applyBorder="1"/>
    <xf numFmtId="0" fontId="0" fillId="43" borderId="4" xfId="0" applyFill="1" applyBorder="1"/>
    <xf numFmtId="0" fontId="0" fillId="38" borderId="16" xfId="0" applyFill="1" applyBorder="1"/>
    <xf numFmtId="4" fontId="0" fillId="52" borderId="16" xfId="0" applyNumberFormat="1" applyFill="1" applyBorder="1"/>
    <xf numFmtId="2" fontId="0" fillId="0" borderId="17" xfId="0" applyNumberFormat="1" applyFill="1" applyBorder="1"/>
    <xf numFmtId="4" fontId="95" fillId="0" borderId="16" xfId="0" applyNumberFormat="1" applyFont="1" applyBorder="1"/>
    <xf numFmtId="3" fontId="0" fillId="16" borderId="16" xfId="0" applyNumberFormat="1" applyFill="1" applyBorder="1"/>
    <xf numFmtId="3" fontId="0" fillId="16" borderId="17" xfId="0" applyNumberFormat="1" applyFill="1" applyBorder="1"/>
    <xf numFmtId="4" fontId="0" fillId="28" borderId="16" xfId="0" applyNumberFormat="1" applyFill="1" applyBorder="1"/>
    <xf numFmtId="4" fontId="0" fillId="28" borderId="17" xfId="0" applyNumberFormat="1" applyFill="1" applyBorder="1"/>
    <xf numFmtId="4" fontId="59" fillId="15" borderId="26" xfId="0" applyNumberFormat="1" applyFont="1" applyFill="1" applyBorder="1"/>
    <xf numFmtId="4" fontId="59" fillId="15" borderId="25" xfId="0" applyNumberFormat="1" applyFont="1" applyFill="1" applyBorder="1"/>
    <xf numFmtId="4" fontId="0" fillId="38" borderId="26" xfId="0" applyNumberFormat="1" applyFill="1" applyBorder="1"/>
    <xf numFmtId="4" fontId="0" fillId="54" borderId="16" xfId="0" applyNumberFormat="1" applyFill="1" applyBorder="1"/>
    <xf numFmtId="4" fontId="0" fillId="54" borderId="17" xfId="0" applyNumberFormat="1" applyFill="1" applyBorder="1"/>
    <xf numFmtId="0" fontId="0" fillId="54" borderId="17" xfId="0" applyFill="1" applyBorder="1"/>
    <xf numFmtId="4" fontId="0" fillId="16" borderId="16" xfId="0" applyNumberFormat="1" applyFill="1" applyBorder="1"/>
    <xf numFmtId="4" fontId="0" fillId="16" borderId="17" xfId="0" applyNumberFormat="1" applyFill="1" applyBorder="1"/>
    <xf numFmtId="4" fontId="0" fillId="16" borderId="46" xfId="0" applyNumberFormat="1" applyFill="1" applyBorder="1"/>
    <xf numFmtId="4" fontId="0" fillId="38" borderId="4" xfId="0" applyNumberFormat="1" applyFill="1" applyBorder="1"/>
    <xf numFmtId="4" fontId="0" fillId="38" borderId="25" xfId="0" applyNumberFormat="1" applyFill="1" applyBorder="1"/>
    <xf numFmtId="4" fontId="0" fillId="16" borderId="26" xfId="0" applyNumberFormat="1" applyFill="1" applyBorder="1"/>
    <xf numFmtId="4" fontId="0" fillId="38" borderId="2" xfId="0" applyNumberFormat="1" applyFill="1" applyBorder="1"/>
    <xf numFmtId="4" fontId="0" fillId="16" borderId="48" xfId="0" applyNumberFormat="1" applyFill="1" applyBorder="1"/>
    <xf numFmtId="0" fontId="0" fillId="15" borderId="4" xfId="0" applyFill="1" applyBorder="1"/>
    <xf numFmtId="0" fontId="0" fillId="38" borderId="43" xfId="0" applyFill="1" applyBorder="1"/>
    <xf numFmtId="177" fontId="0" fillId="0" borderId="36" xfId="0" applyNumberFormat="1" applyFill="1" applyBorder="1"/>
    <xf numFmtId="43" fontId="0" fillId="0" borderId="31" xfId="0" applyNumberFormat="1" applyBorder="1"/>
    <xf numFmtId="0" fontId="2" fillId="38" borderId="49" xfId="0" applyFont="1" applyFill="1" applyBorder="1"/>
    <xf numFmtId="0" fontId="0" fillId="38" borderId="169" xfId="0" applyFill="1" applyBorder="1"/>
    <xf numFmtId="0" fontId="0" fillId="22" borderId="167" xfId="0" applyFill="1" applyBorder="1"/>
    <xf numFmtId="0" fontId="0" fillId="22" borderId="6" xfId="0" applyFill="1" applyBorder="1"/>
    <xf numFmtId="4" fontId="18" fillId="0" borderId="24" xfId="0" applyNumberFormat="1" applyFont="1" applyBorder="1"/>
    <xf numFmtId="0" fontId="2" fillId="38" borderId="49" xfId="0" applyFont="1" applyFill="1" applyBorder="1" applyAlignment="1"/>
    <xf numFmtId="0" fontId="2" fillId="38" borderId="56" xfId="0" applyFont="1" applyFill="1" applyBorder="1" applyAlignment="1"/>
    <xf numFmtId="168" fontId="35" fillId="17" borderId="15" xfId="0" applyNumberFormat="1" applyFont="1" applyFill="1" applyBorder="1"/>
    <xf numFmtId="0" fontId="0" fillId="0" borderId="21" xfId="0" applyFont="1" applyBorder="1"/>
    <xf numFmtId="165" fontId="15" fillId="0" borderId="1" xfId="1" applyNumberFormat="1" applyFont="1" applyBorder="1"/>
    <xf numFmtId="1" fontId="2" fillId="0" borderId="1" xfId="3" applyNumberFormat="1" applyFont="1" applyBorder="1"/>
    <xf numFmtId="3" fontId="2" fillId="0" borderId="1" xfId="0" applyNumberFormat="1" applyFont="1" applyBorder="1"/>
    <xf numFmtId="1" fontId="2" fillId="0" borderId="1" xfId="3" applyNumberFormat="1" applyFont="1" applyFill="1" applyBorder="1"/>
    <xf numFmtId="3" fontId="0" fillId="0" borderId="1" xfId="0" applyNumberFormat="1" applyBorder="1"/>
    <xf numFmtId="0" fontId="0" fillId="7" borderId="1" xfId="0" applyFill="1" applyBorder="1" applyAlignment="1">
      <alignment horizontal="center" wrapText="1"/>
    </xf>
    <xf numFmtId="9" fontId="0" fillId="0" borderId="1" xfId="0" applyNumberFormat="1" applyFill="1" applyBorder="1"/>
    <xf numFmtId="9" fontId="0" fillId="32" borderId="1" xfId="0" applyNumberFormat="1" applyFill="1" applyBorder="1"/>
    <xf numFmtId="0" fontId="0" fillId="0" borderId="167" xfId="0" applyBorder="1"/>
    <xf numFmtId="0" fontId="18" fillId="0" borderId="38" xfId="0" applyFont="1" applyBorder="1"/>
    <xf numFmtId="0" fontId="18" fillId="4" borderId="38" xfId="0" applyFont="1" applyFill="1" applyBorder="1"/>
    <xf numFmtId="0" fontId="18" fillId="28" borderId="38" xfId="0" applyFont="1" applyFill="1" applyBorder="1"/>
    <xf numFmtId="0" fontId="18" fillId="32" borderId="38" xfId="0" applyFont="1" applyFill="1" applyBorder="1"/>
    <xf numFmtId="0" fontId="18" fillId="32" borderId="176" xfId="0" applyFont="1" applyFill="1" applyBorder="1"/>
    <xf numFmtId="0" fontId="0" fillId="0" borderId="23" xfId="0" applyBorder="1"/>
    <xf numFmtId="165" fontId="15" fillId="0" borderId="16" xfId="1" applyNumberFormat="1" applyFont="1" applyBorder="1"/>
    <xf numFmtId="0" fontId="0" fillId="7" borderId="17" xfId="0" applyFill="1" applyBorder="1" applyAlignment="1">
      <alignment wrapText="1"/>
    </xf>
    <xf numFmtId="9" fontId="0" fillId="32" borderId="24" xfId="0" applyNumberFormat="1" applyFill="1" applyBorder="1"/>
    <xf numFmtId="10" fontId="0" fillId="32" borderId="17" xfId="0" applyNumberFormat="1" applyFill="1" applyBorder="1"/>
    <xf numFmtId="10" fontId="0" fillId="32" borderId="25" xfId="0" applyNumberFormat="1" applyFill="1" applyBorder="1"/>
    <xf numFmtId="9" fontId="0" fillId="4" borderId="1" xfId="0" applyNumberFormat="1" applyFill="1" applyBorder="1"/>
    <xf numFmtId="9" fontId="0" fillId="28" borderId="1" xfId="0" applyNumberFormat="1" applyFill="1" applyBorder="1"/>
    <xf numFmtId="10" fontId="0" fillId="28" borderId="17" xfId="0" applyNumberFormat="1" applyFill="1" applyBorder="1"/>
    <xf numFmtId="9" fontId="0" fillId="0" borderId="17" xfId="0" applyNumberFormat="1" applyBorder="1"/>
    <xf numFmtId="9" fontId="34" fillId="21" borderId="39" xfId="3" applyFont="1" applyFill="1" applyBorder="1" applyAlignment="1">
      <alignment wrapText="1"/>
    </xf>
    <xf numFmtId="1" fontId="0" fillId="0" borderId="36" xfId="0" applyNumberFormat="1" applyBorder="1"/>
    <xf numFmtId="0" fontId="34" fillId="21" borderId="1" xfId="0" applyFont="1" applyFill="1" applyBorder="1" applyAlignment="1">
      <alignment wrapText="1"/>
    </xf>
    <xf numFmtId="9" fontId="34" fillId="21" borderId="1" xfId="3" applyFont="1" applyFill="1" applyBorder="1" applyAlignment="1">
      <alignment wrapText="1"/>
    </xf>
    <xf numFmtId="4" fontId="70" fillId="0" borderId="1" xfId="0" applyNumberFormat="1" applyFont="1" applyFill="1" applyBorder="1"/>
    <xf numFmtId="4" fontId="23" fillId="5" borderId="1" xfId="0" applyNumberFormat="1" applyFont="1" applyFill="1" applyBorder="1" applyAlignment="1">
      <alignment wrapText="1"/>
    </xf>
    <xf numFmtId="4" fontId="23" fillId="0" borderId="1" xfId="0" applyNumberFormat="1" applyFont="1" applyFill="1" applyBorder="1" applyAlignment="1">
      <alignment wrapText="1"/>
    </xf>
    <xf numFmtId="4" fontId="23" fillId="5" borderId="1" xfId="0" applyNumberFormat="1" applyFont="1" applyFill="1" applyBorder="1"/>
    <xf numFmtId="4" fontId="23" fillId="0" borderId="1" xfId="0" applyNumberFormat="1" applyFont="1" applyFill="1" applyBorder="1"/>
    <xf numFmtId="3" fontId="40" fillId="4" borderId="31" xfId="3" applyNumberFormat="1" applyFont="1" applyFill="1" applyBorder="1"/>
    <xf numFmtId="3" fontId="40" fillId="28" borderId="31" xfId="3" applyNumberFormat="1" applyFont="1" applyFill="1" applyBorder="1"/>
    <xf numFmtId="4" fontId="70" fillId="0" borderId="0" xfId="0" applyNumberFormat="1" applyFont="1" applyFill="1" applyBorder="1"/>
    <xf numFmtId="4" fontId="23" fillId="0" borderId="0" xfId="0" applyNumberFormat="1" applyFont="1" applyFill="1" applyBorder="1" applyAlignment="1">
      <alignment wrapText="1"/>
    </xf>
    <xf numFmtId="4" fontId="23" fillId="0" borderId="0" xfId="0" applyNumberFormat="1" applyFont="1" applyFill="1" applyBorder="1"/>
    <xf numFmtId="0" fontId="2" fillId="0" borderId="36" xfId="0" applyFont="1" applyFill="1" applyBorder="1"/>
    <xf numFmtId="9" fontId="79" fillId="0" borderId="40" xfId="3" applyFont="1" applyFill="1" applyBorder="1"/>
    <xf numFmtId="9" fontId="79" fillId="0" borderId="37" xfId="3" applyFont="1" applyFill="1" applyBorder="1"/>
    <xf numFmtId="9" fontId="79" fillId="4" borderId="37" xfId="3" applyFont="1" applyFill="1" applyBorder="1"/>
    <xf numFmtId="9" fontId="79" fillId="28" borderId="37" xfId="3" applyFont="1" applyFill="1" applyBorder="1"/>
    <xf numFmtId="9" fontId="79" fillId="32" borderId="37" xfId="3" applyFont="1" applyFill="1" applyBorder="1"/>
    <xf numFmtId="9" fontId="79" fillId="32" borderId="170" xfId="3" applyFont="1" applyFill="1" applyBorder="1"/>
    <xf numFmtId="0" fontId="45" fillId="26" borderId="1" xfId="0" applyFont="1" applyFill="1" applyBorder="1" applyAlignment="1">
      <alignment vertical="center" wrapText="1"/>
    </xf>
    <xf numFmtId="3" fontId="18" fillId="0" borderId="1" xfId="3" applyNumberFormat="1" applyFont="1" applyFill="1" applyBorder="1"/>
    <xf numFmtId="43" fontId="18" fillId="0" borderId="1" xfId="0" applyNumberFormat="1" applyFont="1" applyFill="1" applyBorder="1"/>
    <xf numFmtId="9" fontId="0" fillId="26" borderId="1" xfId="3" applyFont="1" applyFill="1" applyBorder="1"/>
    <xf numFmtId="9" fontId="0" fillId="32" borderId="1" xfId="3" applyFont="1" applyFill="1" applyBorder="1"/>
    <xf numFmtId="1" fontId="15" fillId="0" borderId="2" xfId="1" applyNumberFormat="1" applyFont="1" applyBorder="1"/>
    <xf numFmtId="10" fontId="23" fillId="0" borderId="3" xfId="1" applyNumberFormat="1" applyFont="1" applyBorder="1"/>
    <xf numFmtId="3" fontId="33" fillId="0" borderId="3" xfId="3" applyNumberFormat="1" applyFont="1" applyBorder="1"/>
    <xf numFmtId="3" fontId="2" fillId="0" borderId="3" xfId="0" applyNumberFormat="1" applyFont="1" applyBorder="1"/>
    <xf numFmtId="9" fontId="0" fillId="0" borderId="3" xfId="3" applyNumberFormat="1" applyFont="1" applyBorder="1"/>
    <xf numFmtId="0" fontId="0" fillId="21" borderId="16" xfId="0" applyFont="1" applyFill="1" applyBorder="1" applyAlignment="1">
      <alignment vertical="center"/>
    </xf>
    <xf numFmtId="0" fontId="45" fillId="26" borderId="17" xfId="0" applyFont="1" applyFill="1" applyBorder="1" applyAlignment="1">
      <alignment vertical="center" wrapText="1"/>
    </xf>
    <xf numFmtId="9" fontId="0" fillId="28" borderId="17" xfId="0" applyNumberFormat="1" applyFill="1" applyBorder="1"/>
    <xf numFmtId="9" fontId="0" fillId="4" borderId="17" xfId="0" applyNumberFormat="1" applyFill="1" applyBorder="1"/>
    <xf numFmtId="9" fontId="0" fillId="23" borderId="17" xfId="0" applyNumberFormat="1" applyFill="1" applyBorder="1"/>
    <xf numFmtId="9" fontId="0" fillId="23" borderId="25" xfId="0" applyNumberFormat="1" applyFill="1" applyBorder="1"/>
    <xf numFmtId="0" fontId="25" fillId="0" borderId="0" xfId="0" applyFont="1" applyFill="1" applyBorder="1" applyAlignment="1">
      <alignment horizontal="center" vertical="top" wrapText="1"/>
    </xf>
    <xf numFmtId="0" fontId="88" fillId="0" borderId="0" xfId="0" applyFont="1" applyFill="1" applyBorder="1" applyAlignment="1">
      <alignment horizontal="center" vertical="top" wrapText="1"/>
    </xf>
    <xf numFmtId="2" fontId="49" fillId="0" borderId="0" xfId="0" applyNumberFormat="1" applyFont="1" applyFill="1" applyBorder="1" applyAlignment="1">
      <alignment horizontal="justify" vertical="center" wrapText="1"/>
    </xf>
    <xf numFmtId="3" fontId="105" fillId="0" borderId="0" xfId="0" applyNumberFormat="1" applyFont="1" applyFill="1" applyBorder="1" applyAlignment="1">
      <alignment horizontal="center" wrapText="1"/>
    </xf>
    <xf numFmtId="9" fontId="86" fillId="0" borderId="0" xfId="3" applyFont="1" applyBorder="1"/>
    <xf numFmtId="9" fontId="86" fillId="0" borderId="0" xfId="0" applyNumberFormat="1" applyFont="1" applyBorder="1"/>
    <xf numFmtId="43" fontId="19" fillId="12" borderId="3" xfId="0" applyNumberFormat="1" applyFont="1" applyFill="1" applyBorder="1"/>
    <xf numFmtId="0" fontId="19" fillId="12" borderId="3" xfId="0" applyFont="1" applyFill="1" applyBorder="1"/>
    <xf numFmtId="4" fontId="19" fillId="12" borderId="3" xfId="0" applyNumberFormat="1" applyFont="1" applyFill="1" applyBorder="1"/>
    <xf numFmtId="4" fontId="19" fillId="12" borderId="17" xfId="0" applyNumberFormat="1" applyFont="1" applyFill="1" applyBorder="1"/>
    <xf numFmtId="0" fontId="19" fillId="12" borderId="1" xfId="0" applyFont="1" applyFill="1" applyBorder="1"/>
    <xf numFmtId="4" fontId="19" fillId="12" borderId="1" xfId="0" applyNumberFormat="1" applyFont="1" applyFill="1" applyBorder="1"/>
    <xf numFmtId="43" fontId="19" fillId="12" borderId="1" xfId="0" applyNumberFormat="1" applyFont="1" applyFill="1" applyBorder="1"/>
    <xf numFmtId="43" fontId="19" fillId="12" borderId="24" xfId="0" applyNumberFormat="1" applyFont="1" applyFill="1" applyBorder="1"/>
    <xf numFmtId="4" fontId="19" fillId="12" borderId="24" xfId="0" applyNumberFormat="1" applyFont="1" applyFill="1" applyBorder="1"/>
    <xf numFmtId="4" fontId="32" fillId="12" borderId="17" xfId="0" applyNumberFormat="1" applyFont="1" applyFill="1" applyBorder="1"/>
    <xf numFmtId="9" fontId="19" fillId="12" borderId="24" xfId="0" applyNumberFormat="1" applyFont="1" applyFill="1" applyBorder="1"/>
    <xf numFmtId="9" fontId="19" fillId="12" borderId="25" xfId="0" applyNumberFormat="1" applyFont="1" applyFill="1" applyBorder="1"/>
    <xf numFmtId="3" fontId="19" fillId="12" borderId="3" xfId="0" applyNumberFormat="1" applyFont="1" applyFill="1" applyBorder="1"/>
    <xf numFmtId="3" fontId="19" fillId="12" borderId="4" xfId="0" applyNumberFormat="1" applyFont="1" applyFill="1" applyBorder="1"/>
    <xf numFmtId="0" fontId="0" fillId="38" borderId="32" xfId="0" applyFill="1" applyBorder="1"/>
    <xf numFmtId="0" fontId="0" fillId="38" borderId="27" xfId="0" applyFill="1" applyBorder="1"/>
    <xf numFmtId="0" fontId="0" fillId="38" borderId="6" xfId="0" applyFill="1" applyBorder="1"/>
    <xf numFmtId="0" fontId="0" fillId="15" borderId="13" xfId="0" applyFill="1" applyBorder="1" applyAlignment="1">
      <alignment horizontal="center"/>
    </xf>
    <xf numFmtId="0" fontId="0" fillId="38" borderId="5" xfId="0" applyFill="1" applyBorder="1"/>
    <xf numFmtId="43" fontId="0" fillId="0" borderId="56" xfId="0" applyNumberFormat="1" applyBorder="1"/>
    <xf numFmtId="43" fontId="0" fillId="0" borderId="57" xfId="0" applyNumberFormat="1" applyBorder="1"/>
    <xf numFmtId="43" fontId="0" fillId="0" borderId="24" xfId="0" applyNumberFormat="1" applyBorder="1"/>
    <xf numFmtId="43" fontId="0" fillId="0" borderId="58" xfId="0" applyNumberFormat="1" applyBorder="1"/>
    <xf numFmtId="0" fontId="0" fillId="15" borderId="3" xfId="0" applyFill="1" applyBorder="1" applyAlignment="1"/>
    <xf numFmtId="0" fontId="18" fillId="15" borderId="3" xfId="0" applyFont="1" applyFill="1" applyBorder="1" applyAlignment="1">
      <alignment vertical="top" wrapText="1"/>
    </xf>
    <xf numFmtId="0" fontId="18" fillId="15" borderId="4" xfId="0" applyFont="1" applyFill="1" applyBorder="1" applyAlignment="1">
      <alignment wrapText="1"/>
    </xf>
    <xf numFmtId="0" fontId="0" fillId="38" borderId="7" xfId="0" applyFill="1" applyBorder="1"/>
    <xf numFmtId="0" fontId="0" fillId="38" borderId="178" xfId="0" applyFill="1" applyBorder="1"/>
    <xf numFmtId="0" fontId="0" fillId="44" borderId="16" xfId="0" applyFill="1" applyBorder="1"/>
    <xf numFmtId="43" fontId="0" fillId="44" borderId="1" xfId="0" applyNumberFormat="1" applyFill="1" applyBorder="1"/>
    <xf numFmtId="10" fontId="0" fillId="44" borderId="1" xfId="0" applyNumberFormat="1" applyFill="1" applyBorder="1"/>
    <xf numFmtId="10" fontId="0" fillId="44" borderId="17" xfId="0" applyNumberFormat="1" applyFill="1" applyBorder="1"/>
    <xf numFmtId="3" fontId="20" fillId="0" borderId="2" xfId="0" applyNumberFormat="1" applyFont="1" applyFill="1" applyBorder="1"/>
    <xf numFmtId="3" fontId="20" fillId="0" borderId="3" xfId="0" applyNumberFormat="1" applyFont="1" applyFill="1" applyBorder="1"/>
    <xf numFmtId="10" fontId="0" fillId="36" borderId="26" xfId="0" applyNumberFormat="1" applyFill="1" applyBorder="1"/>
    <xf numFmtId="10" fontId="0" fillId="36" borderId="24" xfId="0" applyNumberFormat="1" applyFill="1" applyBorder="1"/>
    <xf numFmtId="0" fontId="0" fillId="36" borderId="24" xfId="0" applyFill="1" applyBorder="1"/>
    <xf numFmtId="10" fontId="0" fillId="36" borderId="25" xfId="0" applyNumberFormat="1" applyFill="1" applyBorder="1"/>
    <xf numFmtId="0" fontId="0" fillId="50" borderId="1" xfId="0" applyFill="1" applyBorder="1"/>
    <xf numFmtId="0" fontId="0" fillId="50" borderId="16" xfId="0" applyFill="1" applyBorder="1" applyAlignment="1">
      <alignment wrapText="1"/>
    </xf>
    <xf numFmtId="0" fontId="0" fillId="50" borderId="1" xfId="0" applyFill="1" applyBorder="1" applyAlignment="1">
      <alignment wrapText="1"/>
    </xf>
    <xf numFmtId="4" fontId="0" fillId="50" borderId="1" xfId="0" applyNumberFormat="1" applyFill="1" applyBorder="1"/>
    <xf numFmtId="3" fontId="20" fillId="50" borderId="16" xfId="0" applyNumberFormat="1" applyFont="1" applyFill="1" applyBorder="1"/>
    <xf numFmtId="3" fontId="20" fillId="50" borderId="1" xfId="0" applyNumberFormat="1" applyFont="1" applyFill="1" applyBorder="1"/>
    <xf numFmtId="10" fontId="0" fillId="50" borderId="16" xfId="0" applyNumberFormat="1" applyFill="1" applyBorder="1"/>
    <xf numFmtId="10" fontId="0" fillId="50" borderId="1" xfId="0" applyNumberFormat="1" applyFill="1" applyBorder="1"/>
    <xf numFmtId="0" fontId="0" fillId="42" borderId="1" xfId="0" applyFill="1" applyBorder="1" applyAlignment="1">
      <alignment wrapText="1"/>
    </xf>
    <xf numFmtId="3" fontId="20" fillId="42" borderId="1" xfId="0" applyNumberFormat="1" applyFont="1" applyFill="1" applyBorder="1"/>
    <xf numFmtId="2" fontId="0" fillId="42" borderId="1" xfId="0" applyNumberFormat="1" applyFill="1" applyBorder="1"/>
    <xf numFmtId="0" fontId="0" fillId="0" borderId="57" xfId="0" applyBorder="1"/>
    <xf numFmtId="0" fontId="0" fillId="0" borderId="42" xfId="0" applyBorder="1"/>
    <xf numFmtId="0" fontId="0" fillId="30" borderId="44" xfId="0" applyFill="1" applyBorder="1" applyAlignment="1">
      <alignment wrapText="1"/>
    </xf>
    <xf numFmtId="168" fontId="0" fillId="0" borderId="1" xfId="0" applyNumberFormat="1" applyBorder="1"/>
    <xf numFmtId="0" fontId="0" fillId="4" borderId="17" xfId="0" applyFill="1" applyBorder="1"/>
    <xf numFmtId="0" fontId="19" fillId="52" borderId="0" xfId="0" applyFont="1" applyFill="1"/>
    <xf numFmtId="3" fontId="93" fillId="31" borderId="1" xfId="3" applyNumberFormat="1" applyFont="1" applyFill="1" applyBorder="1"/>
    <xf numFmtId="4" fontId="93" fillId="31" borderId="1" xfId="3" applyNumberFormat="1" applyFont="1" applyFill="1" applyBorder="1"/>
    <xf numFmtId="9" fontId="94" fillId="31" borderId="24" xfId="3" applyFont="1" applyFill="1" applyBorder="1"/>
    <xf numFmtId="0" fontId="0" fillId="0" borderId="44" xfId="0" applyFill="1" applyBorder="1" applyAlignment="1">
      <alignment wrapText="1"/>
    </xf>
    <xf numFmtId="4" fontId="20" fillId="0" borderId="28" xfId="0" applyNumberFormat="1" applyFont="1" applyFill="1" applyBorder="1"/>
    <xf numFmtId="10" fontId="20" fillId="0" borderId="29" xfId="0" applyNumberFormat="1" applyFont="1" applyFill="1" applyBorder="1"/>
    <xf numFmtId="0" fontId="0" fillId="31" borderId="27" xfId="0" applyFill="1" applyBorder="1"/>
    <xf numFmtId="4" fontId="20" fillId="31" borderId="28" xfId="0" applyNumberFormat="1" applyFont="1" applyFill="1" applyBorder="1"/>
    <xf numFmtId="0" fontId="18" fillId="31" borderId="29" xfId="0" applyFont="1" applyFill="1" applyBorder="1" applyAlignment="1">
      <alignment wrapText="1"/>
    </xf>
    <xf numFmtId="10" fontId="20" fillId="31" borderId="29" xfId="0" applyNumberFormat="1" applyFont="1" applyFill="1" applyBorder="1"/>
    <xf numFmtId="3" fontId="0" fillId="18" borderId="7" xfId="0" applyNumberFormat="1" applyFill="1" applyBorder="1"/>
    <xf numFmtId="0" fontId="18" fillId="0" borderId="0" xfId="0" applyFont="1" applyFill="1" applyBorder="1" applyAlignment="1">
      <alignment vertical="top" wrapText="1"/>
    </xf>
    <xf numFmtId="0" fontId="33" fillId="21" borderId="1" xfId="0" applyFont="1" applyFill="1" applyBorder="1" applyAlignment="1">
      <alignment vertical="center" wrapText="1"/>
    </xf>
    <xf numFmtId="0" fontId="110" fillId="0" borderId="0" xfId="0" applyFont="1" applyAlignment="1">
      <alignment wrapText="1"/>
    </xf>
    <xf numFmtId="4" fontId="42" fillId="13" borderId="0" xfId="1" applyNumberFormat="1" applyFont="1" applyFill="1" applyBorder="1"/>
    <xf numFmtId="1" fontId="34" fillId="0" borderId="1" xfId="3" applyNumberFormat="1" applyFont="1" applyFill="1" applyBorder="1"/>
    <xf numFmtId="165" fontId="45" fillId="4" borderId="1" xfId="1" applyNumberFormat="1" applyFont="1" applyFill="1" applyBorder="1"/>
    <xf numFmtId="165" fontId="45" fillId="28" borderId="1" xfId="1" applyNumberFormat="1" applyFont="1" applyFill="1" applyBorder="1"/>
    <xf numFmtId="43" fontId="45" fillId="32" borderId="1" xfId="1" applyFont="1" applyFill="1" applyBorder="1"/>
    <xf numFmtId="165" fontId="45" fillId="0" borderId="1" xfId="1" applyNumberFormat="1" applyFont="1" applyBorder="1"/>
    <xf numFmtId="43" fontId="45" fillId="0" borderId="1" xfId="1" applyFont="1" applyBorder="1"/>
    <xf numFmtId="43" fontId="45" fillId="28" borderId="1" xfId="1" applyFont="1" applyFill="1" applyBorder="1"/>
    <xf numFmtId="43" fontId="2" fillId="0" borderId="1" xfId="0" applyNumberFormat="1" applyFont="1" applyBorder="1"/>
    <xf numFmtId="43" fontId="2" fillId="4" borderId="1" xfId="0" applyNumberFormat="1" applyFont="1" applyFill="1" applyBorder="1"/>
    <xf numFmtId="43" fontId="2" fillId="28" borderId="1" xfId="0" applyNumberFormat="1" applyFont="1" applyFill="1" applyBorder="1"/>
    <xf numFmtId="43" fontId="2" fillId="32" borderId="1" xfId="0" applyNumberFormat="1" applyFont="1" applyFill="1" applyBorder="1"/>
    <xf numFmtId="10" fontId="2" fillId="32" borderId="24" xfId="0" applyNumberFormat="1" applyFont="1" applyFill="1" applyBorder="1"/>
    <xf numFmtId="165" fontId="34" fillId="4" borderId="1" xfId="1" applyNumberFormat="1" applyFont="1" applyFill="1" applyBorder="1"/>
    <xf numFmtId="165" fontId="34" fillId="28" borderId="1" xfId="1" applyNumberFormat="1" applyFont="1" applyFill="1" applyBorder="1"/>
    <xf numFmtId="9" fontId="111" fillId="32" borderId="24" xfId="3" applyFont="1" applyFill="1" applyBorder="1"/>
    <xf numFmtId="43" fontId="34" fillId="0" borderId="1" xfId="0" applyNumberFormat="1" applyFont="1" applyFill="1" applyBorder="1"/>
    <xf numFmtId="2" fontId="34" fillId="0" borderId="1" xfId="0" applyNumberFormat="1" applyFont="1" applyFill="1" applyBorder="1"/>
    <xf numFmtId="2" fontId="34" fillId="32" borderId="1" xfId="0" applyNumberFormat="1" applyFont="1" applyFill="1" applyBorder="1"/>
    <xf numFmtId="9" fontId="34" fillId="32" borderId="24" xfId="3" applyFont="1" applyFill="1" applyBorder="1"/>
    <xf numFmtId="4" fontId="2" fillId="0" borderId="1" xfId="0" applyNumberFormat="1" applyFont="1" applyBorder="1"/>
    <xf numFmtId="10" fontId="2" fillId="0" borderId="1" xfId="0" applyNumberFormat="1" applyFont="1" applyBorder="1"/>
    <xf numFmtId="3" fontId="32" fillId="0" borderId="1" xfId="3" applyNumberFormat="1" applyFont="1" applyFill="1" applyBorder="1"/>
    <xf numFmtId="3" fontId="18" fillId="4" borderId="1" xfId="3" applyNumberFormat="1" applyFont="1" applyFill="1" applyBorder="1"/>
    <xf numFmtId="3" fontId="32" fillId="4" borderId="1" xfId="3" applyNumberFormat="1" applyFont="1" applyFill="1" applyBorder="1"/>
    <xf numFmtId="3" fontId="18" fillId="28" borderId="1" xfId="3" applyNumberFormat="1" applyFont="1" applyFill="1" applyBorder="1"/>
    <xf numFmtId="3" fontId="32" fillId="28" borderId="1" xfId="3" applyNumberFormat="1" applyFont="1" applyFill="1" applyBorder="1"/>
    <xf numFmtId="2" fontId="18" fillId="0" borderId="1" xfId="3" applyNumberFormat="1" applyFont="1" applyFill="1" applyBorder="1"/>
    <xf numFmtId="4" fontId="32" fillId="0" borderId="1" xfId="3" applyNumberFormat="1" applyFont="1" applyFill="1" applyBorder="1"/>
    <xf numFmtId="2" fontId="18" fillId="32" borderId="1" xfId="3" applyNumberFormat="1" applyFont="1" applyFill="1" applyBorder="1"/>
    <xf numFmtId="4" fontId="32" fillId="32" borderId="1" xfId="3" applyNumberFormat="1" applyFont="1" applyFill="1" applyBorder="1"/>
    <xf numFmtId="9" fontId="32" fillId="32" borderId="24" xfId="3" applyFont="1" applyFill="1" applyBorder="1"/>
    <xf numFmtId="0" fontId="0" fillId="2" borderId="7" xfId="0" applyFill="1" applyBorder="1"/>
    <xf numFmtId="0" fontId="0" fillId="2" borderId="0" xfId="0" applyFill="1"/>
    <xf numFmtId="0" fontId="34" fillId="0" borderId="19" xfId="0" applyFont="1" applyBorder="1"/>
    <xf numFmtId="43" fontId="2" fillId="0" borderId="31" xfId="3" applyNumberFormat="1" applyFont="1" applyBorder="1"/>
    <xf numFmtId="188" fontId="2" fillId="2" borderId="1" xfId="3" applyNumberFormat="1" applyFont="1" applyFill="1" applyBorder="1"/>
    <xf numFmtId="43" fontId="2" fillId="0" borderId="1" xfId="3" applyNumberFormat="1" applyFont="1" applyBorder="1"/>
    <xf numFmtId="4" fontId="2" fillId="0" borderId="1" xfId="3" applyNumberFormat="1" applyFont="1" applyBorder="1"/>
    <xf numFmtId="11" fontId="32" fillId="38" borderId="16" xfId="0" applyNumberFormat="1" applyFont="1" applyFill="1" applyBorder="1" applyAlignment="1">
      <alignment vertical="center"/>
    </xf>
    <xf numFmtId="183" fontId="2" fillId="2" borderId="1" xfId="3" applyNumberFormat="1" applyFont="1" applyFill="1" applyBorder="1"/>
    <xf numFmtId="183" fontId="32" fillId="21" borderId="16" xfId="0" applyNumberFormat="1" applyFont="1" applyFill="1" applyBorder="1" applyAlignment="1">
      <alignment vertical="center"/>
    </xf>
    <xf numFmtId="183" fontId="32" fillId="38" borderId="16" xfId="0" applyNumberFormat="1" applyFont="1" applyFill="1" applyBorder="1" applyAlignment="1">
      <alignment vertical="center"/>
    </xf>
    <xf numFmtId="11" fontId="0" fillId="0" borderId="0" xfId="0" applyNumberFormat="1"/>
    <xf numFmtId="183" fontId="0" fillId="0" borderId="0" xfId="0" applyNumberFormat="1"/>
    <xf numFmtId="11" fontId="19" fillId="0" borderId="0" xfId="0" applyNumberFormat="1" applyFont="1" applyBorder="1" applyAlignment="1">
      <alignment horizontal="center"/>
    </xf>
    <xf numFmtId="11" fontId="19" fillId="24" borderId="12" xfId="0" applyNumberFormat="1" applyFont="1" applyFill="1" applyBorder="1" applyAlignment="1">
      <alignment horizontal="center"/>
    </xf>
    <xf numFmtId="43" fontId="0" fillId="0" borderId="27" xfId="0" applyNumberFormat="1" applyBorder="1"/>
    <xf numFmtId="11" fontId="0" fillId="2" borderId="28" xfId="0" applyNumberFormat="1" applyFill="1" applyBorder="1"/>
    <xf numFmtId="43" fontId="0" fillId="0" borderId="28" xfId="0" applyNumberFormat="1" applyBorder="1"/>
    <xf numFmtId="11" fontId="0" fillId="8" borderId="1" xfId="0" applyNumberFormat="1" applyFill="1" applyBorder="1"/>
    <xf numFmtId="11" fontId="0" fillId="38" borderId="1" xfId="0" applyNumberFormat="1" applyFill="1" applyBorder="1"/>
    <xf numFmtId="11" fontId="0" fillId="8" borderId="2" xfId="0" applyNumberFormat="1" applyFill="1" applyBorder="1"/>
    <xf numFmtId="11" fontId="0" fillId="8" borderId="3" xfId="0" applyNumberFormat="1" applyFill="1" applyBorder="1"/>
    <xf numFmtId="11" fontId="0" fillId="38" borderId="16" xfId="0" applyNumberFormat="1" applyFill="1" applyBorder="1"/>
    <xf numFmtId="11" fontId="0" fillId="8" borderId="16" xfId="0" applyNumberFormat="1" applyFill="1" applyBorder="1"/>
    <xf numFmtId="11" fontId="0" fillId="8" borderId="50" xfId="0" applyNumberFormat="1" applyFill="1" applyBorder="1"/>
    <xf numFmtId="11" fontId="0" fillId="38" borderId="36" xfId="0" applyNumberFormat="1" applyFill="1" applyBorder="1"/>
    <xf numFmtId="11" fontId="0" fillId="8" borderId="36" xfId="0" applyNumberFormat="1" applyFill="1" applyBorder="1"/>
    <xf numFmtId="11" fontId="0" fillId="2" borderId="44" xfId="0" applyNumberFormat="1" applyFill="1" applyBorder="1"/>
    <xf numFmtId="11" fontId="0" fillId="2" borderId="45" xfId="0" applyNumberFormat="1" applyFill="1" applyBorder="1"/>
    <xf numFmtId="0" fontId="0" fillId="22" borderId="13" xfId="0" applyFill="1" applyBorder="1"/>
    <xf numFmtId="173" fontId="0" fillId="22" borderId="26" xfId="0" applyNumberFormat="1" applyFill="1" applyBorder="1"/>
    <xf numFmtId="173" fontId="0" fillId="22" borderId="24" xfId="0" applyNumberFormat="1" applyFill="1" applyBorder="1"/>
    <xf numFmtId="173" fontId="0" fillId="22" borderId="52" xfId="0" applyNumberFormat="1" applyFill="1" applyBorder="1"/>
    <xf numFmtId="173" fontId="0" fillId="0" borderId="46" xfId="0" applyNumberFormat="1" applyBorder="1"/>
    <xf numFmtId="173" fontId="0" fillId="0" borderId="0" xfId="0" applyNumberFormat="1"/>
    <xf numFmtId="0" fontId="18" fillId="12" borderId="43" xfId="0" applyFont="1" applyFill="1" applyBorder="1" applyAlignment="1">
      <alignment vertical="top" wrapText="1"/>
    </xf>
    <xf numFmtId="0" fontId="18" fillId="12" borderId="7" xfId="0" applyFont="1" applyFill="1" applyBorder="1"/>
    <xf numFmtId="43" fontId="0" fillId="12" borderId="7" xfId="0" applyNumberFormat="1" applyFill="1" applyBorder="1"/>
    <xf numFmtId="43" fontId="0" fillId="12" borderId="0" xfId="0" applyNumberFormat="1" applyFill="1" applyBorder="1"/>
    <xf numFmtId="43" fontId="0" fillId="12" borderId="28" xfId="0" applyNumberFormat="1" applyFill="1" applyBorder="1"/>
    <xf numFmtId="4" fontId="15" fillId="12" borderId="187" xfId="6" applyNumberFormat="1" applyFont="1" applyFill="1" applyBorder="1"/>
    <xf numFmtId="4" fontId="19" fillId="12" borderId="0" xfId="0" applyNumberFormat="1" applyFont="1" applyFill="1" applyBorder="1" applyAlignment="1">
      <alignment wrapText="1"/>
    </xf>
    <xf numFmtId="4" fontId="19" fillId="12" borderId="0" xfId="0" applyNumberFormat="1" applyFont="1" applyFill="1" applyBorder="1"/>
    <xf numFmtId="4" fontId="19" fillId="12" borderId="8" xfId="0" applyNumberFormat="1" applyFont="1" applyFill="1" applyBorder="1"/>
    <xf numFmtId="4" fontId="15" fillId="12" borderId="184" xfId="6" applyNumberFormat="1" applyFont="1" applyFill="1"/>
    <xf numFmtId="0" fontId="0" fillId="12" borderId="0" xfId="0" applyFill="1"/>
    <xf numFmtId="0" fontId="34" fillId="0" borderId="122" xfId="0" applyFont="1" applyBorder="1"/>
    <xf numFmtId="0" fontId="34" fillId="0" borderId="0" xfId="0" applyFont="1" applyBorder="1"/>
    <xf numFmtId="43" fontId="18" fillId="0" borderId="1" xfId="1" applyFont="1" applyFill="1" applyBorder="1"/>
    <xf numFmtId="10" fontId="0" fillId="52" borderId="1" xfId="0" applyNumberFormat="1" applyFill="1" applyBorder="1"/>
    <xf numFmtId="10" fontId="59" fillId="15" borderId="1" xfId="0" applyNumberFormat="1" applyFont="1" applyFill="1" applyBorder="1"/>
    <xf numFmtId="11" fontId="0" fillId="0" borderId="0" xfId="0" applyNumberFormat="1" applyFill="1" applyBorder="1"/>
    <xf numFmtId="10" fontId="18" fillId="0" borderId="0" xfId="0" applyNumberFormat="1" applyFont="1" applyBorder="1" applyAlignment="1">
      <alignment horizontal="center"/>
    </xf>
    <xf numFmtId="3" fontId="20" fillId="0" borderId="7" xfId="0" applyNumberFormat="1" applyFont="1" applyFill="1" applyBorder="1"/>
    <xf numFmtId="10" fontId="20" fillId="0" borderId="8" xfId="0" applyNumberFormat="1" applyFont="1" applyFill="1" applyBorder="1"/>
    <xf numFmtId="3" fontId="20" fillId="0" borderId="9" xfId="0" applyNumberFormat="1" applyFont="1" applyFill="1" applyBorder="1"/>
    <xf numFmtId="10" fontId="0" fillId="0" borderId="12" xfId="0" applyNumberFormat="1" applyFill="1" applyBorder="1"/>
    <xf numFmtId="0" fontId="18" fillId="0" borderId="14" xfId="0" applyFont="1" applyFill="1" applyBorder="1" applyAlignment="1">
      <alignment wrapText="1"/>
    </xf>
    <xf numFmtId="0" fontId="18" fillId="0" borderId="14" xfId="0" applyFont="1" applyFill="1" applyBorder="1" applyAlignment="1">
      <alignment horizontal="center" wrapText="1"/>
    </xf>
    <xf numFmtId="0" fontId="18" fillId="0" borderId="15" xfId="0" applyFont="1" applyFill="1" applyBorder="1" applyAlignment="1">
      <alignment wrapText="1"/>
    </xf>
    <xf numFmtId="3" fontId="20" fillId="0" borderId="3" xfId="0" applyNumberFormat="1" applyFont="1" applyFill="1" applyBorder="1" applyAlignment="1">
      <alignment wrapText="1"/>
    </xf>
    <xf numFmtId="0" fontId="0" fillId="0" borderId="14" xfId="0" applyFill="1" applyBorder="1" applyAlignment="1">
      <alignment vertical="center"/>
    </xf>
    <xf numFmtId="10" fontId="0" fillId="0" borderId="10" xfId="0" applyNumberFormat="1" applyBorder="1"/>
    <xf numFmtId="0" fontId="18" fillId="0" borderId="0" xfId="0" applyFont="1"/>
    <xf numFmtId="4" fontId="2" fillId="0" borderId="0" xfId="0" applyNumberFormat="1" applyFont="1" applyBorder="1" applyAlignment="1">
      <alignment wrapText="1"/>
    </xf>
    <xf numFmtId="9" fontId="0" fillId="0" borderId="54" xfId="0" applyNumberFormat="1" applyFill="1" applyBorder="1"/>
    <xf numFmtId="4" fontId="71" fillId="0" borderId="28" xfId="0" applyNumberFormat="1" applyFont="1" applyBorder="1"/>
    <xf numFmtId="4" fontId="18" fillId="0" borderId="87" xfId="0" applyNumberFormat="1" applyFont="1" applyFill="1" applyBorder="1"/>
    <xf numFmtId="0" fontId="0" fillId="0" borderId="13" xfId="0" applyFont="1" applyFill="1" applyBorder="1" applyAlignment="1">
      <alignment wrapText="1"/>
    </xf>
    <xf numFmtId="0" fontId="0" fillId="0" borderId="15" xfId="0" applyFont="1" applyBorder="1"/>
    <xf numFmtId="166" fontId="19" fillId="0" borderId="0" xfId="0" applyNumberFormat="1" applyFont="1" applyFill="1" applyBorder="1"/>
    <xf numFmtId="166" fontId="19" fillId="0" borderId="7" xfId="0" applyNumberFormat="1" applyFont="1" applyFill="1" applyBorder="1"/>
    <xf numFmtId="166" fontId="19" fillId="0" borderId="8" xfId="0" applyNumberFormat="1" applyFont="1" applyFill="1" applyBorder="1"/>
    <xf numFmtId="166" fontId="19" fillId="0" borderId="9" xfId="0" applyNumberFormat="1" applyFont="1" applyFill="1" applyBorder="1"/>
    <xf numFmtId="166" fontId="19" fillId="0" borderId="12" xfId="0" applyNumberFormat="1" applyFont="1" applyFill="1" applyBorder="1"/>
    <xf numFmtId="166" fontId="19" fillId="0" borderId="10" xfId="0" applyNumberFormat="1" applyFont="1" applyFill="1" applyBorder="1"/>
    <xf numFmtId="0" fontId="19" fillId="0" borderId="122" xfId="0" applyFont="1" applyBorder="1"/>
    <xf numFmtId="0" fontId="19" fillId="0" borderId="43" xfId="0" applyFont="1" applyBorder="1"/>
    <xf numFmtId="6" fontId="19" fillId="0" borderId="122" xfId="0" applyNumberFormat="1" applyFont="1" applyBorder="1"/>
    <xf numFmtId="168" fontId="59" fillId="35" borderId="1" xfId="1" applyNumberFormat="1" applyFont="1" applyFill="1" applyBorder="1"/>
    <xf numFmtId="168" fontId="109" fillId="35" borderId="1" xfId="1" applyNumberFormat="1" applyFont="1" applyFill="1" applyBorder="1"/>
    <xf numFmtId="43" fontId="33" fillId="0" borderId="0" xfId="0" applyNumberFormat="1" applyFont="1" applyFill="1" applyBorder="1"/>
    <xf numFmtId="168" fontId="59" fillId="35" borderId="36" xfId="1" applyNumberFormat="1" applyFont="1" applyFill="1" applyBorder="1"/>
    <xf numFmtId="3" fontId="22" fillId="0" borderId="0" xfId="0" applyNumberFormat="1" applyFont="1" applyFill="1" applyBorder="1" applyAlignment="1">
      <alignment horizontal="center" vertical="center" wrapText="1"/>
    </xf>
    <xf numFmtId="3" fontId="20" fillId="0" borderId="0" xfId="1" applyNumberFormat="1" applyFont="1" applyFill="1" applyBorder="1"/>
    <xf numFmtId="0" fontId="20" fillId="24" borderId="8" xfId="0" applyFont="1" applyFill="1" applyBorder="1"/>
    <xf numFmtId="0" fontId="20" fillId="0" borderId="10" xfId="0" applyFont="1" applyFill="1" applyBorder="1"/>
    <xf numFmtId="165" fontId="20" fillId="0" borderId="7" xfId="1" applyNumberFormat="1" applyFont="1" applyFill="1" applyBorder="1" applyAlignment="1">
      <alignment horizontal="right"/>
    </xf>
    <xf numFmtId="3" fontId="20" fillId="0" borderId="11" xfId="0" applyNumberFormat="1" applyFont="1" applyBorder="1"/>
    <xf numFmtId="4" fontId="15" fillId="0" borderId="4" xfId="0" applyNumberFormat="1" applyFont="1" applyBorder="1"/>
    <xf numFmtId="176" fontId="80" fillId="0" borderId="0" xfId="0" applyNumberFormat="1" applyFont="1"/>
    <xf numFmtId="173" fontId="0" fillId="0" borderId="0" xfId="0" applyNumberFormat="1" applyBorder="1"/>
    <xf numFmtId="176" fontId="80" fillId="0" borderId="8" xfId="0" applyNumberFormat="1" applyFont="1" applyBorder="1"/>
    <xf numFmtId="173" fontId="0" fillId="0" borderId="12" xfId="0" applyNumberFormat="1" applyBorder="1"/>
    <xf numFmtId="176" fontId="80" fillId="0" borderId="10" xfId="0" applyNumberFormat="1" applyFont="1" applyBorder="1"/>
    <xf numFmtId="0" fontId="0" fillId="0" borderId="8" xfId="0" applyBorder="1" applyAlignment="1">
      <alignment wrapText="1"/>
    </xf>
    <xf numFmtId="3" fontId="18" fillId="52" borderId="32" xfId="0" applyNumberFormat="1" applyFont="1" applyFill="1" applyBorder="1"/>
    <xf numFmtId="3" fontId="40" fillId="52" borderId="36" xfId="3" applyNumberFormat="1" applyFont="1" applyFill="1" applyBorder="1"/>
    <xf numFmtId="4" fontId="112" fillId="15" borderId="2" xfId="0" applyNumberFormat="1" applyFont="1" applyFill="1" applyBorder="1" applyAlignment="1">
      <alignment horizontal="right" vertical="center"/>
    </xf>
    <xf numFmtId="4" fontId="61" fillId="15" borderId="16" xfId="0" applyNumberFormat="1" applyFont="1" applyFill="1" applyBorder="1"/>
    <xf numFmtId="4" fontId="112" fillId="15" borderId="16" xfId="0" applyNumberFormat="1" applyFont="1" applyFill="1" applyBorder="1" applyAlignment="1">
      <alignment horizontal="right" vertical="center"/>
    </xf>
    <xf numFmtId="176" fontId="61" fillId="15" borderId="16" xfId="0" applyNumberFormat="1" applyFont="1" applyFill="1" applyBorder="1"/>
    <xf numFmtId="2" fontId="58" fillId="15" borderId="16" xfId="0" applyNumberFormat="1" applyFont="1" applyFill="1" applyBorder="1"/>
    <xf numFmtId="4" fontId="58" fillId="15" borderId="16" xfId="0" applyNumberFormat="1" applyFont="1" applyFill="1" applyBorder="1"/>
    <xf numFmtId="176" fontId="58" fillId="15" borderId="16" xfId="0" applyNumberFormat="1" applyFont="1" applyFill="1" applyBorder="1"/>
    <xf numFmtId="179" fontId="58" fillId="15" borderId="26" xfId="0" applyNumberFormat="1" applyFont="1" applyFill="1" applyBorder="1"/>
    <xf numFmtId="43" fontId="0" fillId="0" borderId="178" xfId="1" applyFont="1" applyFill="1" applyBorder="1"/>
    <xf numFmtId="10" fontId="58" fillId="35" borderId="19" xfId="0" applyNumberFormat="1" applyFont="1" applyFill="1" applyBorder="1"/>
    <xf numFmtId="10" fontId="58" fillId="35" borderId="19" xfId="1" applyNumberFormat="1" applyFont="1" applyFill="1" applyBorder="1"/>
    <xf numFmtId="10" fontId="58" fillId="35" borderId="20" xfId="1" applyNumberFormat="1" applyFont="1" applyFill="1" applyBorder="1"/>
    <xf numFmtId="0" fontId="33" fillId="0" borderId="0" xfId="0" applyFont="1" applyFill="1" applyBorder="1" applyAlignment="1"/>
    <xf numFmtId="10" fontId="33" fillId="0" borderId="0" xfId="0" applyNumberFormat="1" applyFont="1" applyFill="1" applyBorder="1"/>
    <xf numFmtId="0" fontId="19" fillId="0" borderId="122" xfId="0" applyFont="1" applyFill="1" applyBorder="1" applyAlignment="1">
      <alignment wrapText="1"/>
    </xf>
    <xf numFmtId="0" fontId="0" fillId="0" borderId="171" xfId="0" applyFill="1" applyBorder="1"/>
    <xf numFmtId="4" fontId="115" fillId="0" borderId="0" xfId="7" applyNumberFormat="1" applyFont="1" applyBorder="1"/>
    <xf numFmtId="4" fontId="0" fillId="0" borderId="0" xfId="0" applyNumberFormat="1" applyAlignment="1">
      <alignment horizontal="left" vertical="top"/>
    </xf>
    <xf numFmtId="169" fontId="0" fillId="0" borderId="31" xfId="1" applyNumberFormat="1" applyFont="1" applyBorder="1"/>
    <xf numFmtId="4" fontId="95" fillId="0" borderId="0" xfId="0" applyNumberFormat="1" applyFont="1" applyAlignment="1">
      <alignment horizontal="left" vertical="top"/>
    </xf>
    <xf numFmtId="4" fontId="0" fillId="0" borderId="42" xfId="1" applyNumberFormat="1" applyFont="1" applyBorder="1"/>
    <xf numFmtId="0" fontId="20" fillId="44" borderId="9" xfId="0" applyFont="1" applyFill="1" applyBorder="1"/>
    <xf numFmtId="0" fontId="20" fillId="44" borderId="12" xfId="0" applyFont="1" applyFill="1" applyBorder="1"/>
    <xf numFmtId="165" fontId="20" fillId="44" borderId="12" xfId="0" applyNumberFormat="1" applyFont="1" applyFill="1" applyBorder="1"/>
    <xf numFmtId="4" fontId="20" fillId="44" borderId="9" xfId="0" applyNumberFormat="1" applyFont="1" applyFill="1" applyBorder="1"/>
    <xf numFmtId="4" fontId="20" fillId="44" borderId="12" xfId="0" applyNumberFormat="1" applyFont="1" applyFill="1" applyBorder="1"/>
    <xf numFmtId="0" fontId="0" fillId="44" borderId="26" xfId="0" applyFill="1" applyBorder="1"/>
    <xf numFmtId="0" fontId="0" fillId="44" borderId="24" xfId="0" applyFill="1" applyBorder="1"/>
    <xf numFmtId="4" fontId="20" fillId="5" borderId="10" xfId="0" applyNumberFormat="1" applyFont="1" applyFill="1" applyBorder="1"/>
    <xf numFmtId="165" fontId="20" fillId="21" borderId="7" xfId="1" applyNumberFormat="1" applyFont="1" applyFill="1" applyBorder="1"/>
    <xf numFmtId="165" fontId="23" fillId="21" borderId="0" xfId="1" applyNumberFormat="1" applyFont="1" applyFill="1" applyBorder="1"/>
    <xf numFmtId="165" fontId="23" fillId="21" borderId="8" xfId="1" applyNumberFormat="1" applyFont="1" applyFill="1" applyBorder="1"/>
    <xf numFmtId="3" fontId="0" fillId="16" borderId="10" xfId="0" applyNumberFormat="1" applyFill="1" applyBorder="1"/>
    <xf numFmtId="3" fontId="6" fillId="16" borderId="8" xfId="0" applyNumberFormat="1" applyFont="1" applyFill="1" applyBorder="1"/>
    <xf numFmtId="3" fontId="0" fillId="16" borderId="28" xfId="0" applyNumberFormat="1" applyFill="1" applyBorder="1"/>
    <xf numFmtId="3" fontId="6" fillId="16" borderId="28" xfId="0" applyNumberFormat="1" applyFont="1" applyFill="1" applyBorder="1"/>
    <xf numFmtId="3" fontId="0" fillId="16" borderId="29" xfId="0" applyNumberFormat="1" applyFill="1" applyBorder="1"/>
    <xf numFmtId="8" fontId="54" fillId="4" borderId="14" xfId="0" applyNumberFormat="1" applyFont="1" applyFill="1" applyBorder="1"/>
    <xf numFmtId="0" fontId="0" fillId="4" borderId="15" xfId="0" applyFill="1" applyBorder="1"/>
    <xf numFmtId="39" fontId="18" fillId="4" borderId="7" xfId="1" applyNumberFormat="1" applyFont="1" applyFill="1" applyBorder="1"/>
    <xf numFmtId="4" fontId="1" fillId="55" borderId="0" xfId="1" applyNumberFormat="1" applyFont="1" applyFill="1" applyBorder="1"/>
    <xf numFmtId="4" fontId="1" fillId="55" borderId="7" xfId="1" applyNumberFormat="1" applyFont="1" applyFill="1" applyBorder="1"/>
    <xf numFmtId="4" fontId="0" fillId="55" borderId="7" xfId="1" applyNumberFormat="1" applyFont="1" applyFill="1" applyBorder="1"/>
    <xf numFmtId="4" fontId="0" fillId="55" borderId="0" xfId="1" applyNumberFormat="1" applyFont="1" applyFill="1" applyBorder="1"/>
    <xf numFmtId="9" fontId="15" fillId="21" borderId="7" xfId="3" applyFont="1" applyFill="1" applyBorder="1"/>
    <xf numFmtId="0" fontId="0" fillId="0" borderId="9" xfId="0" applyFill="1" applyBorder="1" applyAlignment="1">
      <alignment horizontal="left" vertical="top" wrapText="1"/>
    </xf>
    <xf numFmtId="9" fontId="15" fillId="21" borderId="34" xfId="3" applyFont="1" applyFill="1" applyBorder="1"/>
    <xf numFmtId="4" fontId="0" fillId="0" borderId="5" xfId="0" applyNumberFormat="1" applyBorder="1"/>
    <xf numFmtId="4" fontId="0" fillId="0" borderId="11" xfId="1" applyNumberFormat="1" applyFont="1" applyBorder="1"/>
    <xf numFmtId="4" fontId="0" fillId="0" borderId="5" xfId="1" applyNumberFormat="1" applyFont="1" applyBorder="1"/>
    <xf numFmtId="4" fontId="0" fillId="0" borderId="11" xfId="1" applyNumberFormat="1" applyFont="1" applyBorder="1" applyAlignment="1">
      <alignment horizontal="right"/>
    </xf>
    <xf numFmtId="4" fontId="19" fillId="5" borderId="0" xfId="0" applyNumberFormat="1" applyFont="1" applyFill="1" applyBorder="1" applyAlignment="1" applyProtection="1">
      <alignment horizontal="center" vertical="center"/>
    </xf>
    <xf numFmtId="4" fontId="0" fillId="0" borderId="8" xfId="1" applyNumberFormat="1" applyFont="1" applyFill="1" applyBorder="1"/>
    <xf numFmtId="4" fontId="0" fillId="0" borderId="0" xfId="1" applyNumberFormat="1" applyFont="1" applyBorder="1"/>
    <xf numFmtId="4" fontId="0" fillId="0" borderId="7" xfId="1" applyNumberFormat="1" applyFont="1" applyBorder="1"/>
    <xf numFmtId="4" fontId="0" fillId="0" borderId="0" xfId="1" applyNumberFormat="1" applyFont="1" applyBorder="1" applyAlignment="1">
      <alignment horizontal="right"/>
    </xf>
    <xf numFmtId="4" fontId="15" fillId="0" borderId="0" xfId="1" applyNumberFormat="1" applyFont="1" applyBorder="1"/>
    <xf numFmtId="4" fontId="0" fillId="55" borderId="8" xfId="1" applyNumberFormat="1" applyFont="1" applyFill="1" applyBorder="1"/>
    <xf numFmtId="4" fontId="0" fillId="55" borderId="0" xfId="1" applyNumberFormat="1" applyFont="1" applyFill="1" applyBorder="1" applyAlignment="1">
      <alignment horizontal="right"/>
    </xf>
    <xf numFmtId="4" fontId="0" fillId="0" borderId="0" xfId="1" applyNumberFormat="1" applyFont="1" applyFill="1" applyBorder="1" applyAlignment="1">
      <alignment horizontal="right"/>
    </xf>
    <xf numFmtId="4" fontId="23" fillId="0" borderId="0" xfId="1" applyNumberFormat="1" applyFont="1" applyFill="1" applyBorder="1"/>
    <xf numFmtId="4" fontId="15" fillId="10" borderId="7" xfId="1" applyNumberFormat="1" applyFont="1" applyFill="1" applyBorder="1"/>
    <xf numFmtId="4" fontId="0" fillId="21" borderId="7" xfId="1" applyNumberFormat="1" applyFont="1" applyFill="1" applyBorder="1"/>
    <xf numFmtId="4" fontId="0" fillId="21" borderId="0" xfId="1" applyNumberFormat="1" applyFont="1" applyFill="1" applyBorder="1"/>
    <xf numFmtId="4" fontId="0" fillId="21" borderId="8" xfId="1" applyNumberFormat="1" applyFont="1" applyFill="1" applyBorder="1"/>
    <xf numFmtId="4" fontId="15" fillId="21" borderId="0" xfId="1" applyNumberFormat="1" applyFont="1" applyFill="1" applyBorder="1"/>
    <xf numFmtId="4" fontId="1" fillId="10" borderId="0" xfId="1" applyNumberFormat="1" applyFont="1" applyFill="1" applyBorder="1"/>
    <xf numFmtId="4" fontId="0" fillId="10" borderId="8" xfId="1" applyNumberFormat="1" applyFont="1" applyFill="1" applyBorder="1"/>
    <xf numFmtId="0" fontId="11" fillId="4" borderId="7" xfId="0" applyFont="1" applyFill="1" applyBorder="1" applyAlignment="1">
      <alignment wrapText="1"/>
    </xf>
    <xf numFmtId="9" fontId="19" fillId="0" borderId="0" xfId="3" applyFont="1" applyBorder="1"/>
    <xf numFmtId="9" fontId="19" fillId="2" borderId="0" xfId="3" applyFont="1" applyFill="1" applyBorder="1"/>
    <xf numFmtId="9" fontId="15" fillId="21" borderId="0" xfId="3" applyFont="1" applyFill="1" applyBorder="1"/>
    <xf numFmtId="4" fontId="15" fillId="10" borderId="0" xfId="1" applyNumberFormat="1" applyFont="1" applyFill="1" applyBorder="1"/>
    <xf numFmtId="9" fontId="15" fillId="21" borderId="8" xfId="3" applyFont="1" applyFill="1" applyBorder="1"/>
    <xf numFmtId="43" fontId="15" fillId="21" borderId="8" xfId="1" applyFont="1" applyFill="1" applyBorder="1"/>
    <xf numFmtId="4" fontId="19" fillId="0" borderId="7" xfId="0" applyNumberFormat="1" applyFont="1" applyFill="1" applyBorder="1" applyAlignment="1" applyProtection="1">
      <alignment horizontal="right" vertical="center"/>
    </xf>
    <xf numFmtId="4" fontId="19" fillId="5" borderId="11" xfId="0" applyNumberFormat="1" applyFont="1" applyFill="1" applyBorder="1" applyAlignment="1" applyProtection="1">
      <alignment horizontal="center" vertical="center"/>
    </xf>
    <xf numFmtId="4" fontId="0" fillId="0" borderId="6" xfId="1" applyNumberFormat="1" applyFont="1" applyFill="1" applyBorder="1"/>
    <xf numFmtId="4" fontId="1" fillId="10" borderId="7" xfId="1" applyNumberFormat="1" applyFont="1" applyFill="1" applyBorder="1"/>
    <xf numFmtId="4" fontId="0" fillId="0" borderId="6" xfId="1" applyNumberFormat="1" applyFont="1" applyBorder="1"/>
    <xf numFmtId="43" fontId="0" fillId="55" borderId="9" xfId="1" applyFont="1" applyFill="1" applyBorder="1"/>
    <xf numFmtId="43" fontId="0" fillId="55" borderId="12" xfId="1" applyFont="1" applyFill="1" applyBorder="1"/>
    <xf numFmtId="43" fontId="0" fillId="55" borderId="10" xfId="1" applyFont="1" applyFill="1" applyBorder="1"/>
    <xf numFmtId="169" fontId="0" fillId="0" borderId="7" xfId="1" applyNumberFormat="1" applyFont="1" applyBorder="1"/>
    <xf numFmtId="169" fontId="0" fillId="0" borderId="0" xfId="1" applyNumberFormat="1" applyFont="1" applyBorder="1"/>
    <xf numFmtId="169" fontId="0" fillId="0" borderId="8" xfId="1" applyNumberFormat="1" applyFont="1" applyBorder="1"/>
    <xf numFmtId="169" fontId="0" fillId="55" borderId="7" xfId="1" applyNumberFormat="1" applyFont="1" applyFill="1" applyBorder="1"/>
    <xf numFmtId="169" fontId="0" fillId="55" borderId="0" xfId="1" applyNumberFormat="1" applyFont="1" applyFill="1" applyBorder="1"/>
    <xf numFmtId="169" fontId="0" fillId="55" borderId="8" xfId="1" applyNumberFormat="1" applyFont="1" applyFill="1" applyBorder="1"/>
    <xf numFmtId="169" fontId="0" fillId="21" borderId="7" xfId="1" applyNumberFormat="1" applyFont="1" applyFill="1" applyBorder="1"/>
    <xf numFmtId="169" fontId="0" fillId="21" borderId="0" xfId="1" applyNumberFormat="1" applyFont="1" applyFill="1" applyBorder="1"/>
    <xf numFmtId="169" fontId="15" fillId="21" borderId="7" xfId="1" applyNumberFormat="1" applyFont="1" applyFill="1" applyBorder="1"/>
    <xf numFmtId="169" fontId="15" fillId="21" borderId="0" xfId="1" applyNumberFormat="1" applyFont="1" applyFill="1" applyBorder="1"/>
    <xf numFmtId="169" fontId="15" fillId="21" borderId="8" xfId="1" applyNumberFormat="1" applyFont="1" applyFill="1" applyBorder="1"/>
    <xf numFmtId="169" fontId="0" fillId="0" borderId="9" xfId="1" applyNumberFormat="1" applyFont="1" applyFill="1" applyBorder="1"/>
    <xf numFmtId="169" fontId="0" fillId="0" borderId="12" xfId="1" applyNumberFormat="1" applyFont="1" applyFill="1" applyBorder="1"/>
    <xf numFmtId="169" fontId="0" fillId="0" borderId="10" xfId="1" applyNumberFormat="1" applyFont="1" applyFill="1" applyBorder="1"/>
    <xf numFmtId="0" fontId="116" fillId="0" borderId="7" xfId="0" applyFont="1" applyFill="1" applyBorder="1"/>
    <xf numFmtId="0" fontId="116" fillId="4" borderId="7" xfId="0" applyFont="1" applyFill="1" applyBorder="1" applyAlignment="1">
      <alignment wrapText="1"/>
    </xf>
    <xf numFmtId="0" fontId="116" fillId="0" borderId="7" xfId="0" applyFont="1" applyFill="1" applyBorder="1" applyAlignment="1">
      <alignment wrapText="1"/>
    </xf>
    <xf numFmtId="43" fontId="0" fillId="0" borderId="0" xfId="0" applyNumberFormat="1" applyFill="1"/>
    <xf numFmtId="0" fontId="11" fillId="4" borderId="1" xfId="0" applyFont="1" applyFill="1" applyBorder="1" applyAlignment="1">
      <alignment wrapText="1"/>
    </xf>
    <xf numFmtId="4" fontId="0" fillId="0" borderId="2" xfId="1" applyNumberFormat="1" applyFont="1" applyFill="1" applyBorder="1"/>
    <xf numFmtId="4" fontId="0" fillId="0" borderId="4" xfId="1" applyNumberFormat="1" applyFont="1" applyFill="1" applyBorder="1"/>
    <xf numFmtId="4" fontId="0" fillId="0" borderId="34" xfId="1" applyNumberFormat="1" applyFont="1" applyFill="1" applyBorder="1"/>
    <xf numFmtId="4" fontId="0" fillId="0" borderId="16" xfId="0" applyNumberFormat="1" applyBorder="1" applyAlignment="1">
      <alignment horizontal="center"/>
    </xf>
    <xf numFmtId="4" fontId="0" fillId="0" borderId="35" xfId="1" applyNumberFormat="1" applyFont="1" applyFill="1" applyBorder="1"/>
    <xf numFmtId="4" fontId="0" fillId="2" borderId="34" xfId="1" applyNumberFormat="1" applyFont="1" applyFill="1" applyBorder="1"/>
    <xf numFmtId="4" fontId="0" fillId="2" borderId="31" xfId="1" applyNumberFormat="1" applyFont="1" applyFill="1" applyBorder="1"/>
    <xf numFmtId="4" fontId="0" fillId="2" borderId="35" xfId="1" applyNumberFormat="1" applyFont="1" applyFill="1" applyBorder="1"/>
    <xf numFmtId="4" fontId="0" fillId="2" borderId="16" xfId="0" applyNumberFormat="1" applyFill="1" applyBorder="1" applyAlignment="1">
      <alignment horizontal="center"/>
    </xf>
    <xf numFmtId="4" fontId="0" fillId="2" borderId="1" xfId="0" applyNumberFormat="1" applyFill="1" applyBorder="1" applyAlignment="1">
      <alignment horizontal="center"/>
    </xf>
    <xf numFmtId="4" fontId="0" fillId="0" borderId="1" xfId="0" applyNumberFormat="1" applyBorder="1" applyAlignment="1">
      <alignment horizontal="center"/>
    </xf>
    <xf numFmtId="4" fontId="0" fillId="10" borderId="1" xfId="1" applyNumberFormat="1" applyFont="1" applyFill="1" applyBorder="1"/>
    <xf numFmtId="4" fontId="0" fillId="10" borderId="17" xfId="1" applyNumberFormat="1" applyFont="1" applyFill="1" applyBorder="1"/>
    <xf numFmtId="4" fontId="0" fillId="10" borderId="16" xfId="0" applyNumberFormat="1" applyFill="1" applyBorder="1"/>
    <xf numFmtId="4" fontId="0" fillId="10" borderId="1" xfId="0" applyNumberFormat="1" applyFill="1" applyBorder="1"/>
    <xf numFmtId="4" fontId="1" fillId="21" borderId="34" xfId="1" applyNumberFormat="1" applyFont="1" applyFill="1" applyBorder="1"/>
    <xf numFmtId="169" fontId="0" fillId="0" borderId="16" xfId="1" applyNumberFormat="1" applyFont="1" applyBorder="1"/>
    <xf numFmtId="169" fontId="0" fillId="0" borderId="177" xfId="1" applyNumberFormat="1" applyFont="1" applyBorder="1"/>
    <xf numFmtId="169" fontId="11" fillId="0" borderId="26" xfId="2" applyNumberFormat="1" applyFont="1" applyFill="1" applyBorder="1"/>
    <xf numFmtId="0" fontId="0" fillId="0" borderId="0" xfId="0" applyBorder="1" applyAlignment="1">
      <alignment vertical="top"/>
    </xf>
    <xf numFmtId="0" fontId="0" fillId="4" borderId="0" xfId="0" applyFill="1" applyBorder="1" applyAlignment="1">
      <alignment vertical="top" wrapText="1"/>
    </xf>
    <xf numFmtId="0" fontId="0" fillId="19" borderId="0" xfId="0" applyFill="1" applyBorder="1" applyAlignment="1">
      <alignment horizontal="left" vertical="top" wrapText="1"/>
    </xf>
    <xf numFmtId="0" fontId="0" fillId="19" borderId="0" xfId="0" applyFill="1" applyBorder="1" applyAlignment="1">
      <alignment vertical="top"/>
    </xf>
    <xf numFmtId="4" fontId="0" fillId="49" borderId="6" xfId="1" applyNumberFormat="1" applyFont="1" applyFill="1" applyBorder="1"/>
    <xf numFmtId="4" fontId="15" fillId="0" borderId="8" xfId="0" applyNumberFormat="1" applyFont="1" applyFill="1" applyBorder="1"/>
    <xf numFmtId="4" fontId="15" fillId="0" borderId="5" xfId="1" applyNumberFormat="1" applyFont="1" applyFill="1" applyBorder="1"/>
    <xf numFmtId="4" fontId="15" fillId="0" borderId="11" xfId="1" applyNumberFormat="1" applyFont="1" applyFill="1" applyBorder="1"/>
    <xf numFmtId="4" fontId="0" fillId="10" borderId="7" xfId="0" applyNumberFormat="1" applyFill="1" applyBorder="1"/>
    <xf numFmtId="10" fontId="0" fillId="10" borderId="7" xfId="0" applyNumberFormat="1" applyFill="1" applyBorder="1" applyAlignment="1">
      <alignment vertical="top"/>
    </xf>
    <xf numFmtId="10" fontId="15" fillId="8" borderId="7" xfId="3" applyNumberFormat="1" applyFont="1" applyFill="1" applyBorder="1"/>
    <xf numFmtId="4" fontId="0" fillId="49" borderId="8" xfId="1" applyNumberFormat="1" applyFont="1" applyFill="1" applyBorder="1"/>
    <xf numFmtId="4" fontId="15" fillId="54" borderId="7" xfId="1" applyNumberFormat="1" applyFont="1" applyFill="1" applyBorder="1"/>
    <xf numFmtId="4" fontId="15" fillId="54" borderId="0" xfId="1" applyNumberFormat="1" applyFont="1" applyFill="1" applyBorder="1"/>
    <xf numFmtId="4" fontId="15" fillId="54" borderId="8" xfId="0" applyNumberFormat="1" applyFont="1" applyFill="1" applyBorder="1"/>
    <xf numFmtId="4" fontId="0" fillId="54" borderId="0" xfId="1" applyNumberFormat="1" applyFont="1" applyFill="1" applyBorder="1"/>
    <xf numFmtId="4" fontId="0" fillId="54" borderId="8" xfId="1" applyNumberFormat="1" applyFont="1" applyFill="1" applyBorder="1"/>
    <xf numFmtId="4" fontId="0" fillId="24" borderId="7" xfId="0" applyNumberFormat="1" applyFill="1" applyBorder="1"/>
    <xf numFmtId="4" fontId="17" fillId="0" borderId="0" xfId="0" applyNumberFormat="1" applyFont="1" applyFill="1" applyBorder="1" applyAlignment="1">
      <alignment vertical="center" wrapText="1"/>
    </xf>
    <xf numFmtId="4" fontId="0" fillId="8" borderId="7" xfId="0" applyNumberFormat="1" applyFill="1" applyBorder="1"/>
    <xf numFmtId="4" fontId="0" fillId="8" borderId="0" xfId="0" applyNumberFormat="1" applyFill="1" applyBorder="1"/>
    <xf numFmtId="4" fontId="0" fillId="49" borderId="8" xfId="0" applyNumberFormat="1" applyFill="1" applyBorder="1"/>
    <xf numFmtId="4" fontId="15" fillId="8" borderId="7" xfId="0" applyNumberFormat="1" applyFont="1" applyFill="1" applyBorder="1"/>
    <xf numFmtId="4" fontId="15" fillId="8" borderId="8" xfId="0" applyNumberFormat="1" applyFont="1" applyFill="1" applyBorder="1"/>
    <xf numFmtId="4" fontId="15" fillId="8" borderId="7" xfId="1" applyNumberFormat="1" applyFont="1" applyFill="1" applyBorder="1"/>
    <xf numFmtId="4" fontId="15" fillId="8" borderId="0" xfId="1" applyNumberFormat="1" applyFont="1" applyFill="1" applyBorder="1"/>
    <xf numFmtId="4" fontId="0" fillId="8" borderId="8" xfId="1" applyNumberFormat="1" applyFont="1" applyFill="1" applyBorder="1"/>
    <xf numFmtId="4" fontId="15" fillId="8" borderId="8" xfId="1" applyNumberFormat="1" applyFont="1" applyFill="1" applyBorder="1"/>
    <xf numFmtId="4" fontId="0" fillId="8" borderId="7" xfId="1" applyNumberFormat="1" applyFont="1" applyFill="1" applyBorder="1"/>
    <xf numFmtId="4" fontId="0" fillId="10" borderId="0" xfId="0" applyNumberFormat="1" applyFill="1" applyBorder="1"/>
    <xf numFmtId="10" fontId="0" fillId="10" borderId="0" xfId="0" applyNumberFormat="1" applyFill="1" applyBorder="1" applyAlignment="1">
      <alignment vertical="top"/>
    </xf>
    <xf numFmtId="4" fontId="0" fillId="24" borderId="0" xfId="0" applyNumberFormat="1" applyFill="1" applyBorder="1"/>
    <xf numFmtId="10" fontId="15" fillId="8" borderId="0" xfId="3" applyNumberFormat="1" applyFont="1" applyFill="1" applyBorder="1"/>
    <xf numFmtId="0" fontId="15" fillId="0" borderId="6" xfId="0" applyFont="1" applyFill="1" applyBorder="1"/>
    <xf numFmtId="4" fontId="15" fillId="8" borderId="0" xfId="0" applyNumberFormat="1" applyFont="1" applyFill="1" applyBorder="1"/>
    <xf numFmtId="10" fontId="0" fillId="10" borderId="8" xfId="0" applyNumberFormat="1" applyFill="1" applyBorder="1" applyAlignment="1">
      <alignment vertical="top"/>
    </xf>
    <xf numFmtId="10" fontId="15" fillId="8" borderId="8" xfId="3" applyNumberFormat="1" applyFont="1" applyFill="1" applyBorder="1"/>
    <xf numFmtId="4" fontId="0" fillId="10" borderId="8" xfId="0" applyNumberFormat="1" applyFill="1" applyBorder="1"/>
    <xf numFmtId="4" fontId="15" fillId="49" borderId="8" xfId="1" applyNumberFormat="1" applyFont="1" applyFill="1" applyBorder="1"/>
    <xf numFmtId="4" fontId="0" fillId="49" borderId="6" xfId="0" applyNumberFormat="1" applyFill="1" applyBorder="1"/>
    <xf numFmtId="4" fontId="15" fillId="0" borderId="6" xfId="0" applyNumberFormat="1" applyFont="1" applyFill="1" applyBorder="1"/>
    <xf numFmtId="4" fontId="0" fillId="24" borderId="8" xfId="0" applyNumberFormat="1" applyFill="1" applyBorder="1"/>
    <xf numFmtId="4" fontId="0" fillId="54" borderId="8" xfId="0" applyNumberFormat="1" applyFill="1" applyBorder="1"/>
    <xf numFmtId="4" fontId="15" fillId="0" borderId="5" xfId="0" applyNumberFormat="1" applyFont="1" applyFill="1" applyBorder="1"/>
    <xf numFmtId="4" fontId="15" fillId="0" borderId="11" xfId="0" applyNumberFormat="1" applyFont="1" applyFill="1" applyBorder="1"/>
    <xf numFmtId="4" fontId="15" fillId="0" borderId="6" xfId="1" applyNumberFormat="1" applyFont="1" applyFill="1" applyBorder="1"/>
    <xf numFmtId="4" fontId="15" fillId="54" borderId="8" xfId="1" applyNumberFormat="1" applyFont="1" applyFill="1" applyBorder="1"/>
    <xf numFmtId="4" fontId="15" fillId="0" borderId="8" xfId="1" applyNumberFormat="1" applyFont="1" applyFill="1" applyBorder="1"/>
    <xf numFmtId="164" fontId="0" fillId="19" borderId="7" xfId="0" applyNumberFormat="1" applyFill="1" applyBorder="1" applyAlignment="1">
      <alignment vertical="center"/>
    </xf>
    <xf numFmtId="164" fontId="0" fillId="19" borderId="0" xfId="0" applyNumberFormat="1" applyFill="1" applyBorder="1" applyAlignment="1">
      <alignment vertical="center"/>
    </xf>
    <xf numFmtId="43" fontId="0" fillId="19" borderId="7" xfId="0" applyNumberFormat="1" applyFill="1" applyBorder="1" applyAlignment="1">
      <alignment vertical="center"/>
    </xf>
    <xf numFmtId="43" fontId="0" fillId="19" borderId="0" xfId="0" applyNumberFormat="1" applyFill="1" applyBorder="1" applyAlignment="1">
      <alignment vertical="center"/>
    </xf>
    <xf numFmtId="43" fontId="0" fillId="19" borderId="8" xfId="0" applyNumberFormat="1" applyFill="1" applyBorder="1" applyAlignment="1">
      <alignment vertical="center"/>
    </xf>
    <xf numFmtId="0" fontId="0" fillId="19" borderId="10" xfId="0" applyFill="1" applyBorder="1" applyAlignment="1">
      <alignment vertical="center"/>
    </xf>
    <xf numFmtId="0" fontId="0" fillId="19" borderId="9" xfId="0" applyFill="1" applyBorder="1" applyAlignment="1">
      <alignment vertical="center"/>
    </xf>
    <xf numFmtId="0" fontId="0" fillId="19" borderId="12" xfId="0" applyFill="1" applyBorder="1" applyAlignment="1">
      <alignment vertical="center"/>
    </xf>
    <xf numFmtId="0" fontId="0" fillId="38" borderId="0" xfId="0" applyFill="1" applyBorder="1"/>
    <xf numFmtId="0" fontId="0" fillId="4" borderId="28" xfId="0" applyFill="1" applyBorder="1" applyAlignment="1">
      <alignment vertical="top" wrapText="1"/>
    </xf>
    <xf numFmtId="0" fontId="0" fillId="4" borderId="28" xfId="0" applyFill="1" applyBorder="1" applyAlignment="1">
      <alignment wrapText="1"/>
    </xf>
    <xf numFmtId="0" fontId="0" fillId="0" borderId="28" xfId="0" applyFill="1" applyBorder="1" applyAlignment="1">
      <alignment wrapText="1"/>
    </xf>
    <xf numFmtId="10" fontId="0" fillId="8" borderId="7" xfId="0" applyNumberFormat="1" applyFill="1" applyBorder="1"/>
    <xf numFmtId="4" fontId="0" fillId="0" borderId="6" xfId="0" applyNumberFormat="1" applyFill="1" applyBorder="1"/>
    <xf numFmtId="4" fontId="0" fillId="0" borderId="8" xfId="0" applyNumberFormat="1" applyFill="1" applyBorder="1"/>
    <xf numFmtId="10" fontId="0" fillId="8" borderId="0" xfId="0" applyNumberFormat="1" applyFill="1" applyBorder="1"/>
    <xf numFmtId="10" fontId="15" fillId="24" borderId="0" xfId="3" applyNumberFormat="1" applyFont="1" applyFill="1" applyBorder="1"/>
    <xf numFmtId="0" fontId="0" fillId="24" borderId="28" xfId="0" applyFill="1" applyBorder="1" applyAlignment="1">
      <alignment wrapText="1"/>
    </xf>
    <xf numFmtId="0" fontId="32" fillId="19" borderId="29" xfId="0" applyFont="1" applyFill="1" applyBorder="1" applyAlignment="1">
      <alignment vertical="top" wrapText="1"/>
    </xf>
    <xf numFmtId="0" fontId="0" fillId="4" borderId="28" xfId="0" applyFill="1" applyBorder="1" applyAlignment="1">
      <alignment vertical="top"/>
    </xf>
    <xf numFmtId="0" fontId="0" fillId="4" borderId="28" xfId="0" applyFill="1" applyBorder="1"/>
    <xf numFmtId="0" fontId="0" fillId="24" borderId="28" xfId="0" applyFill="1" applyBorder="1"/>
    <xf numFmtId="0" fontId="2" fillId="19" borderId="29" xfId="0" applyFont="1" applyFill="1" applyBorder="1" applyAlignment="1">
      <alignment vertical="top" wrapText="1"/>
    </xf>
    <xf numFmtId="4" fontId="0" fillId="8" borderId="8" xfId="0" applyNumberFormat="1" applyFill="1" applyBorder="1"/>
    <xf numFmtId="10" fontId="0" fillId="8" borderId="8" xfId="0" applyNumberFormat="1" applyFill="1" applyBorder="1"/>
    <xf numFmtId="164" fontId="0" fillId="19" borderId="8" xfId="0" applyNumberFormat="1" applyFill="1" applyBorder="1" applyAlignment="1">
      <alignment vertical="center"/>
    </xf>
    <xf numFmtId="10" fontId="15" fillId="24" borderId="7" xfId="3" applyNumberFormat="1" applyFont="1" applyFill="1" applyBorder="1"/>
    <xf numFmtId="10" fontId="15" fillId="24" borderId="8" xfId="3" applyNumberFormat="1" applyFont="1" applyFill="1" applyBorder="1"/>
    <xf numFmtId="164" fontId="0" fillId="19" borderId="9" xfId="0" applyNumberFormat="1" applyFill="1" applyBorder="1" applyAlignment="1">
      <alignment vertical="center"/>
    </xf>
    <xf numFmtId="164" fontId="0" fillId="19" borderId="12" xfId="0" applyNumberFormat="1" applyFill="1" applyBorder="1" applyAlignment="1">
      <alignment vertical="center"/>
    </xf>
    <xf numFmtId="164" fontId="0" fillId="19" borderId="10" xfId="0" applyNumberFormat="1" applyFill="1" applyBorder="1" applyAlignment="1">
      <alignment vertical="center"/>
    </xf>
    <xf numFmtId="43" fontId="0" fillId="19" borderId="9" xfId="0" applyNumberFormat="1" applyFill="1" applyBorder="1" applyAlignment="1">
      <alignment vertical="center"/>
    </xf>
    <xf numFmtId="43" fontId="0" fillId="19" borderId="12" xfId="0" applyNumberFormat="1" applyFill="1" applyBorder="1" applyAlignment="1">
      <alignment vertical="center"/>
    </xf>
    <xf numFmtId="43" fontId="0" fillId="19" borderId="10" xfId="0" applyNumberFormat="1" applyFill="1" applyBorder="1" applyAlignment="1">
      <alignment vertical="center"/>
    </xf>
    <xf numFmtId="4" fontId="0" fillId="8" borderId="9" xfId="1" applyNumberFormat="1" applyFont="1" applyFill="1" applyBorder="1"/>
    <xf numFmtId="4" fontId="0" fillId="8" borderId="12" xfId="1" applyNumberFormat="1" applyFont="1" applyFill="1" applyBorder="1"/>
    <xf numFmtId="4" fontId="0" fillId="8" borderId="10" xfId="1" applyNumberFormat="1" applyFont="1" applyFill="1" applyBorder="1"/>
    <xf numFmtId="0" fontId="13" fillId="0" borderId="0" xfId="0" applyFont="1" applyFill="1" applyBorder="1"/>
    <xf numFmtId="0" fontId="13" fillId="0" borderId="0" xfId="0" applyFont="1" applyFill="1" applyBorder="1" applyAlignment="1"/>
    <xf numFmtId="4" fontId="0" fillId="8" borderId="9" xfId="0" applyNumberFormat="1" applyFill="1" applyBorder="1"/>
    <xf numFmtId="4" fontId="0" fillId="8" borderId="12" xfId="0" applyNumberFormat="1" applyFill="1" applyBorder="1"/>
    <xf numFmtId="4" fontId="0" fillId="8" borderId="10" xfId="0" applyNumberFormat="1" applyFill="1" applyBorder="1"/>
    <xf numFmtId="43" fontId="2" fillId="19" borderId="0" xfId="1" applyFont="1" applyFill="1" applyBorder="1" applyAlignment="1">
      <alignment vertical="center" wrapText="1"/>
    </xf>
    <xf numFmtId="43" fontId="2" fillId="19" borderId="0" xfId="1" applyFont="1" applyFill="1" applyBorder="1" applyAlignment="1">
      <alignment vertical="center"/>
    </xf>
    <xf numFmtId="0" fontId="2" fillId="38" borderId="27" xfId="0" applyFont="1" applyFill="1" applyBorder="1" applyAlignment="1">
      <alignment horizontal="center" vertical="center"/>
    </xf>
    <xf numFmtId="0" fontId="0" fillId="38" borderId="8" xfId="0" applyFill="1" applyBorder="1"/>
    <xf numFmtId="0" fontId="0" fillId="38" borderId="11" xfId="0" applyFill="1" applyBorder="1"/>
    <xf numFmtId="0" fontId="2" fillId="38" borderId="28" xfId="0" applyFont="1" applyFill="1" applyBorder="1" applyAlignment="1">
      <alignment horizontal="center"/>
    </xf>
    <xf numFmtId="43" fontId="0" fillId="38" borderId="7" xfId="1" applyFont="1" applyFill="1" applyBorder="1"/>
    <xf numFmtId="43" fontId="0" fillId="38" borderId="0" xfId="1" applyFont="1" applyFill="1" applyBorder="1"/>
    <xf numFmtId="43" fontId="0" fillId="38" borderId="8" xfId="1" applyFont="1" applyFill="1" applyBorder="1"/>
    <xf numFmtId="0" fontId="2" fillId="38" borderId="28" xfId="0" applyFont="1" applyFill="1" applyBorder="1" applyAlignment="1">
      <alignment horizontal="center" wrapText="1"/>
    </xf>
    <xf numFmtId="0" fontId="2" fillId="38" borderId="28" xfId="0" applyFont="1" applyFill="1" applyBorder="1" applyAlignment="1">
      <alignment wrapText="1"/>
    </xf>
    <xf numFmtId="0" fontId="0" fillId="0" borderId="28" xfId="0" applyFont="1" applyFill="1" applyBorder="1" applyAlignment="1">
      <alignment horizontal="left"/>
    </xf>
    <xf numFmtId="4" fontId="2" fillId="50" borderId="0" xfId="0" applyNumberFormat="1" applyFont="1" applyFill="1" applyBorder="1"/>
    <xf numFmtId="4" fontId="2" fillId="50" borderId="0" xfId="1" applyNumberFormat="1" applyFont="1" applyFill="1" applyBorder="1"/>
    <xf numFmtId="4" fontId="1" fillId="49" borderId="8" xfId="1" applyNumberFormat="1" applyFont="1" applyFill="1" applyBorder="1"/>
    <xf numFmtId="4" fontId="0" fillId="13" borderId="7" xfId="1" applyNumberFormat="1" applyFont="1" applyFill="1" applyBorder="1"/>
    <xf numFmtId="4" fontId="2" fillId="50" borderId="7" xfId="1" applyNumberFormat="1" applyFont="1" applyFill="1" applyBorder="1"/>
    <xf numFmtId="10" fontId="2" fillId="8" borderId="0" xfId="1" applyNumberFormat="1" applyFont="1" applyFill="1" applyBorder="1"/>
    <xf numFmtId="0" fontId="2" fillId="19" borderId="28" xfId="0" applyFont="1" applyFill="1" applyBorder="1" applyAlignment="1">
      <alignment vertical="top" wrapText="1"/>
    </xf>
    <xf numFmtId="9" fontId="15" fillId="10" borderId="0" xfId="3" applyFont="1" applyFill="1" applyBorder="1"/>
    <xf numFmtId="43" fontId="6" fillId="38" borderId="0" xfId="0" applyNumberFormat="1" applyFont="1" applyFill="1" applyBorder="1"/>
    <xf numFmtId="43" fontId="6" fillId="44" borderId="0" xfId="0" applyNumberFormat="1" applyFont="1" applyFill="1" applyBorder="1"/>
    <xf numFmtId="0" fontId="2" fillId="0" borderId="28" xfId="0" applyFont="1" applyFill="1" applyBorder="1" applyAlignment="1">
      <alignment wrapText="1"/>
    </xf>
    <xf numFmtId="0" fontId="2" fillId="4" borderId="28" xfId="0" applyFont="1" applyFill="1" applyBorder="1" applyAlignment="1">
      <alignment wrapText="1"/>
    </xf>
    <xf numFmtId="0" fontId="2" fillId="38" borderId="27" xfId="0" applyFont="1" applyFill="1" applyBorder="1" applyAlignment="1">
      <alignment horizontal="left" vertical="center"/>
    </xf>
    <xf numFmtId="0" fontId="2" fillId="38" borderId="27" xfId="0" applyFont="1" applyFill="1" applyBorder="1" applyAlignment="1"/>
    <xf numFmtId="2" fontId="0" fillId="22" borderId="0" xfId="0" applyNumberFormat="1" applyFill="1" applyBorder="1"/>
    <xf numFmtId="0" fontId="0" fillId="22" borderId="0" xfId="0" applyFill="1" applyBorder="1"/>
    <xf numFmtId="43" fontId="15" fillId="44" borderId="0" xfId="0" applyNumberFormat="1" applyFont="1" applyFill="1" applyBorder="1"/>
    <xf numFmtId="0" fontId="0" fillId="44" borderId="0" xfId="0" applyFill="1" applyBorder="1" applyAlignment="1">
      <alignment wrapText="1"/>
    </xf>
    <xf numFmtId="0" fontId="0" fillId="44" borderId="0" xfId="0" applyFill="1" applyBorder="1"/>
    <xf numFmtId="10" fontId="0" fillId="44" borderId="0" xfId="0" applyNumberFormat="1" applyFill="1" applyBorder="1"/>
    <xf numFmtId="0" fontId="2" fillId="4" borderId="28" xfId="0" applyFont="1" applyFill="1" applyBorder="1" applyAlignment="1">
      <alignment vertical="top" wrapText="1"/>
    </xf>
    <xf numFmtId="0" fontId="2" fillId="0" borderId="28" xfId="0" applyFont="1" applyFill="1" applyBorder="1" applyAlignment="1">
      <alignment vertical="top" wrapText="1"/>
    </xf>
    <xf numFmtId="0" fontId="0" fillId="10" borderId="28" xfId="0" applyFill="1" applyBorder="1" applyAlignment="1">
      <alignment vertical="top" wrapText="1"/>
    </xf>
    <xf numFmtId="0" fontId="2" fillId="38" borderId="28" xfId="0" applyFont="1" applyFill="1" applyBorder="1" applyAlignment="1">
      <alignment vertical="center" wrapText="1"/>
    </xf>
    <xf numFmtId="0" fontId="0" fillId="0" borderId="28" xfId="0" applyFill="1" applyBorder="1" applyAlignment="1">
      <alignment vertical="top" wrapText="1"/>
    </xf>
    <xf numFmtId="0" fontId="2" fillId="38" borderId="28" xfId="0" applyFont="1" applyFill="1" applyBorder="1" applyAlignment="1">
      <alignment vertical="top" wrapText="1"/>
    </xf>
    <xf numFmtId="0" fontId="2" fillId="0" borderId="29" xfId="0" applyFont="1" applyFill="1" applyBorder="1"/>
    <xf numFmtId="0" fontId="2" fillId="50" borderId="28" xfId="0" applyFont="1" applyFill="1" applyBorder="1" applyAlignment="1"/>
    <xf numFmtId="0" fontId="2" fillId="0" borderId="28" xfId="0" applyFont="1" applyFill="1" applyBorder="1" applyAlignment="1"/>
    <xf numFmtId="0" fontId="2" fillId="19" borderId="28" xfId="0" applyFont="1" applyFill="1" applyBorder="1" applyAlignment="1">
      <alignment vertical="center" wrapText="1"/>
    </xf>
    <xf numFmtId="0" fontId="2" fillId="38" borderId="28" xfId="0" applyFont="1" applyFill="1" applyBorder="1" applyAlignment="1"/>
    <xf numFmtId="0" fontId="0" fillId="0" borderId="28" xfId="0" applyFont="1" applyFill="1" applyBorder="1" applyAlignment="1"/>
    <xf numFmtId="0" fontId="2" fillId="0" borderId="28" xfId="0" applyFont="1" applyFill="1" applyBorder="1"/>
    <xf numFmtId="0" fontId="0" fillId="0" borderId="28" xfId="0" applyFont="1" applyFill="1" applyBorder="1" applyAlignment="1">
      <alignment wrapText="1"/>
    </xf>
    <xf numFmtId="0" fontId="0" fillId="50" borderId="28" xfId="0" applyFill="1" applyBorder="1"/>
    <xf numFmtId="0" fontId="0" fillId="38" borderId="28" xfId="0" applyFill="1" applyBorder="1"/>
    <xf numFmtId="10" fontId="2" fillId="8" borderId="7" xfId="1" applyNumberFormat="1" applyFont="1" applyFill="1" applyBorder="1"/>
    <xf numFmtId="10" fontId="2" fillId="8" borderId="8" xfId="1" applyNumberFormat="1" applyFont="1" applyFill="1" applyBorder="1"/>
    <xf numFmtId="43" fontId="2" fillId="19" borderId="7" xfId="1" applyFont="1" applyFill="1" applyBorder="1" applyAlignment="1">
      <alignment vertical="center" wrapText="1"/>
    </xf>
    <xf numFmtId="43" fontId="2" fillId="19" borderId="8" xfId="1" applyFont="1" applyFill="1" applyBorder="1" applyAlignment="1">
      <alignment vertical="center"/>
    </xf>
    <xf numFmtId="4" fontId="2" fillId="50" borderId="7" xfId="0" applyNumberFormat="1" applyFont="1" applyFill="1" applyBorder="1"/>
    <xf numFmtId="9" fontId="15" fillId="10" borderId="7" xfId="3" applyFont="1" applyFill="1" applyBorder="1"/>
    <xf numFmtId="9" fontId="15" fillId="10" borderId="8" xfId="3" applyFont="1" applyFill="1" applyBorder="1"/>
    <xf numFmtId="43" fontId="6" fillId="38" borderId="7" xfId="0" applyNumberFormat="1" applyFont="1" applyFill="1" applyBorder="1"/>
    <xf numFmtId="43" fontId="6" fillId="38" borderId="8" xfId="0" applyNumberFormat="1" applyFont="1" applyFill="1" applyBorder="1"/>
    <xf numFmtId="43" fontId="6" fillId="44" borderId="7" xfId="0" applyNumberFormat="1" applyFont="1" applyFill="1" applyBorder="1"/>
    <xf numFmtId="4" fontId="2" fillId="44" borderId="9" xfId="0" applyNumberFormat="1" applyFont="1" applyFill="1" applyBorder="1"/>
    <xf numFmtId="4" fontId="2" fillId="44" borderId="12" xfId="0" applyNumberFormat="1" applyFont="1" applyFill="1" applyBorder="1"/>
    <xf numFmtId="4" fontId="33" fillId="0" borderId="10" xfId="0" applyNumberFormat="1" applyFont="1" applyFill="1" applyBorder="1"/>
    <xf numFmtId="4" fontId="1" fillId="0" borderId="7" xfId="1" applyNumberFormat="1" applyFont="1" applyFill="1" applyBorder="1"/>
    <xf numFmtId="43" fontId="2" fillId="19" borderId="7" xfId="1" applyFont="1" applyFill="1" applyBorder="1" applyAlignment="1">
      <alignment vertical="center"/>
    </xf>
    <xf numFmtId="4" fontId="2" fillId="0" borderId="7" xfId="1" applyNumberFormat="1" applyFont="1" applyFill="1" applyBorder="1"/>
    <xf numFmtId="43" fontId="15" fillId="44" borderId="7" xfId="0" applyNumberFormat="1" applyFont="1" applyFill="1" applyBorder="1"/>
    <xf numFmtId="4" fontId="33" fillId="44" borderId="9" xfId="0" applyNumberFormat="1" applyFont="1" applyFill="1" applyBorder="1"/>
    <xf numFmtId="4" fontId="33" fillId="44" borderId="12" xfId="0" applyNumberFormat="1" applyFont="1" applyFill="1" applyBorder="1"/>
    <xf numFmtId="9" fontId="0" fillId="10" borderId="0" xfId="3" applyFont="1" applyFill="1" applyBorder="1"/>
    <xf numFmtId="0" fontId="2" fillId="38" borderId="28" xfId="0" applyFont="1" applyFill="1" applyBorder="1" applyAlignment="1">
      <alignment horizontal="left"/>
    </xf>
    <xf numFmtId="0" fontId="2" fillId="38" borderId="28" xfId="0" applyFont="1" applyFill="1" applyBorder="1" applyAlignment="1">
      <alignment horizontal="left" wrapText="1"/>
    </xf>
    <xf numFmtId="0" fontId="33" fillId="22" borderId="28" xfId="0" applyFont="1" applyFill="1" applyBorder="1" applyAlignment="1">
      <alignment vertical="top" wrapText="1"/>
    </xf>
    <xf numFmtId="0" fontId="33" fillId="0" borderId="28" xfId="0" applyFont="1" applyFill="1" applyBorder="1" applyAlignment="1">
      <alignment vertical="top" wrapText="1"/>
    </xf>
    <xf numFmtId="0" fontId="15" fillId="0" borderId="28" xfId="0" applyFont="1" applyFill="1" applyBorder="1" applyAlignment="1">
      <alignment horizontal="left" vertical="top" wrapText="1"/>
    </xf>
    <xf numFmtId="0" fontId="33" fillId="0" borderId="29" xfId="0" applyFont="1" applyFill="1" applyBorder="1"/>
    <xf numFmtId="0" fontId="0" fillId="22" borderId="28" xfId="0" applyFill="1" applyBorder="1" applyAlignment="1">
      <alignment vertical="top"/>
    </xf>
    <xf numFmtId="0" fontId="0" fillId="0" borderId="28" xfId="0" applyFill="1" applyBorder="1" applyAlignment="1">
      <alignment vertical="top"/>
    </xf>
    <xf numFmtId="43" fontId="0" fillId="0" borderId="8" xfId="1" applyFont="1" applyFill="1" applyBorder="1"/>
    <xf numFmtId="9" fontId="0" fillId="10" borderId="7" xfId="3" applyFont="1" applyFill="1" applyBorder="1"/>
    <xf numFmtId="9" fontId="0" fillId="10" borderId="8" xfId="3" applyFont="1" applyFill="1" applyBorder="1"/>
    <xf numFmtId="2" fontId="0" fillId="22" borderId="7" xfId="0" applyNumberFormat="1" applyFill="1" applyBorder="1"/>
    <xf numFmtId="2" fontId="0" fillId="22" borderId="8" xfId="0" applyNumberFormat="1" applyFill="1" applyBorder="1"/>
    <xf numFmtId="0" fontId="0" fillId="22" borderId="7" xfId="0" applyFill="1" applyBorder="1"/>
    <xf numFmtId="0" fontId="0" fillId="22" borderId="8" xfId="0" applyFill="1" applyBorder="1"/>
    <xf numFmtId="0" fontId="0" fillId="44" borderId="7" xfId="0" applyFill="1" applyBorder="1" applyAlignment="1">
      <alignment wrapText="1"/>
    </xf>
    <xf numFmtId="0" fontId="0" fillId="44" borderId="7" xfId="0" applyFill="1" applyBorder="1"/>
    <xf numFmtId="0" fontId="0" fillId="44" borderId="9" xfId="0" applyFill="1" applyBorder="1"/>
    <xf numFmtId="10" fontId="0" fillId="44" borderId="12" xfId="0" applyNumberFormat="1" applyFill="1" applyBorder="1"/>
    <xf numFmtId="0" fontId="0" fillId="44" borderId="12" xfId="0" applyFill="1" applyBorder="1"/>
    <xf numFmtId="169" fontId="0" fillId="0" borderId="7" xfId="1" applyNumberFormat="1" applyFont="1" applyFill="1" applyBorder="1"/>
    <xf numFmtId="169" fontId="0" fillId="0" borderId="0" xfId="1" applyNumberFormat="1" applyFont="1" applyFill="1" applyBorder="1"/>
    <xf numFmtId="169" fontId="0" fillId="49" borderId="8" xfId="1" applyNumberFormat="1" applyFont="1" applyFill="1" applyBorder="1"/>
    <xf numFmtId="169" fontId="0" fillId="50" borderId="7" xfId="1" applyNumberFormat="1" applyFont="1" applyFill="1" applyBorder="1"/>
    <xf numFmtId="169" fontId="0" fillId="50" borderId="0" xfId="1" applyNumberFormat="1" applyFont="1" applyFill="1" applyBorder="1"/>
    <xf numFmtId="169" fontId="0" fillId="38" borderId="7" xfId="1" applyNumberFormat="1" applyFont="1" applyFill="1" applyBorder="1"/>
    <xf numFmtId="169" fontId="0" fillId="38" borderId="0" xfId="1" applyNumberFormat="1" applyFont="1" applyFill="1" applyBorder="1"/>
    <xf numFmtId="169" fontId="0" fillId="38" borderId="8" xfId="1" applyNumberFormat="1" applyFont="1" applyFill="1" applyBorder="1"/>
    <xf numFmtId="169" fontId="15" fillId="0" borderId="7" xfId="0" applyNumberFormat="1" applyFont="1" applyFill="1" applyBorder="1"/>
    <xf numFmtId="169" fontId="15" fillId="0" borderId="0" xfId="0" applyNumberFormat="1" applyFont="1" applyFill="1" applyBorder="1"/>
    <xf numFmtId="169" fontId="15" fillId="0" borderId="8" xfId="0" applyNumberFormat="1" applyFont="1" applyFill="1" applyBorder="1"/>
    <xf numFmtId="39" fontId="0" fillId="0" borderId="8" xfId="0" applyNumberFormat="1" applyFill="1" applyBorder="1"/>
    <xf numFmtId="39" fontId="0" fillId="0" borderId="10" xfId="0" applyNumberFormat="1" applyFill="1" applyBorder="1"/>
    <xf numFmtId="165" fontId="0" fillId="0" borderId="5" xfId="1" applyNumberFormat="1" applyFont="1" applyBorder="1"/>
    <xf numFmtId="165" fontId="0" fillId="0" borderId="6" xfId="1" applyNumberFormat="1" applyFont="1" applyBorder="1"/>
    <xf numFmtId="0" fontId="24" fillId="0" borderId="29" xfId="0" applyFont="1" applyBorder="1"/>
    <xf numFmtId="0" fontId="19" fillId="0" borderId="12" xfId="0" applyFont="1" applyBorder="1"/>
    <xf numFmtId="165" fontId="0" fillId="50" borderId="9" xfId="1" applyNumberFormat="1" applyFont="1" applyFill="1" applyBorder="1"/>
    <xf numFmtId="165" fontId="0" fillId="50" borderId="12" xfId="1" applyNumberFormat="1" applyFont="1" applyFill="1" applyBorder="1"/>
    <xf numFmtId="165" fontId="0" fillId="50" borderId="10" xfId="1" applyNumberFormat="1" applyFont="1" applyFill="1" applyBorder="1"/>
    <xf numFmtId="0" fontId="20" fillId="19" borderId="5" xfId="0" applyFont="1" applyFill="1" applyBorder="1" applyAlignment="1">
      <alignment horizontal="left" vertical="top" wrapText="1"/>
    </xf>
    <xf numFmtId="0" fontId="20" fillId="50" borderId="9" xfId="0" applyFont="1" applyFill="1" applyBorder="1" applyAlignment="1">
      <alignment wrapText="1"/>
    </xf>
    <xf numFmtId="0" fontId="20" fillId="50" borderId="10" xfId="0" applyFont="1" applyFill="1" applyBorder="1"/>
    <xf numFmtId="0" fontId="0" fillId="50" borderId="9" xfId="0" applyFont="1" applyFill="1" applyBorder="1"/>
    <xf numFmtId="0" fontId="0" fillId="50" borderId="12" xfId="0" applyFont="1" applyFill="1" applyBorder="1"/>
    <xf numFmtId="0" fontId="0" fillId="50" borderId="10" xfId="0" applyFont="1" applyFill="1" applyBorder="1"/>
    <xf numFmtId="0" fontId="15" fillId="50" borderId="9" xfId="0" applyFont="1" applyFill="1" applyBorder="1"/>
    <xf numFmtId="0" fontId="15" fillId="50" borderId="12" xfId="0" applyFont="1" applyFill="1" applyBorder="1"/>
    <xf numFmtId="6" fontId="19" fillId="0" borderId="0" xfId="0" applyNumberFormat="1" applyFont="1" applyBorder="1" applyAlignment="1">
      <alignment horizontal="left" vertical="top"/>
    </xf>
    <xf numFmtId="0" fontId="19" fillId="0" borderId="7" xfId="0" applyFont="1" applyBorder="1"/>
    <xf numFmtId="166" fontId="19" fillId="20" borderId="0" xfId="1" applyNumberFormat="1" applyFont="1" applyFill="1" applyBorder="1"/>
    <xf numFmtId="6" fontId="19" fillId="0" borderId="7" xfId="0" applyNumberFormat="1" applyFont="1" applyBorder="1" applyAlignment="1">
      <alignment horizontal="left" vertical="top"/>
    </xf>
    <xf numFmtId="0" fontId="19" fillId="20" borderId="28" xfId="0" applyFont="1" applyFill="1" applyBorder="1"/>
    <xf numFmtId="6" fontId="19" fillId="0" borderId="29" xfId="0" applyNumberFormat="1" applyFont="1" applyBorder="1" applyAlignment="1">
      <alignment horizontal="left" vertical="top"/>
    </xf>
    <xf numFmtId="6" fontId="19" fillId="0" borderId="9" xfId="0" applyNumberFormat="1" applyFont="1" applyBorder="1" applyAlignment="1">
      <alignment horizontal="left" vertical="top"/>
    </xf>
    <xf numFmtId="0" fontId="19" fillId="0" borderId="29" xfId="0" applyFont="1" applyBorder="1"/>
    <xf numFmtId="166" fontId="19" fillId="20" borderId="7" xfId="1" applyNumberFormat="1" applyFont="1" applyFill="1" applyBorder="1"/>
    <xf numFmtId="166" fontId="19" fillId="20" borderId="8" xfId="1" applyNumberFormat="1" applyFont="1" applyFill="1" applyBorder="1"/>
    <xf numFmtId="165" fontId="0" fillId="0" borderId="9" xfId="1" applyNumberFormat="1" applyFont="1" applyBorder="1"/>
    <xf numFmtId="166" fontId="0" fillId="0" borderId="12" xfId="1" applyNumberFormat="1" applyFont="1" applyBorder="1"/>
    <xf numFmtId="166" fontId="0" fillId="0" borderId="10" xfId="1" applyNumberFormat="1" applyFont="1" applyFill="1" applyBorder="1"/>
    <xf numFmtId="166" fontId="19" fillId="20" borderId="7" xfId="0" applyNumberFormat="1" applyFont="1" applyFill="1" applyBorder="1"/>
    <xf numFmtId="166" fontId="19" fillId="20" borderId="0" xfId="0" applyNumberFormat="1" applyFont="1" applyFill="1" applyBorder="1"/>
    <xf numFmtId="166" fontId="19" fillId="20" borderId="8" xfId="0" applyNumberFormat="1" applyFont="1" applyFill="1" applyBorder="1"/>
    <xf numFmtId="166" fontId="0" fillId="20" borderId="7" xfId="1" applyNumberFormat="1" applyFont="1" applyFill="1" applyBorder="1"/>
    <xf numFmtId="166" fontId="0" fillId="20" borderId="8" xfId="1" applyNumberFormat="1" applyFont="1" applyFill="1" applyBorder="1"/>
    <xf numFmtId="0" fontId="119" fillId="0" borderId="0" xfId="0" applyFont="1" applyBorder="1" applyAlignment="1">
      <alignment vertical="center" wrapText="1"/>
    </xf>
    <xf numFmtId="0" fontId="0" fillId="0" borderId="192" xfId="0" applyBorder="1"/>
    <xf numFmtId="0" fontId="0" fillId="0" borderId="192" xfId="0" applyBorder="1" applyAlignment="1"/>
    <xf numFmtId="0" fontId="0" fillId="0" borderId="190" xfId="0" applyBorder="1" applyAlignment="1"/>
    <xf numFmtId="15" fontId="0" fillId="0" borderId="192" xfId="0" applyNumberFormat="1" applyBorder="1" applyAlignment="1">
      <alignment horizontal="left"/>
    </xf>
    <xf numFmtId="17" fontId="0" fillId="0" borderId="190" xfId="0" applyNumberFormat="1" applyBorder="1" applyAlignment="1">
      <alignment horizontal="left"/>
    </xf>
    <xf numFmtId="10" fontId="0" fillId="23" borderId="12" xfId="3" applyNumberFormat="1" applyFont="1" applyFill="1" applyBorder="1"/>
    <xf numFmtId="10" fontId="0" fillId="23" borderId="10" xfId="3" applyNumberFormat="1" applyFont="1" applyFill="1" applyBorder="1"/>
    <xf numFmtId="10" fontId="6" fillId="0" borderId="0" xfId="0" applyNumberFormat="1" applyFont="1" applyBorder="1"/>
    <xf numFmtId="10" fontId="13" fillId="0" borderId="0" xfId="0" applyNumberFormat="1" applyFont="1" applyBorder="1"/>
    <xf numFmtId="0" fontId="18" fillId="44" borderId="0" xfId="0" applyFont="1" applyFill="1" applyBorder="1"/>
    <xf numFmtId="43" fontId="18" fillId="44" borderId="0" xfId="1" applyFont="1" applyFill="1" applyBorder="1"/>
    <xf numFmtId="0" fontId="18" fillId="44" borderId="0" xfId="0" applyFont="1" applyFill="1" applyBorder="1" applyAlignment="1">
      <alignment wrapText="1"/>
    </xf>
    <xf numFmtId="43" fontId="18" fillId="44" borderId="8" xfId="1" applyFont="1" applyFill="1" applyBorder="1"/>
    <xf numFmtId="4" fontId="35" fillId="44" borderId="7" xfId="1" applyNumberFormat="1" applyFont="1" applyFill="1" applyBorder="1"/>
    <xf numFmtId="4" fontId="35" fillId="44" borderId="74" xfId="1" applyNumberFormat="1" applyFont="1" applyFill="1" applyBorder="1"/>
    <xf numFmtId="4" fontId="35" fillId="44" borderId="78" xfId="1" applyNumberFormat="1" applyFont="1" applyFill="1" applyBorder="1"/>
    <xf numFmtId="4" fontId="35" fillId="44" borderId="102" xfId="1" applyNumberFormat="1" applyFont="1" applyFill="1" applyBorder="1"/>
    <xf numFmtId="4" fontId="35" fillId="44" borderId="0" xfId="1" applyNumberFormat="1" applyFont="1" applyFill="1" applyBorder="1"/>
    <xf numFmtId="4" fontId="35" fillId="44" borderId="76" xfId="1" applyNumberFormat="1" applyFont="1" applyFill="1" applyBorder="1"/>
    <xf numFmtId="4" fontId="35" fillId="44" borderId="94" xfId="1" applyNumberFormat="1" applyFont="1" applyFill="1" applyBorder="1"/>
    <xf numFmtId="4" fontId="35" fillId="44" borderId="104" xfId="1" applyNumberFormat="1" applyFont="1" applyFill="1" applyBorder="1"/>
    <xf numFmtId="4" fontId="35" fillId="44" borderId="105" xfId="1" applyNumberFormat="1" applyFont="1" applyFill="1" applyBorder="1"/>
    <xf numFmtId="4" fontId="35" fillId="44" borderId="72" xfId="1" applyNumberFormat="1" applyFont="1" applyFill="1" applyBorder="1"/>
    <xf numFmtId="4" fontId="35" fillId="44" borderId="8" xfId="1" applyNumberFormat="1" applyFont="1" applyFill="1" applyBorder="1"/>
    <xf numFmtId="4" fontId="35" fillId="44" borderId="28" xfId="0" applyNumberFormat="1" applyFont="1" applyFill="1" applyBorder="1"/>
    <xf numFmtId="4" fontId="35" fillId="44" borderId="77" xfId="1" applyNumberFormat="1" applyFont="1" applyFill="1" applyBorder="1"/>
    <xf numFmtId="4" fontId="35" fillId="44" borderId="70" xfId="1" applyNumberFormat="1" applyFont="1" applyFill="1" applyBorder="1"/>
    <xf numFmtId="190" fontId="18" fillId="0" borderId="0" xfId="1" applyNumberFormat="1" applyFont="1" applyFill="1" applyBorder="1"/>
    <xf numFmtId="4" fontId="0" fillId="0" borderId="0" xfId="0" applyNumberFormat="1" applyBorder="1" applyAlignment="1"/>
    <xf numFmtId="4" fontId="35" fillId="5" borderId="0" xfId="0" applyNumberFormat="1" applyFont="1" applyFill="1" applyBorder="1"/>
    <xf numFmtId="186" fontId="20" fillId="0" borderId="0" xfId="0" applyNumberFormat="1" applyFont="1" applyBorder="1" applyAlignment="1">
      <alignment vertical="center"/>
    </xf>
    <xf numFmtId="2" fontId="20" fillId="0" borderId="0" xfId="0" applyNumberFormat="1" applyFont="1" applyBorder="1"/>
    <xf numFmtId="0" fontId="18" fillId="44" borderId="7" xfId="0" applyFont="1" applyFill="1" applyBorder="1" applyAlignment="1">
      <alignment vertical="top"/>
    </xf>
    <xf numFmtId="0" fontId="18" fillId="44" borderId="7" xfId="0" applyFont="1" applyFill="1" applyBorder="1"/>
    <xf numFmtId="4" fontId="35" fillId="44" borderId="65" xfId="1" applyNumberFormat="1" applyFont="1" applyFill="1" applyBorder="1"/>
    <xf numFmtId="4" fontId="35" fillId="44" borderId="130" xfId="1" applyNumberFormat="1" applyFont="1" applyFill="1" applyBorder="1"/>
    <xf numFmtId="4" fontId="35" fillId="44" borderId="131" xfId="1" applyNumberFormat="1" applyFont="1" applyFill="1" applyBorder="1"/>
    <xf numFmtId="4" fontId="35" fillId="44" borderId="132" xfId="1" applyNumberFormat="1" applyFont="1" applyFill="1" applyBorder="1"/>
    <xf numFmtId="4" fontId="35" fillId="44" borderId="68" xfId="1" applyNumberFormat="1" applyFont="1" applyFill="1" applyBorder="1"/>
    <xf numFmtId="0" fontId="18" fillId="44" borderId="28" xfId="0" applyFont="1" applyFill="1" applyBorder="1" applyAlignment="1">
      <alignment horizontal="left" vertical="top"/>
    </xf>
    <xf numFmtId="4" fontId="35" fillId="44" borderId="64" xfId="1" applyNumberFormat="1" applyFont="1" applyFill="1" applyBorder="1"/>
    <xf numFmtId="4" fontId="35" fillId="44" borderId="66" xfId="1" applyNumberFormat="1" applyFont="1" applyFill="1" applyBorder="1"/>
    <xf numFmtId="4" fontId="35" fillId="44" borderId="73" xfId="1" applyNumberFormat="1" applyFont="1" applyFill="1" applyBorder="1"/>
    <xf numFmtId="0" fontId="18" fillId="44" borderId="28" xfId="0" applyFont="1" applyFill="1" applyBorder="1"/>
    <xf numFmtId="4" fontId="35" fillId="16" borderId="130" xfId="1" applyNumberFormat="1" applyFont="1" applyFill="1" applyBorder="1"/>
    <xf numFmtId="0" fontId="95" fillId="2" borderId="9" xfId="0" applyFont="1" applyFill="1" applyBorder="1"/>
    <xf numFmtId="0" fontId="0" fillId="2" borderId="12" xfId="0" applyFill="1" applyBorder="1"/>
    <xf numFmtId="0" fontId="95" fillId="0" borderId="0" xfId="0" applyFont="1" applyFill="1" applyBorder="1"/>
    <xf numFmtId="0" fontId="0" fillId="0" borderId="0" xfId="0" applyFont="1" applyFill="1" applyBorder="1"/>
    <xf numFmtId="4" fontId="35" fillId="16" borderId="199" xfId="1" applyNumberFormat="1" applyFont="1" applyFill="1" applyBorder="1"/>
    <xf numFmtId="4" fontId="35" fillId="53" borderId="7" xfId="0" applyNumberFormat="1" applyFont="1" applyFill="1" applyBorder="1"/>
    <xf numFmtId="4" fontId="35" fillId="53" borderId="0" xfId="0" applyNumberFormat="1" applyFont="1" applyFill="1" applyBorder="1"/>
    <xf numFmtId="4" fontId="35" fillId="53" borderId="74" xfId="0" applyNumberFormat="1" applyFont="1" applyFill="1" applyBorder="1"/>
    <xf numFmtId="4" fontId="35" fillId="53" borderId="8" xfId="0" applyNumberFormat="1" applyFont="1" applyFill="1" applyBorder="1"/>
    <xf numFmtId="0" fontId="20" fillId="53" borderId="0" xfId="0" applyFont="1" applyFill="1" applyBorder="1"/>
    <xf numFmtId="0" fontId="18" fillId="53" borderId="7" xfId="0" applyFont="1" applyFill="1" applyBorder="1" applyAlignment="1">
      <alignment wrapText="1"/>
    </xf>
    <xf numFmtId="0" fontId="20" fillId="53" borderId="7" xfId="0" applyFont="1" applyFill="1" applyBorder="1"/>
    <xf numFmtId="43" fontId="20" fillId="53" borderId="0" xfId="1" applyFont="1" applyFill="1" applyBorder="1"/>
    <xf numFmtId="4" fontId="35" fillId="53" borderId="94" xfId="1" applyNumberFormat="1" applyFont="1" applyFill="1" applyBorder="1"/>
    <xf numFmtId="4" fontId="35" fillId="53" borderId="8" xfId="1" applyNumberFormat="1" applyFont="1" applyFill="1" applyBorder="1"/>
    <xf numFmtId="4" fontId="35" fillId="53" borderId="0" xfId="1" applyNumberFormat="1" applyFont="1" applyFill="1" applyBorder="1"/>
    <xf numFmtId="4" fontId="35" fillId="53" borderId="74" xfId="1" applyNumberFormat="1" applyFont="1" applyFill="1" applyBorder="1"/>
    <xf numFmtId="4" fontId="35" fillId="53" borderId="7" xfId="1" applyNumberFormat="1" applyFont="1" applyFill="1" applyBorder="1"/>
    <xf numFmtId="3" fontId="18" fillId="53" borderId="0" xfId="0" applyNumberFormat="1" applyFont="1" applyFill="1" applyBorder="1"/>
    <xf numFmtId="0" fontId="20" fillId="53" borderId="7" xfId="0" applyFont="1" applyFill="1" applyBorder="1" applyAlignment="1">
      <alignment wrapText="1"/>
    </xf>
    <xf numFmtId="43" fontId="20" fillId="53" borderId="0" xfId="0" applyNumberFormat="1" applyFont="1" applyFill="1" applyBorder="1"/>
    <xf numFmtId="43" fontId="20" fillId="53" borderId="0" xfId="1" applyFont="1" applyFill="1" applyBorder="1" applyAlignment="1">
      <alignment wrapText="1"/>
    </xf>
    <xf numFmtId="4" fontId="35" fillId="53" borderId="65" xfId="1" applyNumberFormat="1" applyFont="1" applyFill="1" applyBorder="1"/>
    <xf numFmtId="4" fontId="35" fillId="53" borderId="75" xfId="1" applyNumberFormat="1" applyFont="1" applyFill="1" applyBorder="1"/>
    <xf numFmtId="4" fontId="35" fillId="53" borderId="163" xfId="1" applyNumberFormat="1" applyFont="1" applyFill="1" applyBorder="1"/>
    <xf numFmtId="4" fontId="35" fillId="53" borderId="102" xfId="1" applyNumberFormat="1" applyFont="1" applyFill="1" applyBorder="1"/>
    <xf numFmtId="4" fontId="35" fillId="53" borderId="90" xfId="1" applyNumberFormat="1" applyFont="1" applyFill="1" applyBorder="1"/>
    <xf numFmtId="6" fontId="18" fillId="53" borderId="7" xfId="0" applyNumberFormat="1" applyFont="1" applyFill="1" applyBorder="1" applyAlignment="1">
      <alignment horizontal="left" vertical="top" wrapText="1"/>
    </xf>
    <xf numFmtId="0" fontId="18" fillId="53" borderId="28" xfId="0" applyFont="1" applyFill="1" applyBorder="1"/>
    <xf numFmtId="4" fontId="35" fillId="53" borderId="77" xfId="1" applyNumberFormat="1" applyFont="1" applyFill="1" applyBorder="1"/>
    <xf numFmtId="4" fontId="35" fillId="53" borderId="71" xfId="1" applyNumberFormat="1" applyFont="1" applyFill="1" applyBorder="1"/>
    <xf numFmtId="4" fontId="35" fillId="53" borderId="87" xfId="1" applyNumberFormat="1" applyFont="1" applyFill="1" applyBorder="1"/>
    <xf numFmtId="4" fontId="35" fillId="53" borderId="95" xfId="1" applyNumberFormat="1" applyFont="1" applyFill="1" applyBorder="1"/>
    <xf numFmtId="43" fontId="18" fillId="53" borderId="0" xfId="1" applyFont="1" applyFill="1" applyBorder="1" applyAlignment="1">
      <alignment wrapText="1"/>
    </xf>
    <xf numFmtId="4" fontId="35" fillId="53" borderId="132" xfId="1" applyNumberFormat="1" applyFont="1" applyFill="1" applyBorder="1"/>
    <xf numFmtId="0" fontId="18" fillId="53" borderId="28" xfId="0" applyFont="1" applyFill="1" applyBorder="1" applyAlignment="1">
      <alignment horizontal="left" vertical="top" wrapText="1"/>
    </xf>
    <xf numFmtId="190" fontId="18" fillId="53" borderId="0" xfId="1" applyNumberFormat="1" applyFont="1" applyFill="1" applyBorder="1"/>
    <xf numFmtId="4" fontId="35" fillId="53" borderId="64" xfId="1" applyNumberFormat="1" applyFont="1" applyFill="1" applyBorder="1"/>
    <xf numFmtId="4" fontId="35" fillId="53" borderId="104" xfId="1" applyNumberFormat="1" applyFont="1" applyFill="1" applyBorder="1"/>
    <xf numFmtId="4" fontId="35" fillId="53" borderId="78" xfId="1" applyNumberFormat="1" applyFont="1" applyFill="1" applyBorder="1"/>
    <xf numFmtId="167" fontId="20" fillId="53" borderId="0" xfId="1" applyNumberFormat="1" applyFont="1" applyFill="1" applyBorder="1"/>
    <xf numFmtId="0" fontId="18" fillId="53" borderId="0" xfId="0" applyFont="1" applyFill="1" applyBorder="1" applyAlignment="1">
      <alignment wrapText="1"/>
    </xf>
    <xf numFmtId="4" fontId="35" fillId="53" borderId="73" xfId="1" applyNumberFormat="1" applyFont="1" applyFill="1" applyBorder="1"/>
    <xf numFmtId="0" fontId="24" fillId="53" borderId="9" xfId="0" applyFont="1" applyFill="1" applyBorder="1" applyAlignment="1">
      <alignment vertical="center" wrapText="1"/>
    </xf>
    <xf numFmtId="0" fontId="20" fillId="53" borderId="12" xfId="0" applyFont="1" applyFill="1" applyBorder="1"/>
    <xf numFmtId="43" fontId="20" fillId="53" borderId="12" xfId="1" applyFont="1" applyFill="1" applyBorder="1"/>
    <xf numFmtId="43" fontId="20" fillId="53" borderId="12" xfId="1" applyFont="1" applyFill="1" applyBorder="1" applyAlignment="1">
      <alignment wrapText="1"/>
    </xf>
    <xf numFmtId="4" fontId="35" fillId="53" borderId="9" xfId="1" applyNumberFormat="1" applyFont="1" applyFill="1" applyBorder="1"/>
    <xf numFmtId="4" fontId="35" fillId="53" borderId="12" xfId="1" applyNumberFormat="1" applyFont="1" applyFill="1" applyBorder="1"/>
    <xf numFmtId="4" fontId="35" fillId="53" borderId="10" xfId="1" applyNumberFormat="1" applyFont="1" applyFill="1" applyBorder="1"/>
    <xf numFmtId="4" fontId="35" fillId="53" borderId="13" xfId="1" applyNumberFormat="1" applyFont="1" applyFill="1" applyBorder="1"/>
    <xf numFmtId="4" fontId="35" fillId="53" borderId="14" xfId="1" applyNumberFormat="1" applyFont="1" applyFill="1" applyBorder="1"/>
    <xf numFmtId="4" fontId="35" fillId="53" borderId="15" xfId="1" applyNumberFormat="1" applyFont="1" applyFill="1" applyBorder="1"/>
    <xf numFmtId="0" fontId="121" fillId="0" borderId="0" xfId="0" applyFont="1" applyBorder="1" applyAlignment="1">
      <alignment horizontal="center" vertical="center"/>
    </xf>
    <xf numFmtId="0" fontId="121" fillId="0" borderId="0" xfId="0" applyFont="1" applyBorder="1" applyAlignment="1">
      <alignment horizontal="center" vertical="center" wrapText="1"/>
    </xf>
    <xf numFmtId="0" fontId="122" fillId="0" borderId="0" xfId="0" applyFont="1" applyBorder="1"/>
    <xf numFmtId="0" fontId="16" fillId="0" borderId="0" xfId="0" applyFont="1" applyBorder="1" applyAlignment="1">
      <alignment vertical="center"/>
    </xf>
    <xf numFmtId="0" fontId="16" fillId="0" borderId="0" xfId="0" applyFont="1" applyBorder="1" applyAlignment="1">
      <alignment horizontal="center" vertical="center"/>
    </xf>
    <xf numFmtId="3" fontId="0" fillId="0" borderId="3" xfId="0" applyNumberFormat="1" applyFont="1" applyFill="1" applyBorder="1" applyAlignment="1">
      <alignment horizontal="center" vertical="center"/>
    </xf>
    <xf numFmtId="3" fontId="0" fillId="0" borderId="1" xfId="0" applyNumberFormat="1" applyFont="1" applyFill="1" applyBorder="1" applyAlignment="1">
      <alignment horizontal="center" vertical="center"/>
    </xf>
    <xf numFmtId="0" fontId="0" fillId="0" borderId="173" xfId="0" applyFill="1" applyBorder="1"/>
    <xf numFmtId="3" fontId="0" fillId="0" borderId="174" xfId="0" applyNumberFormat="1" applyFill="1" applyBorder="1"/>
    <xf numFmtId="0" fontId="0" fillId="0" borderId="174" xfId="0" applyFill="1" applyBorder="1"/>
    <xf numFmtId="0" fontId="0" fillId="0" borderId="174" xfId="0" applyFont="1" applyFill="1" applyBorder="1"/>
    <xf numFmtId="0" fontId="95" fillId="0" borderId="44" xfId="0" applyFont="1" applyFill="1" applyBorder="1"/>
    <xf numFmtId="0" fontId="0" fillId="0" borderId="45" xfId="0" applyFont="1" applyFill="1" applyBorder="1"/>
    <xf numFmtId="180" fontId="18" fillId="0" borderId="0" xfId="0" applyNumberFormat="1" applyFont="1" applyBorder="1"/>
    <xf numFmtId="168" fontId="0" fillId="4" borderId="7" xfId="1" applyNumberFormat="1" applyFont="1" applyFill="1" applyBorder="1"/>
    <xf numFmtId="168" fontId="0" fillId="4" borderId="0" xfId="1" applyNumberFormat="1" applyFont="1" applyFill="1" applyBorder="1"/>
    <xf numFmtId="168" fontId="0" fillId="4" borderId="8" xfId="1" applyNumberFormat="1" applyFont="1" applyFill="1" applyBorder="1"/>
    <xf numFmtId="168" fontId="0" fillId="4" borderId="34" xfId="1" applyNumberFormat="1" applyFont="1" applyFill="1" applyBorder="1"/>
    <xf numFmtId="168" fontId="0" fillId="4" borderId="31" xfId="1" applyNumberFormat="1" applyFont="1" applyFill="1" applyBorder="1"/>
    <xf numFmtId="168" fontId="0" fillId="4" borderId="35" xfId="1" applyNumberFormat="1" applyFont="1" applyFill="1" applyBorder="1"/>
    <xf numFmtId="168" fontId="0" fillId="4" borderId="16" xfId="1" applyNumberFormat="1" applyFont="1" applyFill="1" applyBorder="1"/>
    <xf numFmtId="168" fontId="0" fillId="4" borderId="1" xfId="1" applyNumberFormat="1" applyFont="1" applyFill="1" applyBorder="1"/>
    <xf numFmtId="168" fontId="11" fillId="4" borderId="1" xfId="1" applyNumberFormat="1" applyFont="1" applyFill="1" applyBorder="1"/>
    <xf numFmtId="168" fontId="11" fillId="4" borderId="17" xfId="3" applyNumberFormat="1" applyFont="1" applyFill="1" applyBorder="1"/>
    <xf numFmtId="168" fontId="0" fillId="4" borderId="16" xfId="0" applyNumberFormat="1" applyFill="1" applyBorder="1"/>
    <xf numFmtId="168" fontId="0" fillId="4" borderId="1" xfId="0" applyNumberFormat="1" applyFill="1" applyBorder="1"/>
    <xf numFmtId="190" fontId="0" fillId="4" borderId="7" xfId="1" applyNumberFormat="1" applyFont="1" applyFill="1" applyBorder="1" applyAlignment="1">
      <alignment wrapText="1"/>
    </xf>
    <xf numFmtId="190" fontId="0" fillId="4" borderId="0" xfId="1" applyNumberFormat="1" applyFont="1" applyFill="1" applyBorder="1" applyAlignment="1">
      <alignment wrapText="1"/>
    </xf>
    <xf numFmtId="190" fontId="0" fillId="4" borderId="0" xfId="1" applyNumberFormat="1" applyFont="1" applyFill="1" applyBorder="1"/>
    <xf numFmtId="190" fontId="0" fillId="4" borderId="8" xfId="1" applyNumberFormat="1" applyFont="1" applyFill="1" applyBorder="1"/>
    <xf numFmtId="190" fontId="15" fillId="4" borderId="7" xfId="1" applyNumberFormat="1" applyFont="1" applyFill="1" applyBorder="1"/>
    <xf numFmtId="190" fontId="0" fillId="4" borderId="7" xfId="1" applyNumberFormat="1" applyFont="1" applyFill="1" applyBorder="1"/>
    <xf numFmtId="173" fontId="118" fillId="21" borderId="34" xfId="1" applyNumberFormat="1" applyFont="1" applyFill="1" applyBorder="1"/>
    <xf numFmtId="168" fontId="0" fillId="4" borderId="7" xfId="0" applyNumberFormat="1" applyFill="1" applyBorder="1"/>
    <xf numFmtId="168" fontId="0" fillId="4" borderId="7" xfId="1" applyNumberFormat="1" applyFont="1" applyFill="1" applyBorder="1" applyAlignment="1">
      <alignment horizontal="right"/>
    </xf>
    <xf numFmtId="168" fontId="0" fillId="4" borderId="8" xfId="0" applyNumberFormat="1" applyFill="1" applyBorder="1"/>
    <xf numFmtId="168" fontId="15" fillId="4" borderId="7" xfId="1" applyNumberFormat="1" applyFont="1" applyFill="1" applyBorder="1"/>
    <xf numFmtId="168" fontId="15" fillId="4" borderId="0" xfId="1" applyNumberFormat="1" applyFont="1" applyFill="1" applyBorder="1"/>
    <xf numFmtId="168" fontId="15" fillId="4" borderId="8" xfId="0" applyNumberFormat="1" applyFont="1" applyFill="1" applyBorder="1"/>
    <xf numFmtId="168" fontId="15" fillId="4" borderId="7" xfId="0" applyNumberFormat="1" applyFont="1" applyFill="1" applyBorder="1"/>
    <xf numFmtId="168" fontId="15" fillId="4" borderId="0" xfId="0" applyNumberFormat="1" applyFont="1" applyFill="1" applyBorder="1"/>
    <xf numFmtId="168" fontId="15" fillId="4" borderId="8" xfId="1" applyNumberFormat="1" applyFont="1" applyFill="1" applyBorder="1"/>
    <xf numFmtId="168" fontId="0" fillId="4" borderId="7" xfId="0" applyNumberFormat="1" applyFill="1" applyBorder="1" applyAlignment="1">
      <alignment vertical="center"/>
    </xf>
    <xf numFmtId="168" fontId="0" fillId="4" borderId="0" xfId="0" applyNumberFormat="1" applyFill="1" applyBorder="1" applyAlignment="1">
      <alignment vertical="center"/>
    </xf>
    <xf numFmtId="168" fontId="0" fillId="4" borderId="8" xfId="0" applyNumberFormat="1" applyFill="1" applyBorder="1" applyAlignment="1">
      <alignment vertical="center"/>
    </xf>
    <xf numFmtId="168" fontId="0" fillId="4" borderId="0" xfId="0" applyNumberFormat="1" applyFill="1" applyBorder="1"/>
    <xf numFmtId="167" fontId="2" fillId="4" borderId="7" xfId="1" applyNumberFormat="1" applyFont="1" applyFill="1" applyBorder="1" applyAlignment="1">
      <alignment wrapText="1"/>
    </xf>
    <xf numFmtId="167" fontId="2" fillId="4" borderId="0" xfId="1" applyNumberFormat="1" applyFont="1" applyFill="1" applyBorder="1" applyAlignment="1">
      <alignment wrapText="1"/>
    </xf>
    <xf numFmtId="167" fontId="2" fillId="4" borderId="0" xfId="1" applyNumberFormat="1" applyFont="1" applyFill="1" applyBorder="1"/>
    <xf numFmtId="167" fontId="2" fillId="4" borderId="8" xfId="1" applyNumberFormat="1" applyFont="1" applyFill="1" applyBorder="1"/>
    <xf numFmtId="167" fontId="2" fillId="4" borderId="7" xfId="1" applyNumberFormat="1" applyFont="1" applyFill="1" applyBorder="1"/>
    <xf numFmtId="10" fontId="0" fillId="50" borderId="7" xfId="1" applyNumberFormat="1" applyFont="1" applyFill="1" applyBorder="1"/>
    <xf numFmtId="10" fontId="0" fillId="50" borderId="0" xfId="1" applyNumberFormat="1" applyFont="1" applyFill="1" applyBorder="1"/>
    <xf numFmtId="10" fontId="0" fillId="50" borderId="8" xfId="1" applyNumberFormat="1" applyFont="1" applyFill="1" applyBorder="1"/>
    <xf numFmtId="168" fontId="0" fillId="21" borderId="7" xfId="1" applyNumberFormat="1" applyFont="1" applyFill="1" applyBorder="1"/>
    <xf numFmtId="4" fontId="19" fillId="16" borderId="1" xfId="0" applyNumberFormat="1" applyFont="1" applyFill="1" applyBorder="1" applyAlignment="1" applyProtection="1">
      <alignment horizontal="center" vertical="center"/>
    </xf>
    <xf numFmtId="168" fontId="0" fillId="10" borderId="0" xfId="0" applyNumberFormat="1" applyFill="1" applyBorder="1"/>
    <xf numFmtId="168" fontId="0" fillId="10" borderId="8" xfId="0" applyNumberFormat="1" applyFill="1" applyBorder="1"/>
    <xf numFmtId="168" fontId="0" fillId="10" borderId="7" xfId="0" applyNumberFormat="1" applyFill="1" applyBorder="1"/>
    <xf numFmtId="168" fontId="0" fillId="8" borderId="7" xfId="1" applyNumberFormat="1" applyFont="1" applyFill="1" applyBorder="1"/>
    <xf numFmtId="168" fontId="0" fillId="8" borderId="0" xfId="1" applyNumberFormat="1" applyFont="1" applyFill="1" applyBorder="1"/>
    <xf numFmtId="168" fontId="0" fillId="8" borderId="8" xfId="1" applyNumberFormat="1" applyFont="1" applyFill="1" applyBorder="1"/>
    <xf numFmtId="171" fontId="20" fillId="0" borderId="7" xfId="1" applyNumberFormat="1" applyFont="1" applyFill="1" applyBorder="1"/>
    <xf numFmtId="2" fontId="15" fillId="21" borderId="7" xfId="1" applyNumberFormat="1" applyFont="1" applyFill="1" applyBorder="1"/>
    <xf numFmtId="173" fontId="0" fillId="4" borderId="0" xfId="0" applyNumberFormat="1" applyFont="1" applyFill="1"/>
    <xf numFmtId="167" fontId="0" fillId="0" borderId="7" xfId="1" applyNumberFormat="1" applyFont="1" applyBorder="1"/>
    <xf numFmtId="1" fontId="0" fillId="21" borderId="177" xfId="3" applyNumberFormat="1" applyFont="1" applyFill="1" applyBorder="1"/>
    <xf numFmtId="0" fontId="0" fillId="0" borderId="0" xfId="0" applyAlignment="1">
      <alignment horizontal="left" wrapText="1"/>
    </xf>
    <xf numFmtId="43" fontId="0" fillId="4" borderId="8" xfId="1" applyFont="1" applyFill="1" applyBorder="1"/>
    <xf numFmtId="173" fontId="0" fillId="2" borderId="1" xfId="0" applyNumberFormat="1" applyFill="1" applyBorder="1"/>
    <xf numFmtId="173" fontId="0" fillId="4" borderId="1" xfId="0" applyNumberFormat="1" applyFill="1" applyBorder="1"/>
    <xf numFmtId="173" fontId="0" fillId="0" borderId="1" xfId="0" applyNumberFormat="1" applyFill="1" applyBorder="1"/>
    <xf numFmtId="4" fontId="0" fillId="4" borderId="8" xfId="3" applyNumberFormat="1" applyFont="1" applyFill="1" applyBorder="1"/>
    <xf numFmtId="17" fontId="18" fillId="0" borderId="7" xfId="0" applyNumberFormat="1" applyFont="1" applyBorder="1" applyAlignment="1">
      <alignment horizontal="center" wrapText="1"/>
    </xf>
    <xf numFmtId="17" fontId="18" fillId="0" borderId="7" xfId="0" applyNumberFormat="1" applyFont="1" applyBorder="1" applyAlignment="1">
      <alignment wrapText="1"/>
    </xf>
    <xf numFmtId="0" fontId="18" fillId="16" borderId="13" xfId="0" applyFont="1" applyFill="1" applyBorder="1" applyAlignment="1">
      <alignment horizontal="center" wrapText="1"/>
    </xf>
    <xf numFmtId="0" fontId="0" fillId="16" borderId="13" xfId="0" applyFill="1" applyBorder="1"/>
    <xf numFmtId="0" fontId="0" fillId="16" borderId="14" xfId="0" applyFill="1" applyBorder="1"/>
    <xf numFmtId="0" fontId="18" fillId="16" borderId="15" xfId="0" applyFont="1" applyFill="1" applyBorder="1"/>
    <xf numFmtId="3" fontId="0" fillId="16" borderId="18" xfId="0" applyNumberFormat="1" applyFill="1" applyBorder="1"/>
    <xf numFmtId="3" fontId="0" fillId="16" borderId="20" xfId="0" applyNumberFormat="1" applyFill="1" applyBorder="1"/>
    <xf numFmtId="0" fontId="18" fillId="16" borderId="13" xfId="0" applyFont="1" applyFill="1" applyBorder="1" applyAlignment="1">
      <alignment wrapText="1"/>
    </xf>
    <xf numFmtId="0" fontId="6" fillId="16" borderId="14" xfId="0" applyFont="1" applyFill="1" applyBorder="1"/>
    <xf numFmtId="0" fontId="18" fillId="16" borderId="14" xfId="0" applyFont="1" applyFill="1" applyBorder="1"/>
    <xf numFmtId="0" fontId="0" fillId="41" borderId="19" xfId="0" applyFill="1" applyBorder="1"/>
    <xf numFmtId="3" fontId="0" fillId="2" borderId="0" xfId="0" applyNumberFormat="1" applyFill="1" applyBorder="1"/>
    <xf numFmtId="3" fontId="0" fillId="2" borderId="1" xfId="0" applyNumberFormat="1" applyFill="1" applyBorder="1"/>
    <xf numFmtId="3" fontId="0" fillId="2" borderId="2" xfId="0" applyNumberFormat="1" applyFill="1" applyBorder="1"/>
    <xf numFmtId="3" fontId="0" fillId="2" borderId="3" xfId="0" applyNumberFormat="1" applyFill="1" applyBorder="1"/>
    <xf numFmtId="3" fontId="0" fillId="2" borderId="4" xfId="0" applyNumberFormat="1" applyFill="1" applyBorder="1"/>
    <xf numFmtId="3" fontId="0" fillId="2" borderId="16" xfId="0" applyNumberFormat="1" applyFill="1" applyBorder="1"/>
    <xf numFmtId="3" fontId="0" fillId="2" borderId="17" xfId="0" applyNumberFormat="1" applyFill="1" applyBorder="1"/>
    <xf numFmtId="3" fontId="0" fillId="16" borderId="19" xfId="0" applyNumberFormat="1" applyFill="1" applyBorder="1"/>
    <xf numFmtId="0" fontId="6" fillId="0" borderId="8" xfId="0" applyFont="1" applyBorder="1"/>
    <xf numFmtId="0" fontId="0" fillId="2" borderId="9" xfId="0" applyFill="1" applyBorder="1"/>
    <xf numFmtId="0" fontId="0" fillId="2" borderId="10" xfId="0" applyFill="1" applyBorder="1"/>
    <xf numFmtId="0" fontId="0" fillId="2" borderId="6" xfId="0" applyFill="1" applyBorder="1"/>
    <xf numFmtId="0" fontId="95" fillId="0" borderId="9" xfId="0" applyFont="1" applyFill="1" applyBorder="1"/>
    <xf numFmtId="0" fontId="6" fillId="0" borderId="5" xfId="0" applyFont="1" applyBorder="1"/>
    <xf numFmtId="0" fontId="6" fillId="0" borderId="6" xfId="0" applyFont="1" applyBorder="1"/>
    <xf numFmtId="0" fontId="0" fillId="2" borderId="8" xfId="0" applyFill="1" applyBorder="1"/>
    <xf numFmtId="0" fontId="0" fillId="2" borderId="28" xfId="0" applyFill="1" applyBorder="1"/>
    <xf numFmtId="8" fontId="123" fillId="0" borderId="10" xfId="0" applyNumberFormat="1" applyFont="1" applyBorder="1" applyAlignment="1">
      <alignment horizontal="right" vertical="center"/>
    </xf>
    <xf numFmtId="0" fontId="124" fillId="0" borderId="15" xfId="0" applyFont="1" applyBorder="1" applyAlignment="1">
      <alignment vertical="center" wrapText="1"/>
    </xf>
    <xf numFmtId="6" fontId="123" fillId="0" borderId="10" xfId="0" applyNumberFormat="1" applyFont="1" applyBorder="1" applyAlignment="1">
      <alignment horizontal="right" vertical="center"/>
    </xf>
    <xf numFmtId="8" fontId="125" fillId="0" borderId="10" xfId="0" applyNumberFormat="1" applyFont="1" applyBorder="1" applyAlignment="1">
      <alignment horizontal="right" vertical="center"/>
    </xf>
    <xf numFmtId="0" fontId="123" fillId="0" borderId="10" xfId="0" applyFont="1" applyBorder="1" applyAlignment="1">
      <alignment vertical="center"/>
    </xf>
    <xf numFmtId="8" fontId="55" fillId="0" borderId="10" xfId="0" applyNumberFormat="1" applyFont="1" applyBorder="1" applyAlignment="1">
      <alignment horizontal="right" vertical="center"/>
    </xf>
    <xf numFmtId="0" fontId="20" fillId="0" borderId="5" xfId="0" applyFont="1" applyBorder="1" applyAlignment="1">
      <alignment wrapText="1"/>
    </xf>
    <xf numFmtId="8" fontId="18" fillId="0" borderId="0" xfId="0" applyNumberFormat="1" applyFont="1" applyBorder="1"/>
    <xf numFmtId="0" fontId="18" fillId="53" borderId="0" xfId="0" applyFont="1" applyFill="1" applyBorder="1"/>
    <xf numFmtId="10" fontId="18" fillId="0" borderId="27" xfId="0" applyNumberFormat="1" applyFont="1" applyBorder="1"/>
    <xf numFmtId="10" fontId="18" fillId="53" borderId="28" xfId="0" applyNumberFormat="1" applyFont="1" applyFill="1" applyBorder="1"/>
    <xf numFmtId="10" fontId="18" fillId="0" borderId="28" xfId="0" applyNumberFormat="1" applyFont="1" applyBorder="1"/>
    <xf numFmtId="8" fontId="34" fillId="0" borderId="30" xfId="0" applyNumberFormat="1" applyFont="1" applyBorder="1"/>
    <xf numFmtId="8" fontId="123" fillId="4" borderId="13" xfId="0" applyNumberFormat="1" applyFont="1" applyFill="1" applyBorder="1" applyAlignment="1">
      <alignment horizontal="right" vertical="center"/>
    </xf>
    <xf numFmtId="8" fontId="54" fillId="4" borderId="15" xfId="0" applyNumberFormat="1" applyFont="1" applyFill="1" applyBorder="1"/>
    <xf numFmtId="0" fontId="0" fillId="4" borderId="11" xfId="0" applyFill="1" applyBorder="1"/>
    <xf numFmtId="0" fontId="0" fillId="4" borderId="6" xfId="0" applyFill="1" applyBorder="1"/>
    <xf numFmtId="0" fontId="15" fillId="4" borderId="9" xfId="0" applyFont="1" applyFill="1" applyBorder="1" applyAlignment="1">
      <alignment wrapText="1"/>
    </xf>
    <xf numFmtId="0" fontId="0" fillId="4" borderId="12" xfId="0" applyFill="1" applyBorder="1"/>
    <xf numFmtId="0" fontId="0" fillId="4" borderId="10" xfId="0" applyFill="1" applyBorder="1"/>
    <xf numFmtId="0" fontId="15" fillId="4" borderId="30" xfId="0" applyFont="1" applyFill="1" applyBorder="1" applyAlignment="1">
      <alignment wrapText="1"/>
    </xf>
    <xf numFmtId="0" fontId="0" fillId="4" borderId="30" xfId="0" applyFill="1" applyBorder="1"/>
    <xf numFmtId="43" fontId="35" fillId="4" borderId="15" xfId="1" applyFont="1" applyFill="1" applyBorder="1"/>
    <xf numFmtId="0" fontId="0" fillId="4" borderId="27" xfId="0" applyFill="1" applyBorder="1"/>
    <xf numFmtId="8" fontId="18" fillId="4" borderId="14" xfId="1" applyNumberFormat="1" applyFont="1" applyFill="1" applyBorder="1"/>
    <xf numFmtId="8" fontId="20" fillId="4" borderId="13" xfId="1" applyNumberFormat="1" applyFont="1" applyFill="1" applyBorder="1"/>
    <xf numFmtId="8" fontId="54" fillId="4" borderId="0" xfId="0" applyNumberFormat="1" applyFont="1" applyFill="1"/>
    <xf numFmtId="8" fontId="18" fillId="4" borderId="13" xfId="1" applyNumberFormat="1" applyFont="1" applyFill="1" applyBorder="1"/>
    <xf numFmtId="8" fontId="20" fillId="4" borderId="14" xfId="1" applyNumberFormat="1" applyFont="1" applyFill="1" applyBorder="1"/>
    <xf numFmtId="174" fontId="18" fillId="4" borderId="13" xfId="1" applyNumberFormat="1" applyFont="1" applyFill="1" applyBorder="1"/>
    <xf numFmtId="7" fontId="20" fillId="4" borderId="13" xfId="1" applyNumberFormat="1" applyFont="1" applyFill="1" applyBorder="1"/>
    <xf numFmtId="3" fontId="18" fillId="0" borderId="0" xfId="0" applyNumberFormat="1" applyFont="1"/>
    <xf numFmtId="10" fontId="15" fillId="10" borderId="0" xfId="3" applyNumberFormat="1" applyFont="1" applyFill="1" applyBorder="1"/>
    <xf numFmtId="169" fontId="23" fillId="0" borderId="0" xfId="0" applyNumberFormat="1" applyFont="1" applyFill="1" applyBorder="1"/>
    <xf numFmtId="4" fontId="0" fillId="0" borderId="0" xfId="1" applyNumberFormat="1" applyFont="1" applyFill="1" applyBorder="1" applyAlignment="1">
      <alignment horizontal="center"/>
    </xf>
    <xf numFmtId="6" fontId="19" fillId="0" borderId="7" xfId="0" applyNumberFormat="1" applyFont="1" applyBorder="1" applyAlignment="1">
      <alignment horizontal="left"/>
    </xf>
    <xf numFmtId="6" fontId="19" fillId="0" borderId="28" xfId="0" applyNumberFormat="1" applyFont="1" applyBorder="1" applyAlignment="1">
      <alignment horizontal="left"/>
    </xf>
    <xf numFmtId="2" fontId="32" fillId="34" borderId="15" xfId="0" applyNumberFormat="1" applyFont="1" applyFill="1" applyBorder="1" applyAlignment="1">
      <alignment horizontal="center" vertical="center" wrapText="1"/>
    </xf>
    <xf numFmtId="43" fontId="18" fillId="0" borderId="0" xfId="0" applyNumberFormat="1" applyFont="1"/>
    <xf numFmtId="0" fontId="20" fillId="0" borderId="1" xfId="0" applyFont="1" applyBorder="1" applyAlignment="1">
      <alignment wrapText="1"/>
    </xf>
    <xf numFmtId="0" fontId="20" fillId="0" borderId="1" xfId="0" applyFont="1" applyFill="1" applyBorder="1" applyAlignment="1">
      <alignment wrapText="1"/>
    </xf>
    <xf numFmtId="0" fontId="20" fillId="0" borderId="1" xfId="0" applyFont="1" applyFill="1" applyBorder="1" applyAlignment="1"/>
    <xf numFmtId="168" fontId="35" fillId="17" borderId="13" xfId="0" applyNumberFormat="1" applyFont="1" applyFill="1" applyBorder="1"/>
    <xf numFmtId="168" fontId="35" fillId="17" borderId="14" xfId="0" applyNumberFormat="1" applyFont="1" applyFill="1" applyBorder="1"/>
    <xf numFmtId="173" fontId="35" fillId="17" borderId="15" xfId="0" applyNumberFormat="1" applyFont="1" applyFill="1" applyBorder="1"/>
    <xf numFmtId="173" fontId="35" fillId="17" borderId="13" xfId="0" applyNumberFormat="1" applyFont="1" applyFill="1" applyBorder="1"/>
    <xf numFmtId="173" fontId="35" fillId="17" borderId="14" xfId="0" applyNumberFormat="1" applyFont="1" applyFill="1" applyBorder="1"/>
    <xf numFmtId="173" fontId="35" fillId="17" borderId="10" xfId="0" applyNumberFormat="1" applyFont="1" applyFill="1" applyBorder="1"/>
    <xf numFmtId="173" fontId="35" fillId="17" borderId="9" xfId="0" applyNumberFormat="1" applyFont="1" applyFill="1" applyBorder="1"/>
    <xf numFmtId="173" fontId="35" fillId="17" borderId="12" xfId="0" applyNumberFormat="1" applyFont="1" applyFill="1" applyBorder="1"/>
    <xf numFmtId="6" fontId="36" fillId="0" borderId="47" xfId="0" applyNumberFormat="1" applyFont="1" applyFill="1" applyBorder="1" applyAlignment="1" applyProtection="1">
      <alignment horizontal="left" vertical="top"/>
    </xf>
    <xf numFmtId="6" fontId="36" fillId="0" borderId="37" xfId="0" applyNumberFormat="1" applyFont="1" applyFill="1" applyBorder="1" applyAlignment="1" applyProtection="1">
      <alignment horizontal="left" vertical="top"/>
    </xf>
    <xf numFmtId="0" fontId="36" fillId="13" borderId="0" xfId="0" applyFont="1" applyFill="1" applyBorder="1" applyAlignment="1" applyProtection="1">
      <alignment horizontal="center" vertical="center"/>
    </xf>
    <xf numFmtId="0" fontId="2" fillId="2" borderId="44" xfId="0" applyFont="1" applyFill="1" applyBorder="1" applyAlignment="1">
      <alignment wrapText="1"/>
    </xf>
    <xf numFmtId="0" fontId="35" fillId="13" borderId="49" xfId="0" applyFont="1" applyFill="1" applyBorder="1" applyAlignment="1" applyProtection="1">
      <alignment horizontal="center" vertical="center" wrapText="1"/>
    </xf>
    <xf numFmtId="0" fontId="35" fillId="13" borderId="47" xfId="0" applyFont="1" applyFill="1" applyBorder="1" applyAlignment="1" applyProtection="1">
      <alignment horizontal="center" vertical="center"/>
    </xf>
    <xf numFmtId="0" fontId="0" fillId="0" borderId="45" xfId="0" applyFont="1" applyBorder="1"/>
    <xf numFmtId="166" fontId="19" fillId="10" borderId="5" xfId="1" applyNumberFormat="1" applyFont="1" applyFill="1" applyBorder="1"/>
    <xf numFmtId="166" fontId="19" fillId="10" borderId="11" xfId="1" applyNumberFormat="1" applyFont="1" applyFill="1" applyBorder="1"/>
    <xf numFmtId="166" fontId="19" fillId="10" borderId="6" xfId="1" applyNumberFormat="1" applyFont="1" applyFill="1" applyBorder="1"/>
    <xf numFmtId="166" fontId="19" fillId="10" borderId="7" xfId="1" applyNumberFormat="1" applyFont="1" applyFill="1" applyBorder="1"/>
    <xf numFmtId="166" fontId="19" fillId="10" borderId="0" xfId="1" applyNumberFormat="1" applyFont="1" applyFill="1" applyBorder="1"/>
    <xf numFmtId="166" fontId="19" fillId="10" borderId="8" xfId="1" applyNumberFormat="1" applyFont="1" applyFill="1" applyBorder="1"/>
    <xf numFmtId="166" fontId="19" fillId="10" borderId="13" xfId="1" applyNumberFormat="1" applyFont="1" applyFill="1" applyBorder="1"/>
    <xf numFmtId="166" fontId="19" fillId="10" borderId="30" xfId="1" applyNumberFormat="1" applyFont="1" applyFill="1" applyBorder="1"/>
    <xf numFmtId="166" fontId="19" fillId="10" borderId="9" xfId="1" applyNumberFormat="1" applyFont="1" applyFill="1" applyBorder="1"/>
    <xf numFmtId="166" fontId="19" fillId="10" borderId="12" xfId="1" applyNumberFormat="1" applyFont="1" applyFill="1" applyBorder="1"/>
    <xf numFmtId="166" fontId="19" fillId="10" borderId="10" xfId="1" applyNumberFormat="1" applyFont="1" applyFill="1" applyBorder="1"/>
    <xf numFmtId="0" fontId="2" fillId="2" borderId="36" xfId="0" applyFont="1" applyFill="1" applyBorder="1" applyAlignment="1">
      <alignment wrapText="1"/>
    </xf>
    <xf numFmtId="166" fontId="20" fillId="10" borderId="5" xfId="1" applyNumberFormat="1" applyFont="1" applyFill="1" applyBorder="1"/>
    <xf numFmtId="166" fontId="20" fillId="10" borderId="11" xfId="1" applyNumberFormat="1" applyFont="1" applyFill="1" applyBorder="1"/>
    <xf numFmtId="166" fontId="20" fillId="10" borderId="6" xfId="1" applyNumberFormat="1" applyFont="1" applyFill="1" applyBorder="1"/>
    <xf numFmtId="166" fontId="20" fillId="10" borderId="7" xfId="1" applyNumberFormat="1" applyFont="1" applyFill="1" applyBorder="1"/>
    <xf numFmtId="166" fontId="20" fillId="10" borderId="0" xfId="1" applyNumberFormat="1" applyFont="1" applyFill="1" applyBorder="1"/>
    <xf numFmtId="166" fontId="23" fillId="10" borderId="0" xfId="1" applyNumberFormat="1" applyFont="1" applyFill="1" applyBorder="1"/>
    <xf numFmtId="166" fontId="20" fillId="10" borderId="8" xfId="1" applyNumberFormat="1" applyFont="1" applyFill="1" applyBorder="1"/>
    <xf numFmtId="166" fontId="20" fillId="10" borderId="9" xfId="1" applyNumberFormat="1" applyFont="1" applyFill="1" applyBorder="1"/>
    <xf numFmtId="166" fontId="20" fillId="10" borderId="12" xfId="1" applyNumberFormat="1" applyFont="1" applyFill="1" applyBorder="1"/>
    <xf numFmtId="166" fontId="23" fillId="10" borderId="12" xfId="1" applyNumberFormat="1" applyFont="1" applyFill="1" applyBorder="1"/>
    <xf numFmtId="166" fontId="20" fillId="10" borderId="10" xfId="1" applyNumberFormat="1" applyFont="1" applyFill="1" applyBorder="1"/>
    <xf numFmtId="0" fontId="40" fillId="0" borderId="0" xfId="0" applyFont="1" applyFill="1" applyBorder="1" applyAlignment="1">
      <alignment wrapText="1"/>
    </xf>
    <xf numFmtId="0" fontId="2" fillId="0" borderId="0" xfId="0" applyFont="1" applyFill="1" applyBorder="1" applyAlignment="1"/>
    <xf numFmtId="168" fontId="0" fillId="0" borderId="0" xfId="0" applyNumberFormat="1" applyFill="1" applyBorder="1"/>
    <xf numFmtId="2" fontId="0" fillId="0" borderId="1" xfId="0" applyNumberFormat="1" applyFill="1" applyBorder="1"/>
    <xf numFmtId="4" fontId="35" fillId="0" borderId="73" xfId="0" applyNumberFormat="1" applyFont="1" applyFill="1" applyBorder="1"/>
    <xf numFmtId="164" fontId="18" fillId="0" borderId="0" xfId="0" applyNumberFormat="1" applyFont="1" applyFill="1" applyBorder="1" applyAlignment="1">
      <alignment wrapText="1"/>
    </xf>
    <xf numFmtId="164" fontId="18" fillId="0" borderId="0" xfId="0" applyNumberFormat="1" applyFont="1" applyFill="1" applyBorder="1"/>
    <xf numFmtId="4" fontId="18" fillId="0" borderId="0" xfId="0" applyNumberFormat="1" applyFont="1" applyFill="1" applyBorder="1" applyAlignment="1">
      <alignment horizontal="center" vertical="center"/>
    </xf>
    <xf numFmtId="4" fontId="18" fillId="0" borderId="8" xfId="1" applyNumberFormat="1" applyFont="1" applyFill="1" applyBorder="1"/>
    <xf numFmtId="6" fontId="18" fillId="0" borderId="7" xfId="0" applyNumberFormat="1" applyFont="1" applyFill="1" applyBorder="1" applyAlignment="1">
      <alignment horizontal="left" vertical="top" wrapText="1"/>
    </xf>
    <xf numFmtId="43" fontId="20" fillId="0" borderId="0" xfId="0" applyNumberFormat="1" applyFont="1" applyFill="1" applyBorder="1"/>
    <xf numFmtId="164" fontId="20" fillId="0" borderId="0" xfId="0" applyNumberFormat="1" applyFont="1" applyFill="1" applyBorder="1" applyAlignment="1">
      <alignment wrapText="1"/>
    </xf>
    <xf numFmtId="164" fontId="20" fillId="0" borderId="0" xfId="0" applyNumberFormat="1" applyFont="1" applyFill="1" applyBorder="1"/>
    <xf numFmtId="4" fontId="35" fillId="0" borderId="0" xfId="1" applyNumberFormat="1" applyFont="1" applyFill="1" applyBorder="1" applyAlignment="1">
      <alignment horizontal="center"/>
    </xf>
    <xf numFmtId="4" fontId="35" fillId="0" borderId="7" xfId="0" applyNumberFormat="1" applyFont="1" applyFill="1" applyBorder="1" applyAlignment="1">
      <alignment horizontal="center" vertical="center" wrapText="1"/>
    </xf>
    <xf numFmtId="4" fontId="35" fillId="0" borderId="0" xfId="0" applyNumberFormat="1" applyFont="1" applyFill="1" applyBorder="1" applyAlignment="1">
      <alignment horizontal="center" vertical="center" wrapText="1"/>
    </xf>
    <xf numFmtId="4" fontId="35" fillId="0" borderId="8" xfId="0" applyNumberFormat="1" applyFont="1" applyFill="1" applyBorder="1" applyAlignment="1">
      <alignment horizontal="center" vertical="center" wrapText="1"/>
    </xf>
    <xf numFmtId="4" fontId="35" fillId="0" borderId="7" xfId="1" applyNumberFormat="1" applyFont="1" applyFill="1" applyBorder="1" applyAlignment="1">
      <alignment horizontal="center"/>
    </xf>
    <xf numFmtId="4" fontId="35" fillId="0" borderId="8" xfId="1" applyNumberFormat="1" applyFont="1" applyFill="1" applyBorder="1" applyAlignment="1">
      <alignment horizontal="center"/>
    </xf>
    <xf numFmtId="4" fontId="35" fillId="0" borderId="0" xfId="0" applyNumberFormat="1" applyFont="1" applyFill="1" applyBorder="1" applyAlignment="1">
      <alignment vertical="center" wrapText="1"/>
    </xf>
    <xf numFmtId="4" fontId="35" fillId="0" borderId="0" xfId="0" applyNumberFormat="1" applyFont="1" applyFill="1" applyBorder="1" applyAlignment="1">
      <alignment horizontal="center" vertical="center"/>
    </xf>
    <xf numFmtId="0" fontId="18" fillId="53" borderId="7" xfId="0" applyFont="1" applyFill="1" applyBorder="1"/>
    <xf numFmtId="164" fontId="20" fillId="53" borderId="0" xfId="0" applyNumberFormat="1" applyFont="1" applyFill="1" applyBorder="1" applyAlignment="1">
      <alignment wrapText="1"/>
    </xf>
    <xf numFmtId="164" fontId="20" fillId="53" borderId="0" xfId="0" applyNumberFormat="1" applyFont="1" applyFill="1" applyBorder="1"/>
    <xf numFmtId="4" fontId="35" fillId="53" borderId="0" xfId="0" applyNumberFormat="1" applyFont="1" applyFill="1" applyBorder="1" applyAlignment="1">
      <alignment vertical="center" wrapText="1"/>
    </xf>
    <xf numFmtId="4" fontId="35" fillId="53" borderId="0" xfId="0" applyNumberFormat="1" applyFont="1" applyFill="1" applyBorder="1" applyAlignment="1">
      <alignment horizontal="center" vertical="center"/>
    </xf>
    <xf numFmtId="0" fontId="2" fillId="46" borderId="201" xfId="0" applyFont="1" applyFill="1" applyBorder="1" applyAlignment="1">
      <alignment horizontal="center" vertical="center" wrapText="1"/>
    </xf>
    <xf numFmtId="0" fontId="2" fillId="57" borderId="202" xfId="0" applyFont="1" applyFill="1" applyBorder="1" applyAlignment="1">
      <alignment horizontal="center" vertical="center" wrapText="1"/>
    </xf>
    <xf numFmtId="0" fontId="2" fillId="0" borderId="202" xfId="0" applyFont="1" applyBorder="1" applyAlignment="1">
      <alignment horizontal="center" vertical="center" wrapText="1"/>
    </xf>
    <xf numFmtId="4" fontId="90" fillId="16" borderId="0" xfId="0" applyNumberFormat="1" applyFont="1" applyFill="1" applyBorder="1"/>
    <xf numFmtId="0" fontId="0" fillId="39" borderId="19" xfId="0" applyFill="1" applyBorder="1"/>
    <xf numFmtId="0" fontId="0" fillId="39" borderId="20" xfId="0" applyFill="1" applyBorder="1"/>
    <xf numFmtId="17" fontId="15" fillId="0" borderId="49" xfId="0" applyNumberFormat="1" applyFont="1" applyFill="1" applyBorder="1"/>
    <xf numFmtId="17" fontId="15" fillId="0" borderId="47" xfId="0" applyNumberFormat="1" applyFont="1" applyFill="1" applyBorder="1"/>
    <xf numFmtId="17" fontId="15" fillId="0" borderId="179" xfId="0" applyNumberFormat="1" applyFont="1" applyFill="1" applyBorder="1"/>
    <xf numFmtId="43" fontId="0" fillId="12" borderId="13" xfId="0" applyNumberFormat="1" applyFill="1" applyBorder="1" applyAlignment="1">
      <alignment vertical="center"/>
    </xf>
    <xf numFmtId="3" fontId="2" fillId="12" borderId="14" xfId="0" applyNumberFormat="1" applyFont="1" applyFill="1" applyBorder="1" applyAlignment="1">
      <alignment horizontal="center" vertical="center"/>
    </xf>
    <xf numFmtId="3" fontId="2" fillId="12" borderId="15" xfId="0" applyNumberFormat="1" applyFont="1" applyFill="1" applyBorder="1" applyAlignment="1">
      <alignment horizontal="center" vertical="center"/>
    </xf>
    <xf numFmtId="0" fontId="2" fillId="39" borderId="5" xfId="0" applyFont="1" applyFill="1" applyBorder="1"/>
    <xf numFmtId="0" fontId="18" fillId="39" borderId="11" xfId="0" applyFont="1" applyFill="1" applyBorder="1"/>
    <xf numFmtId="0" fontId="0" fillId="39" borderId="11" xfId="0" applyFill="1" applyBorder="1"/>
    <xf numFmtId="0" fontId="0" fillId="39" borderId="6" xfId="0" applyFill="1" applyBorder="1"/>
    <xf numFmtId="0" fontId="0" fillId="39" borderId="22" xfId="0" applyFill="1" applyBorder="1"/>
    <xf numFmtId="3" fontId="0" fillId="12" borderId="13" xfId="0" applyNumberFormat="1" applyFill="1" applyBorder="1" applyAlignment="1">
      <alignment horizontal="center" vertical="center"/>
    </xf>
    <xf numFmtId="3" fontId="0" fillId="33" borderId="14" xfId="0" applyNumberFormat="1" applyFill="1" applyBorder="1" applyAlignment="1">
      <alignment horizontal="center" vertical="center"/>
    </xf>
    <xf numFmtId="17" fontId="15" fillId="0" borderId="168" xfId="0" applyNumberFormat="1" applyFont="1" applyFill="1" applyBorder="1"/>
    <xf numFmtId="0" fontId="0" fillId="12" borderId="13" xfId="0" applyFill="1" applyBorder="1"/>
    <xf numFmtId="4" fontId="0" fillId="12" borderId="13" xfId="0" applyNumberFormat="1" applyFill="1" applyBorder="1"/>
    <xf numFmtId="4" fontId="0" fillId="0" borderId="13" xfId="0" applyNumberFormat="1" applyFill="1" applyBorder="1"/>
    <xf numFmtId="3" fontId="0" fillId="0" borderId="0" xfId="0" applyNumberFormat="1" applyFont="1" applyFill="1" applyBorder="1" applyAlignment="1">
      <alignment horizontal="center" vertical="center"/>
    </xf>
    <xf numFmtId="3" fontId="0" fillId="0" borderId="0" xfId="0" applyNumberFormat="1" applyFill="1" applyBorder="1" applyAlignment="1">
      <alignment horizontal="center" vertical="center"/>
    </xf>
    <xf numFmtId="3" fontId="0" fillId="12" borderId="0" xfId="0" applyNumberFormat="1" applyFill="1" applyBorder="1" applyAlignment="1">
      <alignment horizontal="center" vertical="center"/>
    </xf>
    <xf numFmtId="3" fontId="0" fillId="0" borderId="0" xfId="1" applyNumberFormat="1" applyFont="1" applyFill="1" applyBorder="1" applyAlignment="1">
      <alignment horizontal="center" vertical="center"/>
    </xf>
    <xf numFmtId="3" fontId="0" fillId="0" borderId="0" xfId="0" applyNumberFormat="1" applyBorder="1" applyAlignment="1">
      <alignment horizontal="center" vertical="center"/>
    </xf>
    <xf numFmtId="0" fontId="0" fillId="39" borderId="15" xfId="0" applyFill="1" applyBorder="1"/>
    <xf numFmtId="3" fontId="0" fillId="0" borderId="5" xfId="0" applyNumberFormat="1" applyFill="1" applyBorder="1" applyAlignment="1">
      <alignment horizontal="center" vertical="center"/>
    </xf>
    <xf numFmtId="3" fontId="0" fillId="0" borderId="11" xfId="0" applyNumberFormat="1" applyBorder="1" applyAlignment="1">
      <alignment horizontal="center" vertical="center"/>
    </xf>
    <xf numFmtId="3" fontId="0" fillId="0" borderId="7" xfId="0" applyNumberFormat="1" applyFill="1" applyBorder="1" applyAlignment="1">
      <alignment horizontal="center" vertical="center"/>
    </xf>
    <xf numFmtId="3" fontId="0" fillId="0" borderId="9" xfId="0" applyNumberFormat="1" applyFill="1" applyBorder="1" applyAlignment="1">
      <alignment horizontal="center" vertical="center"/>
    </xf>
    <xf numFmtId="3" fontId="0" fillId="0" borderId="12" xfId="0" applyNumberFormat="1" applyBorder="1" applyAlignment="1">
      <alignment horizontal="center" vertical="center"/>
    </xf>
    <xf numFmtId="3" fontId="0" fillId="12" borderId="14" xfId="0" applyNumberFormat="1" applyFill="1" applyBorder="1" applyAlignment="1">
      <alignment horizontal="center" vertical="center"/>
    </xf>
    <xf numFmtId="3" fontId="0" fillId="33" borderId="13" xfId="0" applyNumberFormat="1" applyFill="1" applyBorder="1" applyAlignment="1">
      <alignment horizontal="center" vertical="center"/>
    </xf>
    <xf numFmtId="0" fontId="0" fillId="39" borderId="18" xfId="0" applyFill="1" applyBorder="1"/>
    <xf numFmtId="3" fontId="0" fillId="0" borderId="11" xfId="0" applyNumberFormat="1" applyFill="1" applyBorder="1" applyAlignment="1">
      <alignment horizontal="center" vertical="center"/>
    </xf>
    <xf numFmtId="3" fontId="0" fillId="0" borderId="12" xfId="0" applyNumberFormat="1" applyFill="1" applyBorder="1" applyAlignment="1">
      <alignment horizontal="center" vertical="center"/>
    </xf>
    <xf numFmtId="3" fontId="2" fillId="12" borderId="13" xfId="0" applyNumberFormat="1" applyFont="1" applyFill="1" applyBorder="1" applyAlignment="1">
      <alignment horizontal="center" vertical="center"/>
    </xf>
    <xf numFmtId="3" fontId="0" fillId="12" borderId="15" xfId="0" applyNumberFormat="1" applyFill="1" applyBorder="1" applyAlignment="1">
      <alignment horizontal="center" vertical="center"/>
    </xf>
    <xf numFmtId="3" fontId="0" fillId="0" borderId="5" xfId="1" applyNumberFormat="1" applyFont="1" applyFill="1" applyBorder="1" applyAlignment="1">
      <alignment horizontal="center" vertical="center"/>
    </xf>
    <xf numFmtId="3" fontId="0" fillId="0" borderId="7" xfId="1" applyNumberFormat="1" applyFont="1" applyFill="1" applyBorder="1" applyAlignment="1">
      <alignment horizontal="center" vertical="center"/>
    </xf>
    <xf numFmtId="3" fontId="0" fillId="0" borderId="9" xfId="1" applyNumberFormat="1" applyFont="1" applyFill="1" applyBorder="1" applyAlignment="1">
      <alignment horizontal="center" vertical="center"/>
    </xf>
    <xf numFmtId="3" fontId="0" fillId="0" borderId="6" xfId="0" applyNumberFormat="1" applyFill="1" applyBorder="1" applyAlignment="1">
      <alignment horizontal="center" vertical="center"/>
    </xf>
    <xf numFmtId="3" fontId="0" fillId="0" borderId="8" xfId="0" applyNumberFormat="1" applyFill="1" applyBorder="1" applyAlignment="1">
      <alignment horizontal="center" vertical="center"/>
    </xf>
    <xf numFmtId="3" fontId="0" fillId="0" borderId="10" xfId="0" applyNumberFormat="1" applyFill="1" applyBorder="1" applyAlignment="1">
      <alignment horizontal="center" vertical="center"/>
    </xf>
    <xf numFmtId="3" fontId="0" fillId="33" borderId="15" xfId="0" applyNumberFormat="1" applyFill="1" applyBorder="1" applyAlignment="1">
      <alignment horizontal="center" vertical="center"/>
    </xf>
    <xf numFmtId="3" fontId="0" fillId="0" borderId="11" xfId="1" applyNumberFormat="1" applyFont="1" applyFill="1" applyBorder="1" applyAlignment="1">
      <alignment horizontal="center" vertical="center"/>
    </xf>
    <xf numFmtId="3" fontId="0" fillId="0" borderId="12" xfId="1" applyNumberFormat="1" applyFont="1" applyFill="1" applyBorder="1" applyAlignment="1">
      <alignment horizontal="center" vertical="center"/>
    </xf>
    <xf numFmtId="3" fontId="0" fillId="0" borderId="7" xfId="0" applyNumberFormat="1" applyBorder="1" applyAlignment="1">
      <alignment horizontal="center" vertical="center"/>
    </xf>
    <xf numFmtId="3" fontId="0" fillId="0" borderId="9" xfId="0" applyNumberFormat="1" applyBorder="1" applyAlignment="1">
      <alignment horizontal="center" vertical="center"/>
    </xf>
    <xf numFmtId="43" fontId="0" fillId="39" borderId="13" xfId="0" applyNumberFormat="1" applyFill="1" applyBorder="1"/>
    <xf numFmtId="3" fontId="0" fillId="0" borderId="5" xfId="0" applyNumberFormat="1" applyFont="1" applyBorder="1" applyAlignment="1">
      <alignment horizontal="center" vertical="center"/>
    </xf>
    <xf numFmtId="3" fontId="0" fillId="0" borderId="11" xfId="0" applyNumberFormat="1" applyFont="1" applyFill="1" applyBorder="1" applyAlignment="1">
      <alignment horizontal="center" vertical="center"/>
    </xf>
    <xf numFmtId="3" fontId="0" fillId="46" borderId="7" xfId="0" applyNumberFormat="1" applyFont="1" applyFill="1" applyBorder="1" applyAlignment="1">
      <alignment horizontal="center" vertical="center" wrapText="1"/>
    </xf>
    <xf numFmtId="3" fontId="0" fillId="0" borderId="9" xfId="0" applyNumberFormat="1" applyFont="1" applyFill="1" applyBorder="1" applyAlignment="1">
      <alignment horizontal="center" vertical="center" wrapText="1"/>
    </xf>
    <xf numFmtId="3" fontId="0" fillId="0" borderId="12" xfId="0" applyNumberFormat="1" applyFont="1" applyFill="1" applyBorder="1" applyAlignment="1">
      <alignment horizontal="center" vertical="center"/>
    </xf>
    <xf numFmtId="3" fontId="0" fillId="33" borderId="9" xfId="0" applyNumberFormat="1" applyFill="1" applyBorder="1" applyAlignment="1">
      <alignment horizontal="center" vertical="center"/>
    </xf>
    <xf numFmtId="3" fontId="0" fillId="33" borderId="12" xfId="0" applyNumberFormat="1" applyFill="1" applyBorder="1" applyAlignment="1">
      <alignment horizontal="center" vertical="center"/>
    </xf>
    <xf numFmtId="0" fontId="0" fillId="12" borderId="15" xfId="0" applyFill="1" applyBorder="1"/>
    <xf numFmtId="0" fontId="0" fillId="33" borderId="15" xfId="0" applyFill="1" applyBorder="1"/>
    <xf numFmtId="0" fontId="0" fillId="39" borderId="21" xfId="0" applyFill="1" applyBorder="1"/>
    <xf numFmtId="173" fontId="0" fillId="0" borderId="6" xfId="0" applyNumberFormat="1" applyBorder="1"/>
    <xf numFmtId="173" fontId="0" fillId="0" borderId="8" xfId="0" applyNumberFormat="1" applyBorder="1"/>
    <xf numFmtId="173" fontId="0" fillId="0" borderId="10" xfId="0" applyNumberFormat="1" applyBorder="1"/>
    <xf numFmtId="173" fontId="0" fillId="12" borderId="15" xfId="0" applyNumberFormat="1" applyFill="1" applyBorder="1"/>
    <xf numFmtId="173" fontId="2" fillId="0" borderId="6" xfId="0" applyNumberFormat="1" applyFont="1" applyBorder="1" applyAlignment="1">
      <alignment horizontal="center" vertical="center"/>
    </xf>
    <xf numFmtId="173" fontId="2" fillId="0" borderId="8" xfId="0" applyNumberFormat="1" applyFont="1" applyBorder="1" applyAlignment="1">
      <alignment horizontal="center" vertical="center"/>
    </xf>
    <xf numFmtId="173" fontId="2" fillId="0" borderId="10" xfId="0" applyNumberFormat="1" applyFont="1" applyBorder="1" applyAlignment="1">
      <alignment horizontal="center" vertical="center"/>
    </xf>
    <xf numFmtId="173" fontId="2" fillId="12" borderId="15" xfId="0" applyNumberFormat="1" applyFont="1" applyFill="1" applyBorder="1" applyAlignment="1">
      <alignment horizontal="center" vertical="center"/>
    </xf>
    <xf numFmtId="173" fontId="2" fillId="33" borderId="15" xfId="0" applyNumberFormat="1" applyFont="1" applyFill="1" applyBorder="1" applyAlignment="1">
      <alignment horizontal="center" vertical="center"/>
    </xf>
    <xf numFmtId="168" fontId="2" fillId="0" borderId="6" xfId="0" applyNumberFormat="1" applyFont="1" applyBorder="1" applyAlignment="1">
      <alignment horizontal="center" vertical="center"/>
    </xf>
    <xf numFmtId="168" fontId="2" fillId="0" borderId="8" xfId="0" applyNumberFormat="1" applyFont="1" applyBorder="1" applyAlignment="1">
      <alignment horizontal="center" vertical="center"/>
    </xf>
    <xf numFmtId="168" fontId="2" fillId="0" borderId="10" xfId="0" applyNumberFormat="1" applyFont="1" applyBorder="1" applyAlignment="1">
      <alignment horizontal="center" vertical="center"/>
    </xf>
    <xf numFmtId="168" fontId="2" fillId="12" borderId="15" xfId="0" applyNumberFormat="1" applyFont="1" applyFill="1" applyBorder="1" applyAlignment="1">
      <alignment horizontal="center" vertical="center"/>
    </xf>
    <xf numFmtId="0" fontId="2" fillId="33" borderId="10" xfId="0" applyFont="1" applyFill="1" applyBorder="1" applyAlignment="1">
      <alignment horizontal="center" vertical="center"/>
    </xf>
    <xf numFmtId="173" fontId="0" fillId="33" borderId="10" xfId="0" applyNumberFormat="1" applyFill="1" applyBorder="1"/>
    <xf numFmtId="0" fontId="0" fillId="39" borderId="51" xfId="0" applyFill="1" applyBorder="1"/>
    <xf numFmtId="0" fontId="20" fillId="39" borderId="18" xfId="0" applyFont="1" applyFill="1" applyBorder="1" applyAlignment="1">
      <alignment wrapText="1"/>
    </xf>
    <xf numFmtId="0" fontId="18" fillId="39" borderId="14" xfId="0" applyFont="1" applyFill="1" applyBorder="1" applyAlignment="1">
      <alignment wrapText="1"/>
    </xf>
    <xf numFmtId="3" fontId="0" fillId="12" borderId="12" xfId="0" applyNumberFormat="1" applyFill="1" applyBorder="1" applyAlignment="1">
      <alignment horizontal="center" vertical="center"/>
    </xf>
    <xf numFmtId="173" fontId="0" fillId="12" borderId="15" xfId="0" applyNumberFormat="1" applyFill="1" applyBorder="1" applyAlignment="1">
      <alignment horizontal="center" vertical="center"/>
    </xf>
    <xf numFmtId="173" fontId="0" fillId="33" borderId="15" xfId="0" applyNumberFormat="1" applyFill="1" applyBorder="1"/>
    <xf numFmtId="0" fontId="18" fillId="0" borderId="7" xfId="0" applyFont="1" applyFill="1" applyBorder="1" applyAlignment="1">
      <alignment wrapText="1"/>
    </xf>
    <xf numFmtId="43" fontId="35" fillId="0" borderId="68" xfId="1" applyNumberFormat="1" applyFont="1" applyFill="1" applyBorder="1"/>
    <xf numFmtId="43" fontId="35" fillId="0" borderId="74" xfId="1" applyNumberFormat="1" applyFont="1" applyFill="1" applyBorder="1"/>
    <xf numFmtId="6" fontId="15" fillId="0" borderId="0" xfId="0" applyNumberFormat="1" applyFont="1" applyAlignment="1">
      <alignment horizontal="left"/>
    </xf>
    <xf numFmtId="175" fontId="0" fillId="0" borderId="0" xfId="0" applyNumberFormat="1"/>
    <xf numFmtId="0" fontId="127" fillId="0" borderId="0" xfId="0" applyFont="1" applyAlignment="1">
      <alignment vertical="center"/>
    </xf>
    <xf numFmtId="0" fontId="2" fillId="24" borderId="36" xfId="0" applyFont="1" applyFill="1" applyBorder="1" applyAlignment="1">
      <alignment horizontal="center" vertical="center" wrapText="1"/>
    </xf>
    <xf numFmtId="0" fontId="2" fillId="24" borderId="38" xfId="0" applyFont="1" applyFill="1" applyBorder="1" applyAlignment="1">
      <alignment horizontal="center" vertical="center" wrapText="1"/>
    </xf>
    <xf numFmtId="0" fontId="2" fillId="24" borderId="36" xfId="0" applyFont="1" applyFill="1" applyBorder="1" applyAlignment="1">
      <alignment horizontal="center" vertical="center"/>
    </xf>
    <xf numFmtId="0" fontId="19" fillId="0" borderId="7" xfId="0" applyFont="1" applyBorder="1" applyAlignment="1">
      <alignment vertical="top" wrapText="1"/>
    </xf>
    <xf numFmtId="0" fontId="19" fillId="0" borderId="7" xfId="0" applyFont="1" applyFill="1" applyBorder="1" applyAlignment="1">
      <alignment vertical="top" wrapText="1"/>
    </xf>
    <xf numFmtId="0" fontId="34" fillId="0" borderId="7" xfId="0" applyFont="1" applyFill="1" applyBorder="1"/>
    <xf numFmtId="0" fontId="19" fillId="0" borderId="0" xfId="0" applyFont="1" applyAlignment="1">
      <alignment vertical="top" wrapText="1"/>
    </xf>
    <xf numFmtId="3" fontId="19" fillId="0" borderId="0" xfId="0" applyNumberFormat="1" applyFont="1"/>
    <xf numFmtId="0" fontId="2" fillId="0" borderId="0" xfId="0" applyFont="1" applyAlignment="1"/>
    <xf numFmtId="0" fontId="35" fillId="0" borderId="0" xfId="0" applyFont="1" applyFill="1" applyBorder="1" applyAlignment="1">
      <alignment vertical="top" wrapText="1"/>
    </xf>
    <xf numFmtId="0" fontId="18" fillId="0" borderId="0" xfId="0" applyFont="1" applyBorder="1" applyAlignment="1">
      <alignment vertical="top" wrapText="1"/>
    </xf>
    <xf numFmtId="0" fontId="55" fillId="0" borderId="0" xfId="0" applyFont="1" applyFill="1" applyBorder="1" applyAlignment="1">
      <alignment vertical="top" wrapText="1"/>
    </xf>
    <xf numFmtId="3" fontId="0" fillId="0" borderId="0" xfId="0" applyNumberFormat="1" applyFont="1" applyBorder="1"/>
    <xf numFmtId="191" fontId="0" fillId="0" borderId="0" xfId="0" applyNumberFormat="1"/>
    <xf numFmtId="0" fontId="0" fillId="0" borderId="1" xfId="0" applyBorder="1" applyAlignment="1">
      <alignment horizontal="right" vertical="top"/>
    </xf>
    <xf numFmtId="0" fontId="24" fillId="4" borderId="1" xfId="0" applyFont="1" applyFill="1" applyBorder="1" applyAlignment="1">
      <alignment vertical="top" wrapText="1"/>
    </xf>
    <xf numFmtId="0" fontId="0" fillId="4" borderId="1" xfId="0" applyFill="1" applyBorder="1" applyAlignment="1">
      <alignment horizontal="left" vertical="top" wrapText="1"/>
    </xf>
    <xf numFmtId="43" fontId="0" fillId="4" borderId="1" xfId="0" applyNumberFormat="1" applyFill="1" applyBorder="1" applyAlignment="1">
      <alignment horizontal="left" vertical="top"/>
    </xf>
    <xf numFmtId="0" fontId="2" fillId="25" borderId="30" xfId="0" applyFont="1" applyFill="1" applyBorder="1"/>
    <xf numFmtId="174" fontId="2" fillId="25" borderId="30" xfId="0" applyNumberFormat="1" applyFont="1" applyFill="1" applyBorder="1"/>
    <xf numFmtId="0" fontId="2" fillId="25" borderId="14" xfId="0" applyFont="1" applyFill="1" applyBorder="1" applyAlignment="1">
      <alignment horizontal="center" vertical="center"/>
    </xf>
    <xf numFmtId="43" fontId="2" fillId="25" borderId="30" xfId="0" applyNumberFormat="1" applyFont="1" applyFill="1" applyBorder="1" applyAlignment="1">
      <alignment vertical="center"/>
    </xf>
    <xf numFmtId="7" fontId="2" fillId="25" borderId="15" xfId="0" applyNumberFormat="1" applyFont="1" applyFill="1" applyBorder="1" applyAlignment="1">
      <alignment vertical="center"/>
    </xf>
    <xf numFmtId="0" fontId="24" fillId="42" borderId="1" xfId="0" applyFont="1" applyFill="1" applyBorder="1" applyAlignment="1">
      <alignment vertical="top" wrapText="1"/>
    </xf>
    <xf numFmtId="0" fontId="0" fillId="4" borderId="1" xfId="0" applyFill="1" applyBorder="1" applyAlignment="1">
      <alignment horizontal="left" vertical="top"/>
    </xf>
    <xf numFmtId="174" fontId="2" fillId="25" borderId="15" xfId="0" applyNumberFormat="1" applyFont="1" applyFill="1" applyBorder="1"/>
    <xf numFmtId="0" fontId="2" fillId="0" borderId="0" xfId="0" applyFont="1" applyFill="1" applyBorder="1" applyAlignment="1">
      <alignment horizontal="center" vertical="center"/>
    </xf>
    <xf numFmtId="174" fontId="2" fillId="0" borderId="0" xfId="0" applyNumberFormat="1" applyFont="1" applyFill="1" applyBorder="1" applyAlignment="1">
      <alignment horizontal="center" vertical="center"/>
    </xf>
    <xf numFmtId="174" fontId="2" fillId="0" borderId="0" xfId="0" applyNumberFormat="1" applyFont="1" applyFill="1" applyBorder="1"/>
    <xf numFmtId="174" fontId="0" fillId="18" borderId="32" xfId="0" applyNumberFormat="1" applyFill="1" applyBorder="1" applyAlignment="1">
      <alignment horizontal="center" vertical="top"/>
    </xf>
    <xf numFmtId="0" fontId="24" fillId="0" borderId="32" xfId="0" applyFont="1" applyBorder="1" applyAlignment="1">
      <alignment vertical="top" wrapText="1"/>
    </xf>
    <xf numFmtId="0" fontId="0" fillId="42" borderId="1" xfId="0" applyFill="1" applyBorder="1" applyAlignment="1">
      <alignment vertical="top"/>
    </xf>
    <xf numFmtId="0" fontId="0" fillId="42" borderId="32" xfId="0" applyFill="1" applyBorder="1" applyAlignment="1">
      <alignment vertical="top"/>
    </xf>
    <xf numFmtId="0" fontId="2" fillId="56" borderId="30" xfId="0" applyFont="1" applyFill="1" applyBorder="1" applyAlignment="1">
      <alignment horizontal="center" vertical="center"/>
    </xf>
    <xf numFmtId="174" fontId="2" fillId="56" borderId="30" xfId="0" applyNumberFormat="1" applyFont="1" applyFill="1" applyBorder="1" applyAlignment="1">
      <alignment horizontal="center" vertical="center"/>
    </xf>
    <xf numFmtId="0" fontId="24" fillId="56" borderId="30" xfId="0" applyFont="1" applyFill="1" applyBorder="1" applyAlignment="1">
      <alignment vertical="top" wrapText="1"/>
    </xf>
    <xf numFmtId="0" fontId="2" fillId="56" borderId="30" xfId="0" applyFont="1" applyFill="1" applyBorder="1"/>
    <xf numFmtId="174" fontId="2" fillId="56" borderId="15" xfId="0" applyNumberFormat="1" applyFont="1" applyFill="1" applyBorder="1"/>
    <xf numFmtId="0" fontId="37" fillId="0" borderId="0" xfId="0" applyFont="1" applyBorder="1"/>
    <xf numFmtId="0" fontId="24" fillId="0" borderId="0" xfId="0" applyFont="1" applyBorder="1" applyAlignment="1">
      <alignment vertical="top" wrapText="1"/>
    </xf>
    <xf numFmtId="0" fontId="0" fillId="0" borderId="21" xfId="0" applyBorder="1"/>
    <xf numFmtId="0" fontId="0" fillId="0" borderId="1" xfId="0" applyBorder="1" applyAlignment="1">
      <alignment vertical="top" wrapText="1"/>
    </xf>
    <xf numFmtId="3" fontId="0" fillId="0" borderId="1" xfId="0" applyNumberFormat="1" applyBorder="1" applyAlignment="1">
      <alignment vertical="top"/>
    </xf>
    <xf numFmtId="0" fontId="0" fillId="0" borderId="1" xfId="0" applyBorder="1" applyAlignment="1">
      <alignment vertical="top"/>
    </xf>
    <xf numFmtId="0" fontId="37" fillId="0" borderId="36" xfId="0" applyFont="1" applyBorder="1"/>
    <xf numFmtId="0" fontId="0" fillId="0" borderId="34" xfId="0" applyBorder="1"/>
    <xf numFmtId="0" fontId="0" fillId="0" borderId="39" xfId="0" applyBorder="1"/>
    <xf numFmtId="0" fontId="0" fillId="0" borderId="171" xfId="0" applyBorder="1"/>
    <xf numFmtId="0" fontId="34" fillId="0" borderId="36" xfId="0" applyFont="1" applyBorder="1" applyAlignment="1">
      <alignment vertical="top" wrapText="1"/>
    </xf>
    <xf numFmtId="0" fontId="18" fillId="0" borderId="36" xfId="0" applyFont="1" applyBorder="1" applyAlignment="1">
      <alignment vertical="top" wrapText="1"/>
    </xf>
    <xf numFmtId="0" fontId="18" fillId="0" borderId="33" xfId="0" applyFont="1" applyBorder="1" applyAlignment="1">
      <alignment vertical="top" wrapText="1"/>
    </xf>
    <xf numFmtId="0" fontId="0" fillId="0" borderId="203" xfId="0" applyBorder="1"/>
    <xf numFmtId="0" fontId="18" fillId="0" borderId="13" xfId="0" applyFont="1" applyFill="1" applyBorder="1" applyAlignment="1">
      <alignment vertical="top" wrapText="1"/>
    </xf>
    <xf numFmtId="0" fontId="14" fillId="0" borderId="13" xfId="0" applyFont="1" applyFill="1" applyBorder="1"/>
    <xf numFmtId="0" fontId="14" fillId="0" borderId="14" xfId="0" applyFont="1" applyFill="1" applyBorder="1"/>
    <xf numFmtId="0" fontId="14" fillId="0" borderId="15" xfId="0" applyFont="1" applyFill="1" applyBorder="1"/>
    <xf numFmtId="0" fontId="2" fillId="10" borderId="1" xfId="0" applyFont="1" applyFill="1" applyBorder="1" applyAlignment="1">
      <alignment horizontal="center" vertical="top" wrapText="1"/>
    </xf>
    <xf numFmtId="0" fontId="0" fillId="10" borderId="1" xfId="0" applyFill="1" applyBorder="1" applyAlignment="1">
      <alignment horizontal="center" vertical="top" wrapText="1"/>
    </xf>
    <xf numFmtId="0" fontId="2" fillId="10" borderId="36" xfId="0" applyFont="1" applyFill="1" applyBorder="1" applyAlignment="1">
      <alignment horizontal="center" vertical="top" wrapText="1"/>
    </xf>
    <xf numFmtId="0" fontId="24" fillId="10" borderId="1" xfId="0" applyFont="1" applyFill="1" applyBorder="1" applyAlignment="1">
      <alignment horizontal="center" vertical="top" wrapText="1"/>
    </xf>
    <xf numFmtId="0" fontId="2" fillId="24" borderId="1" xfId="0" applyFont="1" applyFill="1" applyBorder="1" applyAlignment="1">
      <alignment horizontal="center" vertical="top" wrapText="1"/>
    </xf>
    <xf numFmtId="0" fontId="0" fillId="24" borderId="1" xfId="0" applyFill="1" applyBorder="1" applyAlignment="1">
      <alignment horizontal="left" vertical="center"/>
    </xf>
    <xf numFmtId="0" fontId="2" fillId="24" borderId="1" xfId="0" applyFont="1" applyFill="1" applyBorder="1" applyAlignment="1">
      <alignment horizontal="left" vertical="center" wrapText="1"/>
    </xf>
    <xf numFmtId="0" fontId="2" fillId="24" borderId="17" xfId="0" applyFont="1" applyFill="1" applyBorder="1" applyAlignment="1">
      <alignment horizontal="left" vertical="center"/>
    </xf>
    <xf numFmtId="0" fontId="0" fillId="10" borderId="1" xfId="0" applyFill="1" applyBorder="1" applyAlignment="1">
      <alignment vertical="center"/>
    </xf>
    <xf numFmtId="0" fontId="2" fillId="10" borderId="16" xfId="0" applyFont="1" applyFill="1" applyBorder="1" applyAlignment="1">
      <alignment vertical="center" wrapText="1"/>
    </xf>
    <xf numFmtId="0" fontId="0" fillId="10" borderId="38" xfId="0" applyFill="1" applyBorder="1" applyAlignment="1">
      <alignment vertical="center" wrapText="1"/>
    </xf>
    <xf numFmtId="0" fontId="0" fillId="10" borderId="1" xfId="0" applyFill="1" applyBorder="1" applyAlignment="1">
      <alignment vertical="center" wrapText="1"/>
    </xf>
    <xf numFmtId="0" fontId="2" fillId="10" borderId="1" xfId="0" applyFont="1" applyFill="1" applyBorder="1" applyAlignment="1">
      <alignment vertical="center" wrapText="1"/>
    </xf>
    <xf numFmtId="0" fontId="0" fillId="10" borderId="36" xfId="0" applyFill="1" applyBorder="1" applyAlignment="1">
      <alignment vertical="center"/>
    </xf>
    <xf numFmtId="0" fontId="2" fillId="10" borderId="17" xfId="0" applyFont="1" applyFill="1" applyBorder="1" applyAlignment="1">
      <alignment vertical="center"/>
    </xf>
    <xf numFmtId="0" fontId="24" fillId="10" borderId="1" xfId="0" applyFont="1" applyFill="1" applyBorder="1" applyAlignment="1">
      <alignment vertical="center" wrapText="1"/>
    </xf>
    <xf numFmtId="0" fontId="2" fillId="24" borderId="1" xfId="0" applyFont="1" applyFill="1" applyBorder="1" applyAlignment="1">
      <alignment vertical="center" wrapText="1"/>
    </xf>
    <xf numFmtId="0" fontId="0" fillId="0" borderId="22" xfId="0" applyBorder="1" applyAlignment="1">
      <alignment vertical="center" wrapText="1"/>
    </xf>
    <xf numFmtId="0" fontId="0" fillId="0" borderId="53" xfId="0" applyBorder="1" applyAlignment="1">
      <alignment vertical="center" wrapText="1"/>
    </xf>
    <xf numFmtId="0" fontId="0" fillId="0" borderId="27" xfId="0" applyBorder="1" applyAlignment="1">
      <alignment vertical="center"/>
    </xf>
    <xf numFmtId="0" fontId="0" fillId="0" borderId="166" xfId="0" applyBorder="1" applyAlignment="1">
      <alignment vertical="center"/>
    </xf>
    <xf numFmtId="0" fontId="0" fillId="0" borderId="22" xfId="0" applyBorder="1" applyAlignment="1">
      <alignment vertical="center"/>
    </xf>
    <xf numFmtId="0" fontId="0" fillId="0" borderId="23" xfId="0" applyFill="1" applyBorder="1" applyAlignment="1">
      <alignment vertical="center"/>
    </xf>
    <xf numFmtId="3" fontId="15" fillId="0" borderId="0" xfId="9" applyNumberFormat="1" applyFont="1" applyFill="1" applyBorder="1" applyAlignment="1">
      <alignment wrapText="1"/>
    </xf>
    <xf numFmtId="3" fontId="15" fillId="0" borderId="0" xfId="7" applyNumberFormat="1" applyFont="1" applyFill="1" applyBorder="1" applyAlignment="1">
      <alignment wrapText="1"/>
    </xf>
    <xf numFmtId="0" fontId="0" fillId="0" borderId="13" xfId="0" applyBorder="1" applyAlignment="1"/>
    <xf numFmtId="0" fontId="0" fillId="0" borderId="14" xfId="0" applyBorder="1" applyAlignment="1"/>
    <xf numFmtId="0" fontId="0" fillId="0" borderId="15" xfId="0" applyBorder="1" applyAlignment="1"/>
    <xf numFmtId="2" fontId="2" fillId="0" borderId="0" xfId="1" applyNumberFormat="1" applyFont="1" applyFill="1" applyBorder="1"/>
    <xf numFmtId="43" fontId="2" fillId="0" borderId="5" xfId="1" applyFont="1" applyFill="1" applyBorder="1"/>
    <xf numFmtId="43" fontId="2" fillId="0" borderId="11" xfId="1" applyFont="1" applyFill="1" applyBorder="1"/>
    <xf numFmtId="43" fontId="2" fillId="0" borderId="6" xfId="1" applyFont="1" applyFill="1" applyBorder="1"/>
    <xf numFmtId="43" fontId="2" fillId="0" borderId="7" xfId="1" applyFont="1" applyFill="1" applyBorder="1"/>
    <xf numFmtId="43" fontId="2" fillId="0" borderId="8" xfId="1" applyFont="1" applyFill="1" applyBorder="1"/>
    <xf numFmtId="0" fontId="2" fillId="0" borderId="7" xfId="1" applyNumberFormat="1" applyFont="1" applyFill="1" applyBorder="1"/>
    <xf numFmtId="43" fontId="2" fillId="0" borderId="9" xfId="1" applyFont="1" applyFill="1" applyBorder="1"/>
    <xf numFmtId="43" fontId="2" fillId="0" borderId="12" xfId="1" applyFont="1" applyFill="1" applyBorder="1"/>
    <xf numFmtId="43" fontId="2" fillId="0" borderId="10" xfId="1" applyFont="1" applyFill="1" applyBorder="1"/>
    <xf numFmtId="0" fontId="2" fillId="0" borderId="14" xfId="0" applyFont="1" applyFill="1" applyBorder="1"/>
    <xf numFmtId="0" fontId="2" fillId="0" borderId="15" xfId="0" applyFont="1" applyFill="1" applyBorder="1"/>
    <xf numFmtId="0" fontId="0" fillId="5" borderId="7" xfId="0" applyFill="1" applyBorder="1"/>
    <xf numFmtId="4" fontId="0" fillId="5" borderId="7" xfId="1" applyNumberFormat="1" applyFont="1" applyFill="1" applyBorder="1"/>
    <xf numFmtId="4" fontId="0" fillId="5" borderId="0" xfId="1" applyNumberFormat="1" applyFont="1" applyFill="1" applyBorder="1"/>
    <xf numFmtId="4" fontId="15" fillId="5" borderId="7" xfId="1" applyNumberFormat="1" applyFont="1" applyFill="1" applyBorder="1"/>
    <xf numFmtId="43" fontId="2" fillId="5" borderId="7" xfId="1" applyFont="1" applyFill="1" applyBorder="1"/>
    <xf numFmtId="43" fontId="2" fillId="5" borderId="0" xfId="1" applyFont="1" applyFill="1" applyBorder="1"/>
    <xf numFmtId="43" fontId="2" fillId="5" borderId="8" xfId="1" applyFont="1" applyFill="1" applyBorder="1"/>
    <xf numFmtId="0" fontId="18" fillId="0" borderId="28" xfId="0" applyFont="1" applyFill="1" applyBorder="1"/>
    <xf numFmtId="4" fontId="35" fillId="0" borderId="144" xfId="1" applyNumberFormat="1" applyFont="1" applyFill="1" applyBorder="1"/>
    <xf numFmtId="0" fontId="19" fillId="0" borderId="15" xfId="0" applyFont="1" applyBorder="1" applyAlignment="1">
      <alignment horizontal="center" vertical="center" wrapText="1"/>
    </xf>
    <xf numFmtId="0" fontId="19" fillId="0" borderId="30" xfId="0" applyFont="1" applyBorder="1" applyAlignment="1">
      <alignment horizontal="center" vertical="center" wrapText="1"/>
    </xf>
    <xf numFmtId="4" fontId="0" fillId="0" borderId="7" xfId="3" applyNumberFormat="1" applyFont="1" applyFill="1" applyBorder="1"/>
    <xf numFmtId="4" fontId="0" fillId="0" borderId="0" xfId="3" applyNumberFormat="1" applyFont="1" applyFill="1" applyBorder="1"/>
    <xf numFmtId="3" fontId="0" fillId="0" borderId="28" xfId="0" applyNumberFormat="1" applyFill="1" applyBorder="1"/>
    <xf numFmtId="3" fontId="0" fillId="0" borderId="29" xfId="0" applyNumberFormat="1" applyFill="1" applyBorder="1"/>
    <xf numFmtId="0" fontId="95" fillId="0" borderId="5" xfId="0" applyFont="1" applyFill="1" applyBorder="1"/>
    <xf numFmtId="0" fontId="0" fillId="0" borderId="15" xfId="0" applyFill="1" applyBorder="1"/>
    <xf numFmtId="3" fontId="0" fillId="0" borderId="30" xfId="0" applyNumberFormat="1" applyFill="1" applyBorder="1"/>
    <xf numFmtId="0" fontId="0" fillId="0" borderId="30" xfId="0" applyFill="1" applyBorder="1"/>
    <xf numFmtId="0" fontId="0" fillId="0" borderId="27" xfId="0" applyFill="1" applyBorder="1"/>
    <xf numFmtId="3" fontId="0" fillId="0" borderId="6" xfId="0" applyNumberFormat="1" applyFill="1" applyBorder="1"/>
    <xf numFmtId="0" fontId="33" fillId="0" borderId="5" xfId="0" applyFont="1" applyFill="1" applyBorder="1"/>
    <xf numFmtId="0" fontId="33" fillId="0" borderId="6" xfId="0" applyFont="1" applyFill="1" applyBorder="1"/>
    <xf numFmtId="3" fontId="80" fillId="0" borderId="8" xfId="0" applyNumberFormat="1" applyFont="1" applyFill="1" applyBorder="1"/>
    <xf numFmtId="0" fontId="129" fillId="0" borderId="0" xfId="12"/>
    <xf numFmtId="3" fontId="80" fillId="0" borderId="8" xfId="0" applyNumberFormat="1" applyFont="1" applyFill="1" applyBorder="1" applyAlignment="1">
      <alignment horizontal="right"/>
    </xf>
    <xf numFmtId="3" fontId="0" fillId="42" borderId="31" xfId="0" applyNumberFormat="1" applyFill="1" applyBorder="1"/>
    <xf numFmtId="3" fontId="0" fillId="42" borderId="35" xfId="0" applyNumberFormat="1" applyFill="1" applyBorder="1"/>
    <xf numFmtId="3" fontId="0" fillId="12" borderId="16" xfId="0" applyNumberFormat="1" applyFill="1" applyBorder="1"/>
    <xf numFmtId="3" fontId="0" fillId="12" borderId="1" xfId="0" applyNumberFormat="1" applyFill="1" applyBorder="1"/>
    <xf numFmtId="3" fontId="0" fillId="12" borderId="17" xfId="0" applyNumberFormat="1" applyFill="1" applyBorder="1"/>
    <xf numFmtId="3" fontId="0" fillId="42" borderId="17" xfId="0" applyNumberFormat="1" applyFill="1" applyBorder="1"/>
    <xf numFmtId="3" fontId="0" fillId="18" borderId="1" xfId="0" applyNumberFormat="1" applyFill="1" applyBorder="1"/>
    <xf numFmtId="3" fontId="0" fillId="18" borderId="17" xfId="0" applyNumberFormat="1" applyFill="1" applyBorder="1"/>
    <xf numFmtId="3" fontId="0" fillId="3" borderId="1" xfId="0" applyNumberFormat="1" applyFill="1" applyBorder="1"/>
    <xf numFmtId="3" fontId="0" fillId="3" borderId="17" xfId="0" applyNumberFormat="1" applyFill="1" applyBorder="1"/>
    <xf numFmtId="3" fontId="0" fillId="12" borderId="177" xfId="0" applyNumberFormat="1" applyFill="1" applyBorder="1"/>
    <xf numFmtId="3" fontId="0" fillId="12" borderId="32" xfId="0" applyNumberFormat="1" applyFill="1" applyBorder="1"/>
    <xf numFmtId="3" fontId="0" fillId="12" borderId="178" xfId="0" applyNumberFormat="1" applyFill="1" applyBorder="1"/>
    <xf numFmtId="3" fontId="0" fillId="42" borderId="178" xfId="0" applyNumberFormat="1" applyFill="1" applyBorder="1"/>
    <xf numFmtId="3" fontId="0" fillId="18" borderId="32" xfId="0" applyNumberFormat="1" applyFill="1" applyBorder="1"/>
    <xf numFmtId="3" fontId="0" fillId="18" borderId="178" xfId="0" applyNumberFormat="1" applyFill="1" applyBorder="1"/>
    <xf numFmtId="3" fontId="0" fillId="3" borderId="32" xfId="0" applyNumberFormat="1" applyFill="1" applyBorder="1"/>
    <xf numFmtId="3" fontId="0" fillId="3" borderId="178" xfId="0" applyNumberFormat="1" applyFill="1" applyBorder="1"/>
    <xf numFmtId="0" fontId="0" fillId="0" borderId="0" xfId="0" applyFill="1" applyBorder="1" applyAlignment="1">
      <alignment horizontal="center"/>
    </xf>
    <xf numFmtId="0" fontId="2" fillId="50" borderId="1" xfId="0" applyFont="1" applyFill="1" applyBorder="1"/>
    <xf numFmtId="0" fontId="2" fillId="52" borderId="1" xfId="0" applyFont="1" applyFill="1" applyBorder="1"/>
    <xf numFmtId="0" fontId="0" fillId="52" borderId="1" xfId="0" applyFill="1" applyBorder="1"/>
    <xf numFmtId="17" fontId="0" fillId="52" borderId="0" xfId="0" applyNumberFormat="1" applyFill="1"/>
    <xf numFmtId="10" fontId="0" fillId="0" borderId="0" xfId="0" applyNumberFormat="1" applyFill="1" applyBorder="1" applyAlignment="1">
      <alignment horizontal="center"/>
    </xf>
    <xf numFmtId="0" fontId="0" fillId="52" borderId="0" xfId="0" applyFill="1" applyBorder="1"/>
    <xf numFmtId="0" fontId="0" fillId="0" borderId="0" xfId="0" applyAlignment="1">
      <alignment horizontal="center"/>
    </xf>
    <xf numFmtId="175" fontId="0" fillId="0" borderId="1" xfId="0" applyNumberFormat="1" applyFill="1" applyBorder="1"/>
    <xf numFmtId="0" fontId="107" fillId="0" borderId="8" xfId="0" applyFont="1" applyFill="1" applyBorder="1" applyAlignment="1">
      <alignment vertical="center" wrapText="1"/>
    </xf>
    <xf numFmtId="0" fontId="123" fillId="0" borderId="12" xfId="0" applyFont="1" applyBorder="1" applyAlignment="1">
      <alignment vertical="center" wrapText="1"/>
    </xf>
    <xf numFmtId="0" fontId="126" fillId="0" borderId="30" xfId="0" applyFont="1" applyBorder="1" applyAlignment="1">
      <alignment wrapText="1"/>
    </xf>
    <xf numFmtId="8" fontId="0" fillId="0" borderId="28" xfId="0" applyNumberFormat="1" applyBorder="1"/>
    <xf numFmtId="10" fontId="0" fillId="0" borderId="28" xfId="0" applyNumberFormat="1" applyBorder="1"/>
    <xf numFmtId="0" fontId="0" fillId="0" borderId="0" xfId="0" applyAlignment="1">
      <alignment horizontal="center" vertical="top"/>
    </xf>
    <xf numFmtId="0" fontId="0" fillId="0" borderId="7" xfId="0" applyBorder="1" applyAlignment="1"/>
    <xf numFmtId="4" fontId="0" fillId="0" borderId="12" xfId="0" applyNumberFormat="1" applyBorder="1"/>
    <xf numFmtId="0" fontId="2" fillId="0" borderId="13" xfId="0" applyFont="1" applyFill="1" applyBorder="1"/>
    <xf numFmtId="4" fontId="2" fillId="0" borderId="14" xfId="0" applyNumberFormat="1" applyFont="1" applyBorder="1"/>
    <xf numFmtId="0" fontId="6" fillId="0" borderId="8" xfId="0" applyFont="1" applyBorder="1" applyAlignment="1">
      <alignment horizontal="center"/>
    </xf>
    <xf numFmtId="0" fontId="6" fillId="0" borderId="8" xfId="0" applyFont="1" applyFill="1" applyBorder="1"/>
    <xf numFmtId="0" fontId="6" fillId="0" borderId="10" xfId="0" applyFont="1" applyBorder="1"/>
    <xf numFmtId="3" fontId="0" fillId="0" borderId="29" xfId="0" applyNumberFormat="1" applyBorder="1"/>
    <xf numFmtId="17" fontId="18" fillId="0" borderId="7" xfId="0" applyNumberFormat="1" applyFont="1" applyFill="1" applyBorder="1" applyAlignment="1">
      <alignment wrapText="1"/>
    </xf>
    <xf numFmtId="3" fontId="6" fillId="0" borderId="10" xfId="0" applyNumberFormat="1" applyFont="1" applyFill="1" applyBorder="1"/>
    <xf numFmtId="0" fontId="6" fillId="0" borderId="10" xfId="0" applyFont="1" applyFill="1" applyBorder="1"/>
    <xf numFmtId="3" fontId="0" fillId="16" borderId="1" xfId="0" applyNumberFormat="1" applyFill="1" applyBorder="1"/>
    <xf numFmtId="0" fontId="0" fillId="41" borderId="51" xfId="0" applyFill="1" applyBorder="1"/>
    <xf numFmtId="166" fontId="19" fillId="18" borderId="200" xfId="1" applyNumberFormat="1" applyFont="1" applyFill="1" applyBorder="1" applyAlignment="1">
      <alignment horizontal="center" vertical="center" wrapText="1"/>
    </xf>
    <xf numFmtId="3" fontId="0" fillId="42" borderId="1" xfId="0" applyNumberFormat="1" applyFill="1" applyBorder="1"/>
    <xf numFmtId="3" fontId="0" fillId="10" borderId="1" xfId="0" applyNumberFormat="1" applyFill="1" applyBorder="1"/>
    <xf numFmtId="166" fontId="19" fillId="12" borderId="18" xfId="1" applyNumberFormat="1" applyFont="1" applyFill="1" applyBorder="1" applyAlignment="1">
      <alignment horizontal="center" vertical="center" wrapText="1"/>
    </xf>
    <xf numFmtId="0" fontId="0" fillId="12" borderId="19" xfId="0" applyFill="1" applyBorder="1" applyAlignment="1">
      <alignment vertical="center"/>
    </xf>
    <xf numFmtId="0" fontId="0" fillId="2" borderId="18" xfId="0" applyFill="1" applyBorder="1"/>
    <xf numFmtId="0" fontId="0" fillId="2" borderId="19" xfId="0" applyFill="1" applyBorder="1"/>
    <xf numFmtId="0" fontId="0" fillId="2" borderId="20" xfId="0" applyFill="1" applyBorder="1"/>
    <xf numFmtId="3" fontId="0" fillId="12" borderId="2" xfId="0" applyNumberFormat="1" applyFill="1" applyBorder="1"/>
    <xf numFmtId="3" fontId="0" fillId="12" borderId="3" xfId="0" applyNumberFormat="1" applyFill="1" applyBorder="1"/>
    <xf numFmtId="3" fontId="0" fillId="12" borderId="4" xfId="0" applyNumberFormat="1" applyFill="1" applyBorder="1"/>
    <xf numFmtId="3" fontId="0" fillId="42" borderId="16" xfId="0" applyNumberFormat="1" applyFill="1" applyBorder="1"/>
    <xf numFmtId="3" fontId="0" fillId="18" borderId="2" xfId="0" applyNumberFormat="1" applyFill="1" applyBorder="1"/>
    <xf numFmtId="3" fontId="0" fillId="18" borderId="3" xfId="0" applyNumberFormat="1" applyFill="1" applyBorder="1"/>
    <xf numFmtId="3" fontId="0" fillId="18" borderId="4" xfId="0" applyNumberFormat="1" applyFill="1" applyBorder="1"/>
    <xf numFmtId="3" fontId="0" fillId="18" borderId="16" xfId="0" applyNumberFormat="1" applyFill="1" applyBorder="1"/>
    <xf numFmtId="3" fontId="0" fillId="3" borderId="2" xfId="0" applyNumberFormat="1" applyFill="1" applyBorder="1"/>
    <xf numFmtId="3" fontId="0" fillId="3" borderId="3" xfId="0" applyNumberFormat="1" applyFill="1" applyBorder="1"/>
    <xf numFmtId="3" fontId="0" fillId="3" borderId="4" xfId="0" applyNumberFormat="1" applyFill="1" applyBorder="1"/>
    <xf numFmtId="3" fontId="0" fillId="3" borderId="16" xfId="0" applyNumberFormat="1" applyFill="1" applyBorder="1"/>
    <xf numFmtId="166" fontId="19" fillId="10" borderId="42" xfId="1" applyNumberFormat="1" applyFont="1" applyFill="1" applyBorder="1" applyAlignment="1">
      <alignment horizontal="center" vertical="center" wrapText="1"/>
    </xf>
    <xf numFmtId="0" fontId="0" fillId="10" borderId="32" xfId="0" applyFill="1" applyBorder="1" applyAlignment="1">
      <alignment vertical="center"/>
    </xf>
    <xf numFmtId="0" fontId="0" fillId="10" borderId="33" xfId="0" applyFill="1" applyBorder="1" applyAlignment="1">
      <alignment vertical="center"/>
    </xf>
    <xf numFmtId="3" fontId="0" fillId="10" borderId="2" xfId="0" applyNumberFormat="1" applyFill="1" applyBorder="1"/>
    <xf numFmtId="3" fontId="0" fillId="10" borderId="3" xfId="0" applyNumberFormat="1" applyFill="1" applyBorder="1"/>
    <xf numFmtId="3" fontId="0" fillId="10" borderId="4" xfId="0" applyNumberFormat="1" applyFill="1" applyBorder="1"/>
    <xf numFmtId="3" fontId="0" fillId="10" borderId="16" xfId="0" applyNumberFormat="1" applyFill="1" applyBorder="1"/>
    <xf numFmtId="3" fontId="0" fillId="10" borderId="17" xfId="0" applyNumberFormat="1" applyFill="1" applyBorder="1"/>
    <xf numFmtId="3" fontId="0" fillId="42" borderId="177" xfId="0" applyNumberFormat="1" applyFill="1" applyBorder="1"/>
    <xf numFmtId="3" fontId="0" fillId="42" borderId="32" xfId="0" applyNumberFormat="1" applyFill="1" applyBorder="1"/>
    <xf numFmtId="3" fontId="0" fillId="18" borderId="177" xfId="0" applyNumberFormat="1" applyFill="1" applyBorder="1"/>
    <xf numFmtId="3" fontId="0" fillId="3" borderId="177" xfId="0" applyNumberFormat="1" applyFill="1" applyBorder="1"/>
    <xf numFmtId="3" fontId="0" fillId="10" borderId="177" xfId="0" applyNumberFormat="1" applyFill="1" applyBorder="1"/>
    <xf numFmtId="3" fontId="0" fillId="10" borderId="32" xfId="0" applyNumberFormat="1" applyFill="1" applyBorder="1"/>
    <xf numFmtId="3" fontId="0" fillId="10" borderId="178" xfId="0" applyNumberFormat="1" applyFill="1" applyBorder="1"/>
    <xf numFmtId="3" fontId="0" fillId="2" borderId="177" xfId="0" applyNumberFormat="1" applyFill="1" applyBorder="1"/>
    <xf numFmtId="3" fontId="0" fillId="2" borderId="32" xfId="0" applyNumberFormat="1" applyFill="1" applyBorder="1"/>
    <xf numFmtId="3" fontId="0" fillId="2" borderId="178" xfId="0" applyNumberFormat="1" applyFill="1" applyBorder="1"/>
    <xf numFmtId="3" fontId="0" fillId="41" borderId="173" xfId="0" applyNumberFormat="1" applyFill="1" applyBorder="1"/>
    <xf numFmtId="3" fontId="0" fillId="41" borderId="174" xfId="0" applyNumberFormat="1" applyFill="1" applyBorder="1"/>
    <xf numFmtId="3" fontId="0" fillId="41" borderId="175" xfId="0" applyNumberFormat="1" applyFill="1" applyBorder="1"/>
    <xf numFmtId="0" fontId="32" fillId="0" borderId="0" xfId="0" applyFont="1" applyFill="1" applyBorder="1" applyAlignment="1">
      <alignment horizontal="center"/>
    </xf>
    <xf numFmtId="0" fontId="16" fillId="0" borderId="0" xfId="0" applyFont="1" applyFill="1" applyBorder="1" applyAlignment="1">
      <alignment vertical="center"/>
    </xf>
    <xf numFmtId="0" fontId="16" fillId="0" borderId="0" xfId="0" applyFont="1" applyFill="1" applyBorder="1" applyAlignment="1">
      <alignment horizontal="center" vertical="center"/>
    </xf>
    <xf numFmtId="3" fontId="130" fillId="0" borderId="0" xfId="0" applyNumberFormat="1" applyFont="1"/>
    <xf numFmtId="165" fontId="20" fillId="5" borderId="50" xfId="0" applyNumberFormat="1" applyFont="1" applyFill="1" applyBorder="1"/>
    <xf numFmtId="165" fontId="20" fillId="5" borderId="36" xfId="0" applyNumberFormat="1" applyFont="1" applyFill="1" applyBorder="1"/>
    <xf numFmtId="0" fontId="0" fillId="44" borderId="174" xfId="0" applyFill="1" applyBorder="1"/>
    <xf numFmtId="0" fontId="20" fillId="0" borderId="53" xfId="0" applyFont="1" applyFill="1" applyBorder="1"/>
    <xf numFmtId="0" fontId="20" fillId="0" borderId="6" xfId="0" applyFont="1" applyFill="1" applyBorder="1"/>
    <xf numFmtId="165" fontId="20" fillId="5" borderId="31" xfId="0" applyNumberFormat="1" applyFont="1" applyFill="1" applyBorder="1"/>
    <xf numFmtId="0" fontId="20" fillId="0" borderId="30" xfId="0" applyFont="1" applyFill="1" applyBorder="1"/>
    <xf numFmtId="165" fontId="20" fillId="23" borderId="1" xfId="0" applyNumberFormat="1" applyFont="1" applyFill="1" applyBorder="1"/>
    <xf numFmtId="165" fontId="20" fillId="23" borderId="36" xfId="0" applyNumberFormat="1" applyFont="1" applyFill="1" applyBorder="1"/>
    <xf numFmtId="3" fontId="23" fillId="5" borderId="3" xfId="0" applyNumberFormat="1" applyFont="1" applyFill="1" applyBorder="1"/>
    <xf numFmtId="3" fontId="23" fillId="5" borderId="1" xfId="0" applyNumberFormat="1" applyFont="1" applyFill="1" applyBorder="1"/>
    <xf numFmtId="3" fontId="23" fillId="23" borderId="1" xfId="0" applyNumberFormat="1" applyFont="1" applyFill="1" applyBorder="1"/>
    <xf numFmtId="165" fontId="20" fillId="23" borderId="16" xfId="0" applyNumberFormat="1" applyFont="1" applyFill="1" applyBorder="1"/>
    <xf numFmtId="3" fontId="20" fillId="0" borderId="0" xfId="1" applyNumberFormat="1" applyFont="1" applyFill="1" applyBorder="1" applyAlignment="1">
      <alignment horizontal="right"/>
    </xf>
    <xf numFmtId="3" fontId="0" fillId="0" borderId="17" xfId="0" applyNumberFormat="1" applyBorder="1"/>
    <xf numFmtId="3" fontId="0" fillId="0" borderId="26" xfId="0" applyNumberFormat="1" applyBorder="1"/>
    <xf numFmtId="3" fontId="0" fillId="0" borderId="24" xfId="0" applyNumberFormat="1" applyBorder="1"/>
    <xf numFmtId="4" fontId="123" fillId="0" borderId="8" xfId="0" applyNumberFormat="1" applyFont="1" applyFill="1" applyBorder="1" applyAlignment="1">
      <alignment horizontal="right" vertical="center"/>
    </xf>
    <xf numFmtId="0" fontId="123" fillId="0" borderId="8" xfId="0" applyFont="1" applyBorder="1" applyAlignment="1">
      <alignment vertical="center"/>
    </xf>
    <xf numFmtId="0" fontId="123" fillId="0" borderId="1" xfId="0" applyFont="1" applyFill="1" applyBorder="1" applyAlignment="1">
      <alignment vertical="center"/>
    </xf>
    <xf numFmtId="173" fontId="2" fillId="0" borderId="0" xfId="0" applyNumberFormat="1" applyFont="1" applyFill="1" applyBorder="1" applyAlignment="1">
      <alignment horizontal="center" vertical="center"/>
    </xf>
    <xf numFmtId="173" fontId="0" fillId="0" borderId="0" xfId="0" applyNumberFormat="1" applyFill="1" applyBorder="1"/>
    <xf numFmtId="3" fontId="2" fillId="0" borderId="0" xfId="0" applyNumberFormat="1" applyFont="1" applyFill="1" applyBorder="1" applyAlignment="1">
      <alignment horizontal="center" vertical="center"/>
    </xf>
    <xf numFmtId="173" fontId="0" fillId="0" borderId="0" xfId="0" applyNumberFormat="1" applyFill="1" applyBorder="1" applyAlignment="1">
      <alignment horizontal="center" vertical="center"/>
    </xf>
    <xf numFmtId="11" fontId="18" fillId="2" borderId="0" xfId="0" applyNumberFormat="1" applyFont="1" applyFill="1" applyBorder="1"/>
    <xf numFmtId="11" fontId="18" fillId="0" borderId="0" xfId="0" applyNumberFormat="1" applyFont="1" applyFill="1" applyBorder="1"/>
    <xf numFmtId="0" fontId="0" fillId="24" borderId="23" xfId="0" applyFill="1" applyBorder="1"/>
    <xf numFmtId="0" fontId="18" fillId="0" borderId="1" xfId="0" applyFont="1" applyFill="1" applyBorder="1" applyAlignment="1">
      <alignment wrapText="1"/>
    </xf>
    <xf numFmtId="4" fontId="131" fillId="0" borderId="1" xfId="7" applyNumberFormat="1" applyFont="1" applyBorder="1"/>
    <xf numFmtId="0" fontId="18" fillId="0" borderId="34" xfId="0" applyFont="1" applyBorder="1" applyAlignment="1">
      <alignment wrapText="1"/>
    </xf>
    <xf numFmtId="0" fontId="18" fillId="0" borderId="31" xfId="0" applyFont="1" applyBorder="1"/>
    <xf numFmtId="0" fontId="18" fillId="0" borderId="177" xfId="0" applyFont="1" applyBorder="1" applyAlignment="1">
      <alignment wrapText="1"/>
    </xf>
    <xf numFmtId="0" fontId="18" fillId="0" borderId="32" xfId="0" applyFont="1" applyBorder="1"/>
    <xf numFmtId="11" fontId="18" fillId="0" borderId="0" xfId="0" applyNumberFormat="1" applyFont="1"/>
    <xf numFmtId="0" fontId="34" fillId="0" borderId="1" xfId="0" applyFont="1" applyFill="1" applyBorder="1"/>
    <xf numFmtId="0" fontId="2" fillId="0" borderId="1" xfId="0" applyFont="1" applyFill="1" applyBorder="1"/>
    <xf numFmtId="168" fontId="6" fillId="21" borderId="7" xfId="1" applyNumberFormat="1" applyFont="1" applyFill="1" applyBorder="1"/>
    <xf numFmtId="9" fontId="6" fillId="21" borderId="8" xfId="3" applyFont="1" applyFill="1" applyBorder="1"/>
    <xf numFmtId="169" fontId="13" fillId="21" borderId="8" xfId="1" applyNumberFormat="1" applyFont="1" applyFill="1" applyBorder="1"/>
    <xf numFmtId="4" fontId="13" fillId="49" borderId="8" xfId="1" applyNumberFormat="1" applyFont="1" applyFill="1" applyBorder="1"/>
    <xf numFmtId="4" fontId="13" fillId="21" borderId="8" xfId="1" applyNumberFormat="1" applyFont="1" applyFill="1" applyBorder="1"/>
    <xf numFmtId="9" fontId="13" fillId="21" borderId="8" xfId="3" applyFont="1" applyFill="1" applyBorder="1"/>
    <xf numFmtId="169" fontId="6" fillId="21" borderId="8" xfId="1" applyNumberFormat="1" applyFont="1" applyFill="1" applyBorder="1"/>
    <xf numFmtId="168" fontId="13" fillId="10" borderId="8" xfId="0" applyNumberFormat="1" applyFont="1" applyFill="1" applyBorder="1"/>
    <xf numFmtId="10" fontId="13" fillId="10" borderId="8" xfId="0" applyNumberFormat="1" applyFont="1" applyFill="1" applyBorder="1" applyAlignment="1">
      <alignment vertical="top"/>
    </xf>
    <xf numFmtId="10" fontId="132" fillId="8" borderId="8" xfId="1" applyNumberFormat="1" applyFont="1" applyFill="1" applyBorder="1"/>
    <xf numFmtId="169" fontId="35" fillId="0" borderId="0" xfId="0" applyNumberFormat="1" applyFont="1" applyFill="1" applyBorder="1"/>
    <xf numFmtId="6" fontId="123" fillId="0" borderId="7" xfId="0" applyNumberFormat="1" applyFont="1" applyBorder="1" applyAlignment="1">
      <alignment horizontal="right" vertical="center"/>
    </xf>
    <xf numFmtId="0" fontId="123" fillId="0" borderId="7" xfId="0" applyFont="1" applyBorder="1" applyAlignment="1">
      <alignment vertical="center"/>
    </xf>
    <xf numFmtId="43" fontId="0" fillId="2" borderId="0" xfId="1" applyFont="1" applyFill="1" applyBorder="1"/>
    <xf numFmtId="4" fontId="6" fillId="21" borderId="8" xfId="1" applyNumberFormat="1" applyFont="1" applyFill="1" applyBorder="1"/>
    <xf numFmtId="0" fontId="9" fillId="0" borderId="1" xfId="0" applyFont="1" applyBorder="1"/>
    <xf numFmtId="0" fontId="9" fillId="0" borderId="7" xfId="0" applyFont="1" applyBorder="1"/>
    <xf numFmtId="43" fontId="9" fillId="0" borderId="1" xfId="0" applyNumberFormat="1" applyFont="1" applyFill="1" applyBorder="1"/>
    <xf numFmtId="43" fontId="9" fillId="0" borderId="1" xfId="0" applyNumberFormat="1" applyFont="1" applyBorder="1"/>
    <xf numFmtId="43" fontId="25" fillId="3" borderId="1" xfId="1" applyFont="1" applyFill="1" applyBorder="1"/>
    <xf numFmtId="43" fontId="25" fillId="0" borderId="1" xfId="1" applyFont="1" applyFill="1" applyBorder="1"/>
    <xf numFmtId="43" fontId="25" fillId="0" borderId="1" xfId="1" applyFont="1" applyBorder="1"/>
    <xf numFmtId="43" fontId="9" fillId="0" borderId="1" xfId="1" applyFont="1" applyBorder="1"/>
    <xf numFmtId="4" fontId="6" fillId="8" borderId="8" xfId="1" applyNumberFormat="1" applyFont="1" applyFill="1" applyBorder="1"/>
    <xf numFmtId="10" fontId="6" fillId="8" borderId="8" xfId="3" applyNumberFormat="1" applyFont="1" applyFill="1" applyBorder="1"/>
    <xf numFmtId="4" fontId="6" fillId="49" borderId="8" xfId="1" applyNumberFormat="1" applyFont="1" applyFill="1" applyBorder="1"/>
    <xf numFmtId="10" fontId="14" fillId="8" borderId="8" xfId="1" applyNumberFormat="1" applyFont="1" applyFill="1" applyBorder="1"/>
    <xf numFmtId="169" fontId="2" fillId="38" borderId="7" xfId="1" applyNumberFormat="1" applyFont="1" applyFill="1" applyBorder="1"/>
    <xf numFmtId="169" fontId="2" fillId="38" borderId="0" xfId="1" applyNumberFormat="1" applyFont="1" applyFill="1" applyBorder="1"/>
    <xf numFmtId="169" fontId="2" fillId="38" borderId="8" xfId="1" applyNumberFormat="1" applyFont="1" applyFill="1" applyBorder="1"/>
    <xf numFmtId="4" fontId="13" fillId="21" borderId="0" xfId="1" applyNumberFormat="1" applyFont="1" applyFill="1" applyBorder="1"/>
    <xf numFmtId="9" fontId="13" fillId="21" borderId="0" xfId="3" applyFont="1" applyFill="1" applyBorder="1"/>
    <xf numFmtId="190" fontId="0" fillId="58" borderId="0" xfId="1" applyNumberFormat="1" applyFont="1" applyFill="1" applyBorder="1"/>
    <xf numFmtId="169" fontId="13" fillId="21" borderId="0" xfId="1" applyNumberFormat="1" applyFont="1" applyFill="1" applyBorder="1"/>
    <xf numFmtId="4" fontId="0" fillId="58" borderId="0" xfId="1" applyNumberFormat="1" applyFont="1" applyFill="1" applyBorder="1"/>
    <xf numFmtId="174" fontId="134" fillId="0" borderId="1" xfId="0" applyNumberFormat="1" applyFont="1" applyBorder="1"/>
    <xf numFmtId="8" fontId="134" fillId="0" borderId="1" xfId="0" applyNumberFormat="1" applyFont="1" applyBorder="1"/>
    <xf numFmtId="0" fontId="15" fillId="0" borderId="1" xfId="0" applyFont="1" applyBorder="1"/>
    <xf numFmtId="43" fontId="15" fillId="0" borderId="1" xfId="1" applyFont="1" applyBorder="1"/>
    <xf numFmtId="0" fontId="15" fillId="0" borderId="32" xfId="0" applyFont="1" applyBorder="1"/>
    <xf numFmtId="0" fontId="135" fillId="0" borderId="1" xfId="0" applyFont="1" applyBorder="1"/>
    <xf numFmtId="43" fontId="135" fillId="0" borderId="1" xfId="1" applyFont="1" applyBorder="1"/>
    <xf numFmtId="43" fontId="135" fillId="0" borderId="32" xfId="1" applyFont="1" applyBorder="1"/>
    <xf numFmtId="0" fontId="36" fillId="0" borderId="1" xfId="0" applyFont="1" applyBorder="1"/>
    <xf numFmtId="43" fontId="136" fillId="0" borderId="1" xfId="1" applyFont="1" applyBorder="1"/>
    <xf numFmtId="43" fontId="136" fillId="0" borderId="32" xfId="1" applyFont="1" applyBorder="1"/>
    <xf numFmtId="0" fontId="36" fillId="0" borderId="32" xfId="0" applyFont="1" applyBorder="1"/>
    <xf numFmtId="0" fontId="136" fillId="0" borderId="1" xfId="0" applyFont="1" applyBorder="1"/>
    <xf numFmtId="4" fontId="36" fillId="0" borderId="1" xfId="0" applyNumberFormat="1" applyFont="1" applyFill="1" applyBorder="1"/>
    <xf numFmtId="4" fontId="36" fillId="0" borderId="1" xfId="0" applyNumberFormat="1" applyFont="1" applyBorder="1"/>
    <xf numFmtId="4" fontId="136" fillId="0" borderId="1" xfId="0" applyNumberFormat="1" applyFont="1" applyBorder="1"/>
    <xf numFmtId="4" fontId="36" fillId="0" borderId="32" xfId="0" applyNumberFormat="1" applyFont="1" applyFill="1" applyBorder="1"/>
    <xf numFmtId="0" fontId="137" fillId="0" borderId="1" xfId="0" applyFont="1" applyBorder="1"/>
    <xf numFmtId="0" fontId="138" fillId="0" borderId="1" xfId="0" applyFont="1" applyBorder="1"/>
    <xf numFmtId="43" fontId="15" fillId="0" borderId="31" xfId="1" applyFont="1" applyBorder="1"/>
    <xf numFmtId="17" fontId="2" fillId="0" borderId="18" xfId="0" applyNumberFormat="1" applyFont="1" applyBorder="1" applyAlignment="1">
      <alignment horizontal="center"/>
    </xf>
    <xf numFmtId="17" fontId="2" fillId="0" borderId="19" xfId="0" applyNumberFormat="1" applyFont="1" applyBorder="1" applyAlignment="1">
      <alignment horizontal="center"/>
    </xf>
    <xf numFmtId="17" fontId="2" fillId="14" borderId="19" xfId="0" applyNumberFormat="1" applyFont="1" applyFill="1" applyBorder="1" applyAlignment="1">
      <alignment horizontal="center"/>
    </xf>
    <xf numFmtId="0" fontId="2" fillId="0" borderId="19" xfId="0" applyFont="1" applyBorder="1"/>
    <xf numFmtId="0" fontId="2" fillId="14" borderId="19" xfId="0" applyFont="1" applyFill="1" applyBorder="1"/>
    <xf numFmtId="0" fontId="2" fillId="0" borderId="19" xfId="0" applyFont="1" applyFill="1" applyBorder="1"/>
    <xf numFmtId="0" fontId="2" fillId="16" borderId="20" xfId="0" applyFont="1" applyFill="1" applyBorder="1"/>
    <xf numFmtId="43" fontId="15" fillId="0" borderId="39" xfId="1" applyFont="1" applyBorder="1"/>
    <xf numFmtId="43" fontId="15" fillId="0" borderId="36" xfId="1" applyFont="1" applyBorder="1"/>
    <xf numFmtId="43" fontId="135" fillId="0" borderId="36" xfId="1" applyFont="1" applyBorder="1"/>
    <xf numFmtId="43" fontId="135" fillId="0" borderId="33" xfId="1" applyFont="1" applyBorder="1"/>
    <xf numFmtId="0" fontId="15" fillId="0" borderId="36" xfId="0" applyFont="1" applyBorder="1"/>
    <xf numFmtId="0" fontId="15" fillId="0" borderId="33" xfId="0" applyFont="1" applyBorder="1"/>
    <xf numFmtId="0" fontId="135" fillId="0" borderId="36" xfId="0" applyFont="1" applyBorder="1"/>
    <xf numFmtId="0" fontId="69" fillId="0" borderId="81" xfId="0" applyFont="1" applyFill="1" applyBorder="1"/>
    <xf numFmtId="43" fontId="15" fillId="0" borderId="41" xfId="1" applyFont="1" applyBorder="1"/>
    <xf numFmtId="43" fontId="15" fillId="0" borderId="38" xfId="1" applyFont="1" applyBorder="1"/>
    <xf numFmtId="43" fontId="135" fillId="0" borderId="38" xfId="1" applyFont="1" applyBorder="1"/>
    <xf numFmtId="43" fontId="135" fillId="0" borderId="42" xfId="1" applyFont="1" applyBorder="1"/>
    <xf numFmtId="0" fontId="15" fillId="0" borderId="42" xfId="0" applyFont="1" applyBorder="1"/>
    <xf numFmtId="0" fontId="135" fillId="0" borderId="38" xfId="0" applyFont="1" applyBorder="1"/>
    <xf numFmtId="0" fontId="36" fillId="0" borderId="2" xfId="0" applyFont="1" applyBorder="1"/>
    <xf numFmtId="0" fontId="36" fillId="0" borderId="3" xfId="0" applyFont="1" applyBorder="1"/>
    <xf numFmtId="0" fontId="36" fillId="0" borderId="4" xfId="0" applyFont="1" applyBorder="1"/>
    <xf numFmtId="0" fontId="36" fillId="0" borderId="16" xfId="0" applyFont="1" applyBorder="1"/>
    <xf numFmtId="0" fontId="36" fillId="0" borderId="17" xfId="0" applyFont="1" applyBorder="1"/>
    <xf numFmtId="43" fontId="136" fillId="0" borderId="16" xfId="1" applyFont="1" applyBorder="1"/>
    <xf numFmtId="43" fontId="136" fillId="0" borderId="17" xfId="1" applyFont="1" applyBorder="1"/>
    <xf numFmtId="43" fontId="136" fillId="0" borderId="177" xfId="1" applyFont="1" applyBorder="1"/>
    <xf numFmtId="43" fontId="136" fillId="0" borderId="178" xfId="1" applyFont="1" applyBorder="1"/>
    <xf numFmtId="0" fontId="36" fillId="0" borderId="177" xfId="0" applyFont="1" applyBorder="1"/>
    <xf numFmtId="0" fontId="36" fillId="0" borderId="178" xfId="0" applyFont="1" applyBorder="1"/>
    <xf numFmtId="174" fontId="134" fillId="0" borderId="16" xfId="0" applyNumberFormat="1" applyFont="1" applyBorder="1"/>
    <xf numFmtId="8" fontId="134" fillId="0" borderId="17" xfId="0" applyNumberFormat="1" applyFont="1" applyBorder="1"/>
    <xf numFmtId="8" fontId="134" fillId="0" borderId="16" xfId="0" applyNumberFormat="1" applyFont="1" applyBorder="1"/>
    <xf numFmtId="0" fontId="136" fillId="0" borderId="16" xfId="0" applyFont="1" applyBorder="1"/>
    <xf numFmtId="0" fontId="136" fillId="0" borderId="17" xfId="0" applyFont="1" applyBorder="1"/>
    <xf numFmtId="0" fontId="36" fillId="0" borderId="26" xfId="0" applyFont="1" applyBorder="1"/>
    <xf numFmtId="0" fontId="36" fillId="0" borderId="24" xfId="0" applyFont="1" applyBorder="1"/>
    <xf numFmtId="0" fontId="36" fillId="0" borderId="25" xfId="0" applyFont="1" applyBorder="1"/>
    <xf numFmtId="4" fontId="36" fillId="0" borderId="2" xfId="0" applyNumberFormat="1" applyFont="1" applyFill="1" applyBorder="1"/>
    <xf numFmtId="4" fontId="36" fillId="0" borderId="3" xfId="0" applyNumberFormat="1" applyFont="1" applyBorder="1"/>
    <xf numFmtId="4" fontId="36" fillId="0" borderId="4" xfId="0" applyNumberFormat="1" applyFont="1" applyBorder="1"/>
    <xf numFmtId="4" fontId="36" fillId="0" borderId="16" xfId="0" applyNumberFormat="1" applyFont="1" applyFill="1" applyBorder="1"/>
    <xf numFmtId="4" fontId="36" fillId="0" borderId="17" xfId="0" applyNumberFormat="1" applyFont="1" applyBorder="1"/>
    <xf numFmtId="4" fontId="136" fillId="0" borderId="16" xfId="0" applyNumberFormat="1" applyFont="1" applyFill="1" applyBorder="1"/>
    <xf numFmtId="4" fontId="136" fillId="0" borderId="17" xfId="0" applyNumberFormat="1" applyFont="1" applyBorder="1"/>
    <xf numFmtId="4" fontId="36" fillId="0" borderId="17" xfId="0" applyNumberFormat="1" applyFont="1" applyFill="1" applyBorder="1"/>
    <xf numFmtId="4" fontId="36" fillId="0" borderId="177" xfId="0" applyNumberFormat="1" applyFont="1" applyFill="1" applyBorder="1"/>
    <xf numFmtId="4" fontId="36" fillId="0" borderId="178" xfId="0" applyNumberFormat="1" applyFont="1" applyFill="1" applyBorder="1"/>
    <xf numFmtId="0" fontId="137" fillId="0" borderId="16" xfId="0" applyFont="1" applyFill="1" applyBorder="1"/>
    <xf numFmtId="0" fontId="137" fillId="0" borderId="17" xfId="0" applyFont="1" applyBorder="1"/>
    <xf numFmtId="0" fontId="137" fillId="0" borderId="16" xfId="0" applyFont="1" applyBorder="1"/>
    <xf numFmtId="4" fontId="36" fillId="0" borderId="2" xfId="0" applyNumberFormat="1" applyFont="1" applyBorder="1"/>
    <xf numFmtId="4" fontId="36" fillId="0" borderId="16" xfId="0" applyNumberFormat="1" applyFont="1" applyBorder="1"/>
    <xf numFmtId="4" fontId="136" fillId="0" borderId="16" xfId="0" applyNumberFormat="1" applyFont="1" applyBorder="1"/>
    <xf numFmtId="0" fontId="138" fillId="0" borderId="16" xfId="0" applyFont="1" applyBorder="1"/>
    <xf numFmtId="0" fontId="138" fillId="0" borderId="17" xfId="0" applyFont="1" applyBorder="1"/>
    <xf numFmtId="165" fontId="28" fillId="14" borderId="44" xfId="1" applyNumberFormat="1" applyFont="1" applyFill="1" applyBorder="1"/>
    <xf numFmtId="165" fontId="28" fillId="14" borderId="45" xfId="1" applyNumberFormat="1" applyFont="1" applyFill="1" applyBorder="1"/>
    <xf numFmtId="43" fontId="136" fillId="14" borderId="45" xfId="1" applyFont="1" applyFill="1" applyBorder="1"/>
    <xf numFmtId="43" fontId="136" fillId="14" borderId="203" xfId="1" applyFont="1" applyFill="1" applyBorder="1"/>
    <xf numFmtId="43" fontId="28" fillId="14" borderId="203" xfId="1" applyFont="1" applyFill="1" applyBorder="1"/>
    <xf numFmtId="0" fontId="19" fillId="14" borderId="45" xfId="0" applyFont="1" applyFill="1" applyBorder="1"/>
    <xf numFmtId="0" fontId="136" fillId="14" borderId="45" xfId="0" applyFont="1" applyFill="1" applyBorder="1"/>
    <xf numFmtId="0" fontId="28" fillId="14" borderId="46" xfId="0" applyFont="1" applyFill="1" applyBorder="1"/>
    <xf numFmtId="4" fontId="28" fillId="14" borderId="44" xfId="0" applyNumberFormat="1" applyFont="1" applyFill="1" applyBorder="1"/>
    <xf numFmtId="4" fontId="28" fillId="14" borderId="45" xfId="0" applyNumberFormat="1" applyFont="1" applyFill="1" applyBorder="1"/>
    <xf numFmtId="4" fontId="136" fillId="14" borderId="45" xfId="0" applyNumberFormat="1" applyFont="1" applyFill="1" applyBorder="1"/>
    <xf numFmtId="4" fontId="36" fillId="14" borderId="45" xfId="0" applyNumberFormat="1" applyFont="1" applyFill="1" applyBorder="1"/>
    <xf numFmtId="4" fontId="19" fillId="14" borderId="45" xfId="0" applyNumberFormat="1" applyFont="1" applyFill="1" applyBorder="1"/>
    <xf numFmtId="4" fontId="28" fillId="14" borderId="46" xfId="0" applyNumberFormat="1" applyFont="1" applyFill="1" applyBorder="1"/>
    <xf numFmtId="4" fontId="28" fillId="16" borderId="44" xfId="0" applyNumberFormat="1" applyFont="1" applyFill="1" applyBorder="1"/>
    <xf numFmtId="4" fontId="28" fillId="16" borderId="45" xfId="0" applyNumberFormat="1" applyFont="1" applyFill="1" applyBorder="1"/>
    <xf numFmtId="4" fontId="136" fillId="16" borderId="45" xfId="0" applyNumberFormat="1" applyFont="1" applyFill="1" applyBorder="1"/>
    <xf numFmtId="4" fontId="139" fillId="16" borderId="45" xfId="0" applyNumberFormat="1" applyFont="1" applyFill="1" applyBorder="1"/>
    <xf numFmtId="4" fontId="133" fillId="16" borderId="45" xfId="0" applyNumberFormat="1" applyFont="1" applyFill="1" applyBorder="1"/>
    <xf numFmtId="4" fontId="28" fillId="16" borderId="46" xfId="0" applyNumberFormat="1" applyFont="1" applyFill="1" applyBorder="1"/>
    <xf numFmtId="0" fontId="15" fillId="0" borderId="44" xfId="0" applyFont="1" applyBorder="1"/>
    <xf numFmtId="0" fontId="15" fillId="0" borderId="45" xfId="0" applyFont="1" applyBorder="1"/>
    <xf numFmtId="0" fontId="135" fillId="0" borderId="45" xfId="0" applyFont="1" applyBorder="1"/>
    <xf numFmtId="0" fontId="135" fillId="0" borderId="203" xfId="0" applyFont="1" applyBorder="1"/>
    <xf numFmtId="0" fontId="15" fillId="0" borderId="203" xfId="0" applyFont="1" applyBorder="1"/>
    <xf numFmtId="0" fontId="133" fillId="0" borderId="45" xfId="0" applyFont="1" applyFill="1" applyBorder="1"/>
    <xf numFmtId="0" fontId="133" fillId="0" borderId="45" xfId="0" applyFont="1" applyBorder="1"/>
    <xf numFmtId="0" fontId="15" fillId="0" borderId="46" xfId="0" applyFont="1" applyFill="1" applyBorder="1"/>
    <xf numFmtId="43" fontId="0" fillId="58" borderId="0" xfId="1" applyFont="1" applyFill="1" applyBorder="1"/>
    <xf numFmtId="4" fontId="15" fillId="49" borderId="8" xfId="0" applyNumberFormat="1" applyFont="1" applyFill="1" applyBorder="1"/>
    <xf numFmtId="4" fontId="35" fillId="49" borderId="8" xfId="0" applyNumberFormat="1" applyFont="1" applyFill="1" applyBorder="1"/>
    <xf numFmtId="4" fontId="45" fillId="49" borderId="10" xfId="0" applyNumberFormat="1" applyFont="1" applyFill="1" applyBorder="1"/>
    <xf numFmtId="10" fontId="80" fillId="8" borderId="8" xfId="3" applyNumberFormat="1" applyFont="1" applyFill="1" applyBorder="1"/>
    <xf numFmtId="4" fontId="80" fillId="8" borderId="8" xfId="1" applyNumberFormat="1" applyFont="1" applyFill="1" applyBorder="1"/>
    <xf numFmtId="169" fontId="0" fillId="0" borderId="8" xfId="1" applyNumberFormat="1" applyFont="1" applyFill="1" applyBorder="1"/>
    <xf numFmtId="165" fontId="20" fillId="5" borderId="0" xfId="1" applyNumberFormat="1" applyFont="1" applyFill="1" applyBorder="1"/>
    <xf numFmtId="3" fontId="20" fillId="5" borderId="0" xfId="1" applyNumberFormat="1" applyFont="1" applyFill="1" applyBorder="1"/>
    <xf numFmtId="4" fontId="20" fillId="5" borderId="0" xfId="0" applyNumberFormat="1" applyFont="1" applyFill="1" applyBorder="1"/>
    <xf numFmtId="4" fontId="20" fillId="44" borderId="7" xfId="0" applyNumberFormat="1" applyFont="1" applyFill="1" applyBorder="1"/>
    <xf numFmtId="165" fontId="20" fillId="0" borderId="0" xfId="0" applyNumberFormat="1" applyFont="1" applyFill="1" applyBorder="1"/>
    <xf numFmtId="165" fontId="20" fillId="5" borderId="56" xfId="0" applyNumberFormat="1" applyFont="1" applyFill="1" applyBorder="1"/>
    <xf numFmtId="165" fontId="20" fillId="5" borderId="57" xfId="0" applyNumberFormat="1" applyFont="1" applyFill="1" applyBorder="1"/>
    <xf numFmtId="165" fontId="21" fillId="5" borderId="57" xfId="0" applyNumberFormat="1" applyFont="1" applyFill="1" applyBorder="1"/>
    <xf numFmtId="174" fontId="0" fillId="0" borderId="25" xfId="0" applyNumberFormat="1" applyBorder="1"/>
    <xf numFmtId="0" fontId="2" fillId="0" borderId="2" xfId="0" applyFont="1" applyBorder="1"/>
    <xf numFmtId="0" fontId="2" fillId="0" borderId="3" xfId="0" applyFont="1" applyBorder="1"/>
    <xf numFmtId="0" fontId="2" fillId="0" borderId="4" xfId="0" applyFont="1" applyBorder="1"/>
    <xf numFmtId="0" fontId="20" fillId="0" borderId="16" xfId="0" applyFont="1" applyBorder="1"/>
    <xf numFmtId="43" fontId="0" fillId="0" borderId="1" xfId="1" applyFont="1" applyBorder="1" applyAlignment="1">
      <alignment horizontal="right"/>
    </xf>
    <xf numFmtId="43" fontId="19" fillId="0" borderId="1" xfId="1" applyFont="1" applyBorder="1"/>
    <xf numFmtId="43" fontId="2" fillId="0" borderId="1" xfId="1" applyFont="1" applyBorder="1"/>
    <xf numFmtId="0" fontId="11" fillId="0" borderId="7" xfId="0" applyFont="1" applyFill="1" applyBorder="1" applyAlignment="1">
      <alignment vertical="top" wrapText="1"/>
    </xf>
    <xf numFmtId="4" fontId="0" fillId="0" borderId="50" xfId="0" applyNumberFormat="1" applyBorder="1"/>
    <xf numFmtId="4" fontId="0" fillId="0" borderId="47" xfId="0" applyNumberFormat="1" applyBorder="1" applyAlignment="1">
      <alignment horizontal="center"/>
    </xf>
    <xf numFmtId="4" fontId="0" fillId="2" borderId="36" xfId="0" applyNumberFormat="1" applyFill="1" applyBorder="1" applyAlignment="1">
      <alignment horizontal="center"/>
    </xf>
    <xf numFmtId="4" fontId="0" fillId="0" borderId="36" xfId="0" applyNumberFormat="1" applyBorder="1" applyAlignment="1">
      <alignment horizontal="center"/>
    </xf>
    <xf numFmtId="4" fontId="0" fillId="10" borderId="36" xfId="0" applyNumberFormat="1" applyFill="1" applyBorder="1"/>
    <xf numFmtId="4" fontId="1" fillId="21" borderId="168" xfId="1" applyNumberFormat="1" applyFont="1" applyFill="1" applyBorder="1"/>
    <xf numFmtId="168" fontId="0" fillId="4" borderId="36" xfId="1" applyNumberFormat="1" applyFont="1" applyFill="1" applyBorder="1"/>
    <xf numFmtId="9" fontId="15" fillId="21" borderId="168" xfId="3" applyFont="1" applyFill="1" applyBorder="1"/>
    <xf numFmtId="0" fontId="0" fillId="19" borderId="36" xfId="0" applyFill="1" applyBorder="1"/>
    <xf numFmtId="169" fontId="0" fillId="0" borderId="47" xfId="1" applyNumberFormat="1" applyFont="1" applyBorder="1"/>
    <xf numFmtId="169" fontId="0" fillId="0" borderId="179" xfId="1" applyNumberFormat="1" applyFont="1" applyBorder="1"/>
    <xf numFmtId="1" fontId="0" fillId="21" borderId="179" xfId="3" applyNumberFormat="1" applyFont="1" applyFill="1" applyBorder="1"/>
    <xf numFmtId="168" fontId="0" fillId="4" borderId="36" xfId="0" applyNumberFormat="1" applyFill="1" applyBorder="1"/>
    <xf numFmtId="173" fontId="118" fillId="21" borderId="168" xfId="1" applyNumberFormat="1" applyFont="1" applyFill="1" applyBorder="1"/>
    <xf numFmtId="169" fontId="11" fillId="0" borderId="48" xfId="2" applyNumberFormat="1" applyFont="1" applyFill="1" applyBorder="1"/>
    <xf numFmtId="16" fontId="2" fillId="0" borderId="1" xfId="0" applyNumberFormat="1" applyFont="1" applyBorder="1" applyAlignment="1">
      <alignment horizontal="right"/>
    </xf>
    <xf numFmtId="0" fontId="32" fillId="0" borderId="1" xfId="0" applyFont="1" applyBorder="1"/>
    <xf numFmtId="43" fontId="0" fillId="0" borderId="31" xfId="1" applyFont="1" applyBorder="1" applyAlignment="1">
      <alignment horizontal="right"/>
    </xf>
    <xf numFmtId="43" fontId="0" fillId="0" borderId="31" xfId="1" applyFont="1" applyBorder="1"/>
    <xf numFmtId="43" fontId="19" fillId="0" borderId="35" xfId="1" applyFont="1" applyBorder="1"/>
    <xf numFmtId="43" fontId="1" fillId="0" borderId="1" xfId="1" applyFont="1" applyBorder="1"/>
    <xf numFmtId="43" fontId="19" fillId="53" borderId="31" xfId="1" applyFont="1" applyFill="1" applyBorder="1"/>
    <xf numFmtId="43" fontId="24" fillId="53" borderId="1" xfId="1" applyFont="1" applyFill="1" applyBorder="1"/>
    <xf numFmtId="43" fontId="19" fillId="53" borderId="1" xfId="1" applyFont="1" applyFill="1" applyBorder="1"/>
    <xf numFmtId="0" fontId="0" fillId="53" borderId="17" xfId="0" applyFill="1" applyBorder="1"/>
    <xf numFmtId="44" fontId="0" fillId="53" borderId="25" xfId="2" applyFont="1" applyFill="1" applyBorder="1"/>
    <xf numFmtId="16" fontId="0" fillId="53" borderId="32" xfId="1" applyNumberFormat="1" applyFont="1" applyFill="1" applyBorder="1" applyAlignment="1">
      <alignment horizontal="right"/>
    </xf>
    <xf numFmtId="43" fontId="0" fillId="53" borderId="32" xfId="1" applyFont="1" applyFill="1" applyBorder="1"/>
    <xf numFmtId="43" fontId="19" fillId="53" borderId="32" xfId="1" applyFont="1" applyFill="1" applyBorder="1"/>
    <xf numFmtId="43" fontId="19" fillId="53" borderId="178" xfId="1" applyFont="1" applyFill="1" applyBorder="1"/>
    <xf numFmtId="44" fontId="0" fillId="0" borderId="0" xfId="2" applyFont="1" applyBorder="1"/>
    <xf numFmtId="43" fontId="0" fillId="5" borderId="31" xfId="0" applyNumberFormat="1" applyFill="1" applyBorder="1"/>
    <xf numFmtId="43" fontId="0" fillId="5" borderId="35" xfId="0" applyNumberFormat="1" applyFill="1" applyBorder="1"/>
    <xf numFmtId="43" fontId="0" fillId="39" borderId="31" xfId="0" applyNumberFormat="1" applyFill="1" applyBorder="1"/>
    <xf numFmtId="43" fontId="0" fillId="39" borderId="35" xfId="0" applyNumberFormat="1" applyFill="1" applyBorder="1"/>
    <xf numFmtId="43" fontId="2" fillId="39" borderId="1" xfId="1" applyFont="1" applyFill="1" applyBorder="1" applyAlignment="1">
      <alignment horizontal="right"/>
    </xf>
    <xf numFmtId="43" fontId="2" fillId="39" borderId="1" xfId="1" applyFont="1" applyFill="1" applyBorder="1"/>
    <xf numFmtId="43" fontId="34" fillId="39" borderId="1" xfId="1" applyFont="1" applyFill="1" applyBorder="1"/>
    <xf numFmtId="43" fontId="32" fillId="39" borderId="35" xfId="1" applyFont="1" applyFill="1" applyBorder="1"/>
    <xf numFmtId="0" fontId="0" fillId="4" borderId="7" xfId="0" applyFill="1" applyBorder="1" applyAlignment="1">
      <alignment horizontal="left" vertical="center" wrapText="1"/>
    </xf>
    <xf numFmtId="168" fontId="0" fillId="59" borderId="1" xfId="1" applyNumberFormat="1" applyFont="1" applyFill="1" applyBorder="1"/>
    <xf numFmtId="168" fontId="0" fillId="59" borderId="1" xfId="0" applyNumberFormat="1" applyFill="1" applyBorder="1"/>
    <xf numFmtId="4" fontId="0" fillId="0" borderId="41" xfId="0" applyNumberFormat="1" applyBorder="1"/>
    <xf numFmtId="4" fontId="0" fillId="39" borderId="41" xfId="0" applyNumberFormat="1" applyFill="1" applyBorder="1"/>
    <xf numFmtId="0" fontId="0" fillId="53" borderId="38" xfId="0" applyFill="1" applyBorder="1"/>
    <xf numFmtId="0" fontId="18" fillId="39" borderId="1" xfId="0" applyFont="1" applyFill="1" applyBorder="1" applyAlignment="1">
      <alignment wrapText="1"/>
    </xf>
    <xf numFmtId="0" fontId="18" fillId="53" borderId="1" xfId="0" applyFont="1" applyFill="1" applyBorder="1" applyAlignment="1">
      <alignment wrapText="1"/>
    </xf>
    <xf numFmtId="4" fontId="1" fillId="41" borderId="168" xfId="1" applyNumberFormat="1" applyFont="1" applyFill="1" applyBorder="1"/>
    <xf numFmtId="168" fontId="0" fillId="59" borderId="38" xfId="1" applyNumberFormat="1" applyFont="1" applyFill="1" applyBorder="1"/>
    <xf numFmtId="0" fontId="140" fillId="59" borderId="1" xfId="0" applyFont="1" applyFill="1" applyBorder="1" applyAlignment="1">
      <alignment wrapText="1"/>
    </xf>
    <xf numFmtId="9" fontId="15" fillId="60" borderId="168" xfId="3" applyFont="1" applyFill="1" applyBorder="1"/>
    <xf numFmtId="0" fontId="140" fillId="60" borderId="1" xfId="0" applyFont="1" applyFill="1" applyBorder="1" applyAlignment="1">
      <alignment wrapText="1"/>
    </xf>
    <xf numFmtId="10" fontId="0" fillId="60" borderId="38" xfId="1" applyNumberFormat="1" applyFont="1" applyFill="1" applyBorder="1"/>
    <xf numFmtId="10" fontId="0" fillId="60" borderId="16" xfId="1" applyNumberFormat="1" applyFont="1" applyFill="1" applyBorder="1"/>
    <xf numFmtId="0" fontId="34" fillId="61" borderId="1" xfId="0" applyFont="1" applyFill="1" applyBorder="1" applyAlignment="1">
      <alignment wrapText="1"/>
    </xf>
    <xf numFmtId="43" fontId="0" fillId="61" borderId="38" xfId="1" applyFont="1" applyFill="1" applyBorder="1"/>
    <xf numFmtId="43" fontId="0" fillId="61" borderId="1" xfId="1" applyFont="1" applyFill="1" applyBorder="1"/>
    <xf numFmtId="0" fontId="0" fillId="61" borderId="1" xfId="0" applyFill="1" applyBorder="1"/>
    <xf numFmtId="0" fontId="142" fillId="59" borderId="1" xfId="0" applyFont="1" applyFill="1" applyBorder="1" applyAlignment="1">
      <alignment wrapText="1"/>
    </xf>
    <xf numFmtId="43" fontId="0" fillId="59" borderId="38" xfId="1" applyFont="1" applyFill="1" applyBorder="1"/>
    <xf numFmtId="43" fontId="0" fillId="59" borderId="1" xfId="1" applyFont="1" applyFill="1" applyBorder="1"/>
    <xf numFmtId="0" fontId="0" fillId="59" borderId="1" xfId="0" applyFill="1" applyBorder="1"/>
    <xf numFmtId="0" fontId="142" fillId="60" borderId="1" xfId="0" applyFont="1" applyFill="1" applyBorder="1" applyAlignment="1">
      <alignment wrapText="1"/>
    </xf>
    <xf numFmtId="43" fontId="0" fillId="39" borderId="38" xfId="1" applyFont="1" applyFill="1" applyBorder="1"/>
    <xf numFmtId="43" fontId="0" fillId="39" borderId="1" xfId="1" applyFont="1" applyFill="1" applyBorder="1"/>
    <xf numFmtId="0" fontId="34" fillId="33" borderId="1" xfId="0" applyFont="1" applyFill="1" applyBorder="1" applyAlignment="1">
      <alignment horizontal="left" vertical="top" wrapText="1"/>
    </xf>
    <xf numFmtId="43" fontId="0" fillId="33" borderId="38" xfId="1" applyFont="1" applyFill="1" applyBorder="1"/>
    <xf numFmtId="43" fontId="0" fillId="33" borderId="1" xfId="1" applyFont="1" applyFill="1" applyBorder="1"/>
    <xf numFmtId="0" fontId="0" fillId="33" borderId="1" xfId="0" applyFill="1" applyBorder="1"/>
    <xf numFmtId="4" fontId="0" fillId="0" borderId="38" xfId="0" applyNumberFormat="1" applyBorder="1"/>
    <xf numFmtId="4" fontId="0" fillId="39" borderId="38" xfId="0" applyNumberFormat="1" applyFill="1" applyBorder="1"/>
    <xf numFmtId="0" fontId="0" fillId="53" borderId="42" xfId="0" applyFill="1" applyBorder="1"/>
    <xf numFmtId="43" fontId="0" fillId="39" borderId="34" xfId="0" applyNumberFormat="1" applyFill="1" applyBorder="1"/>
    <xf numFmtId="43" fontId="0" fillId="53" borderId="16" xfId="0" applyNumberFormat="1" applyFill="1" applyBorder="1"/>
    <xf numFmtId="167" fontId="0" fillId="59" borderId="47" xfId="1" applyNumberFormat="1" applyFont="1" applyFill="1" applyBorder="1"/>
    <xf numFmtId="43" fontId="0" fillId="61" borderId="47" xfId="1" applyFont="1" applyFill="1" applyBorder="1"/>
    <xf numFmtId="43" fontId="0" fillId="59" borderId="47" xfId="1" applyFont="1" applyFill="1" applyBorder="1"/>
    <xf numFmtId="43" fontId="0" fillId="33" borderId="47" xfId="1" applyFont="1" applyFill="1" applyBorder="1"/>
    <xf numFmtId="43" fontId="0" fillId="5" borderId="34" xfId="0" applyNumberFormat="1" applyFill="1" applyBorder="1"/>
    <xf numFmtId="0" fontId="18" fillId="5" borderId="31" xfId="0" applyFont="1" applyFill="1" applyBorder="1" applyAlignment="1">
      <alignment wrapText="1"/>
    </xf>
    <xf numFmtId="4" fontId="0" fillId="5" borderId="41" xfId="0" applyNumberFormat="1" applyFill="1" applyBorder="1"/>
    <xf numFmtId="0" fontId="18" fillId="5" borderId="1" xfId="0" applyFont="1" applyFill="1" applyBorder="1" applyAlignment="1">
      <alignment wrapText="1"/>
    </xf>
    <xf numFmtId="43" fontId="0" fillId="39" borderId="47" xfId="0" applyNumberFormat="1" applyFill="1" applyBorder="1"/>
    <xf numFmtId="43" fontId="0" fillId="39" borderId="1" xfId="1" applyNumberFormat="1" applyFont="1" applyFill="1" applyBorder="1"/>
    <xf numFmtId="3" fontId="0" fillId="39" borderId="1" xfId="0" applyNumberFormat="1" applyFill="1" applyBorder="1"/>
    <xf numFmtId="4" fontId="18" fillId="41" borderId="1" xfId="1" applyNumberFormat="1" applyFont="1" applyFill="1" applyBorder="1" applyAlignment="1">
      <alignment wrapText="1"/>
    </xf>
    <xf numFmtId="0" fontId="18" fillId="0" borderId="11" xfId="0" applyFont="1" applyFill="1" applyBorder="1" applyAlignment="1">
      <alignment vertical="top" wrapText="1"/>
    </xf>
    <xf numFmtId="0" fontId="18" fillId="0" borderId="6" xfId="0" applyFont="1" applyFill="1" applyBorder="1" applyAlignment="1">
      <alignment vertical="top" wrapText="1"/>
    </xf>
    <xf numFmtId="44" fontId="0" fillId="0" borderId="8" xfId="2" applyFont="1" applyBorder="1"/>
    <xf numFmtId="0" fontId="32" fillId="0" borderId="1" xfId="0" applyFont="1" applyFill="1" applyBorder="1"/>
    <xf numFmtId="43" fontId="18" fillId="0" borderId="38" xfId="1" applyFont="1" applyFill="1" applyBorder="1"/>
    <xf numFmtId="1" fontId="18" fillId="21" borderId="179" xfId="3" applyNumberFormat="1" applyFont="1" applyFill="1" applyBorder="1" applyAlignment="1">
      <alignment wrapText="1"/>
    </xf>
    <xf numFmtId="44" fontId="18" fillId="0" borderId="1" xfId="2" applyFont="1" applyFill="1" applyBorder="1" applyAlignment="1">
      <alignment wrapText="1"/>
    </xf>
    <xf numFmtId="169" fontId="11" fillId="0" borderId="170" xfId="2" applyNumberFormat="1" applyFont="1" applyFill="1" applyBorder="1"/>
    <xf numFmtId="0" fontId="18" fillId="0" borderId="28" xfId="0" applyFont="1" applyFill="1" applyBorder="1" applyAlignment="1">
      <alignment wrapText="1"/>
    </xf>
    <xf numFmtId="0" fontId="18" fillId="0" borderId="27" xfId="0" applyFont="1" applyFill="1" applyBorder="1" applyAlignment="1">
      <alignment wrapText="1"/>
    </xf>
    <xf numFmtId="0" fontId="34" fillId="0" borderId="29" xfId="0" applyFont="1" applyFill="1" applyBorder="1" applyAlignment="1">
      <alignment vertical="top" wrapText="1"/>
    </xf>
    <xf numFmtId="3" fontId="19" fillId="0" borderId="13" xfId="0" applyNumberFormat="1" applyFont="1" applyFill="1" applyBorder="1"/>
    <xf numFmtId="0" fontId="18" fillId="0" borderId="14" xfId="0" applyFont="1" applyFill="1" applyBorder="1"/>
    <xf numFmtId="4" fontId="0" fillId="0" borderId="0" xfId="0" applyNumberFormat="1" applyFont="1" applyFill="1" applyBorder="1" applyAlignment="1">
      <alignment horizontal="center" vertical="center"/>
    </xf>
    <xf numFmtId="4" fontId="0" fillId="0" borderId="8" xfId="0" applyNumberFormat="1" applyFill="1" applyBorder="1" applyAlignment="1">
      <alignment horizontal="center" vertical="center"/>
    </xf>
    <xf numFmtId="4" fontId="0" fillId="0" borderId="7" xfId="1" applyNumberFormat="1" applyFont="1" applyFill="1" applyBorder="1" applyAlignment="1">
      <alignment horizontal="center" vertical="center"/>
    </xf>
    <xf numFmtId="4" fontId="0" fillId="0" borderId="0" xfId="1" applyNumberFormat="1" applyFont="1" applyFill="1" applyBorder="1" applyAlignment="1">
      <alignment horizontal="center" vertical="center"/>
    </xf>
    <xf numFmtId="4" fontId="0" fillId="0" borderId="0" xfId="0" applyNumberFormat="1" applyFill="1" applyBorder="1" applyAlignment="1">
      <alignment horizontal="center" vertical="center"/>
    </xf>
    <xf numFmtId="0" fontId="18" fillId="14" borderId="28" xfId="0" applyFont="1" applyFill="1" applyBorder="1" applyAlignment="1">
      <alignment wrapText="1"/>
    </xf>
    <xf numFmtId="43" fontId="0" fillId="14" borderId="0" xfId="0" applyNumberFormat="1" applyFill="1" applyBorder="1" applyAlignment="1">
      <alignment vertical="center"/>
    </xf>
    <xf numFmtId="3" fontId="0" fillId="20" borderId="12" xfId="0" applyNumberFormat="1" applyFill="1" applyBorder="1" applyAlignment="1">
      <alignment horizontal="center" vertical="center"/>
    </xf>
    <xf numFmtId="3" fontId="0" fillId="20" borderId="10" xfId="0" applyNumberFormat="1" applyFill="1" applyBorder="1" applyAlignment="1">
      <alignment horizontal="center" vertical="center"/>
    </xf>
    <xf numFmtId="3" fontId="0" fillId="20" borderId="9" xfId="0" applyNumberFormat="1" applyFill="1" applyBorder="1" applyAlignment="1">
      <alignment horizontal="center" vertical="center"/>
    </xf>
    <xf numFmtId="168" fontId="2" fillId="20" borderId="12" xfId="0" applyNumberFormat="1" applyFont="1" applyFill="1" applyBorder="1" applyAlignment="1">
      <alignment horizontal="center" vertical="center"/>
    </xf>
    <xf numFmtId="173" fontId="0" fillId="20" borderId="12" xfId="0" applyNumberFormat="1" applyFill="1" applyBorder="1"/>
    <xf numFmtId="0" fontId="19" fillId="19" borderId="28" xfId="0" applyFont="1" applyFill="1" applyBorder="1" applyAlignment="1">
      <alignment vertical="top" wrapText="1"/>
    </xf>
    <xf numFmtId="4" fontId="0" fillId="20" borderId="7" xfId="1" applyNumberFormat="1" applyFont="1" applyFill="1" applyBorder="1" applyAlignment="1">
      <alignment horizontal="center" vertical="center"/>
    </xf>
    <xf numFmtId="4" fontId="2" fillId="20" borderId="0" xfId="0" applyNumberFormat="1" applyFont="1" applyFill="1" applyBorder="1" applyAlignment="1">
      <alignment horizontal="center" vertical="center"/>
    </xf>
    <xf numFmtId="4" fontId="0" fillId="20" borderId="0" xfId="1" applyNumberFormat="1" applyFont="1" applyFill="1" applyBorder="1" applyAlignment="1">
      <alignment horizontal="center" vertical="center"/>
    </xf>
    <xf numFmtId="4" fontId="0" fillId="20" borderId="0" xfId="0" applyNumberFormat="1" applyFill="1" applyBorder="1" applyAlignment="1">
      <alignment horizontal="center" vertical="center"/>
    </xf>
    <xf numFmtId="4" fontId="0" fillId="20" borderId="0" xfId="0" applyNumberFormat="1" applyFill="1" applyBorder="1"/>
    <xf numFmtId="4" fontId="0" fillId="20" borderId="8" xfId="0" applyNumberFormat="1" applyFill="1" applyBorder="1" applyAlignment="1">
      <alignment horizontal="center" vertical="center"/>
    </xf>
    <xf numFmtId="3" fontId="0" fillId="20" borderId="7" xfId="0" applyNumberFormat="1" applyFill="1" applyBorder="1" applyAlignment="1">
      <alignment horizontal="center" vertical="center"/>
    </xf>
    <xf numFmtId="168" fontId="2" fillId="20" borderId="0" xfId="0" applyNumberFormat="1" applyFont="1" applyFill="1" applyBorder="1" applyAlignment="1">
      <alignment horizontal="center" vertical="center"/>
    </xf>
    <xf numFmtId="3" fontId="0" fillId="20" borderId="0" xfId="1" applyNumberFormat="1" applyFont="1" applyFill="1" applyBorder="1" applyAlignment="1">
      <alignment horizontal="center" vertical="center"/>
    </xf>
    <xf numFmtId="3" fontId="0" fillId="20" borderId="0" xfId="0" applyNumberFormat="1" applyFill="1" applyBorder="1" applyAlignment="1">
      <alignment horizontal="center" vertical="center"/>
    </xf>
    <xf numFmtId="173" fontId="0" fillId="20" borderId="0" xfId="0" applyNumberFormat="1" applyFill="1" applyBorder="1"/>
    <xf numFmtId="3" fontId="0" fillId="20" borderId="8" xfId="0" applyNumberFormat="1" applyFill="1" applyBorder="1" applyAlignment="1">
      <alignment horizontal="center" vertical="center"/>
    </xf>
    <xf numFmtId="3" fontId="2" fillId="20" borderId="7" xfId="0" applyNumberFormat="1" applyFont="1" applyFill="1" applyBorder="1" applyAlignment="1">
      <alignment horizontal="center" vertical="center"/>
    </xf>
    <xf numFmtId="3" fontId="2" fillId="20" borderId="0" xfId="0" applyNumberFormat="1" applyFont="1" applyFill="1" applyBorder="1" applyAlignment="1">
      <alignment horizontal="center" vertical="center"/>
    </xf>
    <xf numFmtId="3" fontId="2" fillId="20" borderId="8" xfId="0" applyNumberFormat="1" applyFont="1" applyFill="1" applyBorder="1" applyAlignment="1">
      <alignment horizontal="center" vertical="center"/>
    </xf>
    <xf numFmtId="3" fontId="0" fillId="20" borderId="7" xfId="1" applyNumberFormat="1" applyFont="1" applyFill="1" applyBorder="1" applyAlignment="1">
      <alignment horizontal="center" vertical="center"/>
    </xf>
    <xf numFmtId="4" fontId="0" fillId="0" borderId="0" xfId="0" applyNumberFormat="1" applyFont="1" applyFill="1" applyBorder="1" applyAlignment="1">
      <alignment vertical="center"/>
    </xf>
    <xf numFmtId="4" fontId="0" fillId="59" borderId="0" xfId="0" applyNumberFormat="1" applyFont="1" applyFill="1" applyBorder="1" applyAlignment="1">
      <alignment vertical="center" wrapText="1"/>
    </xf>
    <xf numFmtId="4" fontId="0" fillId="59" borderId="0" xfId="0" applyNumberFormat="1" applyFont="1" applyFill="1" applyBorder="1" applyAlignment="1">
      <alignment vertical="center"/>
    </xf>
    <xf numFmtId="4" fontId="0" fillId="59" borderId="8" xfId="0" applyNumberFormat="1" applyFill="1" applyBorder="1" applyAlignment="1">
      <alignment vertical="center"/>
    </xf>
    <xf numFmtId="3" fontId="0" fillId="0" borderId="8" xfId="0" applyNumberFormat="1" applyFill="1" applyBorder="1" applyAlignment="1">
      <alignment vertical="center"/>
    </xf>
    <xf numFmtId="3" fontId="2" fillId="14" borderId="0" xfId="0" applyNumberFormat="1" applyFont="1" applyFill="1" applyBorder="1" applyAlignment="1">
      <alignment vertical="center"/>
    </xf>
    <xf numFmtId="173" fontId="2" fillId="14" borderId="0" xfId="0" applyNumberFormat="1" applyFont="1" applyFill="1" applyBorder="1" applyAlignment="1">
      <alignment vertical="center"/>
    </xf>
    <xf numFmtId="3" fontId="2" fillId="14" borderId="8" xfId="0" applyNumberFormat="1" applyFont="1" applyFill="1" applyBorder="1" applyAlignment="1">
      <alignment vertical="center"/>
    </xf>
    <xf numFmtId="4" fontId="0" fillId="0" borderId="0" xfId="0" applyNumberFormat="1" applyFill="1" applyBorder="1" applyAlignment="1">
      <alignment vertical="center"/>
    </xf>
    <xf numFmtId="4" fontId="0" fillId="0" borderId="8" xfId="1" applyNumberFormat="1" applyFont="1" applyFill="1" applyBorder="1" applyAlignment="1">
      <alignment vertical="center"/>
    </xf>
    <xf numFmtId="4" fontId="0" fillId="59" borderId="0" xfId="0" applyNumberFormat="1" applyFill="1" applyBorder="1" applyAlignment="1">
      <alignment vertical="center"/>
    </xf>
    <xf numFmtId="3" fontId="0" fillId="33" borderId="12" xfId="0" applyNumberFormat="1" applyFill="1" applyBorder="1" applyAlignment="1">
      <alignment vertical="center"/>
    </xf>
    <xf numFmtId="173" fontId="2" fillId="33" borderId="12" xfId="0" applyNumberFormat="1" applyFont="1" applyFill="1" applyBorder="1" applyAlignment="1">
      <alignment vertical="center"/>
    </xf>
    <xf numFmtId="3" fontId="0" fillId="33" borderId="10" xfId="0" applyNumberFormat="1" applyFill="1" applyBorder="1" applyAlignment="1">
      <alignment vertical="center"/>
    </xf>
    <xf numFmtId="4" fontId="0" fillId="0" borderId="5" xfId="0" applyNumberFormat="1" applyFill="1" applyBorder="1" applyAlignment="1">
      <alignment vertical="center"/>
    </xf>
    <xf numFmtId="4" fontId="0" fillId="0" borderId="11" xfId="0" applyNumberFormat="1" applyFill="1" applyBorder="1" applyAlignment="1">
      <alignment vertical="center"/>
    </xf>
    <xf numFmtId="4" fontId="0" fillId="0" borderId="6" xfId="0" applyNumberFormat="1" applyFill="1" applyBorder="1" applyAlignment="1">
      <alignment vertical="center"/>
    </xf>
    <xf numFmtId="4" fontId="15" fillId="0" borderId="0" xfId="0" applyNumberFormat="1" applyFont="1" applyFill="1" applyBorder="1" applyAlignment="1">
      <alignment vertical="center"/>
    </xf>
    <xf numFmtId="4" fontId="15" fillId="59" borderId="0" xfId="0" applyNumberFormat="1" applyFont="1" applyFill="1" applyBorder="1" applyAlignment="1">
      <alignment vertical="center"/>
    </xf>
    <xf numFmtId="2" fontId="2" fillId="33" borderId="9" xfId="0" applyNumberFormat="1" applyFont="1" applyFill="1" applyBorder="1" applyAlignment="1">
      <alignment vertical="center"/>
    </xf>
    <xf numFmtId="4" fontId="0" fillId="33" borderId="12" xfId="0" applyNumberFormat="1" applyFill="1" applyBorder="1" applyAlignment="1">
      <alignment vertical="center"/>
    </xf>
    <xf numFmtId="4" fontId="0" fillId="20" borderId="8" xfId="0" applyNumberFormat="1" applyFill="1" applyBorder="1" applyAlignment="1">
      <alignment vertical="center"/>
    </xf>
    <xf numFmtId="4" fontId="15" fillId="20" borderId="0" xfId="0" applyNumberFormat="1" applyFont="1" applyFill="1" applyBorder="1" applyAlignment="1">
      <alignment vertical="center"/>
    </xf>
    <xf numFmtId="3" fontId="0" fillId="20" borderId="8" xfId="0" applyNumberFormat="1" applyFill="1" applyBorder="1" applyAlignment="1">
      <alignment vertical="center"/>
    </xf>
    <xf numFmtId="4" fontId="0" fillId="20" borderId="8" xfId="1" applyNumberFormat="1" applyFont="1" applyFill="1" applyBorder="1" applyAlignment="1">
      <alignment vertical="center"/>
    </xf>
    <xf numFmtId="4" fontId="2" fillId="0" borderId="0" xfId="0" applyNumberFormat="1" applyFont="1" applyFill="1" applyBorder="1"/>
    <xf numFmtId="4" fontId="33" fillId="0" borderId="0" xfId="0" applyNumberFormat="1" applyFont="1" applyFill="1" applyBorder="1" applyAlignment="1">
      <alignment vertical="center"/>
    </xf>
    <xf numFmtId="10" fontId="33" fillId="0" borderId="0" xfId="0" applyNumberFormat="1" applyFont="1" applyFill="1" applyBorder="1" applyAlignment="1">
      <alignment vertical="center"/>
    </xf>
    <xf numFmtId="10" fontId="33" fillId="0" borderId="0" xfId="3" applyNumberFormat="1" applyFont="1" applyFill="1" applyBorder="1"/>
    <xf numFmtId="0" fontId="0" fillId="14" borderId="0" xfId="0" applyFill="1" applyBorder="1" applyAlignment="1">
      <alignment vertical="center"/>
    </xf>
    <xf numFmtId="4" fontId="18" fillId="59" borderId="0" xfId="0" applyNumberFormat="1" applyFont="1" applyFill="1" applyBorder="1" applyAlignment="1">
      <alignment vertical="center" wrapText="1"/>
    </xf>
    <xf numFmtId="0" fontId="18" fillId="0" borderId="27" xfId="0" applyFont="1" applyFill="1" applyBorder="1" applyAlignment="1">
      <alignment vertical="top" wrapText="1"/>
    </xf>
    <xf numFmtId="10" fontId="35" fillId="0" borderId="29" xfId="3" applyNumberFormat="1" applyFont="1" applyFill="1" applyBorder="1" applyAlignment="1">
      <alignment wrapText="1"/>
    </xf>
    <xf numFmtId="0" fontId="0" fillId="0" borderId="14" xfId="0" applyFont="1" applyFill="1" applyBorder="1"/>
    <xf numFmtId="0" fontId="34" fillId="38" borderId="5" xfId="0" applyFont="1" applyFill="1" applyBorder="1" applyAlignment="1">
      <alignment horizontal="left" vertical="center"/>
    </xf>
    <xf numFmtId="0" fontId="37" fillId="0" borderId="0" xfId="0" applyFont="1" applyFill="1" applyBorder="1" applyAlignment="1"/>
    <xf numFmtId="3" fontId="19" fillId="0" borderId="14" xfId="0" applyNumberFormat="1" applyFont="1" applyFill="1" applyBorder="1"/>
    <xf numFmtId="0" fontId="34" fillId="0" borderId="7" xfId="0" applyFont="1" applyFill="1" applyBorder="1" applyAlignment="1">
      <alignment wrapText="1"/>
    </xf>
    <xf numFmtId="0" fontId="34" fillId="4" borderId="7" xfId="0" applyFont="1" applyFill="1" applyBorder="1" applyAlignment="1">
      <alignment wrapText="1"/>
    </xf>
    <xf numFmtId="0" fontId="34" fillId="38" borderId="7" xfId="0" applyFont="1" applyFill="1" applyBorder="1" applyAlignment="1">
      <alignment horizontal="left"/>
    </xf>
    <xf numFmtId="0" fontId="34" fillId="50" borderId="7" xfId="0" applyFont="1" applyFill="1" applyBorder="1" applyAlignment="1">
      <alignment wrapText="1"/>
    </xf>
    <xf numFmtId="0" fontId="34" fillId="38" borderId="7" xfId="0" applyFont="1" applyFill="1" applyBorder="1" applyAlignment="1">
      <alignment horizontal="left" wrapText="1"/>
    </xf>
    <xf numFmtId="0" fontId="18" fillId="0" borderId="7" xfId="0" applyFont="1" applyFill="1" applyBorder="1" applyAlignment="1">
      <alignment horizontal="left" wrapText="1"/>
    </xf>
    <xf numFmtId="0" fontId="34" fillId="38" borderId="7" xfId="0" applyFont="1" applyFill="1" applyBorder="1" applyAlignment="1">
      <alignment wrapText="1"/>
    </xf>
    <xf numFmtId="0" fontId="45" fillId="22" borderId="7" xfId="0" applyFont="1" applyFill="1" applyBorder="1" applyAlignment="1">
      <alignment vertical="top" wrapText="1"/>
    </xf>
    <xf numFmtId="0" fontId="45" fillId="0" borderId="7" xfId="0" applyFont="1" applyFill="1" applyBorder="1" applyAlignment="1">
      <alignment vertical="top" wrapText="1"/>
    </xf>
    <xf numFmtId="0" fontId="0" fillId="22" borderId="5" xfId="0" applyFill="1" applyBorder="1"/>
    <xf numFmtId="39" fontId="18" fillId="0" borderId="7" xfId="0" applyNumberFormat="1" applyFont="1" applyBorder="1"/>
    <xf numFmtId="39" fontId="18" fillId="0" borderId="9" xfId="0" applyNumberFormat="1" applyFont="1" applyBorder="1"/>
    <xf numFmtId="43" fontId="0" fillId="59" borderId="7" xfId="1" applyFont="1" applyFill="1" applyBorder="1"/>
    <xf numFmtId="0" fontId="19" fillId="59" borderId="0" xfId="0" applyFont="1" applyFill="1" applyBorder="1" applyAlignment="1">
      <alignment vertical="center" wrapText="1"/>
    </xf>
    <xf numFmtId="43" fontId="0" fillId="59" borderId="0" xfId="1" applyFont="1" applyFill="1" applyBorder="1"/>
    <xf numFmtId="0" fontId="0" fillId="59" borderId="8" xfId="0" applyFill="1" applyBorder="1"/>
    <xf numFmtId="0" fontId="0" fillId="33" borderId="7" xfId="0" applyFill="1" applyBorder="1"/>
    <xf numFmtId="43" fontId="0" fillId="33" borderId="0" xfId="0" applyNumberFormat="1" applyFill="1" applyBorder="1"/>
    <xf numFmtId="0" fontId="0" fillId="33" borderId="0" xfId="0" applyFill="1" applyBorder="1"/>
    <xf numFmtId="0" fontId="20" fillId="33" borderId="8" xfId="0" applyFont="1" applyFill="1" applyBorder="1" applyAlignment="1">
      <alignment vertical="center" wrapText="1"/>
    </xf>
    <xf numFmtId="43" fontId="0" fillId="33" borderId="7" xfId="1" applyFont="1" applyFill="1" applyBorder="1"/>
    <xf numFmtId="0" fontId="19" fillId="33" borderId="0" xfId="0" applyFont="1" applyFill="1" applyBorder="1" applyAlignment="1">
      <alignment vertical="center" wrapText="1"/>
    </xf>
    <xf numFmtId="43" fontId="0" fillId="33" borderId="0" xfId="1" applyFont="1" applyFill="1" applyBorder="1"/>
    <xf numFmtId="0" fontId="0" fillId="33" borderId="8" xfId="0" applyFill="1" applyBorder="1"/>
    <xf numFmtId="43" fontId="0" fillId="53" borderId="7" xfId="1" applyFont="1" applyFill="1" applyBorder="1"/>
    <xf numFmtId="0" fontId="19" fillId="53" borderId="0" xfId="0" applyFont="1" applyFill="1" applyBorder="1" applyAlignment="1">
      <alignment vertical="center" wrapText="1"/>
    </xf>
    <xf numFmtId="43" fontId="0" fillId="53" borderId="0" xfId="1" applyFont="1" applyFill="1" applyBorder="1"/>
    <xf numFmtId="0" fontId="0" fillId="53" borderId="8" xfId="0" applyFill="1" applyBorder="1"/>
    <xf numFmtId="4" fontId="20" fillId="0" borderId="8" xfId="0" applyNumberFormat="1" applyFont="1" applyFill="1" applyBorder="1" applyAlignment="1">
      <alignment vertical="center" wrapText="1"/>
    </xf>
    <xf numFmtId="4" fontId="2" fillId="0" borderId="0" xfId="0" applyNumberFormat="1" applyFont="1" applyBorder="1"/>
    <xf numFmtId="4" fontId="2" fillId="0" borderId="0" xfId="1" applyNumberFormat="1" applyFont="1" applyFill="1" applyBorder="1"/>
    <xf numFmtId="4" fontId="2" fillId="0" borderId="8" xfId="0" applyNumberFormat="1" applyFont="1" applyFill="1" applyBorder="1"/>
    <xf numFmtId="4" fontId="15" fillId="0" borderId="8" xfId="1" applyNumberFormat="1" applyFont="1" applyFill="1" applyBorder="1" applyAlignment="1">
      <alignment wrapText="1"/>
    </xf>
    <xf numFmtId="9" fontId="0" fillId="16" borderId="0" xfId="3" applyFont="1" applyFill="1" applyBorder="1"/>
    <xf numFmtId="9" fontId="18" fillId="10" borderId="0" xfId="3" applyFont="1" applyFill="1" applyBorder="1" applyAlignment="1">
      <alignment horizontal="left" wrapText="1"/>
    </xf>
    <xf numFmtId="43" fontId="2" fillId="53" borderId="0" xfId="1" applyFont="1" applyFill="1" applyBorder="1"/>
    <xf numFmtId="0" fontId="0" fillId="53" borderId="7" xfId="0" applyFill="1" applyBorder="1"/>
    <xf numFmtId="43" fontId="0" fillId="53" borderId="0" xfId="0" applyNumberFormat="1" applyFill="1" applyBorder="1"/>
    <xf numFmtId="0" fontId="0" fillId="53" borderId="0" xfId="0" applyFill="1" applyBorder="1"/>
    <xf numFmtId="0" fontId="0" fillId="53" borderId="9" xfId="0" applyFill="1" applyBorder="1"/>
    <xf numFmtId="0" fontId="0" fillId="53" borderId="12" xfId="0" applyFill="1" applyBorder="1"/>
    <xf numFmtId="0" fontId="0" fillId="53" borderId="10" xfId="0" applyFill="1" applyBorder="1"/>
    <xf numFmtId="0" fontId="20" fillId="59" borderId="8" xfId="0" applyFont="1" applyFill="1" applyBorder="1" applyAlignment="1">
      <alignment horizontal="center" vertical="center" wrapText="1"/>
    </xf>
    <xf numFmtId="43" fontId="0" fillId="59" borderId="7" xfId="0" applyNumberFormat="1" applyFill="1" applyBorder="1" applyAlignment="1">
      <alignment horizontal="center" vertical="center"/>
    </xf>
    <xf numFmtId="43" fontId="0" fillId="59" borderId="0" xfId="0" applyNumberFormat="1" applyFill="1" applyBorder="1" applyAlignment="1">
      <alignment horizontal="center" vertical="center"/>
    </xf>
    <xf numFmtId="0" fontId="0" fillId="59" borderId="0" xfId="0" applyFill="1" applyBorder="1" applyAlignment="1">
      <alignment horizontal="center" vertical="center"/>
    </xf>
    <xf numFmtId="4" fontId="15" fillId="0" borderId="7" xfId="0" applyNumberFormat="1" applyFont="1" applyBorder="1"/>
    <xf numFmtId="4" fontId="15" fillId="0" borderId="0" xfId="0" applyNumberFormat="1" applyFont="1" applyBorder="1"/>
    <xf numFmtId="4" fontId="15" fillId="0" borderId="0" xfId="1" applyNumberFormat="1" applyFont="1" applyFill="1" applyBorder="1" applyAlignment="1">
      <alignment wrapText="1"/>
    </xf>
    <xf numFmtId="4" fontId="15" fillId="2" borderId="0" xfId="1" applyNumberFormat="1" applyFont="1" applyFill="1" applyBorder="1"/>
    <xf numFmtId="4" fontId="33" fillId="2" borderId="8" xfId="0" applyNumberFormat="1" applyFont="1" applyFill="1" applyBorder="1"/>
    <xf numFmtId="4" fontId="33" fillId="2" borderId="0" xfId="1" applyNumberFormat="1" applyFont="1" applyFill="1" applyBorder="1"/>
    <xf numFmtId="10" fontId="18" fillId="50" borderId="8" xfId="1" applyNumberFormat="1" applyFont="1" applyFill="1" applyBorder="1" applyAlignment="1">
      <alignment horizontal="center" vertical="center" wrapText="1"/>
    </xf>
    <xf numFmtId="4" fontId="2" fillId="0" borderId="0" xfId="0" applyNumberFormat="1" applyFont="1"/>
    <xf numFmtId="169" fontId="0" fillId="0" borderId="0" xfId="0" applyNumberFormat="1"/>
    <xf numFmtId="169" fontId="18" fillId="0" borderId="0" xfId="0" applyNumberFormat="1" applyFont="1"/>
    <xf numFmtId="4" fontId="18" fillId="58" borderId="0" xfId="0" applyNumberFormat="1" applyFont="1" applyFill="1" applyBorder="1"/>
    <xf numFmtId="4" fontId="20" fillId="0" borderId="8" xfId="0" applyNumberFormat="1" applyFont="1" applyFill="1" applyBorder="1"/>
    <xf numFmtId="4" fontId="24" fillId="0" borderId="8" xfId="0" applyNumberFormat="1" applyFont="1" applyFill="1" applyBorder="1" applyAlignment="1">
      <alignment vertical="center" wrapText="1"/>
    </xf>
    <xf numFmtId="4" fontId="33" fillId="2" borderId="0" xfId="0" applyNumberFormat="1" applyFont="1" applyFill="1" applyBorder="1"/>
    <xf numFmtId="169" fontId="2" fillId="2" borderId="0" xfId="0" applyNumberFormat="1" applyFont="1" applyFill="1"/>
    <xf numFmtId="4" fontId="33" fillId="2" borderId="8" xfId="1" applyNumberFormat="1" applyFont="1" applyFill="1" applyBorder="1" applyAlignment="1">
      <alignment wrapText="1"/>
    </xf>
    <xf numFmtId="4" fontId="2" fillId="2" borderId="0" xfId="0" applyNumberFormat="1" applyFont="1" applyFill="1"/>
    <xf numFmtId="4" fontId="33" fillId="2" borderId="7" xfId="0" applyNumberFormat="1" applyFont="1" applyFill="1" applyBorder="1"/>
    <xf numFmtId="3" fontId="18" fillId="0" borderId="0" xfId="0" applyNumberFormat="1" applyFont="1" applyBorder="1" applyAlignment="1"/>
    <xf numFmtId="3" fontId="18" fillId="0" borderId="0" xfId="0" applyNumberFormat="1" applyFont="1" applyBorder="1" applyAlignment="1">
      <alignment horizontal="center" vertical="center" wrapText="1"/>
    </xf>
    <xf numFmtId="0" fontId="2" fillId="0" borderId="36" xfId="0" applyFont="1" applyFill="1" applyBorder="1" applyAlignment="1"/>
    <xf numFmtId="0" fontId="2" fillId="0" borderId="38" xfId="0" applyFont="1" applyFill="1" applyBorder="1" applyAlignment="1"/>
    <xf numFmtId="190" fontId="0" fillId="60" borderId="38" xfId="1" applyNumberFormat="1" applyFont="1" applyFill="1" applyBorder="1"/>
    <xf numFmtId="2" fontId="0" fillId="21" borderId="179" xfId="3" applyNumberFormat="1" applyFont="1" applyFill="1" applyBorder="1"/>
    <xf numFmtId="168" fontId="1" fillId="41" borderId="41" xfId="1" applyNumberFormat="1" applyFont="1" applyFill="1" applyBorder="1"/>
    <xf numFmtId="168" fontId="1" fillId="41" borderId="34" xfId="1" applyNumberFormat="1" applyFont="1" applyFill="1" applyBorder="1"/>
    <xf numFmtId="168" fontId="20" fillId="0" borderId="43" xfId="0" applyNumberFormat="1" applyFont="1" applyBorder="1"/>
    <xf numFmtId="168" fontId="20" fillId="0" borderId="81" xfId="0" applyNumberFormat="1" applyFont="1" applyBorder="1"/>
    <xf numFmtId="168" fontId="20" fillId="59" borderId="43" xfId="0" applyNumberFormat="1" applyFont="1" applyFill="1" applyBorder="1"/>
    <xf numFmtId="168" fontId="20" fillId="59" borderId="81" xfId="0" applyNumberFormat="1" applyFont="1" applyFill="1" applyBorder="1"/>
    <xf numFmtId="168" fontId="20" fillId="0" borderId="0" xfId="0" applyNumberFormat="1" applyFont="1" applyBorder="1"/>
    <xf numFmtId="168" fontId="20" fillId="59" borderId="0" xfId="0" applyNumberFormat="1" applyFont="1" applyFill="1" applyBorder="1"/>
    <xf numFmtId="3" fontId="20" fillId="0" borderId="33" xfId="0" applyNumberFormat="1" applyFont="1" applyBorder="1"/>
    <xf numFmtId="3" fontId="20" fillId="0" borderId="42" xfId="0" applyNumberFormat="1" applyFont="1" applyBorder="1"/>
    <xf numFmtId="3" fontId="20" fillId="0" borderId="59" xfId="0" applyNumberFormat="1" applyFont="1" applyBorder="1"/>
    <xf numFmtId="178" fontId="18" fillId="0" borderId="0" xfId="0" applyNumberFormat="1" applyFont="1" applyFill="1" applyBorder="1"/>
    <xf numFmtId="2" fontId="20" fillId="0" borderId="0" xfId="0" applyNumberFormat="1" applyFont="1" applyFill="1" applyBorder="1"/>
    <xf numFmtId="10" fontId="143" fillId="2" borderId="43" xfId="0" applyNumberFormat="1" applyFont="1" applyFill="1" applyBorder="1"/>
    <xf numFmtId="10" fontId="143" fillId="2" borderId="81" xfId="0" applyNumberFormat="1" applyFont="1" applyFill="1" applyBorder="1"/>
    <xf numFmtId="10" fontId="21" fillId="2" borderId="43" xfId="0" applyNumberFormat="1" applyFont="1" applyFill="1" applyBorder="1"/>
    <xf numFmtId="10" fontId="21" fillId="2" borderId="81" xfId="0" applyNumberFormat="1" applyFont="1" applyFill="1" applyBorder="1"/>
    <xf numFmtId="10" fontId="20" fillId="0" borderId="43" xfId="0" applyNumberFormat="1" applyFont="1" applyBorder="1"/>
    <xf numFmtId="10" fontId="20" fillId="0" borderId="81" xfId="0" applyNumberFormat="1" applyFont="1" applyBorder="1"/>
    <xf numFmtId="10" fontId="20" fillId="59" borderId="43" xfId="0" applyNumberFormat="1" applyFont="1" applyFill="1" applyBorder="1"/>
    <xf numFmtId="10" fontId="20" fillId="59" borderId="81" xfId="0" applyNumberFormat="1" applyFont="1" applyFill="1" applyBorder="1"/>
    <xf numFmtId="10" fontId="143" fillId="2" borderId="39" xfId="0" applyNumberFormat="1" applyFont="1" applyFill="1" applyBorder="1"/>
    <xf numFmtId="10" fontId="143" fillId="2" borderId="41" xfId="0" applyNumberFormat="1" applyFont="1" applyFill="1" applyBorder="1"/>
    <xf numFmtId="10" fontId="21" fillId="2" borderId="39" xfId="0" applyNumberFormat="1" applyFont="1" applyFill="1" applyBorder="1"/>
    <xf numFmtId="10" fontId="21" fillId="2" borderId="41" xfId="0" applyNumberFormat="1" applyFont="1" applyFill="1" applyBorder="1"/>
    <xf numFmtId="10" fontId="143" fillId="2" borderId="0" xfId="0" applyNumberFormat="1" applyFont="1" applyFill="1" applyBorder="1"/>
    <xf numFmtId="10" fontId="20" fillId="0" borderId="0" xfId="0" applyNumberFormat="1" applyFont="1" applyBorder="1"/>
    <xf numFmtId="10" fontId="20" fillId="59" borderId="0" xfId="0" applyNumberFormat="1" applyFont="1" applyFill="1" applyBorder="1"/>
    <xf numFmtId="10" fontId="143" fillId="2" borderId="40" xfId="0" applyNumberFormat="1" applyFont="1" applyFill="1" applyBorder="1"/>
    <xf numFmtId="0" fontId="18" fillId="0" borderId="1" xfId="0" applyFont="1" applyFill="1" applyBorder="1" applyAlignment="1">
      <alignment horizontal="center" vertical="center" wrapText="1"/>
    </xf>
    <xf numFmtId="4" fontId="18" fillId="0" borderId="1" xfId="1" applyNumberFormat="1" applyFont="1" applyFill="1" applyBorder="1" applyAlignment="1">
      <alignment horizontal="center" vertical="center" wrapText="1"/>
    </xf>
    <xf numFmtId="0" fontId="140" fillId="59" borderId="1" xfId="0" applyFont="1" applyFill="1" applyBorder="1" applyAlignment="1">
      <alignment horizontal="center" vertical="center" wrapText="1"/>
    </xf>
    <xf numFmtId="0" fontId="140" fillId="2" borderId="1" xfId="0" applyFont="1" applyFill="1" applyBorder="1" applyAlignment="1">
      <alignment horizontal="center" vertical="center" wrapText="1"/>
    </xf>
    <xf numFmtId="0" fontId="34" fillId="0" borderId="1" xfId="0" applyFont="1" applyFill="1" applyBorder="1" applyAlignment="1">
      <alignment horizontal="center" vertical="center" wrapText="1"/>
    </xf>
    <xf numFmtId="0" fontId="18" fillId="59" borderId="1" xfId="0" applyFont="1" applyFill="1" applyBorder="1" applyAlignment="1">
      <alignment horizontal="center" vertical="center" wrapText="1"/>
    </xf>
    <xf numFmtId="0" fontId="18" fillId="2" borderId="1" xfId="0" applyFont="1" applyFill="1" applyBorder="1" applyAlignment="1">
      <alignment horizontal="center" vertical="center" wrapText="1"/>
    </xf>
    <xf numFmtId="0" fontId="18" fillId="0" borderId="1" xfId="0" applyFont="1" applyBorder="1" applyAlignment="1">
      <alignment horizontal="center" vertical="center"/>
    </xf>
    <xf numFmtId="0" fontId="18" fillId="59" borderId="1" xfId="0" applyFont="1" applyFill="1" applyBorder="1" applyAlignment="1">
      <alignment horizontal="center" vertical="center"/>
    </xf>
    <xf numFmtId="0" fontId="18" fillId="2" borderId="1" xfId="0" applyFont="1" applyFill="1" applyBorder="1" applyAlignment="1">
      <alignment horizontal="center" vertical="center"/>
    </xf>
    <xf numFmtId="0" fontId="142" fillId="59" borderId="1" xfId="0" applyFont="1" applyFill="1" applyBorder="1" applyAlignment="1">
      <alignment horizontal="center" vertical="center" wrapText="1"/>
    </xf>
    <xf numFmtId="0" fontId="142" fillId="2" borderId="1" xfId="0" applyFont="1" applyFill="1" applyBorder="1" applyAlignment="1">
      <alignment horizontal="center" vertical="center" wrapText="1"/>
    </xf>
    <xf numFmtId="44" fontId="18" fillId="4" borderId="1" xfId="2" applyFont="1" applyFill="1" applyBorder="1" applyAlignment="1">
      <alignment horizontal="center" vertical="center" wrapText="1"/>
    </xf>
    <xf numFmtId="43" fontId="18" fillId="4" borderId="43" xfId="1" applyFont="1" applyFill="1" applyBorder="1" applyAlignment="1">
      <alignment horizontal="center" wrapText="1"/>
    </xf>
    <xf numFmtId="4" fontId="20" fillId="0" borderId="42" xfId="0" applyNumberFormat="1" applyFont="1" applyFill="1" applyBorder="1" applyAlignment="1">
      <alignment horizontal="center"/>
    </xf>
    <xf numFmtId="4" fontId="20" fillId="0" borderId="33" xfId="0" applyNumberFormat="1" applyFont="1" applyFill="1" applyBorder="1" applyAlignment="1">
      <alignment horizontal="center"/>
    </xf>
    <xf numFmtId="0" fontId="18" fillId="0" borderId="31" xfId="0" applyFont="1" applyFill="1" applyBorder="1" applyAlignment="1">
      <alignment horizontal="center" vertical="center"/>
    </xf>
    <xf numFmtId="4" fontId="0" fillId="0" borderId="8" xfId="0" applyNumberFormat="1" applyBorder="1"/>
    <xf numFmtId="0" fontId="18" fillId="0" borderId="36" xfId="0" applyFont="1" applyBorder="1"/>
    <xf numFmtId="0" fontId="18" fillId="0" borderId="37" xfId="0" applyFont="1" applyBorder="1"/>
    <xf numFmtId="4" fontId="18" fillId="0" borderId="37" xfId="0" applyNumberFormat="1" applyFont="1" applyBorder="1"/>
    <xf numFmtId="10" fontId="23" fillId="63" borderId="39" xfId="0" applyNumberFormat="1" applyFont="1" applyFill="1" applyBorder="1"/>
    <xf numFmtId="10" fontId="23" fillId="63" borderId="41" xfId="0" applyNumberFormat="1" applyFont="1" applyFill="1" applyBorder="1"/>
    <xf numFmtId="10" fontId="18" fillId="2" borderId="41" xfId="0" applyNumberFormat="1" applyFont="1" applyFill="1" applyBorder="1" applyAlignment="1">
      <alignment horizontal="center"/>
    </xf>
    <xf numFmtId="10" fontId="18" fillId="2" borderId="39" xfId="0" applyNumberFormat="1" applyFont="1" applyFill="1" applyBorder="1" applyAlignment="1">
      <alignment horizontal="center"/>
    </xf>
    <xf numFmtId="4" fontId="18" fillId="4" borderId="81" xfId="0" applyNumberFormat="1" applyFont="1" applyFill="1" applyBorder="1" applyAlignment="1">
      <alignment horizontal="center"/>
    </xf>
    <xf numFmtId="4" fontId="18" fillId="4" borderId="43" xfId="0" applyNumberFormat="1" applyFont="1" applyFill="1" applyBorder="1" applyAlignment="1">
      <alignment horizontal="center"/>
    </xf>
    <xf numFmtId="4" fontId="18" fillId="4" borderId="0" xfId="0" applyNumberFormat="1" applyFont="1" applyFill="1" applyBorder="1" applyAlignment="1">
      <alignment horizontal="center"/>
    </xf>
    <xf numFmtId="10" fontId="40" fillId="28" borderId="39" xfId="0" applyNumberFormat="1" applyFont="1" applyFill="1" applyBorder="1" applyAlignment="1">
      <alignment horizontal="center"/>
    </xf>
    <xf numFmtId="4" fontId="20" fillId="0" borderId="59" xfId="0" applyNumberFormat="1" applyFont="1" applyBorder="1" applyAlignment="1">
      <alignment horizontal="center"/>
    </xf>
    <xf numFmtId="4" fontId="20" fillId="0" borderId="42" xfId="0" applyNumberFormat="1" applyFont="1" applyBorder="1" applyAlignment="1">
      <alignment horizontal="center"/>
    </xf>
    <xf numFmtId="4" fontId="20" fillId="0" borderId="33" xfId="0" applyNumberFormat="1" applyFont="1" applyBorder="1" applyAlignment="1">
      <alignment horizontal="center"/>
    </xf>
    <xf numFmtId="4" fontId="20" fillId="0" borderId="0" xfId="0" applyNumberFormat="1" applyFont="1" applyBorder="1" applyAlignment="1">
      <alignment horizontal="center"/>
    </xf>
    <xf numFmtId="4" fontId="20" fillId="0" borderId="81" xfId="0" applyNumberFormat="1" applyFont="1" applyFill="1" applyBorder="1" applyAlignment="1">
      <alignment horizontal="center"/>
    </xf>
    <xf numFmtId="4" fontId="20" fillId="0" borderId="43" xfId="0" applyNumberFormat="1" applyFont="1" applyBorder="1" applyAlignment="1">
      <alignment horizontal="center"/>
    </xf>
    <xf numFmtId="0" fontId="20" fillId="59" borderId="0" xfId="0" applyFont="1" applyFill="1" applyBorder="1" applyAlignment="1">
      <alignment horizontal="center"/>
    </xf>
    <xf numFmtId="168" fontId="20" fillId="59" borderId="81" xfId="0" applyNumberFormat="1" applyFont="1" applyFill="1" applyBorder="1" applyAlignment="1">
      <alignment horizontal="center"/>
    </xf>
    <xf numFmtId="168" fontId="20" fillId="59" borderId="43" xfId="0" applyNumberFormat="1" applyFont="1" applyFill="1" applyBorder="1" applyAlignment="1">
      <alignment horizontal="center"/>
    </xf>
    <xf numFmtId="10" fontId="143" fillId="2" borderId="40" xfId="0" applyNumberFormat="1" applyFont="1" applyFill="1" applyBorder="1" applyAlignment="1">
      <alignment horizontal="center"/>
    </xf>
    <xf numFmtId="10" fontId="143" fillId="2" borderId="41" xfId="0" applyNumberFormat="1" applyFont="1" applyFill="1" applyBorder="1" applyAlignment="1">
      <alignment horizontal="center"/>
    </xf>
    <xf numFmtId="10" fontId="143" fillId="2" borderId="39" xfId="0" applyNumberFormat="1" applyFont="1" applyFill="1" applyBorder="1" applyAlignment="1">
      <alignment horizontal="center"/>
    </xf>
    <xf numFmtId="4" fontId="35" fillId="0" borderId="0" xfId="0" applyNumberFormat="1" applyFont="1" applyFill="1" applyBorder="1" applyAlignment="1">
      <alignment horizontal="center"/>
    </xf>
    <xf numFmtId="4" fontId="35" fillId="0" borderId="81" xfId="0" applyNumberFormat="1" applyFont="1" applyFill="1" applyBorder="1" applyAlignment="1">
      <alignment horizontal="center"/>
    </xf>
    <xf numFmtId="4" fontId="35" fillId="0" borderId="43" xfId="0" applyNumberFormat="1" applyFont="1" applyFill="1" applyBorder="1" applyAlignment="1">
      <alignment horizontal="center"/>
    </xf>
    <xf numFmtId="4" fontId="18" fillId="0" borderId="81" xfId="0" applyNumberFormat="1" applyFont="1" applyBorder="1" applyAlignment="1">
      <alignment horizontal="center"/>
    </xf>
    <xf numFmtId="4" fontId="18" fillId="0" borderId="43" xfId="0" applyNumberFormat="1" applyFont="1" applyFill="1" applyBorder="1" applyAlignment="1">
      <alignment horizontal="center"/>
    </xf>
    <xf numFmtId="4" fontId="18" fillId="0" borderId="81" xfId="0" applyNumberFormat="1" applyFont="1" applyFill="1" applyBorder="1" applyAlignment="1">
      <alignment horizontal="center"/>
    </xf>
    <xf numFmtId="4" fontId="18" fillId="59" borderId="0" xfId="0" applyNumberFormat="1" applyFont="1" applyFill="1" applyBorder="1" applyAlignment="1">
      <alignment horizontal="center"/>
    </xf>
    <xf numFmtId="4" fontId="18" fillId="59" borderId="81" xfId="0" applyNumberFormat="1" applyFont="1" applyFill="1" applyBorder="1" applyAlignment="1">
      <alignment horizontal="center"/>
    </xf>
    <xf numFmtId="4" fontId="18" fillId="59" borderId="43" xfId="0" applyNumberFormat="1" applyFont="1" applyFill="1" applyBorder="1" applyAlignment="1">
      <alignment horizontal="center"/>
    </xf>
    <xf numFmtId="10" fontId="40" fillId="2" borderId="40" xfId="0" applyNumberFormat="1" applyFont="1" applyFill="1" applyBorder="1" applyAlignment="1">
      <alignment horizontal="center"/>
    </xf>
    <xf numFmtId="10" fontId="40" fillId="2" borderId="41" xfId="0" applyNumberFormat="1" applyFont="1" applyFill="1" applyBorder="1" applyAlignment="1">
      <alignment horizontal="center"/>
    </xf>
    <xf numFmtId="10" fontId="71" fillId="2" borderId="39" xfId="0" applyNumberFormat="1" applyFont="1" applyFill="1" applyBorder="1" applyAlignment="1">
      <alignment horizontal="center"/>
    </xf>
    <xf numFmtId="10" fontId="71" fillId="2" borderId="41" xfId="0" applyNumberFormat="1" applyFont="1" applyFill="1" applyBorder="1" applyAlignment="1">
      <alignment horizontal="center"/>
    </xf>
    <xf numFmtId="10" fontId="71" fillId="28" borderId="41" xfId="0" applyNumberFormat="1" applyFont="1" applyFill="1" applyBorder="1" applyAlignment="1">
      <alignment horizontal="center"/>
    </xf>
    <xf numFmtId="10" fontId="40" fillId="28" borderId="41" xfId="0" applyNumberFormat="1" applyFont="1" applyFill="1" applyBorder="1" applyAlignment="1">
      <alignment horizontal="center"/>
    </xf>
    <xf numFmtId="0" fontId="18" fillId="0" borderId="33" xfId="0" applyFont="1" applyFill="1" applyBorder="1" applyAlignment="1">
      <alignment horizontal="center"/>
    </xf>
    <xf numFmtId="10" fontId="40" fillId="2" borderId="39" xfId="0" applyNumberFormat="1" applyFont="1" applyFill="1" applyBorder="1" applyAlignment="1">
      <alignment horizontal="center"/>
    </xf>
    <xf numFmtId="0" fontId="20" fillId="2" borderId="7" xfId="0" applyFont="1" applyFill="1" applyBorder="1"/>
    <xf numFmtId="4" fontId="18" fillId="0" borderId="37" xfId="0" applyNumberFormat="1" applyFont="1" applyFill="1" applyBorder="1"/>
    <xf numFmtId="177" fontId="0" fillId="0" borderId="0" xfId="0" applyNumberFormat="1" applyFill="1"/>
    <xf numFmtId="11" fontId="18" fillId="2" borderId="38" xfId="0" applyNumberFormat="1" applyFont="1" applyFill="1" applyBorder="1" applyAlignment="1">
      <alignment horizontal="center" vertical="center"/>
    </xf>
    <xf numFmtId="0" fontId="18" fillId="0" borderId="39" xfId="0" applyFont="1" applyBorder="1"/>
    <xf numFmtId="0" fontId="18" fillId="0" borderId="40" xfId="0" applyFont="1" applyBorder="1"/>
    <xf numFmtId="4" fontId="18" fillId="0" borderId="40" xfId="0" applyNumberFormat="1" applyFont="1" applyBorder="1"/>
    <xf numFmtId="4" fontId="18" fillId="0" borderId="40" xfId="0" applyNumberFormat="1" applyFont="1" applyFill="1" applyBorder="1"/>
    <xf numFmtId="0" fontId="0" fillId="0" borderId="38" xfId="0" applyFont="1" applyFill="1" applyBorder="1" applyAlignment="1"/>
    <xf numFmtId="10" fontId="21" fillId="63" borderId="39" xfId="0" applyNumberFormat="1" applyFont="1" applyFill="1" applyBorder="1"/>
    <xf numFmtId="10" fontId="21" fillId="63" borderId="41" xfId="0" applyNumberFormat="1" applyFont="1" applyFill="1" applyBorder="1"/>
    <xf numFmtId="10" fontId="21" fillId="2" borderId="39" xfId="0" applyNumberFormat="1" applyFont="1" applyFill="1" applyBorder="1" applyAlignment="1">
      <alignment horizontal="center"/>
    </xf>
    <xf numFmtId="4" fontId="18" fillId="0" borderId="172" xfId="0" applyNumberFormat="1" applyFont="1" applyFill="1" applyBorder="1"/>
    <xf numFmtId="3" fontId="20" fillId="0" borderId="204" xfId="0" applyNumberFormat="1" applyFont="1" applyBorder="1"/>
    <xf numFmtId="168" fontId="20" fillId="0" borderId="8" xfId="0" applyNumberFormat="1" applyFont="1" applyBorder="1"/>
    <xf numFmtId="168" fontId="20" fillId="59" borderId="8" xfId="0" applyNumberFormat="1" applyFont="1" applyFill="1" applyBorder="1"/>
    <xf numFmtId="10" fontId="143" fillId="2" borderId="8" xfId="0" applyNumberFormat="1" applyFont="1" applyFill="1" applyBorder="1"/>
    <xf numFmtId="10" fontId="20" fillId="0" borderId="8" xfId="0" applyNumberFormat="1" applyFont="1" applyBorder="1"/>
    <xf numFmtId="10" fontId="20" fillId="59" borderId="8" xfId="0" applyNumberFormat="1" applyFont="1" applyFill="1" applyBorder="1"/>
    <xf numFmtId="10" fontId="143" fillId="2" borderId="172" xfId="0" applyNumberFormat="1" applyFont="1" applyFill="1" applyBorder="1"/>
    <xf numFmtId="4" fontId="20" fillId="0" borderId="204" xfId="0" applyNumberFormat="1" applyFont="1" applyBorder="1" applyAlignment="1">
      <alignment horizontal="center"/>
    </xf>
    <xf numFmtId="4" fontId="20" fillId="0" borderId="8" xfId="0" applyNumberFormat="1" applyFont="1" applyFill="1" applyBorder="1" applyAlignment="1">
      <alignment horizontal="center"/>
    </xf>
    <xf numFmtId="168" fontId="20" fillId="59" borderId="8" xfId="0" applyNumberFormat="1" applyFont="1" applyFill="1" applyBorder="1" applyAlignment="1">
      <alignment horizontal="center"/>
    </xf>
    <xf numFmtId="10" fontId="143" fillId="2" borderId="172" xfId="0" applyNumberFormat="1" applyFont="1" applyFill="1" applyBorder="1" applyAlignment="1">
      <alignment horizontal="center"/>
    </xf>
    <xf numFmtId="4" fontId="20" fillId="0" borderId="0" xfId="0" applyNumberFormat="1" applyFont="1" applyFill="1" applyBorder="1" applyAlignment="1">
      <alignment horizontal="center"/>
    </xf>
    <xf numFmtId="0" fontId="0" fillId="0" borderId="38" xfId="0" applyBorder="1" applyAlignment="1">
      <alignment horizontal="center"/>
    </xf>
    <xf numFmtId="0" fontId="0" fillId="0" borderId="57" xfId="0" applyBorder="1" applyAlignment="1">
      <alignment horizontal="center"/>
    </xf>
    <xf numFmtId="173" fontId="20" fillId="59" borderId="0" xfId="0" applyNumberFormat="1" applyFont="1" applyFill="1" applyBorder="1" applyAlignment="1">
      <alignment horizontal="center"/>
    </xf>
    <xf numFmtId="43" fontId="18" fillId="4" borderId="0" xfId="1" applyFont="1" applyFill="1" applyBorder="1" applyAlignment="1">
      <alignment horizontal="center" wrapText="1"/>
    </xf>
    <xf numFmtId="0" fontId="18" fillId="0" borderId="1" xfId="0" applyFont="1" applyFill="1" applyBorder="1" applyAlignment="1">
      <alignment horizontal="center" vertical="center"/>
    </xf>
    <xf numFmtId="0" fontId="18" fillId="0" borderId="0" xfId="0" applyFont="1" applyFill="1" applyBorder="1" applyAlignment="1">
      <alignment horizontal="center" vertical="center"/>
    </xf>
    <xf numFmtId="4" fontId="35" fillId="2" borderId="0" xfId="0" applyNumberFormat="1" applyFont="1" applyFill="1" applyBorder="1" applyAlignment="1">
      <alignment horizontal="center"/>
    </xf>
    <xf numFmtId="0" fontId="18" fillId="0" borderId="59" xfId="0" applyFont="1" applyFill="1" applyBorder="1" applyAlignment="1">
      <alignment horizontal="center"/>
    </xf>
    <xf numFmtId="4" fontId="20" fillId="0" borderId="59" xfId="0" applyNumberFormat="1" applyFont="1" applyFill="1" applyBorder="1" applyAlignment="1">
      <alignment horizontal="center"/>
    </xf>
    <xf numFmtId="10" fontId="71" fillId="2" borderId="40" xfId="0" applyNumberFormat="1" applyFont="1" applyFill="1" applyBorder="1" applyAlignment="1">
      <alignment horizontal="center"/>
    </xf>
    <xf numFmtId="4" fontId="35" fillId="0" borderId="59" xfId="0" applyNumberFormat="1" applyFont="1" applyFill="1" applyBorder="1" applyAlignment="1">
      <alignment horizontal="center"/>
    </xf>
    <xf numFmtId="4" fontId="35" fillId="0" borderId="42" xfId="0" applyNumberFormat="1" applyFont="1" applyFill="1" applyBorder="1" applyAlignment="1">
      <alignment horizontal="center"/>
    </xf>
    <xf numFmtId="4" fontId="35" fillId="0" borderId="33" xfId="0" applyNumberFormat="1" applyFont="1" applyFill="1" applyBorder="1" applyAlignment="1">
      <alignment horizontal="center"/>
    </xf>
    <xf numFmtId="10" fontId="40" fillId="64" borderId="40" xfId="0" applyNumberFormat="1" applyFont="1" applyFill="1" applyBorder="1" applyAlignment="1">
      <alignment horizontal="center"/>
    </xf>
    <xf numFmtId="10" fontId="71" fillId="64" borderId="40" xfId="0" applyNumberFormat="1" applyFont="1" applyFill="1" applyBorder="1" applyAlignment="1">
      <alignment horizontal="center"/>
    </xf>
    <xf numFmtId="10" fontId="40" fillId="64" borderId="41" xfId="0" applyNumberFormat="1" applyFont="1" applyFill="1" applyBorder="1" applyAlignment="1">
      <alignment horizontal="center"/>
    </xf>
    <xf numFmtId="43" fontId="18" fillId="0" borderId="0" xfId="1" applyFont="1" applyFill="1" applyBorder="1" applyAlignment="1">
      <alignment vertical="top" wrapText="1"/>
    </xf>
    <xf numFmtId="0" fontId="62" fillId="35" borderId="7" xfId="0" applyFont="1" applyFill="1" applyBorder="1"/>
    <xf numFmtId="0" fontId="62" fillId="35" borderId="36" xfId="0" applyFont="1" applyFill="1" applyBorder="1" applyAlignment="1">
      <alignment wrapText="1"/>
    </xf>
    <xf numFmtId="0" fontId="62" fillId="35" borderId="36" xfId="0" applyFont="1" applyFill="1" applyBorder="1"/>
    <xf numFmtId="4" fontId="20" fillId="0" borderId="43" xfId="0" applyNumberFormat="1" applyFont="1" applyFill="1" applyBorder="1" applyAlignment="1">
      <alignment horizontal="center" vertical="center" wrapText="1"/>
    </xf>
    <xf numFmtId="4" fontId="20" fillId="0" borderId="81" xfId="0" applyNumberFormat="1" applyFont="1" applyFill="1" applyBorder="1"/>
    <xf numFmtId="4" fontId="20" fillId="0" borderId="36" xfId="0" applyNumberFormat="1" applyFont="1" applyFill="1" applyBorder="1" applyAlignment="1">
      <alignment horizontal="center" vertical="center" wrapText="1"/>
    </xf>
    <xf numFmtId="168" fontId="20" fillId="0" borderId="37" xfId="0" applyNumberFormat="1" applyFont="1" applyFill="1" applyBorder="1" applyAlignment="1">
      <alignment horizontal="center" vertical="center" wrapText="1"/>
    </xf>
    <xf numFmtId="168" fontId="20" fillId="0" borderId="38" xfId="0" applyNumberFormat="1" applyFont="1" applyFill="1" applyBorder="1" applyAlignment="1">
      <alignment horizontal="center" vertical="center" wrapText="1"/>
    </xf>
    <xf numFmtId="4" fontId="0" fillId="2" borderId="43" xfId="0" applyNumberFormat="1" applyFill="1" applyBorder="1"/>
    <xf numFmtId="4" fontId="0" fillId="2" borderId="0" xfId="0" applyNumberFormat="1" applyFill="1" applyBorder="1"/>
    <xf numFmtId="2" fontId="13" fillId="2" borderId="0" xfId="0" applyNumberFormat="1" applyFont="1" applyFill="1" applyBorder="1"/>
    <xf numFmtId="4" fontId="13" fillId="2" borderId="0" xfId="0" applyNumberFormat="1" applyFont="1" applyFill="1" applyBorder="1"/>
    <xf numFmtId="4" fontId="0" fillId="2" borderId="81" xfId="0" applyNumberFormat="1" applyFill="1" applyBorder="1"/>
    <xf numFmtId="0" fontId="0" fillId="2" borderId="81" xfId="0" applyFill="1" applyBorder="1"/>
    <xf numFmtId="0" fontId="0" fillId="2" borderId="43" xfId="0" applyFill="1" applyBorder="1"/>
    <xf numFmtId="4" fontId="20" fillId="0" borderId="43" xfId="0" applyNumberFormat="1" applyFont="1" applyFill="1" applyBorder="1"/>
    <xf numFmtId="4" fontId="20" fillId="0" borderId="43" xfId="2" applyNumberFormat="1" applyFont="1" applyFill="1" applyBorder="1" applyAlignment="1">
      <alignment horizontal="center" vertical="center" wrapText="1"/>
    </xf>
    <xf numFmtId="4" fontId="20" fillId="0" borderId="0" xfId="1" applyNumberFormat="1" applyFont="1" applyFill="1" applyBorder="1" applyAlignment="1">
      <alignment horizontal="center" wrapText="1"/>
    </xf>
    <xf numFmtId="4" fontId="20" fillId="0" borderId="43" xfId="1" applyNumberFormat="1" applyFont="1" applyFill="1" applyBorder="1"/>
    <xf numFmtId="4" fontId="20" fillId="0" borderId="43" xfId="0" applyNumberFormat="1" applyFont="1" applyBorder="1"/>
    <xf numFmtId="4" fontId="20" fillId="0" borderId="37" xfId="0" applyNumberFormat="1" applyFont="1" applyFill="1" applyBorder="1" applyAlignment="1">
      <alignment horizontal="center" vertical="center" wrapText="1"/>
    </xf>
    <xf numFmtId="10" fontId="23" fillId="0" borderId="37" xfId="0" applyNumberFormat="1" applyFont="1" applyFill="1" applyBorder="1" applyAlignment="1">
      <alignment horizontal="center" vertical="center" wrapText="1"/>
    </xf>
    <xf numFmtId="10" fontId="20" fillId="0" borderId="0" xfId="0" applyNumberFormat="1" applyFont="1" applyFill="1" applyBorder="1"/>
    <xf numFmtId="10" fontId="20" fillId="0" borderId="81" xfId="0" applyNumberFormat="1" applyFont="1" applyFill="1" applyBorder="1"/>
    <xf numFmtId="2" fontId="20" fillId="0" borderId="81" xfId="0" applyNumberFormat="1" applyFont="1" applyBorder="1"/>
    <xf numFmtId="4" fontId="18" fillId="0" borderId="43" xfId="0" applyNumberFormat="1" applyFont="1" applyBorder="1"/>
    <xf numFmtId="4" fontId="18" fillId="0" borderId="81" xfId="0" applyNumberFormat="1" applyFont="1" applyFill="1" applyBorder="1"/>
    <xf numFmtId="10" fontId="18" fillId="0" borderId="0" xfId="0" applyNumberFormat="1" applyFont="1" applyFill="1" applyBorder="1"/>
    <xf numFmtId="4" fontId="35" fillId="0" borderId="0" xfId="0" applyNumberFormat="1" applyFont="1" applyFill="1" applyBorder="1" applyAlignment="1">
      <alignment wrapText="1"/>
    </xf>
    <xf numFmtId="10" fontId="35" fillId="0" borderId="0" xfId="0" applyNumberFormat="1" applyFont="1" applyFill="1" applyBorder="1"/>
    <xf numFmtId="10" fontId="18" fillId="0" borderId="81" xfId="0" applyNumberFormat="1" applyFont="1" applyFill="1" applyBorder="1"/>
    <xf numFmtId="10" fontId="18" fillId="0" borderId="43" xfId="0" applyNumberFormat="1" applyFont="1" applyBorder="1"/>
    <xf numFmtId="10" fontId="18" fillId="0" borderId="0" xfId="0" applyNumberFormat="1" applyFont="1" applyBorder="1"/>
    <xf numFmtId="10" fontId="20" fillId="0" borderId="43" xfId="0" applyNumberFormat="1" applyFont="1" applyFill="1" applyBorder="1"/>
    <xf numFmtId="0" fontId="18" fillId="0" borderId="36" xfId="0" applyFont="1" applyFill="1" applyBorder="1" applyAlignment="1">
      <alignment vertical="top" wrapText="1"/>
    </xf>
    <xf numFmtId="0" fontId="18" fillId="0" borderId="38" xfId="0" applyFont="1" applyFill="1" applyBorder="1" applyAlignment="1">
      <alignment vertical="top" wrapText="1"/>
    </xf>
    <xf numFmtId="0" fontId="34" fillId="0" borderId="1" xfId="0" applyFont="1" applyFill="1" applyBorder="1" applyAlignment="1">
      <alignment vertical="top" wrapText="1"/>
    </xf>
    <xf numFmtId="44" fontId="18" fillId="0" borderId="1" xfId="2" applyFont="1" applyFill="1" applyBorder="1" applyAlignment="1">
      <alignment vertical="top" wrapText="1"/>
    </xf>
    <xf numFmtId="44" fontId="18" fillId="0" borderId="1" xfId="2" applyFont="1" applyFill="1" applyBorder="1" applyAlignment="1">
      <alignment horizontal="left" vertical="top" wrapText="1"/>
    </xf>
    <xf numFmtId="0" fontId="18" fillId="0" borderId="1" xfId="0" applyFont="1" applyFill="1" applyBorder="1" applyAlignment="1">
      <alignment vertical="top" wrapText="1"/>
    </xf>
    <xf numFmtId="0" fontId="144" fillId="0" borderId="1" xfId="0" applyFont="1" applyFill="1" applyBorder="1" applyAlignment="1">
      <alignment vertical="top" wrapText="1"/>
    </xf>
    <xf numFmtId="0" fontId="77" fillId="0" borderId="0" xfId="0" applyFont="1" applyFill="1" applyBorder="1" applyAlignment="1">
      <alignment vertical="top" wrapText="1"/>
    </xf>
    <xf numFmtId="4" fontId="20" fillId="50" borderId="43" xfId="0" applyNumberFormat="1" applyFont="1" applyFill="1" applyBorder="1" applyAlignment="1">
      <alignment horizontal="center" vertical="center"/>
    </xf>
    <xf numFmtId="4" fontId="18" fillId="50" borderId="43" xfId="0" applyNumberFormat="1" applyFont="1" applyFill="1" applyBorder="1"/>
    <xf numFmtId="4" fontId="20" fillId="50" borderId="43" xfId="0" applyNumberFormat="1" applyFont="1" applyFill="1" applyBorder="1"/>
    <xf numFmtId="4" fontId="20" fillId="50" borderId="0" xfId="0" applyNumberFormat="1" applyFont="1" applyFill="1" applyBorder="1"/>
    <xf numFmtId="4" fontId="18" fillId="50" borderId="0" xfId="0" applyNumberFormat="1" applyFont="1" applyFill="1" applyBorder="1"/>
    <xf numFmtId="4" fontId="18" fillId="50" borderId="81" xfId="0" applyNumberFormat="1" applyFont="1" applyFill="1" applyBorder="1"/>
    <xf numFmtId="4" fontId="21" fillId="50" borderId="0" xfId="0" applyNumberFormat="1" applyFont="1" applyFill="1" applyBorder="1" applyAlignment="1">
      <alignment horizontal="center"/>
    </xf>
    <xf numFmtId="4" fontId="20" fillId="50" borderId="0" xfId="1" applyNumberFormat="1" applyFont="1" applyFill="1" applyBorder="1" applyAlignment="1">
      <alignment horizontal="center" wrapText="1"/>
    </xf>
    <xf numFmtId="4" fontId="18" fillId="50" borderId="0" xfId="0" applyNumberFormat="1" applyFont="1" applyFill="1" applyBorder="1" applyAlignment="1">
      <alignment horizontal="center"/>
    </xf>
    <xf numFmtId="4" fontId="18" fillId="50" borderId="81" xfId="0" applyNumberFormat="1" applyFont="1" applyFill="1" applyBorder="1" applyAlignment="1">
      <alignment horizontal="center"/>
    </xf>
    <xf numFmtId="4" fontId="20" fillId="50" borderId="0" xfId="0" applyNumberFormat="1" applyFont="1" applyFill="1" applyBorder="1" applyAlignment="1">
      <alignment horizontal="center"/>
    </xf>
    <xf numFmtId="4" fontId="23" fillId="0" borderId="0" xfId="0" applyNumberFormat="1" applyFont="1" applyFill="1" applyBorder="1" applyAlignment="1">
      <alignment horizontal="center"/>
    </xf>
    <xf numFmtId="4" fontId="20" fillId="0" borderId="39" xfId="0" applyNumberFormat="1" applyFont="1" applyBorder="1"/>
    <xf numFmtId="4" fontId="20" fillId="0" borderId="40" xfId="0" applyNumberFormat="1" applyFont="1" applyBorder="1"/>
    <xf numFmtId="4" fontId="20" fillId="0" borderId="40" xfId="0" applyNumberFormat="1" applyFont="1" applyFill="1" applyBorder="1"/>
    <xf numFmtId="4" fontId="20" fillId="0" borderId="41" xfId="0" applyNumberFormat="1" applyFont="1" applyBorder="1"/>
    <xf numFmtId="4" fontId="20" fillId="0" borderId="41" xfId="0" applyNumberFormat="1" applyFont="1" applyFill="1" applyBorder="1"/>
    <xf numFmtId="4" fontId="20" fillId="0" borderId="39" xfId="0" applyNumberFormat="1" applyFont="1" applyFill="1" applyBorder="1"/>
    <xf numFmtId="43" fontId="49" fillId="0" borderId="0" xfId="0" applyNumberFormat="1" applyFont="1" applyBorder="1" applyAlignment="1">
      <alignment horizontal="justify" vertical="center" wrapText="1"/>
    </xf>
    <xf numFmtId="0" fontId="0" fillId="0" borderId="0" xfId="0" applyFill="1" applyBorder="1" applyAlignment="1">
      <alignment horizontal="center" vertical="center"/>
    </xf>
    <xf numFmtId="4" fontId="45" fillId="0" borderId="33" xfId="0" applyNumberFormat="1" applyFont="1" applyFill="1" applyBorder="1" applyAlignment="1">
      <alignment horizontal="center" vertical="center"/>
    </xf>
    <xf numFmtId="4" fontId="45" fillId="0" borderId="42" xfId="0" applyNumberFormat="1" applyFont="1" applyBorder="1" applyAlignment="1">
      <alignment horizontal="center" vertical="center"/>
    </xf>
    <xf numFmtId="4" fontId="20" fillId="0" borderId="43" xfId="0" applyNumberFormat="1" applyFont="1" applyFill="1" applyBorder="1" applyAlignment="1">
      <alignment horizontal="center"/>
    </xf>
    <xf numFmtId="4" fontId="23" fillId="0" borderId="43" xfId="0" applyNumberFormat="1" applyFont="1" applyFill="1" applyBorder="1" applyAlignment="1">
      <alignment horizontal="center"/>
    </xf>
    <xf numFmtId="0" fontId="0" fillId="50" borderId="81" xfId="0" applyFill="1" applyBorder="1"/>
    <xf numFmtId="0" fontId="18" fillId="0" borderId="1" xfId="0" applyFont="1" applyBorder="1" applyAlignment="1">
      <alignment horizontal="left" vertical="top" wrapText="1"/>
    </xf>
    <xf numFmtId="4" fontId="45" fillId="0" borderId="33" xfId="0" applyNumberFormat="1" applyFont="1" applyFill="1" applyBorder="1" applyAlignment="1">
      <alignment horizontal="center" vertical="center" wrapText="1"/>
    </xf>
    <xf numFmtId="4" fontId="45" fillId="0" borderId="59" xfId="0" applyNumberFormat="1" applyFont="1" applyFill="1" applyBorder="1" applyAlignment="1">
      <alignment horizontal="center" vertical="center" wrapText="1"/>
    </xf>
    <xf numFmtId="4" fontId="45" fillId="0" borderId="42" xfId="0" applyNumberFormat="1" applyFont="1" applyFill="1" applyBorder="1" applyAlignment="1">
      <alignment horizontal="center" vertical="center" wrapText="1"/>
    </xf>
    <xf numFmtId="4" fontId="20" fillId="50" borderId="81" xfId="0" applyNumberFormat="1" applyFont="1" applyFill="1" applyBorder="1"/>
    <xf numFmtId="4" fontId="45" fillId="0" borderId="59" xfId="0" applyNumberFormat="1" applyFont="1" applyFill="1" applyBorder="1" applyAlignment="1">
      <alignment horizontal="center" vertical="center"/>
    </xf>
    <xf numFmtId="2" fontId="13" fillId="2" borderId="43" xfId="0" applyNumberFormat="1" applyFont="1" applyFill="1" applyBorder="1"/>
    <xf numFmtId="4" fontId="23" fillId="0" borderId="43" xfId="0" applyNumberFormat="1" applyFont="1" applyFill="1" applyBorder="1"/>
    <xf numFmtId="4" fontId="20" fillId="0" borderId="39" xfId="0" applyNumberFormat="1" applyFont="1" applyFill="1" applyBorder="1" applyAlignment="1">
      <alignment wrapText="1"/>
    </xf>
    <xf numFmtId="4" fontId="45" fillId="0" borderId="33" xfId="0" applyNumberFormat="1" applyFont="1" applyBorder="1" applyAlignment="1">
      <alignment horizontal="center" vertical="center"/>
    </xf>
    <xf numFmtId="4" fontId="45" fillId="0" borderId="59" xfId="0" applyNumberFormat="1" applyFont="1" applyBorder="1" applyAlignment="1">
      <alignment horizontal="center" vertical="center"/>
    </xf>
    <xf numFmtId="4" fontId="45" fillId="0" borderId="42" xfId="0" applyNumberFormat="1" applyFont="1" applyFill="1" applyBorder="1" applyAlignment="1">
      <alignment horizontal="center" vertical="center"/>
    </xf>
    <xf numFmtId="0" fontId="0" fillId="0" borderId="81" xfId="0" applyBorder="1"/>
    <xf numFmtId="0" fontId="0" fillId="0" borderId="41" xfId="0" applyBorder="1"/>
    <xf numFmtId="4" fontId="23" fillId="50" borderId="0" xfId="0" applyNumberFormat="1" applyFont="1" applyFill="1" applyBorder="1" applyAlignment="1">
      <alignment horizontal="center"/>
    </xf>
    <xf numFmtId="4" fontId="0" fillId="50" borderId="81" xfId="0" applyNumberFormat="1" applyFill="1" applyBorder="1"/>
    <xf numFmtId="4" fontId="23" fillId="50" borderId="81" xfId="0" applyNumberFormat="1" applyFont="1" applyFill="1" applyBorder="1" applyAlignment="1">
      <alignment horizontal="center"/>
    </xf>
    <xf numFmtId="4" fontId="20" fillId="0" borderId="43" xfId="0" applyNumberFormat="1" applyFont="1" applyFill="1" applyBorder="1" applyAlignment="1">
      <alignment wrapText="1"/>
    </xf>
    <xf numFmtId="10" fontId="71" fillId="0" borderId="37" xfId="0" applyNumberFormat="1" applyFont="1" applyFill="1" applyBorder="1" applyAlignment="1">
      <alignment horizontal="center" vertical="center" wrapText="1"/>
    </xf>
    <xf numFmtId="0" fontId="0" fillId="60" borderId="36" xfId="0" applyFill="1" applyBorder="1" applyAlignment="1">
      <alignment horizontal="center"/>
    </xf>
    <xf numFmtId="0" fontId="0" fillId="60" borderId="37" xfId="0" applyFont="1" applyFill="1" applyBorder="1" applyAlignment="1"/>
    <xf numFmtId="0" fontId="0" fillId="60" borderId="37" xfId="0" applyFill="1" applyBorder="1"/>
    <xf numFmtId="0" fontId="0" fillId="60" borderId="36" xfId="0" applyFill="1" applyBorder="1"/>
    <xf numFmtId="0" fontId="36" fillId="0" borderId="0" xfId="0" applyFont="1" applyFill="1" applyBorder="1" applyAlignment="1">
      <alignment vertical="top" wrapText="1"/>
    </xf>
    <xf numFmtId="6" fontId="23" fillId="63" borderId="1" xfId="0" applyNumberFormat="1" applyFont="1" applyFill="1" applyBorder="1" applyAlignment="1">
      <alignment vertical="top" wrapText="1"/>
    </xf>
    <xf numFmtId="0" fontId="23" fillId="63" borderId="1" xfId="0" applyFont="1" applyFill="1" applyBorder="1" applyAlignment="1">
      <alignment vertical="top" wrapText="1"/>
    </xf>
    <xf numFmtId="0" fontId="24" fillId="29" borderId="1" xfId="0" applyFont="1" applyFill="1" applyBorder="1" applyAlignment="1">
      <alignment horizontal="left" vertical="top" wrapText="1"/>
    </xf>
    <xf numFmtId="0" fontId="32" fillId="29" borderId="1" xfId="0" applyFont="1" applyFill="1" applyBorder="1"/>
    <xf numFmtId="0" fontId="24" fillId="29" borderId="1" xfId="0" applyFont="1" applyFill="1" applyBorder="1" applyAlignment="1">
      <alignment wrapText="1"/>
    </xf>
    <xf numFmtId="43" fontId="45" fillId="29" borderId="1" xfId="0" applyNumberFormat="1" applyFont="1" applyFill="1" applyBorder="1" applyAlignment="1">
      <alignment wrapText="1"/>
    </xf>
    <xf numFmtId="0" fontId="36" fillId="2" borderId="1" xfId="0" applyFont="1" applyFill="1" applyBorder="1" applyAlignment="1">
      <alignment horizontal="left" vertical="top" wrapText="1"/>
    </xf>
    <xf numFmtId="10" fontId="45" fillId="63" borderId="0" xfId="0" applyNumberFormat="1" applyFont="1" applyFill="1" applyBorder="1"/>
    <xf numFmtId="10" fontId="70" fillId="63" borderId="0" xfId="0" applyNumberFormat="1" applyFont="1" applyFill="1" applyBorder="1" applyAlignment="1">
      <alignment horizontal="center"/>
    </xf>
    <xf numFmtId="0" fontId="0" fillId="63" borderId="0" xfId="0" applyFill="1" applyBorder="1"/>
    <xf numFmtId="10" fontId="70" fillId="63" borderId="0" xfId="0" applyNumberFormat="1" applyFont="1" applyFill="1" applyBorder="1"/>
    <xf numFmtId="0" fontId="19" fillId="5" borderId="1" xfId="0" applyFont="1" applyFill="1" applyBorder="1"/>
    <xf numFmtId="0" fontId="19" fillId="5" borderId="1" xfId="0" applyFont="1" applyFill="1" applyBorder="1" applyAlignment="1">
      <alignment horizontal="center"/>
    </xf>
    <xf numFmtId="0" fontId="19" fillId="5" borderId="32" xfId="0" applyFont="1" applyFill="1" applyBorder="1" applyAlignment="1">
      <alignment horizontal="center"/>
    </xf>
    <xf numFmtId="0" fontId="19" fillId="5" borderId="1" xfId="0" applyFont="1" applyFill="1" applyBorder="1" applyAlignment="1">
      <alignment horizontal="center" vertical="top"/>
    </xf>
    <xf numFmtId="0" fontId="19" fillId="5" borderId="32" xfId="0" applyFont="1" applyFill="1" applyBorder="1" applyAlignment="1">
      <alignment horizontal="center" vertical="top"/>
    </xf>
    <xf numFmtId="0" fontId="32" fillId="29" borderId="1" xfId="0" applyFont="1" applyFill="1" applyBorder="1" applyAlignment="1">
      <alignment horizontal="center" vertical="top"/>
    </xf>
    <xf numFmtId="0" fontId="19" fillId="2" borderId="31" xfId="0" applyFont="1" applyFill="1" applyBorder="1" applyAlignment="1">
      <alignment horizontal="center" vertical="top"/>
    </xf>
    <xf numFmtId="0" fontId="19" fillId="2" borderId="1" xfId="0" applyFont="1" applyFill="1" applyBorder="1" applyAlignment="1">
      <alignment horizontal="center" vertical="top"/>
    </xf>
    <xf numFmtId="0" fontId="23" fillId="8" borderId="1" xfId="0" applyFont="1" applyFill="1" applyBorder="1" applyAlignment="1">
      <alignment horizontal="center" vertical="top"/>
    </xf>
    <xf numFmtId="0" fontId="36" fillId="2" borderId="1" xfId="0" applyFont="1" applyFill="1" applyBorder="1" applyAlignment="1">
      <alignment horizontal="center" vertical="top"/>
    </xf>
    <xf numFmtId="0" fontId="23" fillId="2" borderId="1" xfId="0" applyFont="1" applyFill="1" applyBorder="1" applyAlignment="1">
      <alignment horizontal="center" vertical="top"/>
    </xf>
    <xf numFmtId="0" fontId="19" fillId="2" borderId="31" xfId="0" applyFont="1" applyFill="1" applyBorder="1" applyAlignment="1">
      <alignment horizontal="center" vertical="center"/>
    </xf>
    <xf numFmtId="0" fontId="19" fillId="2" borderId="1" xfId="0" applyFont="1" applyFill="1" applyBorder="1" applyAlignment="1">
      <alignment horizontal="center" vertical="center"/>
    </xf>
    <xf numFmtId="0" fontId="23" fillId="8" borderId="1" xfId="0" applyFont="1" applyFill="1" applyBorder="1" applyAlignment="1">
      <alignment horizontal="center" vertical="center"/>
    </xf>
    <xf numFmtId="0" fontId="36" fillId="2" borderId="1" xfId="0" applyFont="1" applyFill="1" applyBorder="1" applyAlignment="1">
      <alignment horizontal="center" vertical="center"/>
    </xf>
    <xf numFmtId="0" fontId="23" fillId="2" borderId="1" xfId="0" applyFont="1" applyFill="1" applyBorder="1" applyAlignment="1">
      <alignment horizontal="center" vertical="center"/>
    </xf>
    <xf numFmtId="0" fontId="23" fillId="10" borderId="1" xfId="0" applyFont="1" applyFill="1" applyBorder="1" applyAlignment="1">
      <alignment horizontal="center" vertical="top"/>
    </xf>
    <xf numFmtId="0" fontId="23" fillId="10" borderId="1" xfId="0" applyFont="1" applyFill="1" applyBorder="1" applyAlignment="1">
      <alignment horizontal="center" vertical="center"/>
    </xf>
    <xf numFmtId="4" fontId="18" fillId="5" borderId="1" xfId="0" applyNumberFormat="1" applyFont="1" applyFill="1" applyBorder="1"/>
    <xf numFmtId="4" fontId="23" fillId="2" borderId="1" xfId="0" applyNumberFormat="1" applyFont="1" applyFill="1" applyBorder="1"/>
    <xf numFmtId="4" fontId="23" fillId="8" borderId="1" xfId="0" applyNumberFormat="1" applyFont="1" applyFill="1" applyBorder="1"/>
    <xf numFmtId="187" fontId="23" fillId="10" borderId="1" xfId="0" applyNumberFormat="1" applyFont="1" applyFill="1" applyBorder="1"/>
    <xf numFmtId="187" fontId="23" fillId="10" borderId="1" xfId="0" applyNumberFormat="1" applyFont="1" applyFill="1" applyBorder="1" applyAlignment="1">
      <alignment horizontal="right" wrapText="1"/>
    </xf>
    <xf numFmtId="187" fontId="35" fillId="10" borderId="1" xfId="0" applyNumberFormat="1" applyFont="1" applyFill="1" applyBorder="1"/>
    <xf numFmtId="187" fontId="23" fillId="8" borderId="1" xfId="0" applyNumberFormat="1" applyFont="1" applyFill="1" applyBorder="1"/>
    <xf numFmtId="187" fontId="20" fillId="8" borderId="0" xfId="0" applyNumberFormat="1" applyFont="1" applyFill="1"/>
    <xf numFmtId="4" fontId="35" fillId="2" borderId="1" xfId="0" applyNumberFormat="1" applyFont="1" applyFill="1" applyBorder="1"/>
    <xf numFmtId="4" fontId="36" fillId="2" borderId="1" xfId="0" applyNumberFormat="1" applyFont="1" applyFill="1" applyBorder="1" applyAlignment="1">
      <alignment vertical="top" wrapText="1"/>
    </xf>
    <xf numFmtId="4" fontId="15" fillId="2" borderId="1" xfId="0" applyNumberFormat="1" applyFont="1" applyFill="1" applyBorder="1"/>
    <xf numFmtId="187" fontId="36" fillId="10" borderId="1" xfId="0" applyNumberFormat="1" applyFont="1" applyFill="1" applyBorder="1" applyAlignment="1">
      <alignment vertical="top" wrapText="1"/>
    </xf>
    <xf numFmtId="10" fontId="70" fillId="63" borderId="1" xfId="0" applyNumberFormat="1" applyFont="1" applyFill="1" applyBorder="1"/>
    <xf numFmtId="3" fontId="0" fillId="0" borderId="2" xfId="0" applyNumberFormat="1" applyFont="1" applyFill="1" applyBorder="1" applyAlignment="1">
      <alignment horizontal="center" vertical="center"/>
    </xf>
    <xf numFmtId="3" fontId="0" fillId="0" borderId="16" xfId="0" applyNumberFormat="1" applyFont="1" applyFill="1" applyBorder="1" applyAlignment="1">
      <alignment horizontal="center" vertical="center"/>
    </xf>
    <xf numFmtId="3" fontId="0" fillId="0" borderId="3" xfId="0" applyNumberFormat="1" applyFont="1" applyBorder="1" applyAlignment="1">
      <alignment horizontal="center" vertical="center"/>
    </xf>
    <xf numFmtId="3" fontId="0" fillId="0" borderId="1" xfId="0" applyNumberFormat="1" applyFont="1" applyBorder="1" applyAlignment="1">
      <alignment horizontal="center" vertical="center"/>
    </xf>
    <xf numFmtId="0" fontId="0" fillId="65" borderId="174" xfId="0" applyFill="1" applyBorder="1"/>
    <xf numFmtId="3" fontId="0" fillId="65" borderId="3" xfId="0" applyNumberFormat="1" applyFont="1" applyFill="1" applyBorder="1" applyAlignment="1">
      <alignment horizontal="center" vertical="center"/>
    </xf>
    <xf numFmtId="0" fontId="0" fillId="66" borderId="175" xfId="0" applyFill="1" applyBorder="1"/>
    <xf numFmtId="3" fontId="0" fillId="66" borderId="4" xfId="0" applyNumberFormat="1" applyFont="1" applyFill="1" applyBorder="1" applyAlignment="1">
      <alignment horizontal="center" vertical="center"/>
    </xf>
    <xf numFmtId="0" fontId="0" fillId="0" borderId="203" xfId="0" applyFont="1" applyFill="1" applyBorder="1"/>
    <xf numFmtId="3" fontId="0" fillId="0" borderId="177" xfId="0" applyNumberFormat="1" applyFont="1" applyFill="1" applyBorder="1" applyAlignment="1">
      <alignment horizontal="center" vertical="center"/>
    </xf>
    <xf numFmtId="3" fontId="0" fillId="0" borderId="32" xfId="0" applyNumberFormat="1" applyFont="1" applyBorder="1" applyAlignment="1">
      <alignment horizontal="center" vertical="center"/>
    </xf>
    <xf numFmtId="3" fontId="0" fillId="66" borderId="23" xfId="0" applyNumberFormat="1" applyFont="1" applyFill="1" applyBorder="1" applyAlignment="1">
      <alignment horizontal="center" vertical="center"/>
    </xf>
    <xf numFmtId="3" fontId="2" fillId="66" borderId="22" xfId="0" applyNumberFormat="1" applyFont="1" applyFill="1" applyBorder="1" applyAlignment="1">
      <alignment horizontal="center" vertical="center"/>
    </xf>
    <xf numFmtId="3" fontId="0" fillId="66" borderId="22" xfId="0" applyNumberFormat="1" applyFont="1" applyFill="1" applyBorder="1" applyAlignment="1">
      <alignment horizontal="center" vertical="center"/>
    </xf>
    <xf numFmtId="3" fontId="0" fillId="66" borderId="32" xfId="0" applyNumberFormat="1" applyFont="1" applyFill="1" applyBorder="1" applyAlignment="1">
      <alignment horizontal="center" vertical="center"/>
    </xf>
    <xf numFmtId="0" fontId="0" fillId="5" borderId="36" xfId="0" applyFont="1" applyFill="1" applyBorder="1"/>
    <xf numFmtId="0" fontId="0" fillId="5" borderId="37" xfId="0" applyFill="1" applyBorder="1"/>
    <xf numFmtId="4" fontId="0" fillId="5" borderId="37" xfId="0" applyNumberFormat="1" applyFill="1" applyBorder="1"/>
    <xf numFmtId="4" fontId="0" fillId="5" borderId="38" xfId="0" applyNumberFormat="1" applyFill="1" applyBorder="1"/>
    <xf numFmtId="0" fontId="23" fillId="21" borderId="1" xfId="0" applyFont="1" applyFill="1" applyBorder="1" applyAlignment="1">
      <alignment horizontal="center" vertical="top"/>
    </xf>
    <xf numFmtId="0" fontId="23" fillId="21" borderId="1" xfId="0" applyFont="1" applyFill="1" applyBorder="1" applyAlignment="1">
      <alignment horizontal="center" vertical="center"/>
    </xf>
    <xf numFmtId="4" fontId="23" fillId="21" borderId="1" xfId="0" applyNumberFormat="1" applyFont="1" applyFill="1" applyBorder="1"/>
    <xf numFmtId="4" fontId="18" fillId="2" borderId="1" xfId="0" applyNumberFormat="1" applyFont="1" applyFill="1" applyBorder="1" applyAlignment="1">
      <alignment wrapText="1"/>
    </xf>
    <xf numFmtId="4" fontId="35" fillId="8" borderId="1" xfId="0" applyNumberFormat="1" applyFont="1" applyFill="1" applyBorder="1"/>
    <xf numFmtId="4" fontId="18" fillId="2" borderId="1" xfId="0" applyNumberFormat="1" applyFont="1" applyFill="1" applyBorder="1"/>
    <xf numFmtId="4" fontId="35" fillId="21" borderId="1" xfId="0" applyNumberFormat="1" applyFont="1" applyFill="1" applyBorder="1"/>
    <xf numFmtId="2" fontId="35" fillId="2" borderId="1" xfId="0" applyNumberFormat="1" applyFont="1" applyFill="1" applyBorder="1" applyAlignment="1">
      <alignment horizontal="center" vertical="center" wrapText="1"/>
    </xf>
    <xf numFmtId="2" fontId="35" fillId="2" borderId="1" xfId="0" applyNumberFormat="1" applyFont="1" applyFill="1" applyBorder="1" applyAlignment="1">
      <alignment horizontal="center" vertical="center"/>
    </xf>
    <xf numFmtId="2" fontId="15" fillId="2" borderId="1" xfId="0" applyNumberFormat="1" applyFont="1" applyFill="1" applyBorder="1" applyAlignment="1">
      <alignment horizontal="center" vertical="center"/>
    </xf>
    <xf numFmtId="4" fontId="35" fillId="5" borderId="1" xfId="0" applyNumberFormat="1" applyFont="1" applyFill="1" applyBorder="1"/>
    <xf numFmtId="187" fontId="35" fillId="8" borderId="1" xfId="0" applyNumberFormat="1" applyFont="1" applyFill="1" applyBorder="1"/>
    <xf numFmtId="176" fontId="35" fillId="10" borderId="1" xfId="0" applyNumberFormat="1" applyFont="1" applyFill="1" applyBorder="1"/>
    <xf numFmtId="176" fontId="35" fillId="10" borderId="1" xfId="0" applyNumberFormat="1" applyFont="1" applyFill="1" applyBorder="1" applyAlignment="1">
      <alignment vertical="top" wrapText="1"/>
    </xf>
    <xf numFmtId="176" fontId="15" fillId="0" borderId="0" xfId="0" applyNumberFormat="1" applyFont="1" applyFill="1"/>
    <xf numFmtId="2" fontId="20" fillId="0" borderId="43" xfId="0" applyNumberFormat="1" applyFont="1" applyBorder="1"/>
    <xf numFmtId="10" fontId="18" fillId="8" borderId="1" xfId="0" applyNumberFormat="1" applyFont="1" applyFill="1" applyBorder="1" applyAlignment="1">
      <alignment vertical="top" wrapText="1"/>
    </xf>
    <xf numFmtId="10" fontId="18" fillId="10" borderId="1" xfId="0" applyNumberFormat="1" applyFont="1" applyFill="1" applyBorder="1" applyAlignment="1">
      <alignment vertical="top" wrapText="1"/>
    </xf>
    <xf numFmtId="10" fontId="71" fillId="8" borderId="1" xfId="0" applyNumberFormat="1" applyFont="1" applyFill="1" applyBorder="1" applyAlignment="1">
      <alignment vertical="top" wrapText="1"/>
    </xf>
    <xf numFmtId="10" fontId="18" fillId="26" borderId="1" xfId="0" applyNumberFormat="1" applyFont="1" applyFill="1" applyBorder="1" applyAlignment="1">
      <alignment vertical="top" wrapText="1"/>
    </xf>
    <xf numFmtId="10" fontId="71" fillId="10" borderId="1" xfId="0" applyNumberFormat="1" applyFont="1" applyFill="1" applyBorder="1" applyAlignment="1">
      <alignment vertical="top" wrapText="1"/>
    </xf>
    <xf numFmtId="0" fontId="23" fillId="0" borderId="0" xfId="0" applyFont="1" applyFill="1" applyBorder="1" applyAlignment="1">
      <alignment horizontal="center" vertical="top"/>
    </xf>
    <xf numFmtId="168" fontId="18" fillId="0" borderId="0" xfId="0" applyNumberFormat="1" applyFont="1" applyFill="1" applyBorder="1"/>
    <xf numFmtId="0" fontId="20" fillId="0" borderId="0" xfId="0" applyFont="1" applyFill="1" applyBorder="1" applyAlignment="1">
      <alignment vertical="center" wrapText="1"/>
    </xf>
    <xf numFmtId="0" fontId="34" fillId="0" borderId="0" xfId="0" applyFont="1" applyBorder="1" applyAlignment="1">
      <alignment vertical="top" wrapText="1"/>
    </xf>
    <xf numFmtId="10" fontId="18" fillId="2" borderId="1" xfId="0" applyNumberFormat="1" applyFont="1" applyFill="1" applyBorder="1"/>
    <xf numFmtId="10" fontId="18" fillId="26" borderId="1" xfId="0" applyNumberFormat="1" applyFont="1" applyFill="1" applyBorder="1"/>
    <xf numFmtId="10" fontId="70" fillId="26" borderId="1" xfId="0" applyNumberFormat="1" applyFont="1" applyFill="1" applyBorder="1"/>
    <xf numFmtId="176" fontId="23" fillId="8" borderId="1" xfId="0" applyNumberFormat="1" applyFont="1" applyFill="1" applyBorder="1"/>
    <xf numFmtId="187" fontId="0" fillId="10" borderId="1" xfId="0" applyNumberFormat="1" applyFill="1" applyBorder="1"/>
    <xf numFmtId="4" fontId="20" fillId="2" borderId="1" xfId="0" applyNumberFormat="1" applyFont="1" applyFill="1" applyBorder="1" applyAlignment="1">
      <alignment wrapText="1"/>
    </xf>
    <xf numFmtId="4" fontId="20" fillId="8" borderId="1" xfId="0" applyNumberFormat="1" applyFont="1" applyFill="1" applyBorder="1" applyAlignment="1">
      <alignment wrapText="1"/>
    </xf>
    <xf numFmtId="187" fontId="20" fillId="8" borderId="1" xfId="0" applyNumberFormat="1" applyFont="1" applyFill="1" applyBorder="1" applyAlignment="1">
      <alignment wrapText="1"/>
    </xf>
    <xf numFmtId="187" fontId="20" fillId="8" borderId="1" xfId="0" applyNumberFormat="1" applyFont="1" applyFill="1" applyBorder="1"/>
    <xf numFmtId="4" fontId="20" fillId="2" borderId="1" xfId="0" applyNumberFormat="1" applyFont="1" applyFill="1" applyBorder="1"/>
    <xf numFmtId="4" fontId="20" fillId="21" borderId="1" xfId="0" applyNumberFormat="1" applyFont="1" applyFill="1" applyBorder="1"/>
    <xf numFmtId="187" fontId="20" fillId="10" borderId="1" xfId="0" applyNumberFormat="1" applyFont="1" applyFill="1" applyBorder="1"/>
    <xf numFmtId="0" fontId="18" fillId="2" borderId="0" xfId="0" applyFont="1" applyFill="1" applyBorder="1" applyAlignment="1">
      <alignment wrapText="1"/>
    </xf>
    <xf numFmtId="0" fontId="18" fillId="2" borderId="0" xfId="0" applyFont="1" applyFill="1" applyBorder="1" applyAlignment="1">
      <alignment horizontal="left" vertical="top" wrapText="1"/>
    </xf>
    <xf numFmtId="0" fontId="18" fillId="0" borderId="0" xfId="0" applyFont="1" applyFill="1" applyBorder="1" applyAlignment="1">
      <alignment horizontal="left" vertical="top" wrapText="1"/>
    </xf>
    <xf numFmtId="0" fontId="18" fillId="2" borderId="0" xfId="0" applyFont="1" applyFill="1" applyBorder="1" applyAlignment="1">
      <alignment vertical="center" wrapText="1"/>
    </xf>
    <xf numFmtId="11" fontId="18" fillId="2" borderId="40" xfId="0" applyNumberFormat="1" applyFont="1" applyFill="1" applyBorder="1"/>
    <xf numFmtId="11" fontId="18" fillId="2" borderId="37" xfId="0" applyNumberFormat="1" applyFont="1" applyFill="1" applyBorder="1"/>
    <xf numFmtId="0" fontId="18" fillId="2" borderId="36" xfId="0" applyFont="1" applyFill="1" applyBorder="1" applyAlignment="1">
      <alignment wrapText="1"/>
    </xf>
    <xf numFmtId="0" fontId="18" fillId="2" borderId="33" xfId="0" applyFont="1" applyFill="1" applyBorder="1" applyAlignment="1">
      <alignment wrapText="1"/>
    </xf>
    <xf numFmtId="11" fontId="18" fillId="2" borderId="59" xfId="0" applyNumberFormat="1" applyFont="1" applyFill="1" applyBorder="1"/>
    <xf numFmtId="0" fontId="18" fillId="2" borderId="39" xfId="0" applyFont="1" applyFill="1" applyBorder="1" applyAlignment="1">
      <alignment wrapText="1"/>
    </xf>
    <xf numFmtId="3" fontId="40" fillId="2" borderId="54" xfId="0" applyNumberFormat="1" applyFont="1" applyFill="1" applyBorder="1" applyAlignment="1">
      <alignment horizontal="center" vertical="center"/>
    </xf>
    <xf numFmtId="3" fontId="35" fillId="0" borderId="54" xfId="0" applyNumberFormat="1" applyFont="1" applyFill="1" applyBorder="1" applyAlignment="1">
      <alignment horizontal="center" vertical="center"/>
    </xf>
    <xf numFmtId="0" fontId="18" fillId="0" borderId="54" xfId="0" applyFont="1" applyFill="1" applyBorder="1" applyAlignment="1">
      <alignment horizontal="center" vertical="center"/>
    </xf>
    <xf numFmtId="4" fontId="40" fillId="2" borderId="54" xfId="0" applyNumberFormat="1" applyFont="1" applyFill="1" applyBorder="1" applyAlignment="1">
      <alignment horizontal="center" vertical="center"/>
    </xf>
    <xf numFmtId="4" fontId="40" fillId="2" borderId="1" xfId="0" applyNumberFormat="1" applyFont="1" applyFill="1" applyBorder="1" applyAlignment="1">
      <alignment horizontal="center" vertical="center"/>
    </xf>
    <xf numFmtId="4" fontId="40" fillId="2" borderId="31" xfId="0" applyNumberFormat="1" applyFont="1" applyFill="1" applyBorder="1" applyAlignment="1">
      <alignment horizontal="center" vertical="center"/>
    </xf>
    <xf numFmtId="0" fontId="18" fillId="0" borderId="54" xfId="0" applyFont="1" applyBorder="1" applyAlignment="1">
      <alignment horizontal="center" vertical="center"/>
    </xf>
    <xf numFmtId="0" fontId="0" fillId="0" borderId="37" xfId="0" applyFill="1" applyBorder="1"/>
    <xf numFmtId="11" fontId="18" fillId="2" borderId="43" xfId="0" applyNumberFormat="1" applyFont="1" applyFill="1" applyBorder="1"/>
    <xf numFmtId="11" fontId="18" fillId="2" borderId="81" xfId="0" applyNumberFormat="1" applyFont="1" applyFill="1" applyBorder="1"/>
    <xf numFmtId="43" fontId="18" fillId="0" borderId="43" xfId="0" applyNumberFormat="1" applyFont="1" applyBorder="1"/>
    <xf numFmtId="43" fontId="18" fillId="0" borderId="81" xfId="0" applyNumberFormat="1" applyFont="1" applyBorder="1"/>
    <xf numFmtId="43" fontId="18" fillId="0" borderId="43" xfId="0" applyNumberFormat="1" applyFont="1" applyFill="1" applyBorder="1"/>
    <xf numFmtId="11" fontId="18" fillId="2" borderId="36" xfId="0" applyNumberFormat="1" applyFont="1" applyFill="1" applyBorder="1"/>
    <xf numFmtId="11" fontId="18" fillId="2" borderId="39" xfId="0" applyNumberFormat="1" applyFont="1" applyFill="1" applyBorder="1"/>
    <xf numFmtId="3" fontId="40" fillId="2" borderId="54" xfId="0" applyNumberFormat="1" applyFont="1" applyFill="1" applyBorder="1"/>
    <xf numFmtId="0" fontId="18" fillId="0" borderId="54" xfId="0" applyFont="1" applyBorder="1"/>
    <xf numFmtId="4" fontId="40" fillId="2" borderId="54" xfId="0" applyNumberFormat="1" applyFont="1" applyFill="1" applyBorder="1"/>
    <xf numFmtId="0" fontId="35" fillId="2" borderId="1" xfId="0" applyFont="1" applyFill="1" applyBorder="1" applyAlignment="1"/>
    <xf numFmtId="3" fontId="35" fillId="0" borderId="54" xfId="0" applyNumberFormat="1" applyFont="1" applyFill="1" applyBorder="1"/>
    <xf numFmtId="4" fontId="18" fillId="0" borderId="0" xfId="0" applyNumberFormat="1" applyFont="1" applyBorder="1" applyAlignment="1">
      <alignment horizontal="center" vertical="center"/>
    </xf>
    <xf numFmtId="11" fontId="18" fillId="2" borderId="0" xfId="0" applyNumberFormat="1" applyFont="1" applyFill="1" applyBorder="1" applyAlignment="1">
      <alignment horizontal="center" vertical="center"/>
    </xf>
    <xf numFmtId="0" fontId="34" fillId="0" borderId="0" xfId="0" applyFont="1" applyFill="1" applyBorder="1"/>
    <xf numFmtId="0" fontId="18" fillId="0" borderId="0" xfId="0" applyFont="1" applyFill="1" applyBorder="1" applyAlignment="1">
      <alignment horizontal="center" wrapText="1"/>
    </xf>
    <xf numFmtId="0" fontId="0" fillId="2" borderId="32" xfId="0" applyFill="1" applyBorder="1" applyAlignment="1">
      <alignment horizontal="center" vertical="center"/>
    </xf>
    <xf numFmtId="173" fontId="18" fillId="2" borderId="33" xfId="0" applyNumberFormat="1" applyFont="1" applyFill="1" applyBorder="1"/>
    <xf numFmtId="173" fontId="18" fillId="2" borderId="59" xfId="0" applyNumberFormat="1" applyFont="1" applyFill="1" applyBorder="1"/>
    <xf numFmtId="0" fontId="24" fillId="0" borderId="36" xfId="0" applyFont="1" applyFill="1" applyBorder="1" applyAlignment="1">
      <alignment horizontal="center" vertical="center" wrapText="1"/>
    </xf>
    <xf numFmtId="0" fontId="24" fillId="0" borderId="37" xfId="0" applyFont="1" applyFill="1" applyBorder="1" applyAlignment="1">
      <alignment horizontal="center" vertical="center" wrapText="1"/>
    </xf>
    <xf numFmtId="0" fontId="24" fillId="0" borderId="37" xfId="0" applyFont="1" applyBorder="1" applyAlignment="1">
      <alignment horizontal="center" vertical="center" wrapText="1"/>
    </xf>
    <xf numFmtId="0" fontId="24" fillId="0" borderId="38" xfId="0" applyFont="1" applyBorder="1" applyAlignment="1">
      <alignment horizontal="center" vertical="center" wrapText="1"/>
    </xf>
    <xf numFmtId="0" fontId="18" fillId="2" borderId="1" xfId="0" applyFont="1" applyFill="1" applyBorder="1" applyAlignment="1">
      <alignment wrapText="1"/>
    </xf>
    <xf numFmtId="0" fontId="18" fillId="2" borderId="36" xfId="0" applyFont="1" applyFill="1" applyBorder="1" applyAlignment="1">
      <alignment horizontal="center" vertical="center"/>
    </xf>
    <xf numFmtId="0" fontId="18" fillId="0" borderId="43" xfId="0" applyFont="1" applyFill="1" applyBorder="1" applyAlignment="1">
      <alignment wrapText="1"/>
    </xf>
    <xf numFmtId="2" fontId="18" fillId="0" borderId="0" xfId="0" applyNumberFormat="1" applyFont="1" applyBorder="1" applyAlignment="1">
      <alignment horizontal="center" vertical="center"/>
    </xf>
    <xf numFmtId="0" fontId="18" fillId="0" borderId="81" xfId="0" applyFont="1" applyBorder="1" applyAlignment="1">
      <alignment horizontal="center" vertical="center"/>
    </xf>
    <xf numFmtId="11" fontId="18" fillId="2" borderId="43" xfId="0" applyNumberFormat="1" applyFont="1" applyFill="1" applyBorder="1" applyAlignment="1">
      <alignment horizontal="center" vertical="center"/>
    </xf>
    <xf numFmtId="11" fontId="18" fillId="2" borderId="81" xfId="0" applyNumberFormat="1" applyFont="1" applyFill="1" applyBorder="1" applyAlignment="1">
      <alignment horizontal="center" vertical="center"/>
    </xf>
    <xf numFmtId="43" fontId="18" fillId="0" borderId="43" xfId="0" applyNumberFormat="1" applyFont="1" applyFill="1" applyBorder="1" applyAlignment="1">
      <alignment horizontal="center" vertical="center"/>
    </xf>
    <xf numFmtId="11" fontId="18" fillId="2" borderId="36" xfId="0" applyNumberFormat="1" applyFont="1" applyFill="1" applyBorder="1" applyAlignment="1">
      <alignment horizontal="center" vertical="center"/>
    </xf>
    <xf numFmtId="11" fontId="18" fillId="2" borderId="37" xfId="0" applyNumberFormat="1" applyFont="1" applyFill="1" applyBorder="1" applyAlignment="1">
      <alignment horizontal="center" vertical="center"/>
    </xf>
    <xf numFmtId="4" fontId="18" fillId="0" borderId="43" xfId="0" applyNumberFormat="1" applyFont="1" applyBorder="1" applyAlignment="1">
      <alignment horizontal="center" vertical="center"/>
    </xf>
    <xf numFmtId="10" fontId="34" fillId="0" borderId="0" xfId="0" applyNumberFormat="1" applyFont="1" applyBorder="1" applyAlignment="1">
      <alignment horizontal="center" vertical="center"/>
    </xf>
    <xf numFmtId="10" fontId="34" fillId="2" borderId="0" xfId="0" applyNumberFormat="1" applyFont="1" applyFill="1" applyBorder="1" applyAlignment="1">
      <alignment horizontal="center" vertical="center"/>
    </xf>
    <xf numFmtId="10" fontId="34" fillId="2" borderId="37" xfId="0" applyNumberFormat="1" applyFont="1" applyFill="1" applyBorder="1" applyAlignment="1">
      <alignment horizontal="center" vertical="center"/>
    </xf>
    <xf numFmtId="10" fontId="34" fillId="2" borderId="59" xfId="0" applyNumberFormat="1" applyFont="1" applyFill="1" applyBorder="1" applyAlignment="1">
      <alignment horizontal="center" vertical="center"/>
    </xf>
    <xf numFmtId="0" fontId="30" fillId="0" borderId="0" xfId="0" applyFont="1"/>
    <xf numFmtId="0" fontId="34" fillId="0" borderId="37" xfId="0" applyFont="1" applyBorder="1" applyAlignment="1">
      <alignment wrapText="1"/>
    </xf>
    <xf numFmtId="0" fontId="34" fillId="0" borderId="38" xfId="0" applyFont="1" applyBorder="1" applyAlignment="1">
      <alignment wrapText="1"/>
    </xf>
    <xf numFmtId="4" fontId="18" fillId="0" borderId="59" xfId="0" applyNumberFormat="1" applyFont="1" applyBorder="1"/>
    <xf numFmtId="4" fontId="18" fillId="0" borderId="42" xfId="0" applyNumberFormat="1" applyFont="1" applyBorder="1"/>
    <xf numFmtId="4" fontId="18" fillId="0" borderId="81" xfId="0" applyNumberFormat="1" applyFont="1" applyBorder="1"/>
    <xf numFmtId="4" fontId="18" fillId="5" borderId="59" xfId="0" applyNumberFormat="1" applyFont="1" applyFill="1" applyBorder="1"/>
    <xf numFmtId="4" fontId="18" fillId="5" borderId="0" xfId="0" applyNumberFormat="1" applyFont="1" applyFill="1" applyBorder="1"/>
    <xf numFmtId="4" fontId="18" fillId="53" borderId="59" xfId="0" applyNumberFormat="1" applyFont="1" applyFill="1" applyBorder="1"/>
    <xf numFmtId="4" fontId="18" fillId="53" borderId="0" xfId="0" applyNumberFormat="1" applyFont="1" applyFill="1" applyBorder="1"/>
    <xf numFmtId="0" fontId="34" fillId="16" borderId="37" xfId="0" applyFont="1" applyFill="1" applyBorder="1" applyAlignment="1">
      <alignment horizontal="center" wrapText="1"/>
    </xf>
    <xf numFmtId="4" fontId="18" fillId="16" borderId="59" xfId="0" applyNumberFormat="1" applyFont="1" applyFill="1" applyBorder="1"/>
    <xf numFmtId="4" fontId="18" fillId="16" borderId="0" xfId="0" applyNumberFormat="1" applyFont="1" applyFill="1" applyBorder="1"/>
    <xf numFmtId="0" fontId="0" fillId="16" borderId="40" xfId="0" applyFill="1" applyBorder="1"/>
    <xf numFmtId="0" fontId="34" fillId="2" borderId="37" xfId="0" applyFont="1" applyFill="1" applyBorder="1" applyAlignment="1">
      <alignment wrapText="1"/>
    </xf>
    <xf numFmtId="4" fontId="18" fillId="2" borderId="59" xfId="0" applyNumberFormat="1" applyFont="1" applyFill="1" applyBorder="1"/>
    <xf numFmtId="4" fontId="18" fillId="2" borderId="0" xfId="0" applyNumberFormat="1" applyFont="1" applyFill="1" applyBorder="1"/>
    <xf numFmtId="0" fontId="34" fillId="49" borderId="37" xfId="0" applyFont="1" applyFill="1" applyBorder="1" applyAlignment="1">
      <alignment wrapText="1"/>
    </xf>
    <xf numFmtId="4" fontId="18" fillId="49" borderId="59" xfId="0" applyNumberFormat="1" applyFont="1" applyFill="1" applyBorder="1"/>
    <xf numFmtId="4" fontId="18" fillId="49" borderId="0" xfId="0" applyNumberFormat="1" applyFont="1" applyFill="1" applyBorder="1"/>
    <xf numFmtId="0" fontId="0" fillId="49" borderId="40" xfId="0" applyFill="1" applyBorder="1"/>
    <xf numFmtId="0" fontId="34" fillId="10" borderId="37" xfId="0" applyFont="1" applyFill="1" applyBorder="1" applyAlignment="1">
      <alignment wrapText="1"/>
    </xf>
    <xf numFmtId="4" fontId="18" fillId="10" borderId="59" xfId="0" applyNumberFormat="1" applyFont="1" applyFill="1" applyBorder="1"/>
    <xf numFmtId="0" fontId="0" fillId="10" borderId="40" xfId="0" applyFill="1" applyBorder="1"/>
    <xf numFmtId="0" fontId="34" fillId="5" borderId="37" xfId="0" applyFont="1" applyFill="1" applyBorder="1" applyAlignment="1">
      <alignment wrapText="1"/>
    </xf>
    <xf numFmtId="0" fontId="2" fillId="2" borderId="40" xfId="0" applyFont="1" applyFill="1" applyBorder="1"/>
    <xf numFmtId="0" fontId="2" fillId="5" borderId="40" xfId="0" applyFont="1" applyFill="1" applyBorder="1"/>
    <xf numFmtId="4" fontId="34" fillId="10" borderId="0" xfId="0" applyNumberFormat="1" applyFont="1" applyFill="1" applyBorder="1"/>
    <xf numFmtId="0" fontId="2" fillId="10" borderId="40" xfId="0" applyFont="1" applyFill="1" applyBorder="1"/>
    <xf numFmtId="0" fontId="34" fillId="0" borderId="59" xfId="0" applyFont="1" applyBorder="1" applyAlignment="1">
      <alignment wrapText="1"/>
    </xf>
    <xf numFmtId="10" fontId="18" fillId="0" borderId="59" xfId="0" applyNumberFormat="1" applyFont="1" applyBorder="1"/>
    <xf numFmtId="10" fontId="18" fillId="16" borderId="0" xfId="0" applyNumberFormat="1" applyFont="1" applyFill="1" applyBorder="1"/>
    <xf numFmtId="10" fontId="18" fillId="49" borderId="0" xfId="0" applyNumberFormat="1" applyFont="1" applyFill="1" applyBorder="1"/>
    <xf numFmtId="10" fontId="34" fillId="2" borderId="0" xfId="0" applyNumberFormat="1" applyFont="1" applyFill="1" applyBorder="1"/>
    <xf numFmtId="10" fontId="34" fillId="5" borderId="0" xfId="0" applyNumberFormat="1" applyFont="1" applyFill="1" applyBorder="1"/>
    <xf numFmtId="10" fontId="18" fillId="2" borderId="0" xfId="0" applyNumberFormat="1" applyFont="1" applyFill="1" applyBorder="1"/>
    <xf numFmtId="10" fontId="18" fillId="5" borderId="0" xfId="0" applyNumberFormat="1" applyFont="1" applyFill="1" applyBorder="1"/>
    <xf numFmtId="10" fontId="18" fillId="10" borderId="0" xfId="0" applyNumberFormat="1" applyFont="1" applyFill="1" applyBorder="1"/>
    <xf numFmtId="4" fontId="18" fillId="53" borderId="81" xfId="0" applyNumberFormat="1" applyFont="1" applyFill="1" applyBorder="1"/>
    <xf numFmtId="10" fontId="34" fillId="16" borderId="0" xfId="0" applyNumberFormat="1" applyFont="1" applyFill="1" applyBorder="1"/>
    <xf numFmtId="10" fontId="34" fillId="49" borderId="0" xfId="0" applyNumberFormat="1" applyFont="1" applyFill="1" applyBorder="1"/>
    <xf numFmtId="0" fontId="24" fillId="0" borderId="1" xfId="0" applyFont="1" applyBorder="1" applyAlignment="1">
      <alignment wrapText="1"/>
    </xf>
    <xf numFmtId="0" fontId="34" fillId="0" borderId="1" xfId="0" applyFont="1" applyBorder="1" applyAlignment="1">
      <alignment wrapText="1"/>
    </xf>
    <xf numFmtId="0" fontId="34" fillId="0" borderId="1" xfId="0" applyFont="1" applyBorder="1"/>
    <xf numFmtId="0" fontId="34" fillId="16" borderId="59" xfId="0" applyFont="1" applyFill="1" applyBorder="1" applyAlignment="1">
      <alignment horizontal="center" wrapText="1"/>
    </xf>
    <xf numFmtId="0" fontId="34" fillId="49" borderId="59" xfId="0" applyFont="1" applyFill="1" applyBorder="1" applyAlignment="1">
      <alignment wrapText="1"/>
    </xf>
    <xf numFmtId="0" fontId="34" fillId="2" borderId="59" xfId="0" applyFont="1" applyFill="1" applyBorder="1" applyAlignment="1">
      <alignment wrapText="1"/>
    </xf>
    <xf numFmtId="0" fontId="34" fillId="5" borderId="59" xfId="0" applyFont="1" applyFill="1" applyBorder="1" applyAlignment="1">
      <alignment wrapText="1"/>
    </xf>
    <xf numFmtId="0" fontId="34" fillId="10" borderId="59" xfId="0" applyFont="1" applyFill="1" applyBorder="1" applyAlignment="1">
      <alignment wrapText="1"/>
    </xf>
    <xf numFmtId="4" fontId="18" fillId="0" borderId="33" xfId="0" applyNumberFormat="1" applyFont="1" applyBorder="1"/>
    <xf numFmtId="10" fontId="18" fillId="0" borderId="39" xfId="0" applyNumberFormat="1" applyFont="1" applyBorder="1"/>
    <xf numFmtId="0" fontId="2" fillId="10" borderId="27" xfId="0" applyFont="1" applyFill="1" applyBorder="1"/>
    <xf numFmtId="0" fontId="2" fillId="10" borderId="5" xfId="0" applyFont="1" applyFill="1" applyBorder="1"/>
    <xf numFmtId="0" fontId="2" fillId="10" borderId="6" xfId="0" applyFont="1" applyFill="1" applyBorder="1"/>
    <xf numFmtId="0" fontId="2" fillId="10" borderId="5" xfId="0" applyFont="1" applyFill="1" applyBorder="1" applyAlignment="1"/>
    <xf numFmtId="0" fontId="2" fillId="10" borderId="6" xfId="0" applyFont="1" applyFill="1" applyBorder="1" applyAlignment="1"/>
    <xf numFmtId="0" fontId="2" fillId="10" borderId="28" xfId="0" applyFont="1" applyFill="1" applyBorder="1"/>
    <xf numFmtId="0" fontId="2" fillId="10" borderId="7" xfId="0" applyFont="1" applyFill="1" applyBorder="1"/>
    <xf numFmtId="0" fontId="2" fillId="10" borderId="8" xfId="0" applyFont="1" applyFill="1" applyBorder="1"/>
    <xf numFmtId="10" fontId="18" fillId="10" borderId="39" xfId="0" applyNumberFormat="1" applyFont="1" applyFill="1" applyBorder="1"/>
    <xf numFmtId="4" fontId="18" fillId="53" borderId="42" xfId="0" applyNumberFormat="1" applyFont="1" applyFill="1" applyBorder="1"/>
    <xf numFmtId="0" fontId="50" fillId="12" borderId="1" xfId="0" applyFont="1" applyFill="1" applyBorder="1" applyAlignment="1">
      <alignment vertical="center"/>
    </xf>
    <xf numFmtId="0" fontId="24" fillId="0" borderId="1" xfId="0" applyFont="1" applyBorder="1" applyAlignment="1">
      <alignment horizontal="center"/>
    </xf>
    <xf numFmtId="0" fontId="24" fillId="0" borderId="1" xfId="0" applyFont="1" applyBorder="1"/>
    <xf numFmtId="0" fontId="147" fillId="0" borderId="1" xfId="0" applyFont="1" applyBorder="1" applyAlignment="1">
      <alignment wrapText="1"/>
    </xf>
    <xf numFmtId="4" fontId="18" fillId="8" borderId="59" xfId="0" applyNumberFormat="1" applyFont="1" applyFill="1" applyBorder="1"/>
    <xf numFmtId="4" fontId="34" fillId="53" borderId="0" xfId="0" applyNumberFormat="1" applyFont="1" applyFill="1" applyBorder="1"/>
    <xf numFmtId="0" fontId="0" fillId="53" borderId="0" xfId="0" applyFill="1"/>
    <xf numFmtId="4" fontId="18" fillId="0" borderId="0" xfId="0" applyNumberFormat="1" applyFont="1"/>
    <xf numFmtId="4" fontId="34" fillId="10" borderId="59" xfId="0" applyNumberFormat="1" applyFont="1" applyFill="1" applyBorder="1"/>
    <xf numFmtId="10" fontId="34" fillId="10" borderId="39" xfId="0" applyNumberFormat="1" applyFont="1" applyFill="1" applyBorder="1"/>
    <xf numFmtId="10" fontId="34" fillId="53" borderId="0" xfId="0" applyNumberFormat="1" applyFont="1" applyFill="1" applyBorder="1"/>
    <xf numFmtId="10" fontId="18" fillId="53" borderId="0" xfId="0" applyNumberFormat="1" applyFont="1" applyFill="1" applyBorder="1"/>
    <xf numFmtId="0" fontId="34" fillId="0" borderId="0" xfId="0" applyFont="1"/>
    <xf numFmtId="0" fontId="34" fillId="0" borderId="1" xfId="0" applyFont="1" applyBorder="1" applyAlignment="1">
      <alignment horizontal="left" vertical="top" wrapText="1"/>
    </xf>
    <xf numFmtId="43" fontId="15" fillId="0" borderId="8" xfId="1" applyFont="1" applyFill="1" applyBorder="1"/>
    <xf numFmtId="43" fontId="18" fillId="12" borderId="3" xfId="0" applyNumberFormat="1" applyFont="1" applyFill="1" applyBorder="1"/>
    <xf numFmtId="4" fontId="18" fillId="12" borderId="3" xfId="0" applyNumberFormat="1" applyFont="1" applyFill="1" applyBorder="1"/>
    <xf numFmtId="4" fontId="18" fillId="12" borderId="17" xfId="0" applyNumberFormat="1" applyFont="1" applyFill="1" applyBorder="1"/>
    <xf numFmtId="4" fontId="18" fillId="12" borderId="1" xfId="0" applyNumberFormat="1" applyFont="1" applyFill="1" applyBorder="1"/>
    <xf numFmtId="43" fontId="18" fillId="12" borderId="1" xfId="0" applyNumberFormat="1" applyFont="1" applyFill="1" applyBorder="1"/>
    <xf numFmtId="0" fontId="148" fillId="15" borderId="16" xfId="0" applyFont="1" applyFill="1" applyBorder="1"/>
    <xf numFmtId="0" fontId="148" fillId="15" borderId="26" xfId="0" applyFont="1" applyFill="1" applyBorder="1"/>
    <xf numFmtId="0" fontId="148" fillId="15" borderId="25" xfId="0" applyFont="1" applyFill="1" applyBorder="1"/>
    <xf numFmtId="10" fontId="148" fillId="15" borderId="24" xfId="0" applyNumberFormat="1" applyFont="1" applyFill="1" applyBorder="1"/>
    <xf numFmtId="0" fontId="149" fillId="38" borderId="8" xfId="0" applyFont="1" applyFill="1" applyBorder="1" applyAlignment="1">
      <alignment horizontal="center" vertical="center"/>
    </xf>
    <xf numFmtId="4" fontId="131" fillId="0" borderId="0" xfId="0" applyNumberFormat="1" applyFont="1" applyFill="1" applyBorder="1" applyAlignment="1">
      <alignment horizontal="center" wrapText="1"/>
    </xf>
    <xf numFmtId="0" fontId="149" fillId="38" borderId="0" xfId="0" applyFont="1" applyFill="1" applyBorder="1" applyAlignment="1">
      <alignment horizontal="center" vertical="center" wrapText="1"/>
    </xf>
    <xf numFmtId="0" fontId="149" fillId="38" borderId="7" xfId="0" applyFont="1" applyFill="1" applyBorder="1" applyAlignment="1">
      <alignment horizontal="center" vertical="center" wrapText="1"/>
    </xf>
    <xf numFmtId="0" fontId="149" fillId="38" borderId="7" xfId="0" applyFont="1" applyFill="1" applyBorder="1" applyAlignment="1">
      <alignment horizontal="center" vertical="center"/>
    </xf>
    <xf numFmtId="0" fontId="131" fillId="0" borderId="7" xfId="0" applyFont="1" applyBorder="1" applyAlignment="1">
      <alignment vertical="center" wrapText="1"/>
    </xf>
    <xf numFmtId="0" fontId="98" fillId="0" borderId="8" xfId="0" applyFont="1" applyBorder="1" applyAlignment="1">
      <alignment vertical="center"/>
    </xf>
    <xf numFmtId="0" fontId="131" fillId="0" borderId="9" xfId="0" applyFont="1" applyBorder="1" applyAlignment="1">
      <alignment vertical="center" wrapText="1"/>
    </xf>
    <xf numFmtId="0" fontId="24" fillId="0" borderId="30" xfId="0" applyFont="1" applyFill="1" applyBorder="1" applyAlignment="1">
      <alignment horizontal="left" vertical="top" wrapText="1"/>
    </xf>
    <xf numFmtId="0" fontId="18" fillId="58" borderId="17" xfId="0" applyFont="1" applyFill="1" applyBorder="1"/>
    <xf numFmtId="10" fontId="148" fillId="15" borderId="25" xfId="0" applyNumberFormat="1" applyFont="1" applyFill="1" applyBorder="1"/>
    <xf numFmtId="0" fontId="19" fillId="0" borderId="11" xfId="0" applyFont="1" applyFill="1" applyBorder="1" applyAlignment="1">
      <alignment wrapText="1"/>
    </xf>
    <xf numFmtId="0" fontId="19" fillId="0" borderId="40" xfId="0" applyFont="1" applyFill="1" applyBorder="1" applyAlignment="1">
      <alignment wrapText="1"/>
    </xf>
    <xf numFmtId="0" fontId="0" fillId="24" borderId="27" xfId="0" applyFill="1" applyBorder="1"/>
    <xf numFmtId="43" fontId="18" fillId="0" borderId="31" xfId="1" applyFont="1" applyBorder="1"/>
    <xf numFmtId="43" fontId="18" fillId="0" borderId="31" xfId="1" applyFont="1" applyFill="1" applyBorder="1"/>
    <xf numFmtId="43" fontId="18" fillId="0" borderId="35" xfId="1" applyFont="1" applyFill="1" applyBorder="1"/>
    <xf numFmtId="4" fontId="18" fillId="0" borderId="32" xfId="0" applyNumberFormat="1" applyFont="1" applyBorder="1"/>
    <xf numFmtId="43" fontId="18" fillId="0" borderId="32" xfId="1" applyFont="1" applyFill="1" applyBorder="1"/>
    <xf numFmtId="43" fontId="18" fillId="0" borderId="42" xfId="1" applyFont="1" applyBorder="1"/>
    <xf numFmtId="4" fontId="18" fillId="0" borderId="1" xfId="0" applyNumberFormat="1" applyFont="1" applyBorder="1"/>
    <xf numFmtId="0" fontId="18" fillId="0" borderId="32" xfId="0" applyFont="1" applyFill="1" applyBorder="1" applyAlignment="1">
      <alignment wrapText="1"/>
    </xf>
    <xf numFmtId="0" fontId="18" fillId="0" borderId="32" xfId="0" applyFont="1" applyFill="1" applyBorder="1"/>
    <xf numFmtId="0" fontId="18" fillId="0" borderId="31" xfId="0" applyFont="1" applyFill="1" applyBorder="1" applyAlignment="1">
      <alignment wrapText="1"/>
    </xf>
    <xf numFmtId="0" fontId="18" fillId="0" borderId="31" xfId="0" applyFont="1" applyFill="1" applyBorder="1"/>
    <xf numFmtId="4" fontId="18" fillId="66" borderId="1" xfId="1" applyNumberFormat="1" applyFont="1" applyFill="1" applyBorder="1"/>
    <xf numFmtId="0" fontId="18" fillId="66" borderId="1" xfId="0" applyFont="1" applyFill="1" applyBorder="1"/>
    <xf numFmtId="0" fontId="0" fillId="66" borderId="1" xfId="0" applyFill="1" applyBorder="1"/>
    <xf numFmtId="3" fontId="54" fillId="0" borderId="0" xfId="0" applyNumberFormat="1" applyFont="1"/>
    <xf numFmtId="3" fontId="25" fillId="0" borderId="0" xfId="0" applyNumberFormat="1" applyFont="1" applyAlignment="1">
      <alignment horizontal="right" vertical="center"/>
    </xf>
    <xf numFmtId="3" fontId="55" fillId="0" borderId="29" xfId="0" applyNumberFormat="1" applyFont="1" applyBorder="1" applyAlignment="1">
      <alignment horizontal="right" vertical="center"/>
    </xf>
    <xf numFmtId="4" fontId="55" fillId="0" borderId="10" xfId="0" applyNumberFormat="1" applyFont="1" applyBorder="1" applyAlignment="1">
      <alignment horizontal="center" vertical="center"/>
    </xf>
    <xf numFmtId="0" fontId="45" fillId="16" borderId="18" xfId="0" applyFont="1" applyFill="1" applyBorder="1" applyAlignment="1">
      <alignment wrapText="1"/>
    </xf>
    <xf numFmtId="0" fontId="45" fillId="16" borderId="19" xfId="0" applyFont="1" applyFill="1" applyBorder="1"/>
    <xf numFmtId="10" fontId="45" fillId="16" borderId="1" xfId="1" applyNumberFormat="1" applyFont="1" applyFill="1" applyBorder="1"/>
    <xf numFmtId="10" fontId="45" fillId="16" borderId="1" xfId="0" applyNumberFormat="1" applyFont="1" applyFill="1" applyBorder="1"/>
    <xf numFmtId="11" fontId="0" fillId="0" borderId="0" xfId="0" applyNumberFormat="1" applyBorder="1" applyAlignment="1"/>
    <xf numFmtId="0" fontId="24" fillId="0" borderId="1" xfId="0" applyFont="1" applyFill="1" applyBorder="1" applyAlignment="1">
      <alignment horizontal="center" vertical="center" wrapText="1"/>
    </xf>
    <xf numFmtId="10" fontId="0" fillId="0" borderId="0" xfId="0" applyNumberFormat="1" applyBorder="1" applyAlignment="1"/>
    <xf numFmtId="0" fontId="0" fillId="0" borderId="42" xfId="0" applyBorder="1" applyAlignment="1"/>
    <xf numFmtId="0" fontId="18" fillId="2" borderId="39" xfId="0" applyNumberFormat="1" applyFont="1" applyFill="1" applyBorder="1" applyAlignment="1">
      <alignment horizontal="center" vertical="center"/>
    </xf>
    <xf numFmtId="0" fontId="18" fillId="2" borderId="40" xfId="0" applyNumberFormat="1" applyFont="1" applyFill="1" applyBorder="1" applyAlignment="1">
      <alignment horizontal="center" vertical="center"/>
    </xf>
    <xf numFmtId="0" fontId="0" fillId="0" borderId="41" xfId="0" applyBorder="1" applyAlignment="1"/>
    <xf numFmtId="4" fontId="18" fillId="0" borderId="36" xfId="0" applyNumberFormat="1" applyFont="1" applyBorder="1" applyAlignment="1"/>
    <xf numFmtId="4" fontId="18" fillId="0" borderId="37" xfId="0" applyNumberFormat="1" applyFont="1" applyBorder="1" applyAlignment="1"/>
    <xf numFmtId="10" fontId="0" fillId="0" borderId="38" xfId="0" applyNumberFormat="1" applyBorder="1" applyAlignment="1"/>
    <xf numFmtId="0" fontId="24" fillId="0" borderId="1" xfId="0" applyFont="1" applyFill="1" applyBorder="1"/>
    <xf numFmtId="4" fontId="34" fillId="53" borderId="59" xfId="0" applyNumberFormat="1" applyFont="1" applyFill="1" applyBorder="1"/>
    <xf numFmtId="4" fontId="34" fillId="58" borderId="0" xfId="0" applyNumberFormat="1" applyFont="1" applyFill="1" applyBorder="1"/>
    <xf numFmtId="10" fontId="34" fillId="52" borderId="0" xfId="0" applyNumberFormat="1" applyFont="1" applyFill="1" applyBorder="1"/>
    <xf numFmtId="0" fontId="18" fillId="0" borderId="1" xfId="0" applyFont="1" applyFill="1" applyBorder="1" applyAlignment="1">
      <alignment horizontal="center" wrapText="1"/>
    </xf>
    <xf numFmtId="169" fontId="18" fillId="0" borderId="1" xfId="1" applyNumberFormat="1" applyFont="1" applyFill="1" applyBorder="1"/>
    <xf numFmtId="0" fontId="60" fillId="0" borderId="0" xfId="0" applyFont="1" applyFill="1"/>
    <xf numFmtId="0" fontId="19" fillId="0" borderId="1" xfId="0" applyFont="1" applyFill="1" applyBorder="1" applyAlignment="1">
      <alignment wrapText="1"/>
    </xf>
    <xf numFmtId="0" fontId="58" fillId="0" borderId="1" xfId="0" applyFont="1" applyFill="1" applyBorder="1"/>
    <xf numFmtId="2" fontId="63" fillId="0" borderId="1" xfId="0" applyNumberFormat="1" applyFont="1" applyFill="1" applyBorder="1" applyAlignment="1">
      <alignment horizontal="left" vertical="top"/>
    </xf>
    <xf numFmtId="184" fontId="63" fillId="0" borderId="1" xfId="0" applyNumberFormat="1" applyFont="1" applyFill="1" applyBorder="1" applyAlignment="1">
      <alignment horizontal="center" vertical="top" wrapText="1"/>
    </xf>
    <xf numFmtId="0" fontId="28" fillId="0" borderId="1" xfId="0" applyFont="1" applyFill="1" applyBorder="1" applyAlignment="1">
      <alignment wrapText="1"/>
    </xf>
    <xf numFmtId="0" fontId="33" fillId="0" borderId="1" xfId="0" applyFont="1" applyFill="1" applyBorder="1"/>
    <xf numFmtId="0" fontId="24" fillId="0" borderId="1" xfId="0" applyFont="1" applyFill="1" applyBorder="1" applyAlignment="1">
      <alignment horizontal="center" wrapText="1"/>
    </xf>
    <xf numFmtId="10" fontId="15" fillId="0" borderId="1" xfId="0" applyNumberFormat="1" applyFont="1" applyFill="1" applyBorder="1"/>
    <xf numFmtId="10" fontId="34" fillId="5" borderId="1" xfId="0" applyNumberFormat="1" applyFont="1" applyFill="1" applyBorder="1"/>
    <xf numFmtId="4" fontId="150" fillId="0" borderId="43" xfId="0" applyNumberFormat="1" applyFont="1" applyBorder="1"/>
    <xf numFmtId="4" fontId="150" fillId="0" borderId="0" xfId="0" applyNumberFormat="1" applyFont="1" applyBorder="1"/>
    <xf numFmtId="10" fontId="151" fillId="63" borderId="0" xfId="0" applyNumberFormat="1" applyFont="1" applyFill="1" applyBorder="1"/>
    <xf numFmtId="4" fontId="152" fillId="0" borderId="0" xfId="0" applyNumberFormat="1" applyFont="1" applyFill="1" applyBorder="1"/>
    <xf numFmtId="4" fontId="152" fillId="0" borderId="0" xfId="0" applyNumberFormat="1" applyFont="1" applyFill="1" applyBorder="1" applyAlignment="1">
      <alignment wrapText="1"/>
    </xf>
    <xf numFmtId="4" fontId="152" fillId="0" borderId="81" xfId="0" applyNumberFormat="1" applyFont="1" applyFill="1" applyBorder="1"/>
    <xf numFmtId="4" fontId="150" fillId="0" borderId="0" xfId="0" applyNumberFormat="1" applyFont="1" applyFill="1" applyBorder="1"/>
    <xf numFmtId="10" fontId="153" fillId="63" borderId="0" xfId="0" applyNumberFormat="1" applyFont="1" applyFill="1" applyBorder="1" applyAlignment="1">
      <alignment horizontal="center"/>
    </xf>
    <xf numFmtId="4" fontId="150" fillId="0" borderId="81" xfId="0" applyNumberFormat="1" applyFont="1" applyFill="1" applyBorder="1"/>
    <xf numFmtId="4" fontId="152" fillId="0" borderId="43" xfId="0" applyNumberFormat="1" applyFont="1" applyBorder="1"/>
    <xf numFmtId="4" fontId="152" fillId="0" borderId="0" xfId="0" applyNumberFormat="1" applyFont="1" applyBorder="1"/>
    <xf numFmtId="4" fontId="150" fillId="0" borderId="43" xfId="0" applyNumberFormat="1" applyFont="1" applyFill="1" applyBorder="1"/>
    <xf numFmtId="10" fontId="153" fillId="63" borderId="0" xfId="0" applyNumberFormat="1" applyFont="1" applyFill="1" applyBorder="1"/>
    <xf numFmtId="2" fontId="150" fillId="0" borderId="0" xfId="0" applyNumberFormat="1" applyFont="1" applyBorder="1"/>
    <xf numFmtId="2" fontId="150" fillId="0" borderId="81" xfId="0" applyNumberFormat="1" applyFont="1" applyBorder="1"/>
    <xf numFmtId="0" fontId="152" fillId="0" borderId="1" xfId="0" applyFont="1" applyBorder="1" applyAlignment="1">
      <alignment vertical="top" wrapText="1"/>
    </xf>
    <xf numFmtId="0" fontId="82" fillId="30" borderId="36" xfId="0" applyFont="1" applyFill="1" applyBorder="1" applyAlignment="1">
      <alignment wrapText="1"/>
    </xf>
    <xf numFmtId="4" fontId="18" fillId="30" borderId="16" xfId="0" applyNumberFormat="1" applyFont="1" applyFill="1" applyBorder="1"/>
    <xf numFmtId="4" fontId="18" fillId="30" borderId="1" xfId="0" applyNumberFormat="1" applyFont="1" applyFill="1" applyBorder="1"/>
    <xf numFmtId="4" fontId="35" fillId="30" borderId="1" xfId="3" applyNumberFormat="1" applyFont="1" applyFill="1" applyBorder="1"/>
    <xf numFmtId="43" fontId="45" fillId="30" borderId="1" xfId="1" applyFont="1" applyFill="1" applyBorder="1"/>
    <xf numFmtId="9" fontId="45" fillId="30" borderId="36" xfId="3" applyFont="1" applyFill="1" applyBorder="1"/>
    <xf numFmtId="9" fontId="18" fillId="30" borderId="36" xfId="3" applyFont="1" applyFill="1" applyBorder="1"/>
    <xf numFmtId="2" fontId="40" fillId="30" borderId="1" xfId="3" applyNumberFormat="1" applyFont="1" applyFill="1" applyBorder="1"/>
    <xf numFmtId="43" fontId="35" fillId="30" borderId="1" xfId="1" applyFont="1" applyFill="1" applyBorder="1"/>
    <xf numFmtId="4" fontId="93" fillId="30" borderId="1" xfId="3" applyNumberFormat="1" applyFont="1" applyFill="1" applyBorder="1"/>
    <xf numFmtId="9" fontId="0" fillId="30" borderId="1" xfId="0" applyNumberFormat="1" applyFill="1" applyBorder="1"/>
    <xf numFmtId="43" fontId="2" fillId="30" borderId="1" xfId="0" applyNumberFormat="1" applyFont="1" applyFill="1" applyBorder="1"/>
    <xf numFmtId="10" fontId="0" fillId="30" borderId="17" xfId="0" applyNumberFormat="1" applyFill="1" applyBorder="1"/>
    <xf numFmtId="4" fontId="20" fillId="30" borderId="28" xfId="0" applyNumberFormat="1" applyFont="1" applyFill="1" applyBorder="1"/>
    <xf numFmtId="0" fontId="18" fillId="30" borderId="38" xfId="0" applyFont="1" applyFill="1" applyBorder="1"/>
    <xf numFmtId="4" fontId="18" fillId="30" borderId="38" xfId="0" applyNumberFormat="1" applyFont="1" applyFill="1" applyBorder="1"/>
    <xf numFmtId="2" fontId="35" fillId="30" borderId="1" xfId="3" applyNumberFormat="1" applyFont="1" applyFill="1" applyBorder="1"/>
    <xf numFmtId="10" fontId="18" fillId="30" borderId="36" xfId="0" applyNumberFormat="1" applyFont="1" applyFill="1" applyBorder="1"/>
    <xf numFmtId="4" fontId="40" fillId="30" borderId="1" xfId="3" applyNumberFormat="1" applyFont="1" applyFill="1" applyBorder="1"/>
    <xf numFmtId="43" fontId="35" fillId="30" borderId="36" xfId="1" applyFont="1" applyFill="1" applyBorder="1"/>
    <xf numFmtId="4" fontId="18" fillId="30" borderId="168" xfId="3" applyNumberFormat="1" applyFont="1" applyFill="1" applyBorder="1"/>
    <xf numFmtId="43" fontId="79" fillId="30" borderId="47" xfId="1" applyFont="1" applyFill="1" applyBorder="1"/>
    <xf numFmtId="9" fontId="79" fillId="30" borderId="37" xfId="3" applyFont="1" applyFill="1" applyBorder="1"/>
    <xf numFmtId="2" fontId="18" fillId="30" borderId="1" xfId="3" applyNumberFormat="1" applyFont="1" applyFill="1" applyBorder="1"/>
    <xf numFmtId="2" fontId="34" fillId="30" borderId="1" xfId="0" applyNumberFormat="1" applyFont="1" applyFill="1" applyBorder="1"/>
    <xf numFmtId="4" fontId="32" fillId="30" borderId="1" xfId="3" applyNumberFormat="1" applyFont="1" applyFill="1" applyBorder="1"/>
    <xf numFmtId="9" fontId="0" fillId="30" borderId="1" xfId="3" applyFont="1" applyFill="1" applyBorder="1"/>
    <xf numFmtId="9" fontId="0" fillId="30" borderId="17" xfId="0" applyNumberFormat="1" applyFill="1" applyBorder="1"/>
    <xf numFmtId="0" fontId="0" fillId="30" borderId="0" xfId="0" applyFill="1"/>
    <xf numFmtId="0" fontId="0" fillId="30" borderId="0" xfId="0" applyFill="1" applyBorder="1"/>
    <xf numFmtId="0" fontId="49" fillId="0" borderId="0" xfId="0" applyFont="1" applyFill="1" applyBorder="1" applyAlignment="1">
      <alignment vertical="center"/>
    </xf>
    <xf numFmtId="4" fontId="34" fillId="0" borderId="0" xfId="0" applyNumberFormat="1" applyFont="1" applyFill="1" applyBorder="1"/>
    <xf numFmtId="0" fontId="9" fillId="12" borderId="2" xfId="0" applyFont="1" applyFill="1" applyBorder="1" applyAlignment="1">
      <alignment vertical="center"/>
    </xf>
    <xf numFmtId="0" fontId="9" fillId="12" borderId="16" xfId="0" applyFont="1" applyFill="1" applyBorder="1" applyAlignment="1">
      <alignment vertical="center"/>
    </xf>
    <xf numFmtId="0" fontId="9" fillId="12" borderId="16" xfId="0" applyFont="1" applyFill="1" applyBorder="1" applyAlignment="1">
      <alignment horizontal="left" vertical="top" wrapText="1"/>
    </xf>
    <xf numFmtId="0" fontId="9" fillId="12" borderId="26" xfId="0" applyFont="1" applyFill="1" applyBorder="1" applyAlignment="1">
      <alignment vertical="center"/>
    </xf>
    <xf numFmtId="4" fontId="18" fillId="12" borderId="36" xfId="0" applyNumberFormat="1" applyFont="1" applyFill="1" applyBorder="1"/>
    <xf numFmtId="0" fontId="18" fillId="33" borderId="17" xfId="0" applyFont="1" applyFill="1" applyBorder="1"/>
    <xf numFmtId="0" fontId="0" fillId="12" borderId="17" xfId="0" applyFill="1" applyBorder="1"/>
    <xf numFmtId="0" fontId="0" fillId="0" borderId="0" xfId="0" applyFill="1" applyBorder="1" applyAlignment="1">
      <alignment vertical="top" wrapText="1"/>
    </xf>
    <xf numFmtId="3" fontId="18" fillId="12" borderId="3" xfId="0" applyNumberFormat="1" applyFont="1" applyFill="1" applyBorder="1"/>
    <xf numFmtId="3" fontId="18" fillId="12" borderId="17" xfId="0" applyNumberFormat="1" applyFont="1" applyFill="1" applyBorder="1"/>
    <xf numFmtId="3" fontId="18" fillId="12" borderId="36" xfId="0" applyNumberFormat="1" applyFont="1" applyFill="1" applyBorder="1"/>
    <xf numFmtId="3" fontId="0" fillId="12" borderId="25" xfId="0" applyNumberFormat="1" applyFill="1" applyBorder="1"/>
    <xf numFmtId="43" fontId="18" fillId="0" borderId="0" xfId="0" applyNumberFormat="1" applyFont="1" applyFill="1"/>
    <xf numFmtId="176" fontId="18" fillId="11" borderId="1" xfId="0" applyNumberFormat="1" applyFont="1" applyFill="1" applyBorder="1"/>
    <xf numFmtId="4" fontId="18" fillId="0" borderId="3" xfId="1" applyNumberFormat="1" applyFont="1" applyFill="1" applyBorder="1"/>
    <xf numFmtId="4" fontId="18" fillId="0" borderId="3" xfId="0" applyNumberFormat="1" applyFont="1" applyBorder="1"/>
    <xf numFmtId="9" fontId="18" fillId="0" borderId="4" xfId="3" applyFont="1" applyBorder="1"/>
    <xf numFmtId="4" fontId="18" fillId="0" borderId="1" xfId="1" applyNumberFormat="1" applyFont="1" applyFill="1" applyBorder="1"/>
    <xf numFmtId="4" fontId="18" fillId="4" borderId="1" xfId="1" applyNumberFormat="1" applyFont="1" applyFill="1" applyBorder="1"/>
    <xf numFmtId="4" fontId="18" fillId="4" borderId="1" xfId="0" applyNumberFormat="1" applyFont="1" applyFill="1" applyBorder="1"/>
    <xf numFmtId="187" fontId="18" fillId="28" borderId="3" xfId="0" applyNumberFormat="1" applyFont="1" applyFill="1" applyBorder="1"/>
    <xf numFmtId="187" fontId="18" fillId="11" borderId="1" xfId="0" applyNumberFormat="1" applyFont="1" applyFill="1" applyBorder="1"/>
    <xf numFmtId="10" fontId="18" fillId="0" borderId="24" xfId="0" applyNumberFormat="1" applyFont="1" applyBorder="1"/>
    <xf numFmtId="187" fontId="18" fillId="28" borderId="1" xfId="0" applyNumberFormat="1" applyFont="1" applyFill="1" applyBorder="1"/>
    <xf numFmtId="10" fontId="18" fillId="0" borderId="24" xfId="0" applyNumberFormat="1" applyFont="1" applyFill="1" applyBorder="1"/>
    <xf numFmtId="0" fontId="12" fillId="0" borderId="0" xfId="0" applyFont="1" applyFill="1" applyBorder="1"/>
    <xf numFmtId="6" fontId="0" fillId="0" borderId="0" xfId="0" applyNumberFormat="1" applyFill="1" applyBorder="1"/>
    <xf numFmtId="0" fontId="2" fillId="0" borderId="0" xfId="0" applyFont="1" applyFill="1" applyBorder="1" applyAlignment="1">
      <alignment wrapText="1"/>
    </xf>
    <xf numFmtId="187" fontId="18" fillId="0" borderId="0" xfId="0" applyNumberFormat="1" applyFont="1" applyFill="1" applyBorder="1"/>
    <xf numFmtId="176" fontId="18" fillId="0" borderId="0" xfId="0" applyNumberFormat="1" applyFont="1" applyFill="1" applyBorder="1"/>
    <xf numFmtId="4" fontId="18" fillId="0" borderId="32" xfId="0" applyNumberFormat="1" applyFont="1" applyFill="1" applyBorder="1"/>
    <xf numFmtId="187" fontId="18" fillId="0" borderId="0" xfId="0" applyNumberFormat="1" applyFont="1" applyFill="1" applyBorder="1" applyAlignment="1"/>
    <xf numFmtId="0" fontId="20" fillId="0" borderId="11" xfId="0" applyFont="1" applyBorder="1" applyAlignment="1">
      <alignment horizontal="left" vertical="top" wrapText="1"/>
    </xf>
    <xf numFmtId="186" fontId="59" fillId="37" borderId="1" xfId="1" applyNumberFormat="1" applyFont="1" applyFill="1" applyBorder="1"/>
    <xf numFmtId="3" fontId="0" fillId="0" borderId="0" xfId="0" applyNumberFormat="1" applyFill="1"/>
    <xf numFmtId="0" fontId="9" fillId="12" borderId="177" xfId="0" applyFont="1" applyFill="1" applyBorder="1" applyAlignment="1">
      <alignment vertical="center"/>
    </xf>
    <xf numFmtId="43" fontId="18" fillId="12" borderId="32" xfId="0" applyNumberFormat="1" applyFont="1" applyFill="1" applyBorder="1"/>
    <xf numFmtId="4" fontId="18" fillId="12" borderId="32" xfId="0" applyNumberFormat="1" applyFont="1" applyFill="1" applyBorder="1"/>
    <xf numFmtId="4" fontId="34" fillId="12" borderId="178" xfId="0" applyNumberFormat="1" applyFont="1" applyFill="1" applyBorder="1"/>
    <xf numFmtId="43" fontId="18" fillId="12" borderId="178" xfId="0" applyNumberFormat="1" applyFont="1" applyFill="1" applyBorder="1"/>
    <xf numFmtId="0" fontId="9" fillId="12" borderId="32" xfId="0" applyFont="1" applyFill="1" applyBorder="1" applyAlignment="1">
      <alignment vertical="center"/>
    </xf>
    <xf numFmtId="0" fontId="34" fillId="28" borderId="1" xfId="0" applyFont="1" applyFill="1" applyBorder="1"/>
    <xf numFmtId="4" fontId="34" fillId="28" borderId="1" xfId="0" applyNumberFormat="1" applyFont="1" applyFill="1" applyBorder="1"/>
    <xf numFmtId="10" fontId="34" fillId="28" borderId="1" xfId="0" applyNumberFormat="1" applyFont="1" applyFill="1" applyBorder="1"/>
    <xf numFmtId="0" fontId="0" fillId="28" borderId="0" xfId="0" applyFill="1"/>
    <xf numFmtId="10" fontId="18" fillId="28" borderId="1" xfId="0" applyNumberFormat="1" applyFont="1" applyFill="1" applyBorder="1"/>
    <xf numFmtId="171" fontId="18" fillId="0" borderId="0" xfId="0" applyNumberFormat="1" applyFont="1" applyFill="1" applyBorder="1"/>
    <xf numFmtId="43" fontId="24" fillId="0" borderId="0" xfId="0" applyNumberFormat="1" applyFont="1" applyFill="1" applyBorder="1"/>
    <xf numFmtId="0" fontId="25" fillId="0" borderId="0" xfId="0" applyFont="1" applyFill="1" applyBorder="1" applyAlignment="1">
      <alignment vertical="center" wrapText="1"/>
    </xf>
    <xf numFmtId="0" fontId="78" fillId="0" borderId="0" xfId="0" applyFont="1" applyBorder="1" applyAlignment="1"/>
    <xf numFmtId="0" fontId="18" fillId="33" borderId="17" xfId="0" applyFont="1" applyFill="1" applyBorder="1" applyAlignment="1">
      <alignment wrapText="1"/>
    </xf>
    <xf numFmtId="4" fontId="34" fillId="12" borderId="33" xfId="0" applyNumberFormat="1" applyFont="1" applyFill="1" applyBorder="1"/>
    <xf numFmtId="3" fontId="34" fillId="12" borderId="178" xfId="0" applyNumberFormat="1" applyFont="1" applyFill="1" applyBorder="1"/>
    <xf numFmtId="0" fontId="25" fillId="42" borderId="1" xfId="0" applyFont="1" applyFill="1" applyBorder="1" applyAlignment="1">
      <alignment vertical="center" wrapText="1"/>
    </xf>
    <xf numFmtId="10" fontId="18" fillId="42" borderId="1" xfId="0" applyNumberFormat="1" applyFont="1" applyFill="1" applyBorder="1"/>
    <xf numFmtId="4" fontId="0" fillId="42" borderId="1" xfId="0" applyNumberFormat="1" applyFill="1" applyBorder="1"/>
    <xf numFmtId="0" fontId="25" fillId="39" borderId="1" xfId="0" applyFont="1" applyFill="1" applyBorder="1" applyAlignment="1">
      <alignment vertical="center" wrapText="1"/>
    </xf>
    <xf numFmtId="0" fontId="9" fillId="39" borderId="1" xfId="0" applyFont="1" applyFill="1" applyBorder="1" applyAlignment="1">
      <alignment vertical="center"/>
    </xf>
    <xf numFmtId="0" fontId="9" fillId="33" borderId="2" xfId="0" applyFont="1" applyFill="1" applyBorder="1" applyAlignment="1">
      <alignment vertical="center"/>
    </xf>
    <xf numFmtId="0" fontId="9" fillId="33" borderId="16" xfId="0" applyFont="1" applyFill="1" applyBorder="1" applyAlignment="1">
      <alignment vertical="center"/>
    </xf>
    <xf numFmtId="0" fontId="9" fillId="33" borderId="16" xfId="0" applyFont="1" applyFill="1" applyBorder="1" applyAlignment="1">
      <alignment horizontal="left" vertical="top" wrapText="1"/>
    </xf>
    <xf numFmtId="0" fontId="9" fillId="33" borderId="177" xfId="0" applyFont="1" applyFill="1" applyBorder="1" applyAlignment="1">
      <alignment vertical="center"/>
    </xf>
    <xf numFmtId="0" fontId="25" fillId="42" borderId="13" xfId="0" applyFont="1" applyFill="1" applyBorder="1" applyAlignment="1">
      <alignment vertical="center" wrapText="1"/>
    </xf>
    <xf numFmtId="10" fontId="18" fillId="42" borderId="14" xfId="0" applyNumberFormat="1" applyFont="1" applyFill="1" applyBorder="1"/>
    <xf numFmtId="10" fontId="34" fillId="42" borderId="14" xfId="0" applyNumberFormat="1" applyFont="1" applyFill="1" applyBorder="1"/>
    <xf numFmtId="3" fontId="24" fillId="42" borderId="15" xfId="0" applyNumberFormat="1" applyFont="1" applyFill="1" applyBorder="1"/>
    <xf numFmtId="43" fontId="34" fillId="42" borderId="1" xfId="0" applyNumberFormat="1" applyFont="1" applyFill="1" applyBorder="1"/>
    <xf numFmtId="10" fontId="24" fillId="42" borderId="1" xfId="0" applyNumberFormat="1" applyFont="1" applyFill="1" applyBorder="1"/>
    <xf numFmtId="10" fontId="34" fillId="42" borderId="1" xfId="0" applyNumberFormat="1" applyFont="1" applyFill="1" applyBorder="1"/>
    <xf numFmtId="0" fontId="124" fillId="42" borderId="15" xfId="0" applyFont="1" applyFill="1" applyBorder="1" applyAlignment="1">
      <alignment vertical="center" wrapText="1"/>
    </xf>
    <xf numFmtId="8" fontId="123" fillId="42" borderId="10" xfId="0" applyNumberFormat="1" applyFont="1" applyFill="1" applyBorder="1" applyAlignment="1">
      <alignment horizontal="right" vertical="center"/>
    </xf>
    <xf numFmtId="0" fontId="123" fillId="42" borderId="10" xfId="0" applyFont="1" applyFill="1" applyBorder="1" applyAlignment="1">
      <alignment vertical="center"/>
    </xf>
    <xf numFmtId="0" fontId="18" fillId="42" borderId="1" xfId="0" applyFont="1" applyFill="1" applyBorder="1" applyAlignment="1">
      <alignment vertical="top" wrapText="1"/>
    </xf>
    <xf numFmtId="4" fontId="20" fillId="42" borderId="1" xfId="0" applyNumberFormat="1" applyFont="1" applyFill="1" applyBorder="1"/>
    <xf numFmtId="0" fontId="0" fillId="2" borderId="1" xfId="0" applyFill="1" applyBorder="1"/>
    <xf numFmtId="4" fontId="18" fillId="0" borderId="1" xfId="0" applyNumberFormat="1" applyFont="1" applyBorder="1" applyAlignment="1">
      <alignment horizontal="center" vertical="center"/>
    </xf>
    <xf numFmtId="0" fontId="34" fillId="2" borderId="1" xfId="0" applyFont="1" applyFill="1" applyBorder="1" applyAlignment="1">
      <alignment horizontal="center" vertical="center" wrapText="1"/>
    </xf>
    <xf numFmtId="11" fontId="18" fillId="2" borderId="1" xfId="0" applyNumberFormat="1" applyFont="1" applyFill="1" applyBorder="1"/>
    <xf numFmtId="11" fontId="0" fillId="0" borderId="1" xfId="0" applyNumberFormat="1" applyBorder="1"/>
    <xf numFmtId="11" fontId="18" fillId="2" borderId="32" xfId="0" applyNumberFormat="1" applyFont="1" applyFill="1" applyBorder="1"/>
    <xf numFmtId="43" fontId="18" fillId="0" borderId="54" xfId="0" applyNumberFormat="1" applyFont="1" applyFill="1" applyBorder="1"/>
    <xf numFmtId="11" fontId="18" fillId="2" borderId="54" xfId="0" applyNumberFormat="1" applyFont="1" applyFill="1" applyBorder="1"/>
    <xf numFmtId="11" fontId="18" fillId="0" borderId="54" xfId="0" applyNumberFormat="1" applyFont="1" applyFill="1" applyBorder="1"/>
    <xf numFmtId="11" fontId="18" fillId="0" borderId="31" xfId="0" applyNumberFormat="1" applyFont="1" applyFill="1" applyBorder="1"/>
    <xf numFmtId="0" fontId="0" fillId="0" borderId="0" xfId="0" applyBorder="1" applyAlignment="1">
      <alignment horizontal="left"/>
    </xf>
    <xf numFmtId="0" fontId="142" fillId="59" borderId="1" xfId="0" applyFont="1" applyFill="1" applyBorder="1" applyAlignment="1">
      <alignment horizontal="center" vertical="center" wrapText="1"/>
    </xf>
    <xf numFmtId="0" fontId="149" fillId="0" borderId="0" xfId="0" applyFont="1" applyFill="1" applyBorder="1" applyAlignment="1">
      <alignment horizontal="center" vertical="center" wrapText="1"/>
    </xf>
    <xf numFmtId="0" fontId="149" fillId="0" borderId="0" xfId="0" applyFont="1" applyFill="1" applyBorder="1" applyAlignment="1">
      <alignment horizontal="center" vertical="center"/>
    </xf>
    <xf numFmtId="0" fontId="131" fillId="0" borderId="0" xfId="0" applyFont="1" applyFill="1" applyBorder="1" applyAlignment="1">
      <alignment vertical="center" wrapText="1"/>
    </xf>
    <xf numFmtId="0" fontId="98" fillId="0" borderId="0" xfId="0" applyFont="1" applyFill="1" applyBorder="1" applyAlignment="1">
      <alignment vertical="center"/>
    </xf>
    <xf numFmtId="0" fontId="149" fillId="0" borderId="0" xfId="0" applyFont="1" applyFill="1" applyBorder="1" applyAlignment="1">
      <alignment vertical="center" wrapText="1"/>
    </xf>
    <xf numFmtId="0" fontId="149" fillId="38" borderId="5" xfId="0" applyFont="1" applyFill="1" applyBorder="1" applyAlignment="1">
      <alignment horizontal="center" vertical="center" wrapText="1"/>
    </xf>
    <xf numFmtId="0" fontId="149" fillId="38" borderId="11" xfId="0" applyFont="1" applyFill="1" applyBorder="1" applyAlignment="1">
      <alignment horizontal="center" vertical="center" wrapText="1"/>
    </xf>
    <xf numFmtId="0" fontId="149" fillId="38" borderId="6" xfId="0" applyFont="1" applyFill="1" applyBorder="1" applyAlignment="1">
      <alignment horizontal="center" vertical="center" wrapText="1"/>
    </xf>
    <xf numFmtId="0" fontId="149" fillId="38" borderId="27" xfId="0" applyFont="1" applyFill="1" applyBorder="1" applyAlignment="1">
      <alignment horizontal="center" vertical="center" wrapText="1"/>
    </xf>
    <xf numFmtId="0" fontId="149" fillId="38" borderId="8" xfId="0" applyFont="1" applyFill="1" applyBorder="1" applyAlignment="1">
      <alignment vertical="center" wrapText="1"/>
    </xf>
    <xf numFmtId="4" fontId="70" fillId="0" borderId="8" xfId="0" applyNumberFormat="1" applyFont="1" applyFill="1" applyBorder="1" applyAlignment="1">
      <alignment vertical="center" wrapText="1"/>
    </xf>
    <xf numFmtId="4" fontId="99" fillId="0" borderId="5" xfId="0" applyNumberFormat="1" applyFont="1" applyBorder="1" applyAlignment="1">
      <alignment horizontal="center" wrapText="1"/>
    </xf>
    <xf numFmtId="4" fontId="156" fillId="0" borderId="6" xfId="0" applyNumberFormat="1" applyFont="1" applyBorder="1" applyAlignment="1">
      <alignment horizontal="center" wrapText="1"/>
    </xf>
    <xf numFmtId="4" fontId="99" fillId="0" borderId="7" xfId="0" applyNumberFormat="1" applyFont="1" applyBorder="1" applyAlignment="1">
      <alignment horizontal="center" wrapText="1"/>
    </xf>
    <xf numFmtId="4" fontId="99" fillId="0" borderId="0" xfId="0" applyNumberFormat="1" applyFont="1" applyBorder="1" applyAlignment="1">
      <alignment horizontal="center" wrapText="1"/>
    </xf>
    <xf numFmtId="4" fontId="156" fillId="0" borderId="8" xfId="0" applyNumberFormat="1" applyFont="1" applyBorder="1" applyAlignment="1">
      <alignment horizontal="center" wrapText="1"/>
    </xf>
    <xf numFmtId="4" fontId="99" fillId="0" borderId="0" xfId="0" applyNumberFormat="1" applyFont="1" applyFill="1" applyBorder="1" applyAlignment="1">
      <alignment horizontal="center" wrapText="1"/>
    </xf>
    <xf numFmtId="4" fontId="99" fillId="0" borderId="9" xfId="0" applyNumberFormat="1" applyFont="1" applyBorder="1" applyAlignment="1">
      <alignment horizontal="center" wrapText="1"/>
    </xf>
    <xf numFmtId="4" fontId="99" fillId="0" borderId="12" xfId="0" applyNumberFormat="1" applyFont="1" applyBorder="1" applyAlignment="1">
      <alignment horizontal="center" wrapText="1"/>
    </xf>
    <xf numFmtId="4" fontId="156" fillId="0" borderId="10" xfId="0" applyNumberFormat="1" applyFont="1" applyBorder="1" applyAlignment="1">
      <alignment horizontal="center" wrapText="1"/>
    </xf>
    <xf numFmtId="4" fontId="70" fillId="0" borderId="10" xfId="0" applyNumberFormat="1" applyFont="1" applyFill="1" applyBorder="1" applyAlignment="1">
      <alignment vertical="center" wrapText="1"/>
    </xf>
    <xf numFmtId="0" fontId="20" fillId="63" borderId="30" xfId="0" applyFont="1" applyFill="1" applyBorder="1" applyAlignment="1">
      <alignment horizontal="center" vertical="center" wrapText="1"/>
    </xf>
    <xf numFmtId="0" fontId="24" fillId="63" borderId="15" xfId="0" applyFont="1" applyFill="1" applyBorder="1" applyAlignment="1">
      <alignment horizontal="center" vertical="center" wrapText="1"/>
    </xf>
    <xf numFmtId="0" fontId="20" fillId="63" borderId="15" xfId="0" applyFont="1" applyFill="1" applyBorder="1" applyAlignment="1">
      <alignment horizontal="center" vertical="center" wrapText="1"/>
    </xf>
    <xf numFmtId="168" fontId="0" fillId="8" borderId="8" xfId="0" applyNumberFormat="1" applyFill="1" applyBorder="1"/>
    <xf numFmtId="0" fontId="20" fillId="0" borderId="30" xfId="0" applyFont="1" applyBorder="1" applyAlignment="1">
      <alignment horizontal="center" vertical="center" wrapText="1"/>
    </xf>
    <xf numFmtId="0" fontId="20" fillId="0" borderId="15" xfId="0" applyFont="1" applyBorder="1" applyAlignment="1">
      <alignment horizontal="center" vertical="center" wrapText="1"/>
    </xf>
    <xf numFmtId="0" fontId="0" fillId="0" borderId="0" xfId="0" applyBorder="1" applyAlignment="1">
      <alignment horizontal="left" wrapText="1"/>
    </xf>
    <xf numFmtId="0" fontId="20" fillId="0" borderId="0" xfId="0" applyFont="1" applyBorder="1" applyAlignment="1">
      <alignment vertical="center" wrapText="1"/>
    </xf>
    <xf numFmtId="0" fontId="19" fillId="0" borderId="0" xfId="0" applyFont="1" applyBorder="1" applyAlignment="1">
      <alignment vertical="center" wrapText="1"/>
    </xf>
    <xf numFmtId="2" fontId="19" fillId="0" borderId="0" xfId="0" applyNumberFormat="1" applyFont="1" applyBorder="1" applyAlignment="1">
      <alignment horizontal="center"/>
    </xf>
    <xf numFmtId="2" fontId="19" fillId="0" borderId="8" xfId="0" applyNumberFormat="1" applyFont="1" applyBorder="1" applyAlignment="1">
      <alignment horizontal="center"/>
    </xf>
    <xf numFmtId="3" fontId="0" fillId="5" borderId="6" xfId="1" applyNumberFormat="1" applyFont="1" applyFill="1" applyBorder="1"/>
    <xf numFmtId="3" fontId="0" fillId="5" borderId="8" xfId="1" applyNumberFormat="1" applyFont="1" applyFill="1" applyBorder="1"/>
    <xf numFmtId="3" fontId="0" fillId="0" borderId="8" xfId="0" applyNumberFormat="1" applyFill="1" applyBorder="1"/>
    <xf numFmtId="0" fontId="0" fillId="0" borderId="0" xfId="0" applyAlignment="1">
      <alignment horizontal="center"/>
    </xf>
    <xf numFmtId="4" fontId="99" fillId="0" borderId="12" xfId="0" applyNumberFormat="1" applyFont="1" applyFill="1" applyBorder="1" applyAlignment="1">
      <alignment horizontal="center" wrapText="1"/>
    </xf>
    <xf numFmtId="3" fontId="20" fillId="0" borderId="15" xfId="0" applyNumberFormat="1" applyFont="1" applyBorder="1" applyAlignment="1">
      <alignment horizontal="center" vertical="center" wrapText="1"/>
    </xf>
    <xf numFmtId="3" fontId="19" fillId="0" borderId="15" xfId="0" applyNumberFormat="1" applyFont="1" applyBorder="1" applyAlignment="1">
      <alignment horizontal="center" vertical="center" wrapText="1"/>
    </xf>
    <xf numFmtId="4" fontId="24" fillId="0" borderId="0" xfId="0" applyNumberFormat="1" applyFont="1" applyFill="1" applyBorder="1" applyAlignment="1">
      <alignment horizontal="center" vertical="center" wrapText="1"/>
    </xf>
    <xf numFmtId="0" fontId="24" fillId="0" borderId="0" xfId="0" applyFont="1" applyFill="1" applyBorder="1" applyAlignment="1">
      <alignment horizontal="center" vertical="center" wrapText="1"/>
    </xf>
    <xf numFmtId="0" fontId="19" fillId="0" borderId="0" xfId="0" applyFont="1" applyFill="1" applyBorder="1" applyAlignment="1">
      <alignment horizontal="center" vertical="center" wrapText="1"/>
    </xf>
    <xf numFmtId="0" fontId="2" fillId="0" borderId="5" xfId="0" applyFont="1" applyBorder="1"/>
    <xf numFmtId="171" fontId="0" fillId="0" borderId="0" xfId="0" applyNumberFormat="1" applyBorder="1"/>
    <xf numFmtId="171" fontId="0" fillId="0" borderId="12" xfId="0" applyNumberFormat="1" applyBorder="1"/>
    <xf numFmtId="0" fontId="51" fillId="0" borderId="12" xfId="0" applyFont="1" applyBorder="1" applyAlignment="1">
      <alignment horizontal="center" vertical="center" wrapText="1"/>
    </xf>
    <xf numFmtId="3" fontId="19" fillId="0" borderId="0" xfId="0" applyNumberFormat="1" applyFont="1" applyBorder="1" applyAlignment="1">
      <alignment vertical="center"/>
    </xf>
    <xf numFmtId="3" fontId="19" fillId="0" borderId="0" xfId="0" applyNumberFormat="1" applyFont="1" applyBorder="1"/>
    <xf numFmtId="3" fontId="36" fillId="0" borderId="0" xfId="0" applyNumberFormat="1" applyFont="1" applyBorder="1" applyAlignment="1">
      <alignment vertical="center" wrapText="1"/>
    </xf>
    <xf numFmtId="9" fontId="0" fillId="0" borderId="0" xfId="0" applyNumberFormat="1" applyBorder="1"/>
    <xf numFmtId="3" fontId="19" fillId="0" borderId="8" xfId="0" applyNumberFormat="1" applyFont="1" applyBorder="1"/>
    <xf numFmtId="1" fontId="0" fillId="0" borderId="0" xfId="0" applyNumberFormat="1" applyFill="1" applyBorder="1"/>
    <xf numFmtId="175" fontId="0" fillId="0" borderId="12" xfId="0" applyNumberFormat="1" applyBorder="1"/>
    <xf numFmtId="175" fontId="0" fillId="0" borderId="10" xfId="0" applyNumberFormat="1" applyBorder="1"/>
    <xf numFmtId="187" fontId="59" fillId="35" borderId="1" xfId="0" applyNumberFormat="1" applyFont="1" applyFill="1" applyBorder="1"/>
    <xf numFmtId="4" fontId="18" fillId="0" borderId="1" xfId="0" applyNumberFormat="1" applyFont="1" applyFill="1" applyBorder="1" applyAlignment="1">
      <alignment wrapText="1"/>
    </xf>
    <xf numFmtId="10" fontId="18" fillId="0" borderId="1" xfId="0" applyNumberFormat="1" applyFont="1" applyFill="1" applyBorder="1"/>
    <xf numFmtId="176" fontId="0" fillId="0" borderId="1" xfId="0" applyNumberFormat="1" applyFill="1" applyBorder="1"/>
    <xf numFmtId="10" fontId="2" fillId="0" borderId="1" xfId="0" applyNumberFormat="1" applyFont="1" applyFill="1" applyBorder="1"/>
    <xf numFmtId="43" fontId="15" fillId="18" borderId="6" xfId="1" applyFont="1" applyFill="1" applyBorder="1"/>
    <xf numFmtId="43" fontId="15" fillId="18" borderId="8" xfId="1" applyFont="1" applyFill="1" applyBorder="1"/>
    <xf numFmtId="0" fontId="15" fillId="18" borderId="0" xfId="0" applyFont="1" applyFill="1"/>
    <xf numFmtId="0" fontId="19" fillId="0" borderId="0" xfId="0" applyFont="1" applyBorder="1" applyAlignment="1">
      <alignment horizontal="center" vertical="center" wrapText="1"/>
    </xf>
    <xf numFmtId="0" fontId="124" fillId="0" borderId="8" xfId="0" applyFont="1" applyFill="1" applyBorder="1" applyAlignment="1">
      <alignment vertical="center" wrapText="1"/>
    </xf>
    <xf numFmtId="0" fontId="157" fillId="0" borderId="0" xfId="0" applyFont="1"/>
    <xf numFmtId="8" fontId="55" fillId="0" borderId="7" xfId="0" applyNumberFormat="1" applyFont="1" applyFill="1" applyBorder="1" applyAlignment="1">
      <alignment horizontal="right" vertical="center"/>
    </xf>
    <xf numFmtId="0" fontId="0" fillId="52" borderId="8" xfId="0" applyFill="1" applyBorder="1"/>
    <xf numFmtId="0" fontId="158" fillId="0" borderId="0" xfId="0" applyFont="1"/>
    <xf numFmtId="187" fontId="0" fillId="0" borderId="0" xfId="0" applyNumberFormat="1" applyFill="1" applyBorder="1"/>
    <xf numFmtId="187" fontId="35" fillId="8" borderId="36" xfId="0" applyNumberFormat="1" applyFont="1" applyFill="1" applyBorder="1"/>
    <xf numFmtId="168" fontId="0" fillId="0" borderId="27" xfId="0" applyNumberFormat="1" applyFill="1" applyBorder="1"/>
    <xf numFmtId="168" fontId="0" fillId="4" borderId="28" xfId="0" applyNumberFormat="1" applyFill="1" applyBorder="1"/>
    <xf numFmtId="187" fontId="0" fillId="4" borderId="29" xfId="0" applyNumberFormat="1" applyFill="1" applyBorder="1"/>
    <xf numFmtId="187" fontId="0" fillId="0" borderId="27" xfId="0" applyNumberFormat="1" applyFill="1" applyBorder="1"/>
    <xf numFmtId="10" fontId="18" fillId="10" borderId="36" xfId="0" applyNumberFormat="1" applyFont="1" applyFill="1" applyBorder="1" applyAlignment="1">
      <alignment vertical="top" wrapText="1"/>
    </xf>
    <xf numFmtId="10" fontId="18" fillId="2" borderId="36" xfId="0" applyNumberFormat="1" applyFont="1" applyFill="1" applyBorder="1"/>
    <xf numFmtId="176" fontId="0" fillId="0" borderId="28" xfId="0" applyNumberFormat="1" applyFill="1" applyBorder="1"/>
    <xf numFmtId="176" fontId="18" fillId="2" borderId="29" xfId="0" applyNumberFormat="1" applyFont="1" applyFill="1" applyBorder="1"/>
    <xf numFmtId="0" fontId="8" fillId="0" borderId="30" xfId="0" applyFont="1" applyBorder="1" applyAlignment="1">
      <alignment horizontal="justify" vertical="center" wrapText="1"/>
    </xf>
    <xf numFmtId="0" fontId="8" fillId="0" borderId="15" xfId="0" applyFont="1" applyBorder="1" applyAlignment="1">
      <alignment horizontal="justify" vertical="center" wrapText="1"/>
    </xf>
    <xf numFmtId="0" fontId="9" fillId="0" borderId="28" xfId="0" applyFont="1" applyBorder="1" applyAlignment="1">
      <alignment horizontal="justify" vertical="center" wrapText="1"/>
    </xf>
    <xf numFmtId="0" fontId="9" fillId="0" borderId="29" xfId="0" applyFont="1" applyBorder="1" applyAlignment="1">
      <alignment horizontal="justify" vertical="center" wrapText="1"/>
    </xf>
    <xf numFmtId="0" fontId="9" fillId="0" borderId="8" xfId="0" applyFont="1" applyBorder="1" applyAlignment="1">
      <alignment horizontal="justify" vertical="center" wrapText="1"/>
    </xf>
    <xf numFmtId="0" fontId="9" fillId="0" borderId="10" xfId="0" applyFont="1" applyBorder="1" applyAlignment="1">
      <alignment horizontal="justify" vertical="center" wrapText="1"/>
    </xf>
    <xf numFmtId="0" fontId="9" fillId="0" borderId="0" xfId="0" applyFont="1" applyFill="1" applyBorder="1" applyAlignment="1">
      <alignment horizontal="justify" vertical="center" wrapText="1"/>
    </xf>
    <xf numFmtId="0" fontId="8" fillId="0" borderId="30" xfId="0" applyFont="1" applyFill="1" applyBorder="1" applyAlignment="1">
      <alignment horizontal="justify" vertical="center" wrapText="1"/>
    </xf>
    <xf numFmtId="0" fontId="18" fillId="0" borderId="33" xfId="0" applyFont="1" applyFill="1" applyBorder="1"/>
    <xf numFmtId="0" fontId="18" fillId="0" borderId="59" xfId="0" applyFont="1" applyFill="1" applyBorder="1"/>
    <xf numFmtId="168" fontId="18" fillId="0" borderId="59" xfId="0" applyNumberFormat="1" applyFont="1" applyFill="1" applyBorder="1"/>
    <xf numFmtId="0" fontId="18" fillId="0" borderId="42" xfId="0" applyFont="1" applyFill="1" applyBorder="1"/>
    <xf numFmtId="0" fontId="18" fillId="0" borderId="39" xfId="0" applyFont="1" applyFill="1" applyBorder="1"/>
    <xf numFmtId="168" fontId="18" fillId="0" borderId="40" xfId="0" applyNumberFormat="1" applyFont="1" applyFill="1" applyBorder="1"/>
    <xf numFmtId="0" fontId="20" fillId="0" borderId="59" xfId="0" applyFont="1" applyFill="1" applyBorder="1"/>
    <xf numFmtId="10" fontId="0" fillId="0" borderId="41" xfId="0" applyNumberFormat="1" applyBorder="1"/>
    <xf numFmtId="192" fontId="0" fillId="0" borderId="0" xfId="0" applyNumberFormat="1"/>
    <xf numFmtId="192" fontId="0" fillId="0" borderId="0" xfId="0" applyNumberFormat="1" applyFont="1" applyBorder="1"/>
    <xf numFmtId="192" fontId="19" fillId="0" borderId="0" xfId="0" applyNumberFormat="1" applyFont="1"/>
    <xf numFmtId="0" fontId="159" fillId="0" borderId="1" xfId="0" applyFont="1" applyBorder="1" applyAlignment="1">
      <alignment vertical="center" wrapText="1"/>
    </xf>
    <xf numFmtId="0" fontId="46" fillId="0" borderId="1" xfId="0" applyFont="1" applyBorder="1" applyAlignment="1">
      <alignment vertical="center" wrapText="1"/>
    </xf>
    <xf numFmtId="0" fontId="0" fillId="0" borderId="0" xfId="0" applyAlignment="1">
      <alignment horizontal="center" wrapText="1"/>
    </xf>
    <xf numFmtId="0" fontId="159" fillId="0" borderId="30" xfId="0" applyFont="1" applyBorder="1" applyAlignment="1">
      <alignment vertical="center" wrapText="1"/>
    </xf>
    <xf numFmtId="0" fontId="159" fillId="0" borderId="15" xfId="0" applyFont="1" applyBorder="1" applyAlignment="1">
      <alignment vertical="center" wrapText="1"/>
    </xf>
    <xf numFmtId="0" fontId="160" fillId="0" borderId="28" xfId="0" applyFont="1" applyBorder="1" applyAlignment="1">
      <alignment vertical="center" wrapText="1"/>
    </xf>
    <xf numFmtId="0" fontId="160" fillId="0" borderId="8" xfId="0" applyFont="1" applyBorder="1" applyAlignment="1">
      <alignment vertical="center" wrapText="1"/>
    </xf>
    <xf numFmtId="0" fontId="160" fillId="0" borderId="29" xfId="0" applyFont="1" applyBorder="1" applyAlignment="1">
      <alignment vertical="center" wrapText="1"/>
    </xf>
    <xf numFmtId="0" fontId="18" fillId="0" borderId="10" xfId="0" applyFont="1" applyBorder="1" applyAlignment="1">
      <alignment vertical="top" wrapText="1"/>
    </xf>
    <xf numFmtId="0" fontId="20" fillId="0" borderId="13" xfId="0" applyFont="1" applyBorder="1" applyAlignment="1">
      <alignment horizontal="center"/>
    </xf>
    <xf numFmtId="4" fontId="45" fillId="0" borderId="5" xfId="0" applyNumberFormat="1" applyFont="1" applyBorder="1" applyAlignment="1">
      <alignment horizontal="center"/>
    </xf>
    <xf numFmtId="4" fontId="45" fillId="0" borderId="13" xfId="0" applyNumberFormat="1" applyFont="1" applyBorder="1" applyAlignment="1">
      <alignment horizontal="center"/>
    </xf>
    <xf numFmtId="0" fontId="37" fillId="6" borderId="14" xfId="0" applyFont="1" applyFill="1" applyBorder="1" applyAlignment="1">
      <alignment horizontal="center" vertical="center"/>
    </xf>
    <xf numFmtId="0" fontId="37" fillId="6" borderId="15" xfId="0" applyFont="1" applyFill="1" applyBorder="1" applyAlignment="1">
      <alignment horizontal="center" vertical="center"/>
    </xf>
    <xf numFmtId="0" fontId="0" fillId="0" borderId="26" xfId="0" applyFill="1" applyBorder="1" applyAlignment="1">
      <alignment wrapText="1"/>
    </xf>
    <xf numFmtId="4" fontId="18" fillId="0" borderId="24" xfId="1" applyNumberFormat="1" applyFont="1" applyFill="1" applyBorder="1"/>
    <xf numFmtId="0" fontId="0" fillId="0" borderId="2" xfId="0" applyFill="1" applyBorder="1" applyAlignment="1">
      <alignment wrapText="1"/>
    </xf>
    <xf numFmtId="4" fontId="18" fillId="0" borderId="3" xfId="0" applyNumberFormat="1" applyFont="1" applyFill="1" applyBorder="1"/>
    <xf numFmtId="9" fontId="18" fillId="0" borderId="50" xfId="3" applyFont="1" applyBorder="1"/>
    <xf numFmtId="4" fontId="12" fillId="0" borderId="1" xfId="0" applyNumberFormat="1" applyFont="1" applyFill="1" applyBorder="1"/>
    <xf numFmtId="0" fontId="12" fillId="0" borderId="36" xfId="0" applyFont="1" applyFill="1" applyBorder="1"/>
    <xf numFmtId="4" fontId="18" fillId="0" borderId="33" xfId="1" applyNumberFormat="1" applyFont="1" applyFill="1" applyBorder="1"/>
    <xf numFmtId="4" fontId="18" fillId="0" borderId="43" xfId="1" applyNumberFormat="1" applyFont="1" applyFill="1" applyBorder="1"/>
    <xf numFmtId="4" fontId="18" fillId="0" borderId="39" xfId="1" applyNumberFormat="1" applyFont="1" applyFill="1" applyBorder="1"/>
    <xf numFmtId="0" fontId="0" fillId="0" borderId="1" xfId="0" applyFill="1" applyBorder="1" applyAlignment="1">
      <alignment horizontal="center" wrapText="1"/>
    </xf>
    <xf numFmtId="4" fontId="18" fillId="0" borderId="54" xfId="0" applyNumberFormat="1" applyFont="1" applyFill="1" applyBorder="1"/>
    <xf numFmtId="9" fontId="34" fillId="4" borderId="4" xfId="3" applyFont="1" applyFill="1" applyBorder="1"/>
    <xf numFmtId="4" fontId="18" fillId="0" borderId="24" xfId="0" applyNumberFormat="1" applyFont="1" applyFill="1" applyBorder="1"/>
    <xf numFmtId="4" fontId="18" fillId="0" borderId="7" xfId="0" applyNumberFormat="1" applyFont="1" applyFill="1" applyBorder="1"/>
    <xf numFmtId="4" fontId="90" fillId="16" borderId="7" xfId="0" applyNumberFormat="1" applyFont="1" applyFill="1" applyBorder="1"/>
    <xf numFmtId="4" fontId="35" fillId="44" borderId="7" xfId="0" applyNumberFormat="1" applyFont="1" applyFill="1" applyBorder="1"/>
    <xf numFmtId="4" fontId="90" fillId="16" borderId="9" xfId="0" applyNumberFormat="1" applyFont="1" applyFill="1" applyBorder="1"/>
    <xf numFmtId="4" fontId="35" fillId="16" borderId="12" xfId="0" applyNumberFormat="1" applyFont="1" applyFill="1" applyBorder="1"/>
    <xf numFmtId="0" fontId="37" fillId="6" borderId="27" xfId="0" applyFont="1" applyFill="1" applyBorder="1" applyAlignment="1">
      <alignment horizontal="center" vertical="center"/>
    </xf>
    <xf numFmtId="0" fontId="34" fillId="8" borderId="28" xfId="0" applyFont="1" applyFill="1" applyBorder="1" applyAlignment="1">
      <alignment vertical="center"/>
    </xf>
    <xf numFmtId="0" fontId="20" fillId="15" borderId="28" xfId="0" applyFont="1" applyFill="1" applyBorder="1"/>
    <xf numFmtId="168" fontId="35" fillId="17" borderId="28" xfId="0" applyNumberFormat="1" applyFont="1" applyFill="1" applyBorder="1"/>
    <xf numFmtId="4" fontId="45" fillId="8" borderId="5" xfId="0" applyNumberFormat="1" applyFont="1" applyFill="1" applyBorder="1" applyAlignment="1">
      <alignment vertical="center"/>
    </xf>
    <xf numFmtId="4" fontId="35" fillId="10" borderId="120" xfId="0" applyNumberFormat="1" applyFont="1" applyFill="1" applyBorder="1"/>
    <xf numFmtId="4" fontId="35" fillId="5" borderId="7" xfId="0" applyNumberFormat="1" applyFont="1" applyFill="1" applyBorder="1"/>
    <xf numFmtId="4" fontId="45" fillId="23" borderId="14" xfId="0" applyNumberFormat="1" applyFont="1" applyFill="1" applyBorder="1"/>
    <xf numFmtId="173" fontId="45" fillId="23" borderId="14" xfId="0" applyNumberFormat="1" applyFont="1" applyFill="1" applyBorder="1"/>
    <xf numFmtId="4" fontId="45" fillId="0" borderId="79" xfId="0" applyNumberFormat="1" applyFont="1" applyBorder="1" applyAlignment="1">
      <alignment horizontal="center"/>
    </xf>
    <xf numFmtId="4" fontId="45" fillId="8" borderId="5" xfId="0" applyNumberFormat="1" applyFont="1" applyFill="1" applyBorder="1" applyAlignment="1">
      <alignment horizontal="center" vertical="center"/>
    </xf>
    <xf numFmtId="4" fontId="45" fillId="17" borderId="13" xfId="0" applyNumberFormat="1" applyFont="1" applyFill="1" applyBorder="1"/>
    <xf numFmtId="173" fontId="45" fillId="17" borderId="13" xfId="0" applyNumberFormat="1" applyFont="1" applyFill="1" applyBorder="1"/>
    <xf numFmtId="173" fontId="45" fillId="17" borderId="9" xfId="0" applyNumberFormat="1" applyFont="1" applyFill="1" applyBorder="1"/>
    <xf numFmtId="4" fontId="35" fillId="23" borderId="13" xfId="0" applyNumberFormat="1" applyFont="1" applyFill="1" applyBorder="1"/>
    <xf numFmtId="173" fontId="35" fillId="23" borderId="13" xfId="0" applyNumberFormat="1" applyFont="1" applyFill="1" applyBorder="1"/>
    <xf numFmtId="4" fontId="35" fillId="16" borderId="13" xfId="0" applyNumberFormat="1" applyFont="1" applyFill="1" applyBorder="1"/>
    <xf numFmtId="4" fontId="35" fillId="8" borderId="5" xfId="0" applyNumberFormat="1" applyFont="1" applyFill="1" applyBorder="1" applyAlignment="1">
      <alignment horizontal="center" vertical="center"/>
    </xf>
    <xf numFmtId="4" fontId="35" fillId="43" borderId="7" xfId="1" applyNumberFormat="1" applyFont="1" applyFill="1" applyBorder="1"/>
    <xf numFmtId="4" fontId="45" fillId="8" borderId="28" xfId="0" applyNumberFormat="1" applyFont="1" applyFill="1" applyBorder="1" applyAlignment="1">
      <alignment vertical="center"/>
    </xf>
    <xf numFmtId="4" fontId="45" fillId="23" borderId="28" xfId="0" applyNumberFormat="1" applyFont="1" applyFill="1" applyBorder="1"/>
    <xf numFmtId="168" fontId="45" fillId="23" borderId="28" xfId="0" applyNumberFormat="1" applyFont="1" applyFill="1" applyBorder="1"/>
    <xf numFmtId="4" fontId="29" fillId="6" borderId="28" xfId="0" applyNumberFormat="1" applyFont="1" applyFill="1" applyBorder="1" applyAlignment="1">
      <alignment horizontal="center" vertical="center"/>
    </xf>
    <xf numFmtId="4" fontId="45" fillId="0" borderId="28" xfId="0" applyNumberFormat="1" applyFont="1" applyBorder="1" applyAlignment="1">
      <alignment horizontal="center"/>
    </xf>
    <xf numFmtId="4" fontId="45" fillId="8" borderId="28" xfId="0" applyNumberFormat="1" applyFont="1" applyFill="1" applyBorder="1" applyAlignment="1">
      <alignment horizontal="center" vertical="center"/>
    </xf>
    <xf numFmtId="4" fontId="45" fillId="17" borderId="28" xfId="0" applyNumberFormat="1" applyFont="1" applyFill="1" applyBorder="1"/>
    <xf numFmtId="168" fontId="45" fillId="17" borderId="28" xfId="0" applyNumberFormat="1" applyFont="1" applyFill="1" applyBorder="1"/>
    <xf numFmtId="4" fontId="35" fillId="23" borderId="28" xfId="0" applyNumberFormat="1" applyFont="1" applyFill="1" applyBorder="1"/>
    <xf numFmtId="168" fontId="35" fillId="23" borderId="28" xfId="0" applyNumberFormat="1" applyFont="1" applyFill="1" applyBorder="1"/>
    <xf numFmtId="4" fontId="35" fillId="17" borderId="28" xfId="0" applyNumberFormat="1" applyFont="1" applyFill="1" applyBorder="1"/>
    <xf numFmtId="4" fontId="35" fillId="8" borderId="28" xfId="0" applyNumberFormat="1" applyFont="1" applyFill="1" applyBorder="1" applyAlignment="1">
      <alignment horizontal="center" vertical="center"/>
    </xf>
    <xf numFmtId="4" fontId="35" fillId="0" borderId="28" xfId="1" applyNumberFormat="1" applyFont="1" applyBorder="1"/>
    <xf numFmtId="4" fontId="35" fillId="23" borderId="30" xfId="1" applyNumberFormat="1" applyFont="1" applyFill="1" applyBorder="1"/>
    <xf numFmtId="168" fontId="35" fillId="0" borderId="28" xfId="0" applyNumberFormat="1" applyFont="1" applyFill="1" applyBorder="1"/>
    <xf numFmtId="4" fontId="35" fillId="0" borderId="29" xfId="0" applyNumberFormat="1" applyFont="1" applyFill="1" applyBorder="1"/>
    <xf numFmtId="4" fontId="29" fillId="0" borderId="30" xfId="0" applyNumberFormat="1" applyFont="1" applyFill="1" applyBorder="1" applyAlignment="1">
      <alignment horizontal="center" vertical="center"/>
    </xf>
    <xf numFmtId="172" fontId="0" fillId="0" borderId="0" xfId="0" applyNumberFormat="1" applyFill="1" applyBorder="1"/>
    <xf numFmtId="172" fontId="2" fillId="0" borderId="0" xfId="0" applyNumberFormat="1" applyFont="1" applyFill="1" applyBorder="1"/>
    <xf numFmtId="2" fontId="2" fillId="0" borderId="0" xfId="0" applyNumberFormat="1" applyFont="1" applyFill="1" applyBorder="1"/>
    <xf numFmtId="4" fontId="18" fillId="0" borderId="59" xfId="0" applyNumberFormat="1" applyFont="1" applyFill="1" applyBorder="1"/>
    <xf numFmtId="4" fontId="18" fillId="0" borderId="40" xfId="1" applyNumberFormat="1" applyFont="1" applyFill="1" applyBorder="1"/>
    <xf numFmtId="4" fontId="18" fillId="0" borderId="59" xfId="1" applyNumberFormat="1" applyFont="1" applyFill="1" applyBorder="1"/>
    <xf numFmtId="4" fontId="18" fillId="0" borderId="59" xfId="1" applyNumberFormat="1" applyFont="1" applyFill="1" applyBorder="1" applyAlignment="1">
      <alignment horizontal="center"/>
    </xf>
    <xf numFmtId="4" fontId="18" fillId="4" borderId="0" xfId="0" applyNumberFormat="1" applyFont="1" applyFill="1" applyBorder="1"/>
    <xf numFmtId="4" fontId="18" fillId="0" borderId="0" xfId="0" applyNumberFormat="1" applyFont="1" applyFill="1"/>
    <xf numFmtId="4" fontId="35" fillId="18" borderId="0" xfId="0" applyNumberFormat="1" applyFont="1" applyFill="1" applyBorder="1"/>
    <xf numFmtId="4" fontId="18" fillId="18" borderId="0" xfId="1" applyNumberFormat="1" applyFont="1" applyFill="1" applyBorder="1"/>
    <xf numFmtId="4" fontId="18" fillId="18" borderId="0" xfId="0" applyNumberFormat="1" applyFont="1" applyFill="1" applyBorder="1"/>
    <xf numFmtId="168" fontId="18" fillId="18" borderId="0" xfId="0" applyNumberFormat="1" applyFont="1" applyFill="1" applyBorder="1"/>
    <xf numFmtId="168" fontId="18" fillId="0" borderId="0" xfId="0" applyNumberFormat="1" applyFont="1" applyBorder="1"/>
    <xf numFmtId="4" fontId="18" fillId="18" borderId="11" xfId="0" applyNumberFormat="1" applyFont="1" applyFill="1" applyBorder="1"/>
    <xf numFmtId="0" fontId="18" fillId="0" borderId="11" xfId="0" applyFont="1" applyFill="1" applyBorder="1"/>
    <xf numFmtId="9" fontId="18" fillId="18" borderId="12" xfId="3" applyFont="1" applyFill="1" applyBorder="1"/>
    <xf numFmtId="0" fontId="18" fillId="0" borderId="12" xfId="0" applyFont="1" applyFill="1" applyBorder="1"/>
    <xf numFmtId="0" fontId="0" fillId="0" borderId="42" xfId="0" applyFill="1" applyBorder="1" applyAlignment="1">
      <alignment wrapText="1"/>
    </xf>
    <xf numFmtId="4" fontId="35" fillId="16" borderId="97" xfId="0" applyNumberFormat="1" applyFont="1" applyFill="1" applyBorder="1"/>
    <xf numFmtId="43" fontId="18" fillId="16" borderId="8" xfId="1" applyFont="1" applyFill="1" applyBorder="1"/>
    <xf numFmtId="0" fontId="34" fillId="15" borderId="7" xfId="0" applyFont="1" applyFill="1" applyBorder="1" applyAlignment="1">
      <alignment wrapText="1"/>
    </xf>
    <xf numFmtId="0" fontId="34" fillId="22" borderId="7" xfId="0" applyFont="1" applyFill="1" applyBorder="1" applyAlignment="1">
      <alignment wrapText="1"/>
    </xf>
    <xf numFmtId="0" fontId="40" fillId="0" borderId="7" xfId="0" applyFont="1" applyFill="1" applyBorder="1" applyAlignment="1">
      <alignment wrapText="1"/>
    </xf>
    <xf numFmtId="0" fontId="18" fillId="17" borderId="10" xfId="0" applyFont="1" applyFill="1" applyBorder="1" applyAlignment="1"/>
    <xf numFmtId="0" fontId="24" fillId="15" borderId="7" xfId="0" applyFont="1" applyFill="1" applyBorder="1" applyAlignment="1">
      <alignment wrapText="1"/>
    </xf>
    <xf numFmtId="0" fontId="40" fillId="0" borderId="7" xfId="0" applyFont="1" applyFill="1" applyBorder="1" applyAlignment="1">
      <alignment vertical="top" wrapText="1"/>
    </xf>
    <xf numFmtId="4" fontId="18" fillId="10" borderId="7" xfId="0" applyNumberFormat="1" applyFont="1" applyFill="1" applyBorder="1" applyAlignment="1">
      <alignment vertical="center" wrapText="1"/>
    </xf>
    <xf numFmtId="4" fontId="18" fillId="0" borderId="7" xfId="0" applyNumberFormat="1" applyFont="1" applyFill="1" applyBorder="1" applyAlignment="1">
      <alignment vertical="center" wrapText="1"/>
    </xf>
    <xf numFmtId="4" fontId="35" fillId="13" borderId="205" xfId="1" applyNumberFormat="1" applyFont="1" applyFill="1" applyBorder="1"/>
    <xf numFmtId="4" fontId="35" fillId="13" borderId="8" xfId="1" applyNumberFormat="1" applyFont="1" applyFill="1" applyBorder="1"/>
    <xf numFmtId="4" fontId="35" fillId="44" borderId="205" xfId="1" applyNumberFormat="1" applyFont="1" applyFill="1" applyBorder="1"/>
    <xf numFmtId="4" fontId="35" fillId="5" borderId="108" xfId="1" applyNumberFormat="1" applyFont="1" applyFill="1" applyBorder="1"/>
    <xf numFmtId="4" fontId="35" fillId="0" borderId="205" xfId="1" applyNumberFormat="1" applyFont="1" applyFill="1" applyBorder="1"/>
    <xf numFmtId="179" fontId="18" fillId="0" borderId="0" xfId="0" applyNumberFormat="1" applyFont="1"/>
    <xf numFmtId="178" fontId="0" fillId="0" borderId="1" xfId="0" applyNumberFormat="1" applyBorder="1"/>
    <xf numFmtId="178" fontId="0" fillId="0" borderId="1" xfId="0" applyNumberFormat="1" applyBorder="1" applyAlignment="1"/>
    <xf numFmtId="0" fontId="0" fillId="0" borderId="1" xfId="0" applyBorder="1" applyAlignment="1"/>
    <xf numFmtId="0" fontId="160" fillId="0" borderId="0" xfId="0" applyFont="1" applyBorder="1" applyAlignment="1">
      <alignment vertical="center" wrapText="1"/>
    </xf>
    <xf numFmtId="0" fontId="81" fillId="0" borderId="1" xfId="0" applyFont="1" applyBorder="1"/>
    <xf numFmtId="0" fontId="161" fillId="0" borderId="1" xfId="0" applyFont="1" applyFill="1" applyBorder="1" applyAlignment="1">
      <alignment vertical="center" wrapText="1"/>
    </xf>
    <xf numFmtId="0" fontId="25" fillId="0" borderId="1" xfId="0" applyFont="1" applyBorder="1" applyAlignment="1">
      <alignment wrapText="1"/>
    </xf>
    <xf numFmtId="0" fontId="25" fillId="0" borderId="1" xfId="0" applyFont="1" applyBorder="1" applyAlignment="1">
      <alignment horizontal="left" vertical="center" wrapText="1" indent="1"/>
    </xf>
    <xf numFmtId="0" fontId="162" fillId="0" borderId="1" xfId="0" applyFont="1" applyBorder="1" applyAlignment="1">
      <alignment horizontal="left" vertical="center" wrapText="1" indent="1"/>
    </xf>
    <xf numFmtId="6" fontId="25" fillId="0" borderId="1" xfId="0" applyNumberFormat="1" applyFont="1" applyBorder="1" applyAlignment="1">
      <alignment wrapText="1"/>
    </xf>
    <xf numFmtId="6" fontId="25" fillId="0" borderId="1" xfId="0" applyNumberFormat="1" applyFont="1" applyBorder="1" applyAlignment="1">
      <alignment horizontal="left" vertical="top"/>
    </xf>
    <xf numFmtId="0" fontId="83" fillId="0" borderId="1" xfId="0" applyFont="1" applyBorder="1"/>
    <xf numFmtId="43" fontId="18" fillId="0" borderId="35" xfId="1" applyFont="1" applyBorder="1"/>
    <xf numFmtId="4" fontId="156" fillId="4" borderId="8" xfId="0" applyNumberFormat="1" applyFont="1" applyFill="1" applyBorder="1" applyAlignment="1">
      <alignment horizontal="center" wrapText="1"/>
    </xf>
    <xf numFmtId="43" fontId="15" fillId="18" borderId="0" xfId="1" applyFont="1" applyFill="1" applyBorder="1"/>
    <xf numFmtId="43" fontId="15" fillId="18" borderId="11" xfId="1" applyFont="1" applyFill="1" applyBorder="1"/>
    <xf numFmtId="0" fontId="0" fillId="4" borderId="5" xfId="0" applyFill="1" applyBorder="1"/>
    <xf numFmtId="0" fontId="0" fillId="4" borderId="9" xfId="0" applyFill="1" applyBorder="1"/>
    <xf numFmtId="0" fontId="19" fillId="18" borderId="6" xfId="0" applyFont="1" applyFill="1" applyBorder="1" applyAlignment="1">
      <alignment vertical="center" wrapText="1"/>
    </xf>
    <xf numFmtId="0" fontId="19" fillId="18" borderId="8" xfId="0" applyFont="1" applyFill="1" applyBorder="1" applyAlignment="1">
      <alignment vertical="center" wrapText="1"/>
    </xf>
    <xf numFmtId="0" fontId="19" fillId="18" borderId="8" xfId="0" applyFont="1" applyFill="1" applyBorder="1"/>
    <xf numFmtId="4" fontId="34" fillId="0" borderId="1" xfId="0" applyNumberFormat="1" applyFont="1" applyFill="1" applyBorder="1"/>
    <xf numFmtId="0" fontId="0" fillId="18" borderId="1" xfId="0" applyFont="1" applyFill="1" applyBorder="1" applyAlignment="1">
      <alignment vertical="center" wrapText="1"/>
    </xf>
    <xf numFmtId="3" fontId="0" fillId="18" borderId="1" xfId="0" applyNumberFormat="1" applyFont="1" applyFill="1" applyBorder="1" applyAlignment="1">
      <alignment vertical="center" wrapText="1"/>
    </xf>
    <xf numFmtId="0" fontId="18" fillId="0" borderId="38" xfId="0" applyFont="1" applyFill="1" applyBorder="1"/>
    <xf numFmtId="0" fontId="0" fillId="0" borderId="0" xfId="0" applyFont="1" applyFill="1" applyBorder="1" applyAlignment="1">
      <alignment vertical="center" wrapText="1"/>
    </xf>
    <xf numFmtId="3" fontId="0" fillId="0" borderId="0" xfId="0" applyNumberFormat="1" applyFont="1" applyFill="1" applyBorder="1" applyAlignment="1">
      <alignment vertical="center" wrapText="1"/>
    </xf>
    <xf numFmtId="4" fontId="2" fillId="0" borderId="31" xfId="0" applyNumberFormat="1" applyFont="1" applyFill="1" applyBorder="1"/>
    <xf numFmtId="0" fontId="18" fillId="0" borderId="0" xfId="0" applyFont="1" applyBorder="1" applyAlignment="1">
      <alignment horizontal="left" vertical="top" wrapText="1"/>
    </xf>
    <xf numFmtId="0" fontId="59" fillId="15" borderId="32" xfId="0" applyFont="1" applyFill="1" applyBorder="1"/>
    <xf numFmtId="0" fontId="159" fillId="0" borderId="29" xfId="0" applyFont="1" applyBorder="1" applyAlignment="1">
      <alignment vertical="center" wrapText="1"/>
    </xf>
    <xf numFmtId="0" fontId="159" fillId="0" borderId="10" xfId="0" applyFont="1" applyBorder="1" applyAlignment="1">
      <alignment vertical="center" wrapText="1"/>
    </xf>
    <xf numFmtId="0" fontId="32" fillId="0" borderId="16" xfId="0" applyFont="1" applyBorder="1" applyAlignment="1">
      <alignment horizontal="left" vertical="top" wrapText="1"/>
    </xf>
    <xf numFmtId="0" fontId="32" fillId="0" borderId="17" xfId="0" applyFont="1" applyFill="1" applyBorder="1" applyAlignment="1">
      <alignment horizontal="center" wrapText="1"/>
    </xf>
    <xf numFmtId="0" fontId="24" fillId="0" borderId="26" xfId="0" applyFont="1" applyBorder="1" applyAlignment="1">
      <alignment horizontal="center" vertical="center" wrapText="1"/>
    </xf>
    <xf numFmtId="0" fontId="2" fillId="0" borderId="24" xfId="0" applyFont="1" applyBorder="1"/>
    <xf numFmtId="168" fontId="20" fillId="0" borderId="0" xfId="0" applyNumberFormat="1" applyFont="1"/>
    <xf numFmtId="0" fontId="20" fillId="0" borderId="30" xfId="0" applyFont="1" applyFill="1" applyBorder="1" applyAlignment="1">
      <alignment vertical="top"/>
    </xf>
    <xf numFmtId="0" fontId="20" fillId="0" borderId="14" xfId="0" applyFont="1" applyFill="1" applyBorder="1" applyAlignment="1">
      <alignment vertical="top" wrapText="1"/>
    </xf>
    <xf numFmtId="0" fontId="20" fillId="0" borderId="15" xfId="0" applyFont="1" applyFill="1" applyBorder="1" applyAlignment="1">
      <alignment vertical="top"/>
    </xf>
    <xf numFmtId="0" fontId="0" fillId="0" borderId="11" xfId="0" applyFont="1" applyFill="1" applyBorder="1"/>
    <xf numFmtId="3" fontId="0" fillId="0" borderId="11" xfId="0" applyNumberFormat="1" applyFont="1" applyFill="1" applyBorder="1"/>
    <xf numFmtId="0" fontId="0" fillId="0" borderId="6" xfId="0" applyFont="1" applyFill="1" applyBorder="1"/>
    <xf numFmtId="0" fontId="20" fillId="0" borderId="28" xfId="0" applyFont="1" applyFill="1" applyBorder="1" applyAlignment="1">
      <alignment wrapText="1"/>
    </xf>
    <xf numFmtId="3" fontId="0" fillId="0" borderId="0" xfId="0" applyNumberFormat="1" applyFont="1" applyFill="1" applyBorder="1"/>
    <xf numFmtId="0" fontId="0" fillId="0" borderId="8" xfId="0" applyFont="1" applyFill="1" applyBorder="1"/>
    <xf numFmtId="0" fontId="0" fillId="0" borderId="28" xfId="0" applyFont="1" applyFill="1" applyBorder="1"/>
    <xf numFmtId="0" fontId="0" fillId="50" borderId="30" xfId="0" applyFont="1" applyFill="1" applyBorder="1"/>
    <xf numFmtId="0" fontId="0" fillId="50" borderId="14" xfId="0" applyFont="1" applyFill="1" applyBorder="1"/>
    <xf numFmtId="3" fontId="2" fillId="50" borderId="14" xfId="0" applyNumberFormat="1" applyFont="1" applyFill="1" applyBorder="1"/>
    <xf numFmtId="4" fontId="0" fillId="50" borderId="14" xfId="0" applyNumberFormat="1" applyFont="1" applyFill="1" applyBorder="1"/>
    <xf numFmtId="10" fontId="0" fillId="50" borderId="14" xfId="0" applyNumberFormat="1" applyFont="1" applyFill="1" applyBorder="1"/>
    <xf numFmtId="0" fontId="0" fillId="50" borderId="15" xfId="0" applyFont="1" applyFill="1" applyBorder="1"/>
    <xf numFmtId="0" fontId="0" fillId="0" borderId="29" xfId="0" applyFont="1" applyFill="1" applyBorder="1"/>
    <xf numFmtId="0" fontId="0" fillId="0" borderId="12" xfId="0" applyFont="1" applyFill="1" applyBorder="1"/>
    <xf numFmtId="0" fontId="0" fillId="0" borderId="10" xfId="0" applyFont="1" applyFill="1" applyBorder="1"/>
    <xf numFmtId="0" fontId="0" fillId="0" borderId="0" xfId="0" applyFont="1" applyFill="1" applyBorder="1" applyAlignment="1">
      <alignment vertical="top"/>
    </xf>
    <xf numFmtId="0" fontId="0" fillId="0" borderId="0" xfId="0" applyAlignment="1">
      <alignment horizontal="center"/>
    </xf>
    <xf numFmtId="6" fontId="0" fillId="0" borderId="0" xfId="0" applyNumberFormat="1"/>
    <xf numFmtId="0" fontId="0" fillId="0" borderId="1" xfId="0" applyBorder="1" applyAlignment="1">
      <alignment vertical="center"/>
    </xf>
    <xf numFmtId="0" fontId="20" fillId="0" borderId="1" xfId="0" applyFont="1" applyBorder="1" applyAlignment="1">
      <alignment vertical="top" wrapText="1"/>
    </xf>
    <xf numFmtId="168" fontId="18" fillId="0" borderId="1" xfId="0" applyNumberFormat="1" applyFont="1" applyBorder="1"/>
    <xf numFmtId="3" fontId="18" fillId="0" borderId="1" xfId="0" applyNumberFormat="1" applyFont="1" applyBorder="1"/>
    <xf numFmtId="3" fontId="19" fillId="0" borderId="1" xfId="0" applyNumberFormat="1" applyFont="1" applyBorder="1"/>
    <xf numFmtId="0" fontId="0" fillId="18" borderId="13" xfId="0" applyFill="1" applyBorder="1" applyAlignment="1"/>
    <xf numFmtId="0" fontId="0" fillId="18" borderId="14" xfId="0" applyFill="1" applyBorder="1" applyAlignment="1"/>
    <xf numFmtId="0" fontId="0" fillId="18" borderId="15" xfId="0" applyFill="1" applyBorder="1" applyAlignment="1"/>
    <xf numFmtId="0" fontId="0" fillId="18" borderId="7" xfId="0" applyFill="1" applyBorder="1"/>
    <xf numFmtId="0" fontId="0" fillId="18" borderId="0" xfId="0" applyFill="1" applyBorder="1"/>
    <xf numFmtId="0" fontId="0" fillId="18" borderId="8" xfId="0" applyFill="1" applyBorder="1"/>
    <xf numFmtId="0" fontId="0" fillId="18" borderId="16" xfId="0" applyFill="1" applyBorder="1"/>
    <xf numFmtId="0" fontId="0" fillId="18" borderId="1" xfId="0" applyFill="1" applyBorder="1"/>
    <xf numFmtId="0" fontId="0" fillId="18" borderId="17" xfId="0" applyFont="1" applyFill="1" applyBorder="1" applyAlignment="1">
      <alignment horizontal="center" vertical="center" wrapText="1"/>
    </xf>
    <xf numFmtId="0" fontId="18" fillId="0" borderId="1" xfId="0" applyFont="1" applyBorder="1" applyAlignment="1">
      <alignment horizontal="center" vertical="top" wrapText="1"/>
    </xf>
    <xf numFmtId="0" fontId="19" fillId="18" borderId="1" xfId="0" applyFont="1" applyFill="1" applyBorder="1" applyAlignment="1">
      <alignment wrapText="1"/>
    </xf>
    <xf numFmtId="0" fontId="18" fillId="18" borderId="1" xfId="0" applyFont="1" applyFill="1" applyBorder="1" applyAlignment="1">
      <alignment wrapText="1"/>
    </xf>
    <xf numFmtId="0" fontId="0" fillId="18" borderId="17" xfId="0" applyFill="1" applyBorder="1"/>
    <xf numFmtId="9" fontId="0" fillId="12" borderId="1" xfId="0" applyNumberFormat="1" applyFill="1" applyBorder="1"/>
    <xf numFmtId="3" fontId="19" fillId="18" borderId="1" xfId="0" applyNumberFormat="1" applyFont="1" applyFill="1" applyBorder="1"/>
    <xf numFmtId="3" fontId="19" fillId="12" borderId="1" xfId="0" applyNumberFormat="1" applyFont="1" applyFill="1" applyBorder="1"/>
    <xf numFmtId="0" fontId="19" fillId="18" borderId="17" xfId="0" applyFont="1" applyFill="1" applyBorder="1"/>
    <xf numFmtId="0" fontId="0" fillId="18" borderId="26" xfId="0" applyFill="1" applyBorder="1"/>
    <xf numFmtId="0" fontId="19" fillId="12" borderId="24" xfId="0" applyFont="1" applyFill="1" applyBorder="1"/>
    <xf numFmtId="3" fontId="19" fillId="18" borderId="24" xfId="0" applyNumberFormat="1" applyFont="1" applyFill="1" applyBorder="1"/>
    <xf numFmtId="3" fontId="19" fillId="12" borderId="24" xfId="0" applyNumberFormat="1" applyFont="1" applyFill="1" applyBorder="1"/>
    <xf numFmtId="0" fontId="19" fillId="18" borderId="25" xfId="0" applyFont="1" applyFill="1" applyBorder="1"/>
    <xf numFmtId="0" fontId="20" fillId="0" borderId="3" xfId="0" applyFont="1" applyBorder="1" applyAlignment="1">
      <alignment wrapText="1"/>
    </xf>
    <xf numFmtId="0" fontId="20" fillId="0" borderId="4" xfId="0" applyFont="1" applyBorder="1"/>
    <xf numFmtId="0" fontId="0" fillId="18" borderId="3" xfId="0" applyFill="1" applyBorder="1" applyAlignment="1"/>
    <xf numFmtId="0" fontId="0" fillId="18" borderId="3" xfId="0" applyFill="1" applyBorder="1" applyAlignment="1">
      <alignment wrapText="1"/>
    </xf>
    <xf numFmtId="0" fontId="0" fillId="18" borderId="3" xfId="0" applyFill="1" applyBorder="1"/>
    <xf numFmtId="0" fontId="0" fillId="18" borderId="4" xfId="0" applyFill="1" applyBorder="1"/>
    <xf numFmtId="0" fontId="18" fillId="0" borderId="32" xfId="0" applyFont="1" applyBorder="1" applyAlignment="1">
      <alignment vertical="top" wrapText="1"/>
    </xf>
    <xf numFmtId="0" fontId="18" fillId="0" borderId="178" xfId="0" applyFont="1" applyBorder="1" applyAlignment="1">
      <alignment vertical="top" wrapText="1"/>
    </xf>
    <xf numFmtId="0" fontId="0" fillId="18" borderId="1" xfId="0" applyFill="1" applyBorder="1" applyAlignment="1">
      <alignment wrapText="1"/>
    </xf>
    <xf numFmtId="0" fontId="0" fillId="18" borderId="17" xfId="0" applyFill="1" applyBorder="1" applyAlignment="1">
      <alignment wrapText="1"/>
    </xf>
    <xf numFmtId="3" fontId="19" fillId="0" borderId="3" xfId="0" applyNumberFormat="1" applyFont="1" applyBorder="1"/>
    <xf numFmtId="0" fontId="19" fillId="0" borderId="3" xfId="0" applyFont="1" applyBorder="1"/>
    <xf numFmtId="0" fontId="19" fillId="0" borderId="4" xfId="0" applyFont="1" applyBorder="1"/>
    <xf numFmtId="3" fontId="19" fillId="0" borderId="24" xfId="0" applyNumberFormat="1" applyFont="1" applyBorder="1"/>
    <xf numFmtId="0" fontId="19" fillId="0" borderId="19" xfId="0" applyFont="1" applyBorder="1"/>
    <xf numFmtId="0" fontId="19" fillId="0" borderId="20" xfId="0" applyFont="1" applyBorder="1"/>
    <xf numFmtId="3" fontId="19" fillId="0" borderId="31" xfId="0" applyNumberFormat="1" applyFont="1" applyBorder="1"/>
    <xf numFmtId="0" fontId="19" fillId="0" borderId="35" xfId="0" applyFont="1" applyBorder="1"/>
    <xf numFmtId="0" fontId="0" fillId="18" borderId="24" xfId="0" applyFill="1" applyBorder="1"/>
    <xf numFmtId="0" fontId="0" fillId="18" borderId="25" xfId="0" applyFill="1" applyBorder="1"/>
    <xf numFmtId="0" fontId="0" fillId="0" borderId="22" xfId="0" applyBorder="1"/>
    <xf numFmtId="0" fontId="0" fillId="18" borderId="2" xfId="0" applyFill="1" applyBorder="1"/>
    <xf numFmtId="0" fontId="18" fillId="18" borderId="16" xfId="0" applyFont="1" applyFill="1" applyBorder="1" applyAlignment="1">
      <alignment vertical="top" wrapText="1"/>
    </xf>
    <xf numFmtId="0" fontId="0" fillId="0" borderId="26" xfId="0" applyBorder="1" applyAlignment="1">
      <alignment wrapText="1"/>
    </xf>
    <xf numFmtId="3" fontId="0" fillId="18" borderId="24" xfId="0" applyNumberFormat="1" applyFill="1" applyBorder="1"/>
    <xf numFmtId="0" fontId="18" fillId="0" borderId="1" xfId="0" applyFont="1" applyBorder="1" applyAlignment="1">
      <alignment vertical="center"/>
    </xf>
    <xf numFmtId="0" fontId="18" fillId="0" borderId="1" xfId="0" applyFont="1" applyBorder="1" applyAlignment="1">
      <alignment vertical="center" wrapText="1"/>
    </xf>
    <xf numFmtId="0" fontId="18" fillId="0" borderId="3" xfId="0" applyFont="1" applyBorder="1" applyAlignment="1">
      <alignment wrapText="1"/>
    </xf>
    <xf numFmtId="0" fontId="20" fillId="0" borderId="17" xfId="0" applyFont="1" applyBorder="1" applyAlignment="1">
      <alignment wrapText="1"/>
    </xf>
    <xf numFmtId="0" fontId="18" fillId="0" borderId="24" xfId="0" applyFont="1" applyBorder="1" applyAlignment="1">
      <alignment wrapText="1"/>
    </xf>
    <xf numFmtId="174" fontId="19" fillId="0" borderId="1" xfId="0" applyNumberFormat="1" applyFont="1" applyBorder="1"/>
    <xf numFmtId="174" fontId="32" fillId="0" borderId="1" xfId="0" applyNumberFormat="1" applyFont="1" applyBorder="1"/>
    <xf numFmtId="0" fontId="0" fillId="0" borderId="1" xfId="0" applyFill="1" applyBorder="1" applyAlignment="1">
      <alignment wrapText="1"/>
    </xf>
    <xf numFmtId="174" fontId="0" fillId="0" borderId="1" xfId="0" applyNumberFormat="1" applyBorder="1"/>
    <xf numFmtId="174" fontId="19" fillId="0" borderId="25" xfId="0" applyNumberFormat="1" applyFont="1" applyBorder="1"/>
    <xf numFmtId="0" fontId="0" fillId="0" borderId="7" xfId="0" applyFont="1" applyBorder="1"/>
    <xf numFmtId="0" fontId="0" fillId="0" borderId="28" xfId="0" applyFont="1" applyBorder="1"/>
    <xf numFmtId="0" fontId="20" fillId="0" borderId="27" xfId="0" applyFont="1" applyFill="1" applyBorder="1"/>
    <xf numFmtId="0" fontId="20" fillId="0" borderId="28" xfId="0" applyFont="1" applyFill="1" applyBorder="1"/>
    <xf numFmtId="0" fontId="20" fillId="0" borderId="29" xfId="0" applyFont="1" applyFill="1" applyBorder="1"/>
    <xf numFmtId="0" fontId="24" fillId="0" borderId="27" xfId="0" applyFont="1" applyBorder="1"/>
    <xf numFmtId="0" fontId="20" fillId="0" borderId="28" xfId="0" applyFont="1" applyBorder="1"/>
    <xf numFmtId="0" fontId="20" fillId="0" borderId="28" xfId="0" applyFont="1" applyBorder="1" applyAlignment="1">
      <alignment wrapText="1"/>
    </xf>
    <xf numFmtId="2" fontId="0" fillId="0" borderId="7" xfId="0" applyNumberFormat="1" applyFont="1" applyBorder="1"/>
    <xf numFmtId="3" fontId="0" fillId="0" borderId="7" xfId="0" applyNumberFormat="1" applyFont="1" applyBorder="1"/>
    <xf numFmtId="3" fontId="20" fillId="0" borderId="9" xfId="0" applyNumberFormat="1" applyFont="1" applyBorder="1"/>
    <xf numFmtId="0" fontId="0" fillId="0" borderId="30" xfId="0" applyBorder="1" applyAlignment="1">
      <alignment vertical="center" wrapText="1"/>
    </xf>
    <xf numFmtId="3" fontId="0" fillId="0" borderId="13" xfId="0" applyNumberFormat="1" applyBorder="1"/>
    <xf numFmtId="0" fontId="0" fillId="0" borderId="0" xfId="0" applyBorder="1" applyAlignment="1">
      <alignment vertical="center"/>
    </xf>
    <xf numFmtId="0" fontId="0" fillId="0" borderId="0" xfId="0" applyBorder="1" applyAlignment="1">
      <alignment horizontal="left" vertical="center" wrapText="1"/>
    </xf>
    <xf numFmtId="0" fontId="0" fillId="0" borderId="30" xfId="0" applyBorder="1" applyAlignment="1">
      <alignment vertical="center"/>
    </xf>
    <xf numFmtId="4" fontId="0" fillId="30" borderId="11" xfId="1" applyNumberFormat="1" applyFont="1" applyFill="1" applyBorder="1" applyAlignment="1">
      <alignment horizontal="right"/>
    </xf>
    <xf numFmtId="4" fontId="0" fillId="30" borderId="7" xfId="0" applyNumberFormat="1" applyFill="1" applyBorder="1"/>
    <xf numFmtId="4" fontId="0" fillId="30" borderId="0" xfId="0" applyNumberFormat="1" applyFill="1" applyBorder="1"/>
    <xf numFmtId="4" fontId="0" fillId="30" borderId="0" xfId="1" applyNumberFormat="1" applyFont="1" applyFill="1" applyBorder="1"/>
    <xf numFmtId="166" fontId="19" fillId="30" borderId="0" xfId="1" applyNumberFormat="1" applyFont="1" applyFill="1" applyBorder="1"/>
    <xf numFmtId="4" fontId="0" fillId="31" borderId="7" xfId="0" applyNumberFormat="1" applyFill="1" applyBorder="1"/>
    <xf numFmtId="4" fontId="0" fillId="31" borderId="11" xfId="1" applyNumberFormat="1" applyFont="1" applyFill="1" applyBorder="1"/>
    <xf numFmtId="4" fontId="0" fillId="31" borderId="6" xfId="1" applyNumberFormat="1" applyFont="1" applyFill="1" applyBorder="1"/>
    <xf numFmtId="166" fontId="19" fillId="31" borderId="7" xfId="1" applyNumberFormat="1" applyFont="1" applyFill="1" applyBorder="1"/>
    <xf numFmtId="4" fontId="15" fillId="30" borderId="0" xfId="1" applyNumberFormat="1" applyFont="1" applyFill="1" applyBorder="1"/>
    <xf numFmtId="4" fontId="0" fillId="30" borderId="11" xfId="1" applyNumberFormat="1" applyFont="1" applyFill="1" applyBorder="1"/>
    <xf numFmtId="4" fontId="0" fillId="30" borderId="7" xfId="1" applyNumberFormat="1" applyFont="1" applyFill="1" applyBorder="1"/>
    <xf numFmtId="4" fontId="0" fillId="30" borderId="5" xfId="1" applyNumberFormat="1" applyFont="1" applyFill="1" applyBorder="1"/>
    <xf numFmtId="4" fontId="53" fillId="30" borderId="0" xfId="0" applyNumberFormat="1" applyFont="1" applyFill="1" applyBorder="1"/>
    <xf numFmtId="4" fontId="20" fillId="30" borderId="31" xfId="0" applyNumberFormat="1" applyFont="1" applyFill="1" applyBorder="1"/>
    <xf numFmtId="4" fontId="34" fillId="0" borderId="28" xfId="0" applyNumberFormat="1" applyFont="1" applyFill="1" applyBorder="1"/>
    <xf numFmtId="4" fontId="34" fillId="0" borderId="28" xfId="0" applyNumberFormat="1" applyFont="1" applyBorder="1"/>
    <xf numFmtId="4" fontId="35" fillId="31" borderId="0" xfId="0" applyNumberFormat="1" applyFont="1" applyFill="1" applyBorder="1"/>
    <xf numFmtId="4" fontId="0" fillId="31" borderId="7" xfId="1" applyNumberFormat="1" applyFont="1" applyFill="1" applyBorder="1"/>
    <xf numFmtId="4" fontId="0" fillId="31" borderId="0" xfId="1" applyNumberFormat="1" applyFont="1" applyFill="1" applyBorder="1"/>
    <xf numFmtId="0" fontId="18" fillId="31" borderId="7" xfId="0" applyFont="1" applyFill="1" applyBorder="1" applyAlignment="1">
      <alignment vertical="top"/>
    </xf>
    <xf numFmtId="4" fontId="35" fillId="31" borderId="0" xfId="1" applyNumberFormat="1" applyFont="1" applyFill="1" applyBorder="1"/>
    <xf numFmtId="4" fontId="35" fillId="31" borderId="8" xfId="0" applyNumberFormat="1" applyFont="1" applyFill="1" applyBorder="1"/>
    <xf numFmtId="4" fontId="35" fillId="31" borderId="107" xfId="0" applyNumberFormat="1" applyFont="1" applyFill="1" applyBorder="1"/>
    <xf numFmtId="4" fontId="35" fillId="31" borderId="8" xfId="1" applyNumberFormat="1" applyFont="1" applyFill="1" applyBorder="1"/>
    <xf numFmtId="4" fontId="35" fillId="31" borderId="65" xfId="1" applyNumberFormat="1" applyFont="1" applyFill="1" applyBorder="1"/>
    <xf numFmtId="4" fontId="35" fillId="31" borderId="143" xfId="0" applyNumberFormat="1" applyFont="1" applyFill="1" applyBorder="1"/>
    <xf numFmtId="4" fontId="35" fillId="31" borderId="89" xfId="1" applyNumberFormat="1" applyFont="1" applyFill="1" applyBorder="1"/>
    <xf numFmtId="4" fontId="35" fillId="31" borderId="73" xfId="1" applyNumberFormat="1" applyFont="1" applyFill="1" applyBorder="1"/>
    <xf numFmtId="4" fontId="35" fillId="31" borderId="144" xfId="1" applyNumberFormat="1" applyFont="1" applyFill="1" applyBorder="1"/>
    <xf numFmtId="4" fontId="35" fillId="31" borderId="102" xfId="1" applyNumberFormat="1" applyFont="1" applyFill="1" applyBorder="1"/>
    <xf numFmtId="4" fontId="35" fillId="31" borderId="71" xfId="1" applyNumberFormat="1" applyFont="1" applyFill="1" applyBorder="1"/>
    <xf numFmtId="4" fontId="35" fillId="30" borderId="102" xfId="0" applyNumberFormat="1" applyFont="1" applyFill="1" applyBorder="1"/>
    <xf numFmtId="4" fontId="35" fillId="30" borderId="8" xfId="1" applyNumberFormat="1" applyFont="1" applyFill="1" applyBorder="1"/>
    <xf numFmtId="4" fontId="35" fillId="30" borderId="8" xfId="0" applyNumberFormat="1" applyFont="1" applyFill="1" applyBorder="1"/>
    <xf numFmtId="166" fontId="19" fillId="30" borderId="8" xfId="1" applyNumberFormat="1" applyFont="1" applyFill="1" applyBorder="1"/>
    <xf numFmtId="4" fontId="35" fillId="30" borderId="143" xfId="0" applyNumberFormat="1" applyFont="1" applyFill="1" applyBorder="1"/>
    <xf numFmtId="4" fontId="15" fillId="30" borderId="8" xfId="1" applyNumberFormat="1" applyFont="1" applyFill="1" applyBorder="1"/>
    <xf numFmtId="4" fontId="0" fillId="0" borderId="5" xfId="3" applyNumberFormat="1" applyFont="1" applyFill="1" applyBorder="1" applyAlignment="1">
      <alignment horizontal="right"/>
    </xf>
    <xf numFmtId="0" fontId="0" fillId="0" borderId="189" xfId="0" applyBorder="1" applyAlignment="1">
      <alignment horizontal="left"/>
    </xf>
    <xf numFmtId="0" fontId="0" fillId="0" borderId="0" xfId="0" applyBorder="1" applyAlignment="1">
      <alignment horizontal="left"/>
    </xf>
    <xf numFmtId="15" fontId="0" fillId="0" borderId="193" xfId="0" applyNumberFormat="1" applyBorder="1" applyAlignment="1">
      <alignment horizontal="left"/>
    </xf>
    <xf numFmtId="0" fontId="0" fillId="0" borderId="190" xfId="0" applyBorder="1" applyAlignment="1">
      <alignment horizontal="left"/>
    </xf>
    <xf numFmtId="0" fontId="120" fillId="0" borderId="189" xfId="0" applyFont="1" applyBorder="1" applyAlignment="1">
      <alignment horizontal="left" vertical="center" wrapText="1"/>
    </xf>
    <xf numFmtId="0" fontId="120" fillId="0" borderId="0" xfId="0" applyFont="1" applyBorder="1" applyAlignment="1">
      <alignment horizontal="left" vertical="center" wrapText="1"/>
    </xf>
    <xf numFmtId="0" fontId="120" fillId="0" borderId="188" xfId="0" applyFont="1" applyBorder="1" applyAlignment="1">
      <alignment horizontal="left" vertical="center" wrapText="1"/>
    </xf>
    <xf numFmtId="0" fontId="120" fillId="0" borderId="193" xfId="0" applyFont="1" applyBorder="1" applyAlignment="1">
      <alignment horizontal="left" vertical="center" wrapText="1"/>
    </xf>
    <xf numFmtId="0" fontId="120" fillId="0" borderId="190" xfId="0" applyFont="1" applyBorder="1" applyAlignment="1">
      <alignment horizontal="left" vertical="center" wrapText="1"/>
    </xf>
    <xf numFmtId="0" fontId="120" fillId="0" borderId="195" xfId="0" applyFont="1" applyBorder="1" applyAlignment="1">
      <alignment horizontal="left" vertical="center" wrapText="1"/>
    </xf>
    <xf numFmtId="0" fontId="120" fillId="0" borderId="191" xfId="0" applyFont="1" applyBorder="1" applyAlignment="1">
      <alignment horizontal="left" vertical="center" wrapText="1"/>
    </xf>
    <xf numFmtId="0" fontId="120" fillId="0" borderId="192" xfId="0" applyFont="1" applyBorder="1" applyAlignment="1">
      <alignment horizontal="left" vertical="center" wrapText="1"/>
    </xf>
    <xf numFmtId="0" fontId="120" fillId="0" borderId="194" xfId="0" applyFont="1" applyBorder="1" applyAlignment="1">
      <alignment horizontal="left" vertical="center" wrapText="1"/>
    </xf>
    <xf numFmtId="0" fontId="0" fillId="0" borderId="196" xfId="0" applyBorder="1" applyAlignment="1">
      <alignment horizontal="center"/>
    </xf>
    <xf numFmtId="0" fontId="0" fillId="0" borderId="197" xfId="0" applyBorder="1" applyAlignment="1">
      <alignment horizontal="center"/>
    </xf>
    <xf numFmtId="0" fontId="49" fillId="0" borderId="0" xfId="0" applyFont="1" applyBorder="1" applyAlignment="1">
      <alignment horizontal="justify" vertical="center" wrapText="1"/>
    </xf>
    <xf numFmtId="0" fontId="0" fillId="0" borderId="198" xfId="0" applyBorder="1" applyAlignment="1">
      <alignment horizontal="center"/>
    </xf>
    <xf numFmtId="15" fontId="0" fillId="0" borderId="191" xfId="0" applyNumberFormat="1" applyBorder="1" applyAlignment="1">
      <alignment horizontal="left"/>
    </xf>
    <xf numFmtId="0" fontId="0" fillId="0" borderId="192" xfId="0" applyBorder="1" applyAlignment="1">
      <alignment horizontal="left"/>
    </xf>
    <xf numFmtId="0" fontId="0" fillId="0" borderId="193" xfId="0" applyBorder="1" applyAlignment="1">
      <alignment horizontal="left"/>
    </xf>
    <xf numFmtId="0" fontId="0" fillId="0" borderId="195" xfId="0" applyBorder="1" applyAlignment="1">
      <alignment horizontal="left"/>
    </xf>
    <xf numFmtId="0" fontId="0" fillId="0" borderId="188" xfId="0" applyBorder="1" applyAlignment="1">
      <alignment horizontal="left"/>
    </xf>
    <xf numFmtId="0" fontId="0" fillId="0" borderId="190" xfId="0" applyBorder="1" applyAlignment="1">
      <alignment horizontal="center"/>
    </xf>
    <xf numFmtId="0" fontId="119" fillId="0" borderId="192" xfId="0" applyFont="1" applyBorder="1" applyAlignment="1">
      <alignment vertical="center" wrapText="1"/>
    </xf>
    <xf numFmtId="0" fontId="119" fillId="0" borderId="0" xfId="0" applyFont="1" applyBorder="1" applyAlignment="1">
      <alignment vertical="center" wrapText="1"/>
    </xf>
    <xf numFmtId="0" fontId="49" fillId="0" borderId="191" xfId="0" applyFont="1" applyBorder="1" applyAlignment="1">
      <alignment horizontal="left" vertical="center" wrapText="1"/>
    </xf>
    <xf numFmtId="0" fontId="49" fillId="0" borderId="192" xfId="0" applyFont="1" applyBorder="1" applyAlignment="1">
      <alignment horizontal="left" vertical="center" wrapText="1"/>
    </xf>
    <xf numFmtId="0" fontId="8" fillId="0" borderId="189" xfId="0" applyFont="1" applyBorder="1" applyAlignment="1">
      <alignment horizontal="left" vertical="center" wrapText="1"/>
    </xf>
    <xf numFmtId="0" fontId="50" fillId="0" borderId="0" xfId="0" applyFont="1" applyBorder="1" applyAlignment="1">
      <alignment horizontal="left" vertical="center" wrapText="1"/>
    </xf>
    <xf numFmtId="0" fontId="49" fillId="0" borderId="189" xfId="0" applyFont="1" applyBorder="1" applyAlignment="1">
      <alignment horizontal="left" vertical="center" wrapText="1"/>
    </xf>
    <xf numFmtId="0" fontId="49" fillId="0" borderId="0" xfId="0" applyFont="1" applyBorder="1" applyAlignment="1">
      <alignment horizontal="left" vertical="center" wrapText="1"/>
    </xf>
    <xf numFmtId="0" fontId="49" fillId="0" borderId="193" xfId="0" applyFont="1" applyBorder="1" applyAlignment="1">
      <alignment horizontal="left" vertical="center" wrapText="1"/>
    </xf>
    <xf numFmtId="0" fontId="49" fillId="0" borderId="190" xfId="0" applyFont="1" applyBorder="1" applyAlignment="1">
      <alignment horizontal="left" vertical="center" wrapText="1"/>
    </xf>
    <xf numFmtId="0" fontId="2" fillId="0" borderId="13" xfId="0" applyFont="1" applyBorder="1" applyAlignment="1">
      <alignment horizontal="center"/>
    </xf>
    <xf numFmtId="0" fontId="2" fillId="0" borderId="14" xfId="0" applyFont="1" applyBorder="1" applyAlignment="1">
      <alignment horizontal="center"/>
    </xf>
    <xf numFmtId="0" fontId="2" fillId="0" borderId="15" xfId="0" applyFont="1" applyBorder="1" applyAlignment="1">
      <alignment horizontal="center"/>
    </xf>
    <xf numFmtId="0" fontId="2" fillId="0" borderId="1" xfId="0" applyFont="1" applyBorder="1" applyAlignment="1">
      <alignment horizontal="center"/>
    </xf>
    <xf numFmtId="0" fontId="0" fillId="0" borderId="27"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20" fillId="0" borderId="13" xfId="0" applyFont="1" applyBorder="1" applyAlignment="1">
      <alignment horizontal="center"/>
    </xf>
    <xf numFmtId="0" fontId="20" fillId="0" borderId="14" xfId="0" applyFont="1" applyBorder="1" applyAlignment="1">
      <alignment horizontal="center"/>
    </xf>
    <xf numFmtId="0" fontId="20" fillId="0" borderId="15" xfId="0" applyFont="1" applyBorder="1" applyAlignment="1">
      <alignment horizontal="center"/>
    </xf>
    <xf numFmtId="0" fontId="20" fillId="0" borderId="13" xfId="0" applyFont="1" applyFill="1" applyBorder="1" applyAlignment="1">
      <alignment horizontal="center"/>
    </xf>
    <xf numFmtId="0" fontId="20" fillId="0" borderId="14" xfId="0" applyFont="1" applyFill="1" applyBorder="1" applyAlignment="1">
      <alignment horizontal="center"/>
    </xf>
    <xf numFmtId="0" fontId="20" fillId="0" borderId="15" xfId="0" applyFont="1" applyFill="1" applyBorder="1" applyAlignment="1">
      <alignment horizontal="center"/>
    </xf>
    <xf numFmtId="0" fontId="20" fillId="0" borderId="9" xfId="0" applyFont="1" applyFill="1" applyBorder="1" applyAlignment="1">
      <alignment horizontal="center"/>
    </xf>
    <xf numFmtId="0" fontId="20" fillId="0" borderId="12" xfId="0" applyFont="1" applyFill="1" applyBorder="1" applyAlignment="1">
      <alignment horizontal="center"/>
    </xf>
    <xf numFmtId="0" fontId="20" fillId="0" borderId="0" xfId="0" applyFont="1" applyFill="1" applyBorder="1" applyAlignment="1">
      <alignment horizontal="center"/>
    </xf>
    <xf numFmtId="0" fontId="0" fillId="8" borderId="5" xfId="0" applyFill="1" applyBorder="1" applyAlignment="1">
      <alignment horizontal="center"/>
    </xf>
    <xf numFmtId="0" fontId="0" fillId="8" borderId="11" xfId="0" applyFill="1" applyBorder="1" applyAlignment="1">
      <alignment horizontal="center"/>
    </xf>
    <xf numFmtId="0" fontId="0" fillId="8" borderId="6" xfId="0" applyFill="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3" xfId="0" applyFill="1" applyBorder="1" applyAlignment="1">
      <alignment horizontal="center"/>
    </xf>
    <xf numFmtId="0" fontId="0" fillId="0" borderId="14" xfId="0" applyFill="1" applyBorder="1" applyAlignment="1">
      <alignment horizontal="center"/>
    </xf>
    <xf numFmtId="0" fontId="0" fillId="0" borderId="15" xfId="0" applyFill="1" applyBorder="1" applyAlignment="1">
      <alignment horizontal="center"/>
    </xf>
    <xf numFmtId="0" fontId="0" fillId="0" borderId="0" xfId="0" applyBorder="1" applyAlignment="1">
      <alignment horizontal="center"/>
    </xf>
    <xf numFmtId="0" fontId="18" fillId="0" borderId="0" xfId="0" applyFont="1" applyBorder="1" applyAlignment="1">
      <alignment horizontal="left" vertical="top" wrapText="1"/>
    </xf>
    <xf numFmtId="0" fontId="18" fillId="0" borderId="0" xfId="0" applyFont="1" applyBorder="1" applyAlignment="1">
      <alignment horizontal="left" vertical="top"/>
    </xf>
    <xf numFmtId="0" fontId="0" fillId="0" borderId="0" xfId="0" applyBorder="1" applyAlignment="1">
      <alignment horizontal="center" vertical="top" wrapText="1"/>
    </xf>
    <xf numFmtId="10" fontId="0" fillId="0" borderId="0" xfId="0" applyNumberFormat="1" applyBorder="1" applyAlignment="1">
      <alignment horizontal="center"/>
    </xf>
    <xf numFmtId="9" fontId="0" fillId="0" borderId="0" xfId="0" applyNumberFormat="1" applyBorder="1" applyAlignment="1">
      <alignment horizontal="center"/>
    </xf>
    <xf numFmtId="0" fontId="0" fillId="0" borderId="0" xfId="0" applyFill="1" applyBorder="1" applyAlignment="1">
      <alignment horizontal="center" vertical="center"/>
    </xf>
    <xf numFmtId="3" fontId="0" fillId="0" borderId="13" xfId="0" applyNumberFormat="1" applyBorder="1" applyAlignment="1">
      <alignment horizontal="center"/>
    </xf>
    <xf numFmtId="0" fontId="0" fillId="0" borderId="11" xfId="0" applyBorder="1" applyAlignment="1">
      <alignment horizontal="center"/>
    </xf>
    <xf numFmtId="0" fontId="0" fillId="0" borderId="6" xfId="0" applyBorder="1" applyAlignment="1">
      <alignment horizontal="center"/>
    </xf>
    <xf numFmtId="0" fontId="0" fillId="0" borderId="0" xfId="0" applyAlignment="1">
      <alignment horizontal="center"/>
    </xf>
    <xf numFmtId="0" fontId="37" fillId="62" borderId="7" xfId="0" applyFont="1" applyFill="1" applyBorder="1" applyAlignment="1">
      <alignment horizontal="center"/>
    </xf>
    <xf numFmtId="0" fontId="37" fillId="62" borderId="0" xfId="0" applyFont="1" applyFill="1" applyBorder="1" applyAlignment="1">
      <alignment horizontal="center"/>
    </xf>
    <xf numFmtId="17" fontId="0" fillId="62" borderId="0" xfId="0" applyNumberFormat="1" applyFill="1" applyBorder="1" applyAlignment="1">
      <alignment horizontal="center"/>
    </xf>
    <xf numFmtId="0" fontId="0" fillId="62" borderId="0" xfId="0" applyFill="1" applyBorder="1" applyAlignment="1">
      <alignment horizontal="center"/>
    </xf>
    <xf numFmtId="0" fontId="0" fillId="62" borderId="8" xfId="0" applyFill="1" applyBorder="1" applyAlignment="1">
      <alignment horizontal="center"/>
    </xf>
    <xf numFmtId="0" fontId="9" fillId="0" borderId="0" xfId="0" applyFont="1" applyFill="1" applyBorder="1" applyAlignment="1">
      <alignment horizontal="center"/>
    </xf>
    <xf numFmtId="0" fontId="9" fillId="8" borderId="5" xfId="0" applyFont="1" applyFill="1" applyBorder="1" applyAlignment="1">
      <alignment horizontal="center"/>
    </xf>
    <xf numFmtId="0" fontId="9" fillId="8" borderId="11" xfId="0" applyFont="1" applyFill="1" applyBorder="1" applyAlignment="1">
      <alignment horizontal="center"/>
    </xf>
    <xf numFmtId="0" fontId="9" fillId="8" borderId="6" xfId="0" applyFont="1" applyFill="1" applyBorder="1" applyAlignment="1">
      <alignment horizontal="center"/>
    </xf>
    <xf numFmtId="0" fontId="9" fillId="0" borderId="13" xfId="0" applyFont="1" applyBorder="1" applyAlignment="1">
      <alignment horizontal="center"/>
    </xf>
    <xf numFmtId="0" fontId="9" fillId="0" borderId="14" xfId="0" applyFont="1" applyBorder="1" applyAlignment="1">
      <alignment horizontal="center"/>
    </xf>
    <xf numFmtId="0" fontId="9" fillId="0" borderId="15" xfId="0" applyFont="1" applyBorder="1" applyAlignment="1">
      <alignment horizontal="center"/>
    </xf>
    <xf numFmtId="0" fontId="9" fillId="0" borderId="13" xfId="0" applyFont="1" applyFill="1" applyBorder="1" applyAlignment="1">
      <alignment horizontal="center"/>
    </xf>
    <xf numFmtId="0" fontId="9" fillId="0" borderId="14" xfId="0" applyFont="1" applyFill="1" applyBorder="1" applyAlignment="1">
      <alignment horizontal="center"/>
    </xf>
    <xf numFmtId="0" fontId="9" fillId="0" borderId="15" xfId="0" applyFont="1" applyFill="1" applyBorder="1" applyAlignment="1">
      <alignment horizontal="center"/>
    </xf>
    <xf numFmtId="0" fontId="37" fillId="0" borderId="13" xfId="0" applyFont="1" applyFill="1" applyBorder="1" applyAlignment="1">
      <alignment horizontal="center"/>
    </xf>
    <xf numFmtId="0" fontId="37" fillId="0" borderId="14" xfId="0" applyFont="1" applyFill="1" applyBorder="1" applyAlignment="1">
      <alignment horizontal="center"/>
    </xf>
    <xf numFmtId="0" fontId="0" fillId="0" borderId="36" xfId="0" applyFill="1" applyBorder="1" applyAlignment="1">
      <alignment horizontal="center"/>
    </xf>
    <xf numFmtId="0" fontId="0" fillId="0" borderId="37" xfId="0" applyFill="1" applyBorder="1" applyAlignment="1">
      <alignment horizontal="center"/>
    </xf>
    <xf numFmtId="0" fontId="0" fillId="0" borderId="38" xfId="0" applyFill="1" applyBorder="1" applyAlignment="1">
      <alignment horizontal="center"/>
    </xf>
    <xf numFmtId="0" fontId="0" fillId="8" borderId="13" xfId="0" applyFill="1" applyBorder="1" applyAlignment="1">
      <alignment horizontal="center" wrapText="1"/>
    </xf>
    <xf numFmtId="0" fontId="0" fillId="8" borderId="14" xfId="0" applyFill="1" applyBorder="1" applyAlignment="1">
      <alignment horizontal="center" wrapText="1"/>
    </xf>
    <xf numFmtId="0" fontId="0" fillId="8" borderId="15" xfId="0" applyFill="1" applyBorder="1" applyAlignment="1">
      <alignment horizontal="center" wrapText="1"/>
    </xf>
    <xf numFmtId="0" fontId="0" fillId="0" borderId="5" xfId="0" applyFill="1" applyBorder="1" applyAlignment="1">
      <alignment horizontal="center"/>
    </xf>
    <xf numFmtId="0" fontId="0" fillId="0" borderId="11" xfId="0" applyFill="1" applyBorder="1" applyAlignment="1">
      <alignment horizontal="center"/>
    </xf>
    <xf numFmtId="0" fontId="0" fillId="0" borderId="6" xfId="0" applyFill="1" applyBorder="1" applyAlignment="1">
      <alignment horizontal="center"/>
    </xf>
    <xf numFmtId="0" fontId="15" fillId="0" borderId="5" xfId="0" applyFont="1" applyFill="1" applyBorder="1" applyAlignment="1">
      <alignment horizontal="center"/>
    </xf>
    <xf numFmtId="0" fontId="15" fillId="0" borderId="11" xfId="0" applyFont="1" applyFill="1" applyBorder="1" applyAlignment="1">
      <alignment horizontal="center"/>
    </xf>
    <xf numFmtId="0" fontId="15" fillId="0" borderId="13" xfId="0" applyFont="1" applyFill="1" applyBorder="1" applyAlignment="1">
      <alignment horizontal="center"/>
    </xf>
    <xf numFmtId="0" fontId="15" fillId="0" borderId="14" xfId="0" applyFont="1" applyFill="1" applyBorder="1" applyAlignment="1">
      <alignment horizontal="center"/>
    </xf>
    <xf numFmtId="0" fontId="15" fillId="0" borderId="15" xfId="0" applyFont="1" applyFill="1" applyBorder="1" applyAlignment="1">
      <alignment horizontal="center"/>
    </xf>
    <xf numFmtId="0" fontId="37" fillId="0" borderId="15" xfId="0" applyFont="1" applyFill="1" applyBorder="1" applyAlignment="1">
      <alignment horizontal="center"/>
    </xf>
    <xf numFmtId="0" fontId="0" fillId="0" borderId="0" xfId="0" applyFill="1" applyBorder="1" applyAlignment="1">
      <alignment horizontal="center"/>
    </xf>
    <xf numFmtId="3" fontId="0" fillId="8" borderId="7" xfId="0" applyNumberFormat="1" applyFill="1" applyBorder="1" applyAlignment="1">
      <alignment horizontal="center"/>
    </xf>
    <xf numFmtId="3" fontId="0" fillId="8" borderId="0" xfId="0" applyNumberFormat="1" applyFill="1" applyBorder="1" applyAlignment="1">
      <alignment horizontal="center"/>
    </xf>
    <xf numFmtId="3" fontId="0" fillId="8" borderId="8" xfId="0" applyNumberFormat="1" applyFill="1" applyBorder="1" applyAlignment="1">
      <alignment horizontal="center"/>
    </xf>
    <xf numFmtId="0" fontId="2" fillId="0" borderId="14" xfId="0" applyFont="1" applyFill="1" applyBorder="1" applyAlignment="1">
      <alignment horizontal="center"/>
    </xf>
    <xf numFmtId="0" fontId="2" fillId="0" borderId="15" xfId="0" applyFont="1" applyFill="1" applyBorder="1" applyAlignment="1">
      <alignment horizontal="center"/>
    </xf>
    <xf numFmtId="0" fontId="0" fillId="0" borderId="0" xfId="0" applyAlignment="1">
      <alignment horizontal="center" wrapText="1"/>
    </xf>
    <xf numFmtId="0" fontId="0" fillId="0" borderId="32" xfId="0" applyBorder="1" applyAlignment="1">
      <alignment horizontal="center" wrapText="1"/>
    </xf>
    <xf numFmtId="0" fontId="0" fillId="0" borderId="1" xfId="0" applyBorder="1" applyAlignment="1">
      <alignment horizontal="center" wrapText="1"/>
    </xf>
    <xf numFmtId="0" fontId="0" fillId="0" borderId="39" xfId="0" applyBorder="1" applyAlignment="1">
      <alignment horizontal="center" wrapText="1"/>
    </xf>
    <xf numFmtId="0" fontId="0" fillId="0" borderId="40" xfId="0" applyBorder="1" applyAlignment="1">
      <alignment horizontal="center" wrapText="1"/>
    </xf>
    <xf numFmtId="0" fontId="2" fillId="41" borderId="5" xfId="0" applyFont="1" applyFill="1" applyBorder="1" applyAlignment="1">
      <alignment horizontal="center"/>
    </xf>
    <xf numFmtId="0" fontId="2" fillId="41" borderId="11" xfId="0" applyFont="1" applyFill="1" applyBorder="1" applyAlignment="1">
      <alignment horizontal="center"/>
    </xf>
    <xf numFmtId="0" fontId="2" fillId="41" borderId="6" xfId="0" applyFont="1" applyFill="1" applyBorder="1" applyAlignment="1">
      <alignment horizontal="center"/>
    </xf>
    <xf numFmtId="0" fontId="2" fillId="60" borderId="7" xfId="0" applyFont="1" applyFill="1" applyBorder="1" applyAlignment="1">
      <alignment horizontal="center"/>
    </xf>
    <xf numFmtId="0" fontId="2" fillId="60" borderId="0" xfId="0" applyFont="1" applyFill="1" applyBorder="1" applyAlignment="1">
      <alignment horizontal="center"/>
    </xf>
    <xf numFmtId="0" fontId="2" fillId="60" borderId="8" xfId="0" applyFont="1" applyFill="1" applyBorder="1" applyAlignment="1">
      <alignment horizontal="center"/>
    </xf>
    <xf numFmtId="43" fontId="0" fillId="60" borderId="7" xfId="0" applyNumberFormat="1" applyFill="1" applyBorder="1" applyAlignment="1">
      <alignment horizontal="center"/>
    </xf>
    <xf numFmtId="43" fontId="0" fillId="60" borderId="0" xfId="0" applyNumberFormat="1" applyFill="1" applyBorder="1" applyAlignment="1">
      <alignment horizontal="center"/>
    </xf>
    <xf numFmtId="43" fontId="0" fillId="60" borderId="8" xfId="0" applyNumberFormat="1" applyFill="1" applyBorder="1" applyAlignment="1">
      <alignment horizontal="center"/>
    </xf>
    <xf numFmtId="43" fontId="15" fillId="60" borderId="7" xfId="1" applyFont="1" applyFill="1" applyBorder="1" applyAlignment="1">
      <alignment horizontal="center"/>
    </xf>
    <xf numFmtId="43" fontId="15" fillId="60" borderId="0" xfId="1" applyFont="1" applyFill="1" applyBorder="1" applyAlignment="1">
      <alignment horizontal="center"/>
    </xf>
    <xf numFmtId="43" fontId="15" fillId="60" borderId="8" xfId="1" applyFont="1" applyFill="1" applyBorder="1" applyAlignment="1">
      <alignment horizontal="center"/>
    </xf>
    <xf numFmtId="0" fontId="0" fillId="60" borderId="7" xfId="0" applyFill="1" applyBorder="1" applyAlignment="1">
      <alignment horizontal="center"/>
    </xf>
    <xf numFmtId="0" fontId="0" fillId="60" borderId="0" xfId="0" applyFill="1" applyBorder="1" applyAlignment="1">
      <alignment horizontal="center"/>
    </xf>
    <xf numFmtId="0" fontId="0" fillId="60" borderId="8" xfId="0" applyFill="1" applyBorder="1" applyAlignment="1">
      <alignment horizontal="center"/>
    </xf>
    <xf numFmtId="0" fontId="32" fillId="0" borderId="5" xfId="0" applyFont="1" applyFill="1" applyBorder="1" applyAlignment="1">
      <alignment horizontal="center"/>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49" xfId="0" applyBorder="1" applyAlignment="1">
      <alignment horizontal="left" vertical="top"/>
    </xf>
    <xf numFmtId="0" fontId="0" fillId="0" borderId="56" xfId="0" applyBorder="1" applyAlignment="1">
      <alignment horizontal="left" vertical="top"/>
    </xf>
    <xf numFmtId="0" fontId="0" fillId="0" borderId="47" xfId="0" applyBorder="1" applyAlignment="1">
      <alignment horizontal="left" vertical="top"/>
    </xf>
    <xf numFmtId="0" fontId="0" fillId="0" borderId="57" xfId="0" applyBorder="1" applyAlignment="1">
      <alignment horizontal="left" vertical="top"/>
    </xf>
    <xf numFmtId="0" fontId="32" fillId="0" borderId="5" xfId="0" applyFont="1" applyBorder="1" applyAlignment="1">
      <alignment horizontal="center"/>
    </xf>
    <xf numFmtId="0" fontId="32" fillId="0" borderId="11" xfId="0" applyFont="1" applyBorder="1" applyAlignment="1">
      <alignment horizontal="center"/>
    </xf>
    <xf numFmtId="0" fontId="32" fillId="0" borderId="6" xfId="0" applyFont="1" applyBorder="1" applyAlignment="1">
      <alignment horizontal="center"/>
    </xf>
    <xf numFmtId="0" fontId="32" fillId="0" borderId="11" xfId="0" applyFont="1" applyFill="1" applyBorder="1" applyAlignment="1">
      <alignment horizontal="center"/>
    </xf>
    <xf numFmtId="0" fontId="32" fillId="0" borderId="6" xfId="0" applyFont="1" applyFill="1" applyBorder="1" applyAlignment="1">
      <alignment horizontal="center"/>
    </xf>
    <xf numFmtId="0" fontId="0" fillId="0" borderId="48" xfId="0" applyBorder="1" applyAlignment="1">
      <alignment horizontal="left" vertical="top"/>
    </xf>
    <xf numFmtId="0" fontId="0" fillId="0" borderId="58" xfId="0" applyBorder="1" applyAlignment="1">
      <alignment horizontal="left" vertical="top"/>
    </xf>
    <xf numFmtId="0" fontId="26" fillId="0" borderId="1" xfId="0" applyFont="1" applyBorder="1" applyAlignment="1">
      <alignment horizontal="center" vertical="center" wrapText="1"/>
    </xf>
    <xf numFmtId="0" fontId="46" fillId="0" borderId="1" xfId="0" applyFont="1" applyBorder="1" applyAlignment="1">
      <alignment horizontal="center" vertical="center" wrapText="1"/>
    </xf>
    <xf numFmtId="0" fontId="20" fillId="0" borderId="38" xfId="0" applyFont="1" applyBorder="1" applyAlignment="1">
      <alignment horizontal="center"/>
    </xf>
    <xf numFmtId="0" fontId="20" fillId="0" borderId="1" xfId="0" applyFont="1" applyBorder="1" applyAlignment="1">
      <alignment horizontal="center"/>
    </xf>
    <xf numFmtId="0" fontId="20" fillId="0" borderId="1" xfId="0" applyFont="1" applyBorder="1" applyAlignment="1">
      <alignment horizontal="center" vertical="top" wrapText="1"/>
    </xf>
    <xf numFmtId="0" fontId="0" fillId="0" borderId="1" xfId="0" applyBorder="1" applyAlignment="1">
      <alignment horizontal="center"/>
    </xf>
    <xf numFmtId="0" fontId="20" fillId="0" borderId="1" xfId="0" applyFont="1" applyBorder="1" applyAlignment="1">
      <alignment horizontal="center" wrapText="1"/>
    </xf>
    <xf numFmtId="0" fontId="159" fillId="0" borderId="1" xfId="0" applyFont="1" applyBorder="1" applyAlignment="1">
      <alignment horizontal="center" vertical="center" wrapText="1"/>
    </xf>
    <xf numFmtId="0" fontId="26" fillId="0" borderId="38" xfId="0" applyFont="1" applyBorder="1" applyAlignment="1">
      <alignment horizontal="center" vertical="center" wrapText="1"/>
    </xf>
    <xf numFmtId="0" fontId="46" fillId="0" borderId="1" xfId="0" applyFont="1" applyBorder="1" applyAlignment="1">
      <alignment vertical="center" wrapText="1"/>
    </xf>
    <xf numFmtId="0" fontId="32" fillId="0" borderId="13" xfId="0" applyFont="1" applyFill="1" applyBorder="1" applyAlignment="1">
      <alignment horizontal="center"/>
    </xf>
    <xf numFmtId="0" fontId="32" fillId="0" borderId="14" xfId="0" applyFont="1" applyFill="1" applyBorder="1" applyAlignment="1">
      <alignment horizontal="center"/>
    </xf>
    <xf numFmtId="0" fontId="32" fillId="0" borderId="15" xfId="0" applyFont="1" applyFill="1" applyBorder="1" applyAlignment="1">
      <alignment horizontal="center"/>
    </xf>
    <xf numFmtId="0" fontId="19" fillId="8" borderId="5" xfId="0" applyFont="1" applyFill="1" applyBorder="1" applyAlignment="1">
      <alignment horizontal="center"/>
    </xf>
    <xf numFmtId="0" fontId="19" fillId="8" borderId="11" xfId="0" applyFont="1" applyFill="1" applyBorder="1" applyAlignment="1">
      <alignment horizontal="center"/>
    </xf>
    <xf numFmtId="0" fontId="19" fillId="8" borderId="6" xfId="0" applyFont="1" applyFill="1" applyBorder="1" applyAlignment="1">
      <alignment horizontal="center"/>
    </xf>
    <xf numFmtId="0" fontId="32" fillId="0" borderId="13" xfId="0" applyFont="1" applyBorder="1" applyAlignment="1">
      <alignment horizontal="center"/>
    </xf>
    <xf numFmtId="0" fontId="32" fillId="0" borderId="14" xfId="0" applyFont="1" applyBorder="1" applyAlignment="1">
      <alignment horizontal="center"/>
    </xf>
    <xf numFmtId="0" fontId="32" fillId="0" borderId="15" xfId="0" applyFont="1" applyBorder="1" applyAlignment="1">
      <alignment horizontal="center"/>
    </xf>
    <xf numFmtId="0" fontId="0" fillId="0" borderId="1" xfId="0" applyFill="1" applyBorder="1" applyAlignment="1">
      <alignment horizontal="center"/>
    </xf>
    <xf numFmtId="0" fontId="2" fillId="0" borderId="0" xfId="0" applyFont="1" applyAlignment="1">
      <alignment horizontal="center"/>
    </xf>
    <xf numFmtId="0" fontId="20" fillId="7" borderId="39" xfId="0" applyFont="1" applyFill="1" applyBorder="1" applyAlignment="1">
      <alignment horizontal="center"/>
    </xf>
    <xf numFmtId="0" fontId="20" fillId="7" borderId="41" xfId="0" applyFont="1" applyFill="1" applyBorder="1" applyAlignment="1">
      <alignment horizontal="center"/>
    </xf>
    <xf numFmtId="0" fontId="0" fillId="7" borderId="1" xfId="0" applyFill="1" applyBorder="1" applyAlignment="1">
      <alignment horizontal="center"/>
    </xf>
    <xf numFmtId="0" fontId="0" fillId="7" borderId="47" xfId="0" applyFill="1" applyBorder="1" applyAlignment="1">
      <alignment horizontal="center"/>
    </xf>
    <xf numFmtId="0" fontId="0" fillId="7" borderId="38" xfId="0" applyFill="1" applyBorder="1" applyAlignment="1">
      <alignment horizontal="center"/>
    </xf>
    <xf numFmtId="4" fontId="29" fillId="6" borderId="14" xfId="0" applyNumberFormat="1" applyFont="1" applyFill="1" applyBorder="1" applyAlignment="1">
      <alignment horizontal="center" vertical="center"/>
    </xf>
    <xf numFmtId="4" fontId="29" fillId="6" borderId="0" xfId="0" applyNumberFormat="1" applyFont="1" applyFill="1" applyBorder="1" applyAlignment="1">
      <alignment horizontal="center" vertical="center"/>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33" fillId="0" borderId="0" xfId="0" applyFont="1" applyFill="1" applyBorder="1" applyAlignment="1">
      <alignment horizontal="left" vertical="top" wrapText="1"/>
    </xf>
    <xf numFmtId="0" fontId="33" fillId="0" borderId="0" xfId="0" applyFont="1" applyFill="1" applyBorder="1" applyAlignment="1">
      <alignment horizontal="left" vertical="top"/>
    </xf>
    <xf numFmtId="0" fontId="0" fillId="0" borderId="0" xfId="0" applyFill="1" applyBorder="1" applyAlignment="1">
      <alignment horizontal="left" vertical="top" wrapText="1"/>
    </xf>
    <xf numFmtId="0" fontId="20" fillId="0" borderId="40" xfId="0" applyFont="1" applyFill="1" applyBorder="1" applyAlignment="1">
      <alignment horizontal="center"/>
    </xf>
    <xf numFmtId="0" fontId="20" fillId="0" borderId="41" xfId="0" applyFont="1" applyFill="1" applyBorder="1" applyAlignment="1">
      <alignment horizontal="center"/>
    </xf>
    <xf numFmtId="4" fontId="35" fillId="10" borderId="0" xfId="1" applyNumberFormat="1" applyFont="1" applyFill="1" applyBorder="1" applyAlignment="1">
      <alignment horizontal="center"/>
    </xf>
    <xf numFmtId="4" fontId="35" fillId="10" borderId="7" xfId="0" applyNumberFormat="1" applyFont="1" applyFill="1" applyBorder="1" applyAlignment="1">
      <alignment horizontal="center" vertical="center" wrapText="1"/>
    </xf>
    <xf numFmtId="4" fontId="35" fillId="10" borderId="0" xfId="0" applyNumberFormat="1" applyFont="1" applyFill="1" applyBorder="1" applyAlignment="1">
      <alignment horizontal="center" vertical="center" wrapText="1"/>
    </xf>
    <xf numFmtId="4" fontId="35" fillId="10" borderId="8" xfId="0" applyNumberFormat="1" applyFont="1" applyFill="1" applyBorder="1" applyAlignment="1">
      <alignment horizontal="center" vertical="center" wrapText="1"/>
    </xf>
    <xf numFmtId="4" fontId="35" fillId="10" borderId="7" xfId="1" applyNumberFormat="1" applyFont="1" applyFill="1" applyBorder="1" applyAlignment="1">
      <alignment horizontal="center"/>
    </xf>
    <xf numFmtId="4" fontId="35" fillId="10" borderId="8" xfId="1" applyNumberFormat="1" applyFont="1" applyFill="1" applyBorder="1" applyAlignment="1">
      <alignment horizontal="center"/>
    </xf>
    <xf numFmtId="0" fontId="20" fillId="0" borderId="39" xfId="0" applyFont="1" applyFill="1" applyBorder="1" applyAlignment="1">
      <alignment horizontal="center"/>
    </xf>
    <xf numFmtId="4" fontId="29" fillId="6" borderId="15" xfId="0" applyNumberFormat="1" applyFont="1" applyFill="1" applyBorder="1" applyAlignment="1">
      <alignment horizontal="center" vertical="center"/>
    </xf>
    <xf numFmtId="0" fontId="24" fillId="0" borderId="13" xfId="0" applyFont="1" applyBorder="1" applyAlignment="1">
      <alignment horizontal="center"/>
    </xf>
    <xf numFmtId="0" fontId="24" fillId="0" borderId="11" xfId="0" applyFont="1" applyBorder="1" applyAlignment="1">
      <alignment horizontal="center"/>
    </xf>
    <xf numFmtId="0" fontId="24" fillId="0" borderId="6" xfId="0" applyFont="1" applyBorder="1" applyAlignment="1">
      <alignment horizontal="center"/>
    </xf>
    <xf numFmtId="4" fontId="45" fillId="0" borderId="14" xfId="0" applyNumberFormat="1" applyFont="1" applyBorder="1" applyAlignment="1">
      <alignment horizontal="center"/>
    </xf>
    <xf numFmtId="4" fontId="45" fillId="0" borderId="15" xfId="0" applyNumberFormat="1" applyFont="1" applyBorder="1" applyAlignment="1">
      <alignment horizontal="center"/>
    </xf>
    <xf numFmtId="4" fontId="45" fillId="0" borderId="13" xfId="0" applyNumberFormat="1" applyFont="1" applyBorder="1" applyAlignment="1">
      <alignment horizontal="center"/>
    </xf>
    <xf numFmtId="0" fontId="24" fillId="0" borderId="7" xfId="0" applyFont="1" applyBorder="1" applyAlignment="1">
      <alignment horizontal="center"/>
    </xf>
    <xf numFmtId="0" fontId="24" fillId="0" borderId="0" xfId="0" applyFont="1" applyBorder="1" applyAlignment="1">
      <alignment horizontal="center"/>
    </xf>
    <xf numFmtId="0" fontId="24" fillId="0" borderId="79" xfId="0" applyFont="1" applyBorder="1" applyAlignment="1">
      <alignment horizontal="center"/>
    </xf>
    <xf numFmtId="0" fontId="24" fillId="0" borderId="14" xfId="0" applyFont="1" applyBorder="1" applyAlignment="1">
      <alignment horizontal="center"/>
    </xf>
    <xf numFmtId="0" fontId="24" fillId="0" borderId="15" xfId="0" applyFont="1" applyBorder="1" applyAlignment="1">
      <alignment horizontal="center"/>
    </xf>
    <xf numFmtId="0" fontId="24" fillId="0" borderId="80" xfId="0" applyFont="1" applyBorder="1" applyAlignment="1">
      <alignment horizontal="center"/>
    </xf>
    <xf numFmtId="4" fontId="45" fillId="0" borderId="5" xfId="0" applyNumberFormat="1" applyFont="1" applyBorder="1" applyAlignment="1">
      <alignment horizontal="center"/>
    </xf>
    <xf numFmtId="4" fontId="45" fillId="0" borderId="11" xfId="0" applyNumberFormat="1" applyFont="1" applyBorder="1" applyAlignment="1">
      <alignment horizontal="center"/>
    </xf>
    <xf numFmtId="4" fontId="45" fillId="0" borderId="6" xfId="0" applyNumberFormat="1" applyFont="1" applyBorder="1" applyAlignment="1">
      <alignment horizontal="center"/>
    </xf>
    <xf numFmtId="4" fontId="45" fillId="0" borderId="0" xfId="0" applyNumberFormat="1" applyFont="1" applyBorder="1" applyAlignment="1">
      <alignment horizontal="center"/>
    </xf>
    <xf numFmtId="4" fontId="45" fillId="0" borderId="80" xfId="0" applyNumberFormat="1" applyFont="1" applyBorder="1" applyAlignment="1">
      <alignment horizontal="center"/>
    </xf>
    <xf numFmtId="0" fontId="37" fillId="6" borderId="14" xfId="0" applyFont="1" applyFill="1" applyBorder="1" applyAlignment="1">
      <alignment horizontal="center" vertical="center"/>
    </xf>
    <xf numFmtId="0" fontId="24" fillId="0" borderId="13" xfId="0" applyFont="1" applyBorder="1" applyAlignment="1">
      <alignment horizontal="left" vertical="top"/>
    </xf>
    <xf numFmtId="0" fontId="24" fillId="0" borderId="14" xfId="0" applyFont="1" applyBorder="1" applyAlignment="1">
      <alignment horizontal="left" vertical="top"/>
    </xf>
    <xf numFmtId="0" fontId="32" fillId="0" borderId="0" xfId="0" applyFont="1" applyFill="1" applyBorder="1" applyAlignment="1">
      <alignment horizontal="left" vertical="top" wrapText="1"/>
    </xf>
    <xf numFmtId="0" fontId="24" fillId="0" borderId="5" xfId="0" applyFont="1" applyBorder="1" applyAlignment="1">
      <alignment horizontal="center"/>
    </xf>
    <xf numFmtId="6" fontId="36" fillId="0" borderId="0" xfId="0" applyNumberFormat="1" applyFont="1" applyFill="1" applyBorder="1" applyAlignment="1" applyProtection="1">
      <alignment horizontal="left" vertical="top"/>
    </xf>
    <xf numFmtId="6" fontId="36" fillId="0" borderId="47" xfId="0" applyNumberFormat="1" applyFont="1" applyFill="1" applyBorder="1" applyAlignment="1" applyProtection="1">
      <alignment horizontal="left" vertical="top"/>
    </xf>
    <xf numFmtId="6" fontId="36" fillId="0" borderId="37" xfId="0" applyNumberFormat="1" applyFont="1" applyFill="1" applyBorder="1" applyAlignment="1" applyProtection="1">
      <alignment horizontal="left" vertical="top"/>
    </xf>
    <xf numFmtId="6" fontId="36" fillId="0" borderId="48" xfId="0" applyNumberFormat="1" applyFont="1" applyFill="1" applyBorder="1" applyAlignment="1" applyProtection="1">
      <alignment horizontal="left" vertical="top" wrapText="1"/>
    </xf>
    <xf numFmtId="6" fontId="36" fillId="0" borderId="170" xfId="0" applyNumberFormat="1" applyFont="1" applyFill="1" applyBorder="1" applyAlignment="1" applyProtection="1">
      <alignment horizontal="left" vertical="top" wrapText="1"/>
    </xf>
    <xf numFmtId="6" fontId="36" fillId="0" borderId="57" xfId="0" applyNumberFormat="1" applyFont="1" applyFill="1" applyBorder="1" applyAlignment="1" applyProtection="1">
      <alignment horizontal="left" vertical="top"/>
    </xf>
    <xf numFmtId="6" fontId="36" fillId="0" borderId="48" xfId="0" applyNumberFormat="1" applyFont="1" applyFill="1" applyBorder="1" applyAlignment="1" applyProtection="1">
      <alignment horizontal="left" vertical="top"/>
    </xf>
    <xf numFmtId="6" fontId="36" fillId="0" borderId="170" xfId="0" applyNumberFormat="1" applyFont="1" applyFill="1" applyBorder="1" applyAlignment="1" applyProtection="1">
      <alignment horizontal="left" vertical="top"/>
    </xf>
    <xf numFmtId="6" fontId="36" fillId="0" borderId="58" xfId="0" applyNumberFormat="1" applyFont="1" applyFill="1" applyBorder="1" applyAlignment="1" applyProtection="1">
      <alignment horizontal="left" vertical="top"/>
    </xf>
    <xf numFmtId="6" fontId="52" fillId="0" borderId="18" xfId="0" applyNumberFormat="1" applyFont="1" applyFill="1" applyBorder="1" applyAlignment="1" applyProtection="1">
      <alignment horizontal="center" vertical="center"/>
    </xf>
    <xf numFmtId="6" fontId="52" fillId="0" borderId="19" xfId="0" applyNumberFormat="1" applyFont="1" applyFill="1" applyBorder="1" applyAlignment="1" applyProtection="1">
      <alignment horizontal="center" vertical="center"/>
    </xf>
    <xf numFmtId="6" fontId="52" fillId="0" borderId="20" xfId="0" applyNumberFormat="1" applyFont="1" applyFill="1" applyBorder="1" applyAlignment="1" applyProtection="1">
      <alignment horizontal="center" vertical="center"/>
    </xf>
    <xf numFmtId="6" fontId="36" fillId="0" borderId="2" xfId="0" applyNumberFormat="1" applyFont="1" applyFill="1" applyBorder="1" applyAlignment="1" applyProtection="1">
      <alignment horizontal="left" vertical="top"/>
    </xf>
    <xf numFmtId="6" fontId="36" fillId="0" borderId="3" xfId="0" applyNumberFormat="1" applyFont="1" applyFill="1" applyBorder="1" applyAlignment="1" applyProtection="1">
      <alignment horizontal="left" vertical="top"/>
    </xf>
    <xf numFmtId="6" fontId="36" fillId="0" borderId="4" xfId="0" applyNumberFormat="1" applyFont="1" applyFill="1" applyBorder="1" applyAlignment="1" applyProtection="1">
      <alignment horizontal="left" vertical="top"/>
    </xf>
    <xf numFmtId="6" fontId="52" fillId="0" borderId="18" xfId="0" applyNumberFormat="1" applyFont="1" applyFill="1" applyBorder="1" applyAlignment="1" applyProtection="1">
      <alignment horizontal="center" vertical="center" wrapText="1"/>
    </xf>
    <xf numFmtId="6" fontId="52" fillId="0" borderId="19" xfId="0" applyNumberFormat="1" applyFont="1" applyFill="1" applyBorder="1" applyAlignment="1" applyProtection="1">
      <alignment horizontal="center" vertical="center" wrapText="1"/>
    </xf>
    <xf numFmtId="0" fontId="0" fillId="0" borderId="5" xfId="0" applyBorder="1" applyAlignment="1">
      <alignment horizontal="center"/>
    </xf>
    <xf numFmtId="0" fontId="33" fillId="24" borderId="13" xfId="0" applyFont="1" applyFill="1" applyBorder="1" applyAlignment="1">
      <alignment horizontal="center" wrapText="1"/>
    </xf>
    <xf numFmtId="0" fontId="33" fillId="24" borderId="15" xfId="0" applyFont="1" applyFill="1" applyBorder="1" applyAlignment="1">
      <alignment horizontal="center" wrapText="1"/>
    </xf>
    <xf numFmtId="0" fontId="32" fillId="24" borderId="13" xfId="0" applyFont="1" applyFill="1" applyBorder="1" applyAlignment="1">
      <alignment horizontal="center"/>
    </xf>
    <xf numFmtId="0" fontId="32" fillId="24" borderId="14" xfId="0" applyFont="1" applyFill="1" applyBorder="1" applyAlignment="1">
      <alignment horizontal="center"/>
    </xf>
    <xf numFmtId="0" fontId="32" fillId="24" borderId="15" xfId="0" applyFont="1" applyFill="1" applyBorder="1" applyAlignment="1">
      <alignment horizontal="center"/>
    </xf>
    <xf numFmtId="6" fontId="52" fillId="0" borderId="13" xfId="0" applyNumberFormat="1" applyFont="1" applyFill="1" applyBorder="1" applyAlignment="1" applyProtection="1">
      <alignment horizontal="left" vertical="center" wrapText="1"/>
    </xf>
    <xf numFmtId="6" fontId="52" fillId="0" borderId="14" xfId="0" applyNumberFormat="1" applyFont="1" applyFill="1" applyBorder="1" applyAlignment="1" applyProtection="1">
      <alignment horizontal="left" vertical="center" wrapText="1"/>
    </xf>
    <xf numFmtId="6" fontId="36" fillId="0" borderId="49" xfId="0" applyNumberFormat="1" applyFont="1" applyFill="1" applyBorder="1" applyAlignment="1" applyProtection="1">
      <alignment horizontal="left" vertical="top"/>
    </xf>
    <xf numFmtId="6" fontId="36" fillId="0" borderId="169" xfId="0" applyNumberFormat="1" applyFont="1" applyFill="1" applyBorder="1" applyAlignment="1" applyProtection="1">
      <alignment horizontal="left" vertical="top"/>
    </xf>
    <xf numFmtId="0" fontId="30" fillId="65" borderId="13" xfId="0" applyFont="1" applyFill="1" applyBorder="1" applyAlignment="1">
      <alignment horizontal="center"/>
    </xf>
    <xf numFmtId="0" fontId="30" fillId="65" borderId="14" xfId="0" applyFont="1" applyFill="1" applyBorder="1" applyAlignment="1">
      <alignment horizontal="center"/>
    </xf>
    <xf numFmtId="0" fontId="30" fillId="65" borderId="15" xfId="0" applyFont="1" applyFill="1" applyBorder="1" applyAlignment="1">
      <alignment horizontal="center"/>
    </xf>
    <xf numFmtId="0" fontId="0" fillId="2" borderId="13" xfId="0" applyFill="1" applyBorder="1" applyAlignment="1">
      <alignment horizontal="center"/>
    </xf>
    <xf numFmtId="0" fontId="0" fillId="2" borderId="15" xfId="0" applyFill="1" applyBorder="1" applyAlignment="1">
      <alignment horizontal="center"/>
    </xf>
    <xf numFmtId="0" fontId="96" fillId="0" borderId="9" xfId="0" applyFont="1" applyFill="1" applyBorder="1" applyAlignment="1">
      <alignment horizontal="center" vertical="center" wrapText="1"/>
    </xf>
    <xf numFmtId="0" fontId="96" fillId="0" borderId="10" xfId="0" applyFont="1" applyFill="1" applyBorder="1" applyAlignment="1">
      <alignment horizontal="center" vertical="center" wrapText="1"/>
    </xf>
    <xf numFmtId="0" fontId="6" fillId="0" borderId="7" xfId="0" applyFont="1" applyBorder="1" applyAlignment="1">
      <alignment horizontal="left"/>
    </xf>
    <xf numFmtId="0" fontId="6" fillId="0" borderId="8" xfId="0" applyFont="1" applyBorder="1" applyAlignment="1">
      <alignment horizontal="left"/>
    </xf>
    <xf numFmtId="0" fontId="32" fillId="0" borderId="0" xfId="0" applyFont="1" applyFill="1" applyBorder="1" applyAlignment="1">
      <alignment horizontal="center"/>
    </xf>
    <xf numFmtId="0" fontId="96" fillId="0" borderId="5" xfId="0" applyFont="1" applyBorder="1" applyAlignment="1">
      <alignment horizontal="center" vertical="top" wrapText="1"/>
    </xf>
    <xf numFmtId="0" fontId="96" fillId="0" borderId="6" xfId="0" applyFont="1" applyBorder="1" applyAlignment="1">
      <alignment horizontal="center" vertical="top" wrapText="1"/>
    </xf>
    <xf numFmtId="0" fontId="96" fillId="0" borderId="7" xfId="0" applyFont="1" applyBorder="1" applyAlignment="1">
      <alignment horizontal="center" vertical="center" wrapText="1"/>
    </xf>
    <xf numFmtId="0" fontId="96" fillId="0" borderId="8" xfId="0" applyFont="1" applyBorder="1" applyAlignment="1">
      <alignment horizontal="center" vertical="center" wrapText="1"/>
    </xf>
    <xf numFmtId="0" fontId="6" fillId="0" borderId="7" xfId="0" applyFont="1" applyFill="1" applyBorder="1" applyAlignment="1">
      <alignment horizontal="center"/>
    </xf>
    <xf numFmtId="0" fontId="6" fillId="0" borderId="8" xfId="0" applyFont="1" applyFill="1" applyBorder="1" applyAlignment="1">
      <alignment horizontal="center"/>
    </xf>
    <xf numFmtId="0" fontId="6" fillId="0" borderId="7" xfId="0" applyFont="1" applyBorder="1" applyAlignment="1">
      <alignment horizontal="center"/>
    </xf>
    <xf numFmtId="0" fontId="6" fillId="0" borderId="8" xfId="0" applyFont="1" applyBorder="1" applyAlignment="1">
      <alignment horizontal="center"/>
    </xf>
    <xf numFmtId="0" fontId="95" fillId="0" borderId="8" xfId="0" applyFont="1" applyBorder="1" applyAlignment="1">
      <alignment horizontal="center"/>
    </xf>
    <xf numFmtId="0" fontId="96" fillId="0" borderId="7" xfId="0" applyFont="1" applyFill="1" applyBorder="1" applyAlignment="1">
      <alignment horizontal="center" vertical="top" wrapText="1"/>
    </xf>
    <xf numFmtId="0" fontId="96" fillId="0" borderId="8" xfId="0" applyFont="1" applyFill="1" applyBorder="1" applyAlignment="1">
      <alignment horizontal="center" vertical="top" wrapText="1"/>
    </xf>
    <xf numFmtId="0" fontId="0" fillId="0" borderId="49" xfId="0" applyBorder="1" applyAlignment="1">
      <alignment horizontal="center" vertical="center"/>
    </xf>
    <xf numFmtId="0" fontId="0" fillId="0" borderId="48" xfId="0" applyBorder="1" applyAlignment="1">
      <alignment horizontal="center" vertical="center"/>
    </xf>
    <xf numFmtId="0" fontId="0" fillId="0" borderId="44" xfId="0" applyBorder="1" applyAlignment="1">
      <alignment horizontal="center" vertical="center" wrapText="1"/>
    </xf>
    <xf numFmtId="0" fontId="0" fillId="0" borderId="48" xfId="0" applyBorder="1" applyAlignment="1">
      <alignment horizontal="center" vertical="center" wrapText="1"/>
    </xf>
    <xf numFmtId="0" fontId="0" fillId="0" borderId="5" xfId="0" applyBorder="1" applyAlignment="1">
      <alignment horizontal="center" vertical="center"/>
    </xf>
    <xf numFmtId="0" fontId="0" fillId="0" borderId="166" xfId="0" applyBorder="1" applyAlignment="1">
      <alignment horizontal="center" vertical="center"/>
    </xf>
    <xf numFmtId="0" fontId="0" fillId="0" borderId="9" xfId="0" applyBorder="1" applyAlignment="1">
      <alignment horizontal="center" vertical="center"/>
    </xf>
    <xf numFmtId="0" fontId="0" fillId="0" borderId="185" xfId="0" applyBorder="1" applyAlignment="1">
      <alignment horizontal="center" vertical="center"/>
    </xf>
    <xf numFmtId="0" fontId="0" fillId="0" borderId="23" xfId="0" applyBorder="1" applyAlignment="1">
      <alignment horizontal="center" vertical="center" wrapText="1"/>
    </xf>
    <xf numFmtId="0" fontId="0" fillId="0" borderId="175" xfId="0" applyBorder="1" applyAlignment="1">
      <alignment horizontal="center" vertical="center" wrapText="1"/>
    </xf>
    <xf numFmtId="0" fontId="0" fillId="12" borderId="13" xfId="0" applyFill="1" applyBorder="1" applyAlignment="1">
      <alignment horizontal="center"/>
    </xf>
    <xf numFmtId="0" fontId="0" fillId="12" borderId="14" xfId="0" applyFill="1" applyBorder="1" applyAlignment="1">
      <alignment horizontal="center"/>
    </xf>
    <xf numFmtId="0" fontId="0" fillId="12" borderId="15" xfId="0" applyFill="1" applyBorder="1" applyAlignment="1">
      <alignment horizontal="center"/>
    </xf>
    <xf numFmtId="0" fontId="0" fillId="0" borderId="166" xfId="0" applyBorder="1" applyAlignment="1">
      <alignment horizontal="center"/>
    </xf>
    <xf numFmtId="0" fontId="0" fillId="0" borderId="53" xfId="0" applyBorder="1" applyAlignment="1">
      <alignment horizontal="center"/>
    </xf>
    <xf numFmtId="0" fontId="0" fillId="0" borderId="50" xfId="0" applyBorder="1" applyAlignment="1">
      <alignment horizontal="center"/>
    </xf>
    <xf numFmtId="0" fontId="0" fillId="0" borderId="169" xfId="0" applyBorder="1" applyAlignment="1">
      <alignment horizontal="center"/>
    </xf>
    <xf numFmtId="0" fontId="0" fillId="0" borderId="56" xfId="0" applyBorder="1" applyAlignment="1">
      <alignment horizontal="center"/>
    </xf>
    <xf numFmtId="0" fontId="23" fillId="8" borderId="38" xfId="0" applyFont="1" applyFill="1" applyBorder="1" applyAlignment="1">
      <alignment horizontal="left" vertical="top" wrapText="1"/>
    </xf>
    <xf numFmtId="0" fontId="23" fillId="8" borderId="1" xfId="0" applyFont="1" applyFill="1" applyBorder="1" applyAlignment="1">
      <alignment horizontal="left" vertical="top" wrapText="1"/>
    </xf>
    <xf numFmtId="0" fontId="0" fillId="21" borderId="2" xfId="0" applyFill="1" applyBorder="1" applyAlignment="1">
      <alignment horizontal="center"/>
    </xf>
    <xf numFmtId="0" fontId="0" fillId="21" borderId="3" xfId="0" applyFill="1" applyBorder="1" applyAlignment="1">
      <alignment horizontal="center"/>
    </xf>
    <xf numFmtId="0" fontId="0" fillId="21" borderId="4" xfId="0" applyFill="1" applyBorder="1" applyAlignment="1">
      <alignment horizontal="center"/>
    </xf>
    <xf numFmtId="0" fontId="24" fillId="10" borderId="1" xfId="0" applyFont="1" applyFill="1" applyBorder="1" applyAlignment="1">
      <alignment horizontal="center" vertical="center" wrapText="1"/>
    </xf>
    <xf numFmtId="6" fontId="23" fillId="63" borderId="36" xfId="0" applyNumberFormat="1" applyFont="1" applyFill="1" applyBorder="1" applyAlignment="1">
      <alignment horizontal="center" vertical="top" wrapText="1"/>
    </xf>
    <xf numFmtId="6" fontId="23" fillId="63" borderId="38" xfId="0" applyNumberFormat="1" applyFont="1" applyFill="1" applyBorder="1" applyAlignment="1">
      <alignment horizontal="center" vertical="top" wrapText="1"/>
    </xf>
    <xf numFmtId="0" fontId="24" fillId="2" borderId="1" xfId="0" applyFont="1" applyFill="1" applyBorder="1" applyAlignment="1">
      <alignment horizontal="center" vertical="center"/>
    </xf>
    <xf numFmtId="0" fontId="34" fillId="0" borderId="33" xfId="0" applyFont="1" applyBorder="1" applyAlignment="1">
      <alignment horizontal="left" vertical="top" wrapText="1"/>
    </xf>
    <xf numFmtId="0" fontId="34" fillId="0" borderId="37" xfId="0" applyFont="1" applyBorder="1" applyAlignment="1">
      <alignment horizontal="left" vertical="top" wrapText="1"/>
    </xf>
    <xf numFmtId="0" fontId="34" fillId="0" borderId="38" xfId="0" applyFont="1" applyBorder="1" applyAlignment="1">
      <alignment horizontal="left" vertical="top" wrapText="1"/>
    </xf>
    <xf numFmtId="0" fontId="2" fillId="16" borderId="9" xfId="0" applyFont="1" applyFill="1" applyBorder="1" applyAlignment="1">
      <alignment horizontal="center"/>
    </xf>
    <xf numFmtId="0" fontId="2" fillId="16" borderId="12" xfId="0" applyFont="1" applyFill="1" applyBorder="1" applyAlignment="1">
      <alignment horizontal="center"/>
    </xf>
    <xf numFmtId="0" fontId="31" fillId="0" borderId="33" xfId="0" applyFont="1" applyBorder="1" applyAlignment="1">
      <alignment horizontal="center" vertical="top" wrapText="1"/>
    </xf>
    <xf numFmtId="0" fontId="31" fillId="0" borderId="59" xfId="0" applyFont="1" applyBorder="1" applyAlignment="1">
      <alignment horizontal="center" vertical="top" wrapText="1"/>
    </xf>
    <xf numFmtId="0" fontId="31" fillId="0" borderId="42" xfId="0" applyFont="1" applyBorder="1" applyAlignment="1">
      <alignment horizontal="center" vertical="top" wrapText="1"/>
    </xf>
    <xf numFmtId="0" fontId="24" fillId="8" borderId="1" xfId="0" applyFont="1" applyFill="1" applyBorder="1" applyAlignment="1">
      <alignment horizontal="center" vertical="center" wrapText="1"/>
    </xf>
    <xf numFmtId="0" fontId="37" fillId="0" borderId="5" xfId="0" applyFont="1" applyBorder="1" applyAlignment="1">
      <alignment horizontal="center" vertical="top" wrapText="1"/>
    </xf>
    <xf numFmtId="0" fontId="37" fillId="0" borderId="11" xfId="0" applyFont="1" applyBorder="1" applyAlignment="1">
      <alignment horizontal="center" vertical="top" wrapText="1"/>
    </xf>
    <xf numFmtId="0" fontId="37" fillId="0" borderId="6" xfId="0" applyFont="1" applyBorder="1" applyAlignment="1">
      <alignment horizontal="center" vertical="top" wrapText="1"/>
    </xf>
    <xf numFmtId="10" fontId="18" fillId="0" borderId="33" xfId="0" applyNumberFormat="1" applyFont="1" applyBorder="1" applyAlignment="1">
      <alignment horizontal="center" wrapText="1"/>
    </xf>
    <xf numFmtId="10" fontId="18" fillId="0" borderId="59" xfId="0" applyNumberFormat="1" applyFont="1" applyBorder="1" applyAlignment="1">
      <alignment horizontal="center" wrapText="1"/>
    </xf>
    <xf numFmtId="0" fontId="34" fillId="0" borderId="32" xfId="0" applyFont="1" applyBorder="1" applyAlignment="1">
      <alignment horizontal="center" vertical="center"/>
    </xf>
    <xf numFmtId="0" fontId="34" fillId="0" borderId="54" xfId="0" applyFont="1" applyBorder="1" applyAlignment="1">
      <alignment horizontal="center" vertical="center"/>
    </xf>
    <xf numFmtId="0" fontId="34" fillId="0" borderId="31" xfId="0" applyFont="1" applyBorder="1" applyAlignment="1">
      <alignment horizontal="center" vertical="center"/>
    </xf>
    <xf numFmtId="0" fontId="23" fillId="10" borderId="1" xfId="0" applyFont="1" applyFill="1" applyBorder="1" applyAlignment="1">
      <alignment horizontal="left" vertical="top" wrapText="1"/>
    </xf>
    <xf numFmtId="6" fontId="23" fillId="63" borderId="1" xfId="0" applyNumberFormat="1" applyFont="1" applyFill="1" applyBorder="1" applyAlignment="1">
      <alignment horizontal="center" vertical="top" wrapText="1"/>
    </xf>
    <xf numFmtId="0" fontId="34" fillId="0" borderId="59" xfId="0" applyFont="1" applyFill="1" applyBorder="1" applyAlignment="1">
      <alignment horizontal="left" vertical="top" wrapText="1"/>
    </xf>
    <xf numFmtId="0" fontId="37" fillId="0" borderId="0" xfId="0" applyFont="1" applyAlignment="1">
      <alignment horizontal="center"/>
    </xf>
    <xf numFmtId="0" fontId="18" fillId="0" borderId="33" xfId="0" applyFont="1" applyFill="1" applyBorder="1" applyAlignment="1">
      <alignment horizontal="center" vertical="center"/>
    </xf>
    <xf numFmtId="0" fontId="18" fillId="0" borderId="59" xfId="0" applyFont="1" applyFill="1" applyBorder="1" applyAlignment="1">
      <alignment horizontal="center" vertical="center"/>
    </xf>
    <xf numFmtId="0" fontId="18" fillId="0" borderId="42" xfId="0" applyFont="1" applyFill="1" applyBorder="1" applyAlignment="1">
      <alignment horizontal="center" vertical="center"/>
    </xf>
    <xf numFmtId="4" fontId="20" fillId="0" borderId="33" xfId="0" applyNumberFormat="1" applyFont="1" applyFill="1" applyBorder="1" applyAlignment="1">
      <alignment horizontal="center"/>
    </xf>
    <xf numFmtId="4" fontId="20" fillId="0" borderId="59" xfId="0" applyNumberFormat="1" applyFont="1" applyFill="1" applyBorder="1" applyAlignment="1">
      <alignment horizontal="center"/>
    </xf>
    <xf numFmtId="4" fontId="20" fillId="0" borderId="42" xfId="0" applyNumberFormat="1" applyFont="1" applyFill="1" applyBorder="1" applyAlignment="1">
      <alignment horizontal="center"/>
    </xf>
    <xf numFmtId="0" fontId="0" fillId="0" borderId="33" xfId="0" applyBorder="1" applyAlignment="1">
      <alignment horizontal="center"/>
    </xf>
    <xf numFmtId="0" fontId="0" fillId="0" borderId="59" xfId="0" applyBorder="1" applyAlignment="1">
      <alignment horizontal="center"/>
    </xf>
    <xf numFmtId="0" fontId="0" fillId="0" borderId="42" xfId="0" applyBorder="1" applyAlignment="1">
      <alignment horizontal="center"/>
    </xf>
    <xf numFmtId="0" fontId="37" fillId="0" borderId="49" xfId="0" applyFont="1" applyBorder="1" applyAlignment="1">
      <alignment horizontal="center" vertical="center"/>
    </xf>
    <xf numFmtId="0" fontId="37" fillId="0" borderId="169" xfId="0" applyFont="1" applyBorder="1" applyAlignment="1">
      <alignment horizontal="center" vertical="center"/>
    </xf>
    <xf numFmtId="0" fontId="37" fillId="0" borderId="56" xfId="0" applyFont="1" applyBorder="1" applyAlignment="1">
      <alignment horizontal="center" vertical="center"/>
    </xf>
    <xf numFmtId="43" fontId="18" fillId="0" borderId="1" xfId="1" applyFont="1" applyFill="1" applyBorder="1" applyAlignment="1">
      <alignment horizontal="left" vertical="top" wrapText="1"/>
    </xf>
    <xf numFmtId="0" fontId="18" fillId="59" borderId="1" xfId="0" applyFont="1" applyFill="1" applyBorder="1" applyAlignment="1">
      <alignment horizontal="left" vertical="top" wrapText="1"/>
    </xf>
    <xf numFmtId="0" fontId="18" fillId="0" borderId="1" xfId="0" applyFont="1" applyFill="1" applyBorder="1" applyAlignment="1">
      <alignment horizontal="center" vertical="center" wrapText="1"/>
    </xf>
    <xf numFmtId="4" fontId="18" fillId="0" borderId="1" xfId="1" applyNumberFormat="1" applyFont="1" applyFill="1" applyBorder="1" applyAlignment="1">
      <alignment horizontal="center" vertical="center" wrapText="1"/>
    </xf>
    <xf numFmtId="0" fontId="140" fillId="59" borderId="1" xfId="0" applyFont="1" applyFill="1" applyBorder="1" applyAlignment="1">
      <alignment horizontal="center" vertical="center" wrapText="1"/>
    </xf>
    <xf numFmtId="0" fontId="140" fillId="2" borderId="1" xfId="0" applyFont="1" applyFill="1" applyBorder="1" applyAlignment="1">
      <alignment horizontal="center" vertical="center" wrapText="1"/>
    </xf>
    <xf numFmtId="1" fontId="18" fillId="0" borderId="1" xfId="3" applyNumberFormat="1" applyFont="1" applyFill="1" applyBorder="1" applyAlignment="1">
      <alignment horizontal="center" vertical="center" wrapText="1"/>
    </xf>
    <xf numFmtId="0" fontId="142" fillId="59" borderId="1" xfId="0" applyFont="1" applyFill="1" applyBorder="1" applyAlignment="1">
      <alignment horizontal="center" vertical="center" wrapText="1"/>
    </xf>
    <xf numFmtId="0" fontId="142" fillId="2" borderId="1" xfId="0" applyFont="1" applyFill="1" applyBorder="1" applyAlignment="1">
      <alignment horizontal="center" vertical="center" wrapText="1"/>
    </xf>
    <xf numFmtId="1" fontId="144" fillId="2" borderId="1" xfId="3" applyNumberFormat="1" applyFont="1" applyFill="1" applyBorder="1" applyAlignment="1">
      <alignment horizontal="left" vertical="top" wrapText="1"/>
    </xf>
    <xf numFmtId="1" fontId="144" fillId="0" borderId="1" xfId="3" applyNumberFormat="1" applyFont="1" applyFill="1" applyBorder="1" applyAlignment="1">
      <alignment horizontal="center" vertical="top" wrapText="1"/>
    </xf>
    <xf numFmtId="0" fontId="0" fillId="0" borderId="31" xfId="0" applyBorder="1" applyAlignment="1">
      <alignment horizontal="center"/>
    </xf>
    <xf numFmtId="0" fontId="0" fillId="0" borderId="41" xfId="0" applyBorder="1" applyAlignment="1">
      <alignment horizontal="center"/>
    </xf>
    <xf numFmtId="0" fontId="18" fillId="0" borderId="36" xfId="0" applyFont="1" applyFill="1" applyBorder="1" applyAlignment="1">
      <alignment vertical="center" wrapText="1"/>
    </xf>
    <xf numFmtId="0" fontId="18" fillId="0" borderId="37" xfId="0" applyFont="1" applyFill="1" applyBorder="1" applyAlignment="1">
      <alignment vertical="center" wrapText="1"/>
    </xf>
    <xf numFmtId="0" fontId="108" fillId="0" borderId="40" xfId="0" applyFont="1" applyBorder="1" applyAlignment="1">
      <alignment horizontal="center"/>
    </xf>
    <xf numFmtId="0" fontId="19" fillId="5" borderId="36" xfId="0" applyFont="1" applyFill="1" applyBorder="1" applyAlignment="1">
      <alignment horizontal="left"/>
    </xf>
    <xf numFmtId="0" fontId="19" fillId="5" borderId="38" xfId="0" applyFont="1" applyFill="1" applyBorder="1" applyAlignment="1">
      <alignment horizontal="left"/>
    </xf>
    <xf numFmtId="1" fontId="144" fillId="0" borderId="39" xfId="3" applyNumberFormat="1" applyFont="1" applyFill="1" applyBorder="1" applyAlignment="1">
      <alignment horizontal="center" vertical="top" wrapText="1"/>
    </xf>
    <xf numFmtId="1" fontId="144" fillId="0" borderId="41" xfId="3" applyNumberFormat="1" applyFont="1" applyFill="1" applyBorder="1" applyAlignment="1">
      <alignment horizontal="center" vertical="top" wrapText="1"/>
    </xf>
    <xf numFmtId="0" fontId="18" fillId="0" borderId="1" xfId="0" applyFont="1" applyFill="1" applyBorder="1" applyAlignment="1">
      <alignment vertical="center" wrapText="1"/>
    </xf>
    <xf numFmtId="43" fontId="18" fillId="0" borderId="36" xfId="1" applyFont="1" applyFill="1" applyBorder="1" applyAlignment="1">
      <alignment horizontal="left" vertical="top" wrapText="1"/>
    </xf>
    <xf numFmtId="0" fontId="18" fillId="59" borderId="36" xfId="0" applyFont="1" applyFill="1" applyBorder="1" applyAlignment="1">
      <alignment horizontal="left" vertical="top" wrapText="1"/>
    </xf>
    <xf numFmtId="1" fontId="144" fillId="2" borderId="36" xfId="3" applyNumberFormat="1" applyFont="1" applyFill="1" applyBorder="1" applyAlignment="1">
      <alignment horizontal="left" vertical="top" wrapText="1"/>
    </xf>
    <xf numFmtId="0" fontId="18" fillId="0" borderId="1" xfId="0" applyFont="1" applyFill="1" applyBorder="1" applyAlignment="1">
      <alignment horizontal="left" vertical="top" wrapText="1"/>
    </xf>
    <xf numFmtId="0" fontId="144" fillId="2" borderId="1" xfId="0" applyFont="1" applyFill="1" applyBorder="1" applyAlignment="1">
      <alignment horizontal="left" vertical="top" wrapText="1"/>
    </xf>
    <xf numFmtId="0" fontId="31" fillId="0" borderId="1" xfId="0" applyFont="1" applyFill="1" applyBorder="1" applyAlignment="1">
      <alignment horizontal="center" vertical="top" wrapText="1"/>
    </xf>
    <xf numFmtId="0" fontId="24" fillId="0" borderId="1" xfId="0" applyFont="1" applyBorder="1" applyAlignment="1">
      <alignment horizontal="left" vertical="center"/>
    </xf>
    <xf numFmtId="0" fontId="37" fillId="0" borderId="1" xfId="0" applyFont="1" applyFill="1" applyBorder="1" applyAlignment="1">
      <alignment horizontal="center" wrapText="1"/>
    </xf>
    <xf numFmtId="0" fontId="18" fillId="0" borderId="1" xfId="0" applyFont="1" applyBorder="1" applyAlignment="1">
      <alignment horizontal="left" vertical="center" wrapText="1"/>
    </xf>
    <xf numFmtId="0" fontId="18" fillId="59" borderId="1" xfId="0" applyFont="1" applyFill="1" applyBorder="1" applyAlignment="1">
      <alignment horizontal="left" wrapText="1"/>
    </xf>
    <xf numFmtId="0" fontId="144" fillId="2" borderId="1" xfId="0" applyFont="1" applyFill="1" applyBorder="1" applyAlignment="1">
      <alignment horizontal="left" vertical="center" wrapText="1"/>
    </xf>
    <xf numFmtId="0" fontId="34" fillId="0" borderId="1" xfId="0" applyFont="1" applyFill="1" applyBorder="1" applyAlignment="1">
      <alignment horizontal="left" vertical="center" wrapText="1"/>
    </xf>
    <xf numFmtId="44" fontId="18" fillId="4" borderId="1" xfId="2" applyFont="1" applyFill="1" applyBorder="1" applyAlignment="1">
      <alignment horizontal="left" vertical="center" wrapText="1"/>
    </xf>
    <xf numFmtId="0" fontId="0" fillId="0" borderId="5" xfId="0" applyBorder="1" applyAlignment="1">
      <alignment horizontal="center" vertical="top" wrapText="1"/>
    </xf>
    <xf numFmtId="0" fontId="0" fillId="0" borderId="11" xfId="0" applyBorder="1" applyAlignment="1">
      <alignment horizontal="center" vertical="top" wrapText="1"/>
    </xf>
    <xf numFmtId="0" fontId="0" fillId="0" borderId="6" xfId="0" applyBorder="1" applyAlignment="1">
      <alignment horizontal="center" vertical="top" wrapText="1"/>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12" xfId="0" applyBorder="1" applyAlignment="1">
      <alignment horizontal="center" vertical="top" wrapText="1"/>
    </xf>
    <xf numFmtId="0" fontId="0" fillId="0" borderId="10" xfId="0" applyBorder="1" applyAlignment="1">
      <alignment horizontal="center" vertical="top" wrapText="1"/>
    </xf>
    <xf numFmtId="0" fontId="49" fillId="33" borderId="49" xfId="0" applyFont="1" applyFill="1" applyBorder="1" applyAlignment="1">
      <alignment horizontal="center" vertical="center" wrapText="1"/>
    </xf>
    <xf numFmtId="0" fontId="49" fillId="33" borderId="169" xfId="0" applyFont="1" applyFill="1" applyBorder="1" applyAlignment="1">
      <alignment horizontal="center" vertical="center" wrapText="1"/>
    </xf>
    <xf numFmtId="0" fontId="49" fillId="33" borderId="56" xfId="0" applyFont="1" applyFill="1" applyBorder="1" applyAlignment="1">
      <alignment horizontal="center" vertical="center" wrapText="1"/>
    </xf>
    <xf numFmtId="0" fontId="155" fillId="39" borderId="1" xfId="0" applyFont="1" applyFill="1" applyBorder="1" applyAlignment="1">
      <alignment horizontal="center" vertical="center" wrapText="1"/>
    </xf>
    <xf numFmtId="4" fontId="108" fillId="0" borderId="40" xfId="0" applyNumberFormat="1" applyFont="1" applyFill="1" applyBorder="1" applyAlignment="1">
      <alignment horizontal="center"/>
    </xf>
    <xf numFmtId="4" fontId="0" fillId="0" borderId="40" xfId="0" applyNumberFormat="1" applyFill="1" applyBorder="1" applyAlignment="1">
      <alignment horizontal="center"/>
    </xf>
    <xf numFmtId="0" fontId="19" fillId="5" borderId="1" xfId="0" applyFont="1" applyFill="1" applyBorder="1" applyAlignment="1">
      <alignment horizontal="left" vertical="top" wrapText="1"/>
    </xf>
    <xf numFmtId="0" fontId="19" fillId="2" borderId="168" xfId="0" applyFont="1" applyFill="1" applyBorder="1" applyAlignment="1">
      <alignment horizontal="left" vertical="top" wrapText="1"/>
    </xf>
    <xf numFmtId="0" fontId="19" fillId="2" borderId="41" xfId="0" applyFont="1" applyFill="1" applyBorder="1" applyAlignment="1">
      <alignment horizontal="left" vertical="top" wrapText="1"/>
    </xf>
    <xf numFmtId="0" fontId="19" fillId="2" borderId="47" xfId="0" applyFont="1" applyFill="1" applyBorder="1" applyAlignment="1">
      <alignment horizontal="left" vertical="top" wrapText="1"/>
    </xf>
    <xf numFmtId="0" fontId="19" fillId="2" borderId="38" xfId="0" applyFont="1" applyFill="1" applyBorder="1" applyAlignment="1">
      <alignment horizontal="left" vertical="top" wrapText="1"/>
    </xf>
    <xf numFmtId="0" fontId="0" fillId="18" borderId="1" xfId="0" applyFont="1" applyFill="1" applyBorder="1" applyAlignment="1">
      <alignment vertical="center" wrapText="1"/>
    </xf>
    <xf numFmtId="0" fontId="23" fillId="21" borderId="1" xfId="0" applyFont="1" applyFill="1" applyBorder="1" applyAlignment="1">
      <alignment horizontal="left" vertical="top" wrapText="1"/>
    </xf>
    <xf numFmtId="0" fontId="19" fillId="5" borderId="179" xfId="0" applyFont="1" applyFill="1" applyBorder="1" applyAlignment="1">
      <alignment horizontal="left" vertical="top" wrapText="1"/>
    </xf>
    <xf numFmtId="0" fontId="19" fillId="5" borderId="42" xfId="0" applyFont="1" applyFill="1" applyBorder="1" applyAlignment="1">
      <alignment horizontal="left" vertical="top" wrapText="1"/>
    </xf>
    <xf numFmtId="0" fontId="19" fillId="2" borderId="47" xfId="0" applyFont="1" applyFill="1" applyBorder="1" applyAlignment="1">
      <alignment horizontal="center" vertical="top" wrapText="1"/>
    </xf>
    <xf numFmtId="0" fontId="19" fillId="2" borderId="38" xfId="0" applyFont="1" applyFill="1" applyBorder="1" applyAlignment="1">
      <alignment horizontal="center" vertical="top" wrapText="1"/>
    </xf>
    <xf numFmtId="0" fontId="24" fillId="29" borderId="36" xfId="0" applyFont="1" applyFill="1" applyBorder="1" applyAlignment="1">
      <alignment horizontal="center" vertical="top" wrapText="1"/>
    </xf>
    <xf numFmtId="0" fontId="24" fillId="29" borderId="38" xfId="0" applyFont="1" applyFill="1" applyBorder="1" applyAlignment="1">
      <alignment horizontal="center" vertical="top" wrapText="1"/>
    </xf>
    <xf numFmtId="0" fontId="36" fillId="2" borderId="36" xfId="0" applyFont="1" applyFill="1" applyBorder="1" applyAlignment="1">
      <alignment horizontal="center" vertical="top" wrapText="1"/>
    </xf>
    <xf numFmtId="0" fontId="36" fillId="2" borderId="38" xfId="0" applyFont="1" applyFill="1" applyBorder="1" applyAlignment="1">
      <alignment horizontal="center" vertical="top" wrapText="1"/>
    </xf>
    <xf numFmtId="4" fontId="18" fillId="0" borderId="36" xfId="1" applyNumberFormat="1" applyFont="1" applyFill="1" applyBorder="1" applyAlignment="1">
      <alignment vertical="center" wrapText="1"/>
    </xf>
    <xf numFmtId="4" fontId="18" fillId="0" borderId="37" xfId="1" applyNumberFormat="1" applyFont="1" applyFill="1" applyBorder="1" applyAlignment="1">
      <alignment vertical="center" wrapText="1"/>
    </xf>
    <xf numFmtId="0" fontId="140" fillId="59" borderId="36" xfId="0" applyFont="1" applyFill="1" applyBorder="1" applyAlignment="1">
      <alignment vertical="center" wrapText="1"/>
    </xf>
    <xf numFmtId="0" fontId="140" fillId="59" borderId="37" xfId="0" applyFont="1" applyFill="1" applyBorder="1" applyAlignment="1">
      <alignment vertical="center" wrapText="1"/>
    </xf>
    <xf numFmtId="0" fontId="140" fillId="2" borderId="36" xfId="0" applyFont="1" applyFill="1" applyBorder="1" applyAlignment="1">
      <alignment vertical="center" wrapText="1"/>
    </xf>
    <xf numFmtId="0" fontId="140" fillId="2" borderId="37" xfId="0" applyFont="1" applyFill="1" applyBorder="1" applyAlignment="1">
      <alignment vertical="center" wrapText="1"/>
    </xf>
    <xf numFmtId="1" fontId="18" fillId="0" borderId="36" xfId="3" applyNumberFormat="1" applyFont="1" applyFill="1" applyBorder="1" applyAlignment="1">
      <alignment vertical="center" wrapText="1"/>
    </xf>
    <xf numFmtId="1" fontId="18" fillId="0" borderId="37" xfId="3" applyNumberFormat="1" applyFont="1" applyFill="1" applyBorder="1" applyAlignment="1">
      <alignment vertical="center" wrapText="1"/>
    </xf>
    <xf numFmtId="0" fontId="142" fillId="59" borderId="36" xfId="0" applyFont="1" applyFill="1" applyBorder="1" applyAlignment="1">
      <alignment vertical="center" wrapText="1"/>
    </xf>
    <xf numFmtId="0" fontId="142" fillId="59" borderId="37" xfId="0" applyFont="1" applyFill="1" applyBorder="1" applyAlignment="1">
      <alignment vertical="center" wrapText="1"/>
    </xf>
    <xf numFmtId="0" fontId="142" fillId="2" borderId="36" xfId="0" applyFont="1" applyFill="1" applyBorder="1" applyAlignment="1">
      <alignment vertical="center" wrapText="1"/>
    </xf>
    <xf numFmtId="0" fontId="142" fillId="2" borderId="37" xfId="0" applyFont="1" applyFill="1" applyBorder="1" applyAlignment="1">
      <alignment vertical="center" wrapText="1"/>
    </xf>
    <xf numFmtId="0" fontId="18" fillId="0" borderId="36" xfId="0" applyFont="1" applyBorder="1" applyAlignment="1">
      <alignment horizontal="left" vertical="center" wrapText="1"/>
    </xf>
    <xf numFmtId="0" fontId="18" fillId="59" borderId="1" xfId="0" applyFont="1" applyFill="1" applyBorder="1" applyAlignment="1">
      <alignment horizontal="center" wrapText="1"/>
    </xf>
    <xf numFmtId="0" fontId="18" fillId="59" borderId="36" xfId="0" applyFont="1" applyFill="1" applyBorder="1" applyAlignment="1">
      <alignment horizontal="center" wrapText="1"/>
    </xf>
    <xf numFmtId="0" fontId="144" fillId="2" borderId="36" xfId="0" applyFont="1" applyFill="1" applyBorder="1" applyAlignment="1">
      <alignment horizontal="left" vertical="center" wrapText="1"/>
    </xf>
    <xf numFmtId="0" fontId="67" fillId="0" borderId="5" xfId="0" applyFont="1" applyBorder="1" applyAlignment="1">
      <alignment horizontal="center" wrapText="1"/>
    </xf>
    <xf numFmtId="0" fontId="67" fillId="0" borderId="11" xfId="0" applyFont="1" applyBorder="1" applyAlignment="1">
      <alignment horizontal="center" wrapText="1"/>
    </xf>
    <xf numFmtId="0" fontId="67" fillId="0" borderId="6" xfId="0" applyFont="1" applyBorder="1" applyAlignment="1">
      <alignment horizontal="center" wrapText="1"/>
    </xf>
    <xf numFmtId="0" fontId="0" fillId="0" borderId="33" xfId="0" applyFill="1" applyBorder="1" applyAlignment="1">
      <alignment horizontal="center"/>
    </xf>
    <xf numFmtId="0" fontId="0" fillId="0" borderId="59" xfId="0" applyFill="1" applyBorder="1" applyAlignment="1">
      <alignment horizontal="center"/>
    </xf>
    <xf numFmtId="0" fontId="0" fillId="0" borderId="42" xfId="0" applyFill="1" applyBorder="1" applyAlignment="1">
      <alignment horizontal="center"/>
    </xf>
    <xf numFmtId="4" fontId="20" fillId="0" borderId="1" xfId="0" applyNumberFormat="1" applyFont="1" applyFill="1" applyBorder="1" applyAlignment="1">
      <alignment horizontal="center" wrapText="1"/>
    </xf>
    <xf numFmtId="4" fontId="20" fillId="0" borderId="1" xfId="0" applyNumberFormat="1" applyFont="1" applyFill="1" applyBorder="1" applyAlignment="1">
      <alignment horizontal="center" vertical="top" wrapText="1"/>
    </xf>
    <xf numFmtId="0" fontId="0" fillId="33" borderId="21" xfId="0" applyFill="1" applyBorder="1" applyAlignment="1">
      <alignment horizontal="center" wrapText="1"/>
    </xf>
    <xf numFmtId="0" fontId="0" fillId="33" borderId="173" xfId="0" applyFill="1" applyBorder="1" applyAlignment="1">
      <alignment horizontal="center" wrapText="1"/>
    </xf>
    <xf numFmtId="0" fontId="0" fillId="0" borderId="5" xfId="0" applyBorder="1" applyAlignment="1">
      <alignment horizontal="center" wrapText="1"/>
    </xf>
    <xf numFmtId="0" fontId="0" fillId="0" borderId="11" xfId="0" applyBorder="1" applyAlignment="1">
      <alignment horizontal="center" wrapText="1"/>
    </xf>
    <xf numFmtId="0" fontId="0" fillId="0" borderId="6" xfId="0" applyBorder="1" applyAlignment="1">
      <alignment horizontal="center" wrapText="1"/>
    </xf>
    <xf numFmtId="0" fontId="49" fillId="41" borderId="12" xfId="0" applyFont="1" applyFill="1" applyBorder="1" applyAlignment="1">
      <alignment horizontal="center" vertical="center" wrapText="1"/>
    </xf>
    <xf numFmtId="0" fontId="49" fillId="41" borderId="14" xfId="0" applyFont="1" applyFill="1" applyBorder="1" applyAlignment="1">
      <alignment horizontal="center" vertical="center" wrapText="1"/>
    </xf>
    <xf numFmtId="0" fontId="49" fillId="41" borderId="10" xfId="0" applyFont="1" applyFill="1" applyBorder="1" applyAlignment="1">
      <alignment horizontal="center" vertical="center" wrapText="1"/>
    </xf>
    <xf numFmtId="0" fontId="49" fillId="41" borderId="49" xfId="0" applyFont="1" applyFill="1" applyBorder="1" applyAlignment="1">
      <alignment horizontal="center" vertical="center" wrapText="1"/>
    </xf>
    <xf numFmtId="0" fontId="49" fillId="41" borderId="169" xfId="0" applyFont="1" applyFill="1" applyBorder="1" applyAlignment="1">
      <alignment horizontal="center" vertical="center" wrapText="1"/>
    </xf>
    <xf numFmtId="0" fontId="49" fillId="41" borderId="56" xfId="0" applyFont="1" applyFill="1" applyBorder="1" applyAlignment="1">
      <alignment horizontal="center" vertical="center" wrapText="1"/>
    </xf>
    <xf numFmtId="3" fontId="0" fillId="33" borderId="13" xfId="0" applyNumberFormat="1" applyFont="1" applyFill="1" applyBorder="1" applyAlignment="1">
      <alignment horizontal="center"/>
    </xf>
    <xf numFmtId="3" fontId="0" fillId="33" borderId="14" xfId="0" applyNumberFormat="1" applyFont="1" applyFill="1" applyBorder="1" applyAlignment="1">
      <alignment horizontal="center"/>
    </xf>
    <xf numFmtId="3" fontId="0" fillId="33" borderId="15" xfId="0" applyNumberFormat="1" applyFont="1" applyFill="1" applyBorder="1" applyAlignment="1">
      <alignment horizontal="center"/>
    </xf>
    <xf numFmtId="0" fontId="18" fillId="28" borderId="12" xfId="0" applyFont="1" applyFill="1" applyBorder="1" applyAlignment="1">
      <alignment horizontal="center" wrapText="1"/>
    </xf>
    <xf numFmtId="0" fontId="0" fillId="0" borderId="0" xfId="0" applyFill="1" applyBorder="1" applyAlignment="1">
      <alignment horizontal="left" vertical="top"/>
    </xf>
    <xf numFmtId="0" fontId="0" fillId="0" borderId="7" xfId="0" applyBorder="1" applyAlignment="1">
      <alignment horizontal="center"/>
    </xf>
    <xf numFmtId="0" fontId="0" fillId="0" borderId="8" xfId="0" applyBorder="1" applyAlignment="1">
      <alignment horizontal="center"/>
    </xf>
    <xf numFmtId="0" fontId="0" fillId="0" borderId="13" xfId="0" applyFont="1" applyBorder="1" applyAlignment="1">
      <alignment horizontal="center"/>
    </xf>
    <xf numFmtId="0" fontId="0" fillId="0" borderId="14" xfId="0" applyFont="1" applyBorder="1" applyAlignment="1">
      <alignment horizontal="center"/>
    </xf>
    <xf numFmtId="0" fontId="0" fillId="0" borderId="15" xfId="0" applyFont="1" applyBorder="1" applyAlignment="1">
      <alignment horizontal="center"/>
    </xf>
    <xf numFmtId="0" fontId="0" fillId="0" borderId="5" xfId="0" applyFont="1" applyBorder="1" applyAlignment="1">
      <alignment horizontal="center"/>
    </xf>
    <xf numFmtId="0" fontId="0" fillId="0" borderId="11" xfId="0" applyFont="1" applyBorder="1" applyAlignment="1">
      <alignment horizontal="center"/>
    </xf>
    <xf numFmtId="0" fontId="77" fillId="35" borderId="12" xfId="0" applyFont="1" applyFill="1" applyBorder="1" applyAlignment="1">
      <alignment horizontal="center" vertical="center" wrapText="1"/>
    </xf>
    <xf numFmtId="0" fontId="0" fillId="0" borderId="0" xfId="0" applyFill="1" applyBorder="1" applyAlignment="1">
      <alignment horizontal="center" wrapText="1"/>
    </xf>
    <xf numFmtId="0" fontId="2" fillId="0" borderId="7" xfId="0" applyFont="1" applyBorder="1" applyAlignment="1">
      <alignment horizontal="center"/>
    </xf>
    <xf numFmtId="0" fontId="2" fillId="0" borderId="0" xfId="0" applyFont="1" applyBorder="1" applyAlignment="1">
      <alignment horizontal="center"/>
    </xf>
    <xf numFmtId="0" fontId="2" fillId="0" borderId="81" xfId="0" applyFont="1" applyBorder="1" applyAlignment="1">
      <alignment horizontal="center"/>
    </xf>
    <xf numFmtId="0" fontId="2" fillId="0" borderId="5" xfId="0" applyFont="1" applyFill="1" applyBorder="1" applyAlignment="1">
      <alignment horizontal="center"/>
    </xf>
    <xf numFmtId="0" fontId="2" fillId="0" borderId="11" xfId="0" applyFont="1" applyFill="1" applyBorder="1" applyAlignment="1">
      <alignment horizontal="center"/>
    </xf>
    <xf numFmtId="0" fontId="2" fillId="0" borderId="6" xfId="0" applyFont="1" applyFill="1" applyBorder="1" applyAlignment="1">
      <alignment horizontal="center"/>
    </xf>
    <xf numFmtId="0" fontId="0" fillId="21" borderId="43" xfId="0" applyFill="1" applyBorder="1" applyAlignment="1">
      <alignment horizontal="center"/>
    </xf>
    <xf numFmtId="0" fontId="0" fillId="21" borderId="0" xfId="0" applyFill="1" applyBorder="1" applyAlignment="1">
      <alignment horizontal="center"/>
    </xf>
    <xf numFmtId="0" fontId="0" fillId="21" borderId="81" xfId="0" applyFill="1" applyBorder="1" applyAlignment="1">
      <alignment horizontal="center"/>
    </xf>
    <xf numFmtId="0" fontId="2" fillId="0" borderId="0" xfId="0" applyFont="1" applyFill="1" applyBorder="1" applyAlignment="1">
      <alignment horizontal="center"/>
    </xf>
    <xf numFmtId="0" fontId="20" fillId="0" borderId="0" xfId="0" applyFont="1" applyFill="1" applyBorder="1" applyAlignment="1">
      <alignment horizontal="center" vertical="top" wrapText="1"/>
    </xf>
    <xf numFmtId="0" fontId="0" fillId="50" borderId="1" xfId="0" applyFill="1" applyBorder="1" applyAlignment="1">
      <alignment horizontal="center"/>
    </xf>
    <xf numFmtId="0" fontId="0" fillId="42" borderId="1" xfId="0" applyFill="1" applyBorder="1" applyAlignment="1">
      <alignment horizontal="center" vertical="center" wrapText="1"/>
    </xf>
    <xf numFmtId="0" fontId="0" fillId="42" borderId="32" xfId="0" applyFill="1" applyBorder="1" applyAlignment="1">
      <alignment horizontal="center" vertical="center" wrapText="1"/>
    </xf>
    <xf numFmtId="0" fontId="12" fillId="21" borderId="13" xfId="0" applyFont="1" applyFill="1" applyBorder="1" applyAlignment="1">
      <alignment horizontal="center" vertical="center" wrapText="1"/>
    </xf>
    <xf numFmtId="0" fontId="12" fillId="21" borderId="14" xfId="0" applyFont="1" applyFill="1" applyBorder="1" applyAlignment="1">
      <alignment horizontal="center" vertical="center" wrapText="1"/>
    </xf>
    <xf numFmtId="0" fontId="12" fillId="21" borderId="15" xfId="0" applyFont="1" applyFill="1" applyBorder="1" applyAlignment="1">
      <alignment horizontal="center" vertical="center" wrapText="1"/>
    </xf>
    <xf numFmtId="0" fontId="0" fillId="15" borderId="2" xfId="0" applyFill="1" applyBorder="1" applyAlignment="1">
      <alignment horizontal="center"/>
    </xf>
    <xf numFmtId="0" fontId="0" fillId="15" borderId="3" xfId="0" applyFill="1" applyBorder="1" applyAlignment="1">
      <alignment horizontal="center"/>
    </xf>
    <xf numFmtId="0" fontId="12" fillId="0" borderId="0" xfId="0" applyFont="1" applyFill="1" applyBorder="1" applyAlignment="1">
      <alignment horizontal="center" vertical="center" wrapText="1"/>
    </xf>
    <xf numFmtId="0" fontId="0" fillId="21" borderId="27" xfId="0" applyFill="1" applyBorder="1" applyAlignment="1">
      <alignment horizontal="center"/>
    </xf>
    <xf numFmtId="0" fontId="0" fillId="21" borderId="29" xfId="0" applyFill="1" applyBorder="1" applyAlignment="1">
      <alignment horizontal="center"/>
    </xf>
    <xf numFmtId="0" fontId="0" fillId="21" borderId="31" xfId="0" applyFill="1" applyBorder="1" applyAlignment="1">
      <alignment horizontal="center"/>
    </xf>
    <xf numFmtId="0" fontId="0" fillId="21" borderId="39" xfId="0" applyFill="1" applyBorder="1" applyAlignment="1">
      <alignment horizontal="center"/>
    </xf>
    <xf numFmtId="0" fontId="12" fillId="21" borderId="27" xfId="0" applyFont="1" applyFill="1" applyBorder="1" applyAlignment="1">
      <alignment vertical="center" wrapText="1"/>
    </xf>
    <xf numFmtId="0" fontId="12" fillId="21" borderId="9" xfId="0" applyFont="1" applyFill="1" applyBorder="1" applyAlignment="1">
      <alignment vertical="center" wrapText="1"/>
    </xf>
    <xf numFmtId="0" fontId="0" fillId="38" borderId="27" xfId="0" applyFill="1" applyBorder="1" applyAlignment="1">
      <alignment horizontal="center" wrapText="1"/>
    </xf>
    <xf numFmtId="0" fontId="0" fillId="38" borderId="29" xfId="0" applyFill="1" applyBorder="1" applyAlignment="1">
      <alignment horizontal="center" wrapText="1"/>
    </xf>
    <xf numFmtId="0" fontId="2" fillId="15" borderId="9" xfId="0" applyFont="1" applyFill="1" applyBorder="1" applyAlignment="1">
      <alignment horizontal="center"/>
    </xf>
    <xf numFmtId="0" fontId="2" fillId="15" borderId="12" xfId="0" applyFont="1" applyFill="1" applyBorder="1" applyAlignment="1">
      <alignment horizontal="center"/>
    </xf>
    <xf numFmtId="0" fontId="25" fillId="0" borderId="27" xfId="0" applyFont="1" applyBorder="1" applyAlignment="1">
      <alignment horizontal="justify" vertical="top" wrapText="1"/>
    </xf>
    <xf numFmtId="0" fontId="25" fillId="0" borderId="29" xfId="0" applyFont="1" applyBorder="1" applyAlignment="1">
      <alignment horizontal="justify" vertical="top" wrapText="1"/>
    </xf>
    <xf numFmtId="0" fontId="25" fillId="0" borderId="27" xfId="0" applyFont="1" applyBorder="1" applyAlignment="1">
      <alignment horizontal="center" vertical="top" wrapText="1"/>
    </xf>
    <xf numFmtId="0" fontId="25" fillId="0" borderId="29" xfId="0" applyFont="1" applyBorder="1" applyAlignment="1">
      <alignment horizontal="center" vertical="top" wrapText="1"/>
    </xf>
    <xf numFmtId="0" fontId="49" fillId="0" borderId="27" xfId="0" applyFont="1" applyBorder="1" applyAlignment="1">
      <alignment horizontal="justify" vertical="center" wrapText="1"/>
    </xf>
    <xf numFmtId="0" fontId="49" fillId="0" borderId="29" xfId="0" applyFont="1" applyBorder="1" applyAlignment="1">
      <alignment horizontal="justify" vertical="center" wrapText="1"/>
    </xf>
    <xf numFmtId="0" fontId="0" fillId="0" borderId="2" xfId="0" applyBorder="1" applyAlignment="1">
      <alignment horizontal="center" vertical="center"/>
    </xf>
    <xf numFmtId="0" fontId="0" fillId="0" borderId="16" xfId="0" applyBorder="1" applyAlignment="1">
      <alignment horizontal="center" vertical="center"/>
    </xf>
    <xf numFmtId="0" fontId="0" fillId="0" borderId="26" xfId="0" applyBorder="1" applyAlignment="1">
      <alignment horizontal="center" vertical="center"/>
    </xf>
    <xf numFmtId="0" fontId="0" fillId="18" borderId="13" xfId="0" applyFill="1" applyBorder="1" applyAlignment="1">
      <alignment horizontal="center"/>
    </xf>
    <xf numFmtId="0" fontId="0" fillId="18" borderId="14" xfId="0" applyFill="1" applyBorder="1" applyAlignment="1">
      <alignment horizontal="center"/>
    </xf>
    <xf numFmtId="0" fontId="0" fillId="18" borderId="15" xfId="0" applyFill="1" applyBorder="1" applyAlignment="1">
      <alignment horizontal="center"/>
    </xf>
    <xf numFmtId="0" fontId="0" fillId="0" borderId="22" xfId="0" applyBorder="1" applyAlignment="1">
      <alignment horizontal="center"/>
    </xf>
    <xf numFmtId="0" fontId="0" fillId="0" borderId="32" xfId="0" applyBorder="1" applyAlignment="1">
      <alignment horizontal="center" vertical="top"/>
    </xf>
    <xf numFmtId="0" fontId="0" fillId="0" borderId="24" xfId="0" applyBorder="1" applyAlignment="1">
      <alignment horizontal="center"/>
    </xf>
    <xf numFmtId="0" fontId="0" fillId="0" borderId="49" xfId="0" applyBorder="1" applyAlignment="1">
      <alignment horizontal="center"/>
    </xf>
    <xf numFmtId="0" fontId="0" fillId="0" borderId="48" xfId="0" applyBorder="1" applyAlignment="1">
      <alignment horizontal="center"/>
    </xf>
    <xf numFmtId="0" fontId="0" fillId="0" borderId="174" xfId="0" applyBorder="1" applyAlignment="1">
      <alignment horizontal="center"/>
    </xf>
    <xf numFmtId="0" fontId="0" fillId="0" borderId="167" xfId="0" applyBorder="1" applyAlignment="1">
      <alignment horizontal="center"/>
    </xf>
    <xf numFmtId="0" fontId="0" fillId="0" borderId="3" xfId="0" applyBorder="1" applyAlignment="1">
      <alignment horizontal="center"/>
    </xf>
    <xf numFmtId="0" fontId="0" fillId="0" borderId="176" xfId="0" applyBorder="1" applyAlignment="1">
      <alignment horizontal="center"/>
    </xf>
    <xf numFmtId="0" fontId="0" fillId="0" borderId="168" xfId="0" applyBorder="1" applyAlignment="1">
      <alignment horizontal="center"/>
    </xf>
    <xf numFmtId="0" fontId="0" fillId="0" borderId="42" xfId="0" applyBorder="1" applyAlignment="1">
      <alignment horizontal="center" vertical="top"/>
    </xf>
    <xf numFmtId="0" fontId="0" fillId="18" borderId="5" xfId="0" applyFill="1" applyBorder="1" applyAlignment="1">
      <alignment horizontal="center"/>
    </xf>
    <xf numFmtId="0" fontId="0" fillId="18" borderId="11" xfId="0" applyFill="1" applyBorder="1" applyAlignment="1">
      <alignment horizontal="center"/>
    </xf>
    <xf numFmtId="0" fontId="0" fillId="18" borderId="6" xfId="0" applyFill="1" applyBorder="1" applyAlignment="1">
      <alignment horizontal="center"/>
    </xf>
    <xf numFmtId="0" fontId="0" fillId="0" borderId="1" xfId="0" applyBorder="1" applyAlignment="1">
      <alignment horizontal="center" vertical="top" wrapText="1"/>
    </xf>
    <xf numFmtId="0" fontId="0" fillId="0" borderId="1" xfId="0" applyBorder="1" applyAlignment="1">
      <alignment horizontal="center" vertical="center" wrapText="1"/>
    </xf>
    <xf numFmtId="0" fontId="19" fillId="0" borderId="1" xfId="0" applyFont="1" applyBorder="1" applyAlignment="1">
      <alignment horizontal="center" vertical="top" wrapText="1"/>
    </xf>
    <xf numFmtId="0" fontId="0" fillId="0" borderId="0" xfId="0" applyAlignment="1">
      <alignment horizontal="center" vertical="top" wrapText="1"/>
    </xf>
    <xf numFmtId="0" fontId="0" fillId="0" borderId="81" xfId="0" applyBorder="1" applyAlignment="1">
      <alignment horizontal="center" vertical="top" wrapText="1"/>
    </xf>
    <xf numFmtId="0" fontId="2" fillId="21" borderId="1" xfId="0" applyFont="1" applyFill="1" applyBorder="1" applyAlignment="1">
      <alignment horizontal="center" vertical="center"/>
    </xf>
    <xf numFmtId="0" fontId="2" fillId="21" borderId="36" xfId="0" applyFont="1" applyFill="1" applyBorder="1" applyAlignment="1">
      <alignment horizontal="center" vertic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2" fillId="24" borderId="36" xfId="0" applyFont="1" applyFill="1" applyBorder="1" applyAlignment="1">
      <alignment horizontal="center" vertical="center"/>
    </xf>
    <xf numFmtId="0" fontId="2" fillId="24" borderId="37" xfId="0" applyFont="1" applyFill="1" applyBorder="1" applyAlignment="1">
      <alignment horizontal="center" vertical="center"/>
    </xf>
    <xf numFmtId="0" fontId="2" fillId="24" borderId="38" xfId="0" applyFont="1" applyFill="1" applyBorder="1" applyAlignment="1">
      <alignment horizontal="center" vertical="center"/>
    </xf>
    <xf numFmtId="0" fontId="2" fillId="24" borderId="36" xfId="0" applyFont="1" applyFill="1" applyBorder="1" applyAlignment="1">
      <alignment horizontal="center" vertical="center" wrapText="1"/>
    </xf>
    <xf numFmtId="0" fontId="2" fillId="24" borderId="38" xfId="0" applyFont="1" applyFill="1" applyBorder="1" applyAlignment="1">
      <alignment horizontal="center" vertical="center" wrapText="1"/>
    </xf>
    <xf numFmtId="0" fontId="2" fillId="24" borderId="36" xfId="0" applyFont="1" applyFill="1" applyBorder="1" applyAlignment="1">
      <alignment horizontal="left" vertical="center"/>
    </xf>
    <xf numFmtId="0" fontId="2" fillId="24" borderId="38" xfId="0" applyFont="1" applyFill="1" applyBorder="1" applyAlignment="1">
      <alignment horizontal="left" vertical="center"/>
    </xf>
    <xf numFmtId="0" fontId="0" fillId="18" borderId="32" xfId="0" applyFill="1" applyBorder="1" applyAlignment="1">
      <alignment horizontal="center" vertical="top"/>
    </xf>
    <xf numFmtId="0" fontId="0" fillId="18" borderId="54" xfId="0" applyFill="1" applyBorder="1" applyAlignment="1">
      <alignment horizontal="center" vertical="top"/>
    </xf>
    <xf numFmtId="0" fontId="0" fillId="18" borderId="174" xfId="0" applyFill="1" applyBorder="1" applyAlignment="1">
      <alignment horizontal="center" vertical="top"/>
    </xf>
    <xf numFmtId="0" fontId="24" fillId="0" borderId="1" xfId="0" applyFont="1" applyBorder="1" applyAlignment="1">
      <alignment horizontal="left" vertical="top" wrapText="1"/>
    </xf>
    <xf numFmtId="0" fontId="24" fillId="0" borderId="32" xfId="0" applyFont="1" applyBorder="1" applyAlignment="1">
      <alignment horizontal="left" vertical="top" wrapText="1"/>
    </xf>
    <xf numFmtId="0" fontId="24" fillId="0" borderId="32" xfId="0" applyFont="1" applyBorder="1" applyAlignment="1">
      <alignment horizontal="center" vertical="top" wrapText="1"/>
    </xf>
    <xf numFmtId="0" fontId="24" fillId="0" borderId="31" xfId="0" applyFont="1" applyBorder="1" applyAlignment="1">
      <alignment horizontal="center" vertical="top" wrapText="1"/>
    </xf>
    <xf numFmtId="0" fontId="0" fillId="10" borderId="3" xfId="0" applyFill="1" applyBorder="1" applyAlignment="1">
      <alignment horizontal="left" vertical="top"/>
    </xf>
    <xf numFmtId="0" fontId="0" fillId="24" borderId="1" xfId="0" applyFill="1" applyBorder="1" applyAlignment="1">
      <alignment horizontal="center" vertical="center"/>
    </xf>
    <xf numFmtId="0" fontId="0" fillId="24" borderId="38" xfId="0" applyFill="1" applyBorder="1" applyAlignment="1">
      <alignment horizontal="left" vertical="center"/>
    </xf>
    <xf numFmtId="0" fontId="0" fillId="24" borderId="1" xfId="0" applyFill="1" applyBorder="1" applyAlignment="1">
      <alignment horizontal="left" vertical="center"/>
    </xf>
    <xf numFmtId="0" fontId="0" fillId="24" borderId="36" xfId="0" applyFill="1" applyBorder="1" applyAlignment="1">
      <alignment horizontal="left" vertical="center"/>
    </xf>
    <xf numFmtId="0" fontId="2" fillId="24" borderId="36" xfId="0" applyFont="1" applyFill="1" applyBorder="1" applyAlignment="1">
      <alignment horizontal="center"/>
    </xf>
    <xf numFmtId="0" fontId="2" fillId="24" borderId="38" xfId="0" applyFont="1" applyFill="1" applyBorder="1" applyAlignment="1">
      <alignment horizontal="center"/>
    </xf>
    <xf numFmtId="0" fontId="0" fillId="18" borderId="178" xfId="0" applyFill="1" applyBorder="1" applyAlignment="1">
      <alignment horizontal="center" vertical="top"/>
    </xf>
    <xf numFmtId="0" fontId="0" fillId="18" borderId="171" xfId="0" applyFill="1" applyBorder="1" applyAlignment="1">
      <alignment horizontal="center" vertical="top"/>
    </xf>
    <xf numFmtId="0" fontId="0" fillId="18" borderId="175" xfId="0" applyFill="1" applyBorder="1" applyAlignment="1">
      <alignment horizontal="center" vertical="top"/>
    </xf>
    <xf numFmtId="0" fontId="0" fillId="10" borderId="3" xfId="0" applyFill="1" applyBorder="1" applyAlignment="1">
      <alignment horizontal="center"/>
    </xf>
    <xf numFmtId="0" fontId="2" fillId="24" borderId="1" xfId="0" applyFont="1" applyFill="1" applyBorder="1" applyAlignment="1">
      <alignment horizontal="center"/>
    </xf>
    <xf numFmtId="0" fontId="0" fillId="0" borderId="0" xfId="0" applyAlignment="1">
      <alignment horizontal="left" vertical="top" wrapText="1"/>
    </xf>
  </cellXfs>
  <cellStyles count="13">
    <cellStyle name="Calculation" xfId="6" builtinId="22"/>
    <cellStyle name="Check Cell" xfId="5" builtinId="23"/>
    <cellStyle name="Comma" xfId="1" builtinId="3"/>
    <cellStyle name="Comma 106" xfId="8"/>
    <cellStyle name="Comma 106 2" xfId="11"/>
    <cellStyle name="Comma 2 7" xfId="4"/>
    <cellStyle name="Comma 2 7 2 2" xfId="10"/>
    <cellStyle name="Currency" xfId="2" builtinId="4"/>
    <cellStyle name="Hyperlink" xfId="12" builtinId="8"/>
    <cellStyle name="Normal" xfId="0" builtinId="0"/>
    <cellStyle name="Normal 2" xfId="7"/>
    <cellStyle name="Normal 3" xfId="9"/>
    <cellStyle name="Percent" xfId="3" builtinId="5"/>
  </cellStyles>
  <dxfs count="0"/>
  <tableStyles count="0" defaultTableStyle="TableStyleMedium9" defaultPivotStyle="PivotStyleLight16"/>
  <colors>
    <mruColors>
      <color rgb="FFFF99CC"/>
      <color rgb="FF7D8186"/>
      <color rgb="FF70CFF2"/>
      <color rgb="FFC8CACB"/>
      <color rgb="FF0075BB"/>
      <color rgb="FF1C5083"/>
      <color rgb="FF00AFEF"/>
      <color rgb="FFED33CA"/>
      <color rgb="FFA2BAB9"/>
      <color rgb="FFFBB1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externalLink" Target="externalLinks/externalLink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5.xml"/><Relationship Id="rId30" Type="http://schemas.openxmlformats.org/officeDocument/2006/relationships/externalLink" Target="externalLinks/externalLink8.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6.xml"/><Relationship Id="rId1" Type="http://schemas.microsoft.com/office/2011/relationships/chartStyle" Target="style6.xml"/></Relationships>
</file>

<file path=xl/charts/_rels/chart1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8.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11.xml"/><Relationship Id="rId1" Type="http://schemas.microsoft.com/office/2011/relationships/chartStyle" Target="style11.xml"/></Relationships>
</file>

<file path=xl/charts/_rels/chart1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9.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0.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1.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2.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3.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4.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5.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6.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7.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8.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9.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0.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41.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42.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43.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44.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45.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46.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47.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48.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9.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0.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51.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52.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53.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54.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55.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56.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57.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58.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9.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60.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61.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62.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63.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Petra Water Consumption</a:t>
            </a:r>
          </a:p>
        </c:rich>
      </c:tx>
      <c:overlay val="0"/>
    </c:title>
    <c:autoTitleDeleted val="0"/>
    <c:plotArea>
      <c:layout>
        <c:manualLayout>
          <c:layoutTarget val="inner"/>
          <c:xMode val="edge"/>
          <c:yMode val="edge"/>
          <c:x val="6.6491971991367138E-2"/>
          <c:y val="0.13548363779808165"/>
          <c:w val="0.90129962186823975"/>
          <c:h val="0.67545843414607365"/>
        </c:manualLayout>
      </c:layout>
      <c:lineChart>
        <c:grouping val="standard"/>
        <c:varyColors val="0"/>
        <c:ser>
          <c:idx val="9"/>
          <c:order val="0"/>
          <c:tx>
            <c:strRef>
              <c:f>'Water Mangt'!$A$45:$B$45</c:f>
              <c:strCache>
                <c:ptCount val="2"/>
                <c:pt idx="0">
                  <c:v>Total water per Production</c:v>
                </c:pt>
                <c:pt idx="1">
                  <c:v>m3/t</c:v>
                </c:pt>
              </c:strCache>
            </c:strRef>
          </c:tx>
          <c:spPr>
            <a:ln>
              <a:solidFill>
                <a:schemeClr val="accent1"/>
              </a:solidFill>
            </a:ln>
          </c:spPr>
          <c:marker>
            <c:spPr>
              <a:solidFill>
                <a:schemeClr val="tx2"/>
              </a:solidFill>
              <a:ln>
                <a:solidFill>
                  <a:schemeClr val="accent1"/>
                </a:solidFill>
              </a:ln>
            </c:spPr>
          </c:marker>
          <c:cat>
            <c:strRef>
              <c:f>'Water Mangt'!$C$33:$F$33</c:f>
              <c:strCache>
                <c:ptCount val="4"/>
                <c:pt idx="0">
                  <c:v>Quarter 1</c:v>
                </c:pt>
                <c:pt idx="1">
                  <c:v>Quarter 2</c:v>
                </c:pt>
                <c:pt idx="2">
                  <c:v>Quarter 3</c:v>
                </c:pt>
                <c:pt idx="3">
                  <c:v>Quarter 4</c:v>
                </c:pt>
              </c:strCache>
            </c:strRef>
          </c:cat>
          <c:val>
            <c:numRef>
              <c:f>'Water Mangt'!$C$45:$F$45</c:f>
              <c:numCache>
                <c:formatCode>#,##0.00</c:formatCode>
                <c:ptCount val="4"/>
                <c:pt idx="0">
                  <c:v>0.99883502880534436</c:v>
                </c:pt>
                <c:pt idx="1">
                  <c:v>0.97444471918057696</c:v>
                </c:pt>
                <c:pt idx="2">
                  <c:v>0.89022956930441932</c:v>
                </c:pt>
                <c:pt idx="3">
                  <c:v>1.0575532407404324</c:v>
                </c:pt>
              </c:numCache>
            </c:numRef>
          </c:val>
          <c:smooth val="0"/>
          <c:extLst xmlns:c16r2="http://schemas.microsoft.com/office/drawing/2015/06/chart">
            <c:ext xmlns:c16="http://schemas.microsoft.com/office/drawing/2014/chart" uri="{C3380CC4-5D6E-409C-BE32-E72D297353CC}">
              <c16:uniqueId val="{00000000-89AD-420B-9C84-0FC8007B6BEA}"/>
            </c:ext>
          </c:extLst>
        </c:ser>
        <c:ser>
          <c:idx val="0"/>
          <c:order val="1"/>
          <c:tx>
            <c:strRef>
              <c:f>'Water Mangt'!$A$59</c:f>
              <c:strCache>
                <c:ptCount val="1"/>
              </c:strCache>
            </c:strRef>
          </c:tx>
          <c:spPr>
            <a:ln w="38100">
              <a:solidFill>
                <a:srgbClr val="F65A04"/>
              </a:solidFill>
              <a:prstDash val="sysDash"/>
            </a:ln>
          </c:spPr>
          <c:marker>
            <c:spPr>
              <a:solidFill>
                <a:srgbClr val="FF0000"/>
              </a:solidFill>
              <a:ln w="38100">
                <a:solidFill>
                  <a:srgbClr val="F65A04"/>
                </a:solidFill>
                <a:prstDash val="sysDash"/>
              </a:ln>
            </c:spPr>
          </c:marker>
          <c:val>
            <c:numRef>
              <c:f>'Water Mangt'!$C$59:$F$59</c:f>
              <c:numCache>
                <c:formatCode>General</c:formatCode>
                <c:ptCount val="4"/>
              </c:numCache>
            </c:numRef>
          </c:val>
          <c:smooth val="0"/>
          <c:extLst xmlns:c16r2="http://schemas.microsoft.com/office/drawing/2015/06/chart">
            <c:ext xmlns:c16="http://schemas.microsoft.com/office/drawing/2014/chart" uri="{C3380CC4-5D6E-409C-BE32-E72D297353CC}">
              <c16:uniqueId val="{00000001-89AD-420B-9C84-0FC8007B6BEA}"/>
            </c:ext>
          </c:extLst>
        </c:ser>
        <c:dLbls>
          <c:showLegendKey val="0"/>
          <c:showVal val="0"/>
          <c:showCatName val="0"/>
          <c:showSerName val="0"/>
          <c:showPercent val="0"/>
          <c:showBubbleSize val="0"/>
        </c:dLbls>
        <c:marker val="1"/>
        <c:smooth val="0"/>
        <c:axId val="322464376"/>
        <c:axId val="322461632"/>
      </c:lineChart>
      <c:catAx>
        <c:axId val="322464376"/>
        <c:scaling>
          <c:orientation val="minMax"/>
        </c:scaling>
        <c:delete val="0"/>
        <c:axPos val="b"/>
        <c:numFmt formatCode="General" sourceLinked="0"/>
        <c:majorTickMark val="none"/>
        <c:minorTickMark val="none"/>
        <c:tickLblPos val="nextTo"/>
        <c:crossAx val="322461632"/>
        <c:crosses val="autoZero"/>
        <c:auto val="1"/>
        <c:lblAlgn val="ctr"/>
        <c:lblOffset val="100"/>
        <c:noMultiLvlLbl val="0"/>
      </c:catAx>
      <c:valAx>
        <c:axId val="322461632"/>
        <c:scaling>
          <c:orientation val="minMax"/>
        </c:scaling>
        <c:delete val="0"/>
        <c:axPos val="l"/>
        <c:majorGridlines/>
        <c:numFmt formatCode="#,##0.00" sourceLinked="1"/>
        <c:majorTickMark val="none"/>
        <c:minorTickMark val="none"/>
        <c:tickLblPos val="nextTo"/>
        <c:spPr>
          <a:ln w="9525">
            <a:noFill/>
          </a:ln>
        </c:spPr>
        <c:crossAx val="322464376"/>
        <c:crosses val="autoZero"/>
        <c:crossBetween val="between"/>
      </c:valAx>
    </c:plotArea>
    <c:legend>
      <c:legendPos val="b"/>
      <c:overlay val="0"/>
    </c:legend>
    <c:plotVisOnly val="1"/>
    <c:dispBlanksAs val="gap"/>
    <c:showDLblsOverMax val="0"/>
  </c:chart>
  <c:printSettings>
    <c:headerFooter/>
    <c:pageMargins b="0.750000000000004" l="0.70000000000000062" r="0.70000000000000062" t="0.750000000000004"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ZA"/>
              <a:t>Environmental</a:t>
            </a:r>
            <a:r>
              <a:rPr lang="en-ZA" baseline="0"/>
              <a:t> incidents per operation -   Q1</a:t>
            </a:r>
            <a:endParaRPr lang="en-ZA"/>
          </a:p>
        </c:rich>
      </c:tx>
      <c:layout>
        <c:manualLayout>
          <c:xMode val="edge"/>
          <c:yMode val="edge"/>
          <c:x val="0.21770586229190267"/>
          <c:y val="2.2974360458670573E-2"/>
        </c:manualLayout>
      </c:layout>
      <c:overlay val="0"/>
      <c:spPr>
        <a:noFill/>
        <a:ln>
          <a:solidFill>
            <a:srgbClr val="1F497D">
              <a:lumMod val="75000"/>
            </a:srgbClr>
          </a:solid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2518232902969618E-2"/>
          <c:y val="0.1066323903011821"/>
          <c:w val="0.90301183367381632"/>
          <c:h val="0.77650281148836175"/>
        </c:manualLayout>
      </c:layout>
      <c:bar3DChart>
        <c:barDir val="col"/>
        <c:grouping val="clustered"/>
        <c:varyColors val="0"/>
        <c:ser>
          <c:idx val="0"/>
          <c:order val="0"/>
          <c:tx>
            <c:strRef>
              <c:f>Incidents!$A$67</c:f>
              <c:strCache>
                <c:ptCount val="1"/>
                <c:pt idx="0">
                  <c:v>Major</c:v>
                </c:pt>
              </c:strCache>
            </c:strRef>
          </c:tx>
          <c:spPr>
            <a:solidFill>
              <a:srgbClr val="FFC000"/>
            </a:solidFill>
            <a:ln>
              <a:noFill/>
            </a:ln>
            <a:effectLst/>
            <a:sp3d/>
          </c:spPr>
          <c:invertIfNegative val="0"/>
          <c:cat>
            <c:strRef>
              <c:f>Incidents!$B$66:$I$66</c:f>
              <c:strCache>
                <c:ptCount val="8"/>
                <c:pt idx="1">
                  <c:v>CDM</c:v>
                </c:pt>
                <c:pt idx="2">
                  <c:v>FDM</c:v>
                </c:pt>
                <c:pt idx="3">
                  <c:v>KDM</c:v>
                </c:pt>
                <c:pt idx="4">
                  <c:v>KUM</c:v>
                </c:pt>
                <c:pt idx="5">
                  <c:v>KEM</c:v>
                </c:pt>
                <c:pt idx="6">
                  <c:v>WDL</c:v>
                </c:pt>
                <c:pt idx="7">
                  <c:v>GROUP</c:v>
                </c:pt>
              </c:strCache>
            </c:strRef>
          </c:cat>
          <c:val>
            <c:numRef>
              <c:f>Incidents!$B$67:$I$67</c:f>
              <c:numCache>
                <c:formatCode>General</c:formatCode>
                <c:ptCount val="8"/>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0-410C-4BF1-8032-6BA6D5FAAF5A}"/>
            </c:ext>
          </c:extLst>
        </c:ser>
        <c:ser>
          <c:idx val="1"/>
          <c:order val="1"/>
          <c:tx>
            <c:strRef>
              <c:f>Incidents!$A$68</c:f>
              <c:strCache>
                <c:ptCount val="1"/>
                <c:pt idx="0">
                  <c:v>High</c:v>
                </c:pt>
              </c:strCache>
            </c:strRef>
          </c:tx>
          <c:spPr>
            <a:solidFill>
              <a:srgbClr val="97F961"/>
            </a:solidFill>
            <a:ln>
              <a:noFill/>
            </a:ln>
            <a:effectLst/>
            <a:sp3d/>
          </c:spPr>
          <c:invertIfNegative val="0"/>
          <c:cat>
            <c:strRef>
              <c:f>Incidents!$B$66:$I$66</c:f>
              <c:strCache>
                <c:ptCount val="8"/>
                <c:pt idx="1">
                  <c:v>CDM</c:v>
                </c:pt>
                <c:pt idx="2">
                  <c:v>FDM</c:v>
                </c:pt>
                <c:pt idx="3">
                  <c:v>KDM</c:v>
                </c:pt>
                <c:pt idx="4">
                  <c:v>KUM</c:v>
                </c:pt>
                <c:pt idx="5">
                  <c:v>KEM</c:v>
                </c:pt>
                <c:pt idx="6">
                  <c:v>WDL</c:v>
                </c:pt>
                <c:pt idx="7">
                  <c:v>GROUP</c:v>
                </c:pt>
              </c:strCache>
            </c:strRef>
          </c:cat>
          <c:val>
            <c:numRef>
              <c:f>Incidents!$B$68:$I$68</c:f>
              <c:numCache>
                <c:formatCode>General</c:formatCode>
                <c:ptCount val="8"/>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1-410C-4BF1-8032-6BA6D5FAAF5A}"/>
            </c:ext>
          </c:extLst>
        </c:ser>
        <c:ser>
          <c:idx val="2"/>
          <c:order val="2"/>
          <c:tx>
            <c:strRef>
              <c:f>Incidents!$A$69</c:f>
              <c:strCache>
                <c:ptCount val="1"/>
                <c:pt idx="0">
                  <c:v>Medium</c:v>
                </c:pt>
              </c:strCache>
            </c:strRef>
          </c:tx>
          <c:spPr>
            <a:solidFill>
              <a:srgbClr val="C00000"/>
            </a:solidFill>
            <a:ln>
              <a:noFill/>
            </a:ln>
            <a:effectLst/>
            <a:sp3d/>
          </c:spPr>
          <c:invertIfNegative val="0"/>
          <c:cat>
            <c:strRef>
              <c:f>Incidents!$B$66:$I$66</c:f>
              <c:strCache>
                <c:ptCount val="8"/>
                <c:pt idx="1">
                  <c:v>CDM</c:v>
                </c:pt>
                <c:pt idx="2">
                  <c:v>FDM</c:v>
                </c:pt>
                <c:pt idx="3">
                  <c:v>KDM</c:v>
                </c:pt>
                <c:pt idx="4">
                  <c:v>KUM</c:v>
                </c:pt>
                <c:pt idx="5">
                  <c:v>KEM</c:v>
                </c:pt>
                <c:pt idx="6">
                  <c:v>WDL</c:v>
                </c:pt>
                <c:pt idx="7">
                  <c:v>GROUP</c:v>
                </c:pt>
              </c:strCache>
            </c:strRef>
          </c:cat>
          <c:val>
            <c:numRef>
              <c:f>Incidents!$B$69:$I$69</c:f>
              <c:numCache>
                <c:formatCode>General</c:formatCode>
                <c:ptCount val="8"/>
                <c:pt idx="1">
                  <c:v>0</c:v>
                </c:pt>
                <c:pt idx="2">
                  <c:v>0</c:v>
                </c:pt>
                <c:pt idx="3">
                  <c:v>1</c:v>
                </c:pt>
                <c:pt idx="4">
                  <c:v>0</c:v>
                </c:pt>
                <c:pt idx="5">
                  <c:v>0</c:v>
                </c:pt>
                <c:pt idx="6">
                  <c:v>0</c:v>
                </c:pt>
                <c:pt idx="7">
                  <c:v>1</c:v>
                </c:pt>
              </c:numCache>
            </c:numRef>
          </c:val>
          <c:extLst xmlns:c16r2="http://schemas.microsoft.com/office/drawing/2015/06/chart">
            <c:ext xmlns:c16="http://schemas.microsoft.com/office/drawing/2014/chart" uri="{C3380CC4-5D6E-409C-BE32-E72D297353CC}">
              <c16:uniqueId val="{00000002-410C-4BF1-8032-6BA6D5FAAF5A}"/>
            </c:ext>
          </c:extLst>
        </c:ser>
        <c:ser>
          <c:idx val="3"/>
          <c:order val="3"/>
          <c:tx>
            <c:strRef>
              <c:f>Incidents!$A$70</c:f>
              <c:strCache>
                <c:ptCount val="1"/>
                <c:pt idx="0">
                  <c:v>Low</c:v>
                </c:pt>
              </c:strCache>
            </c:strRef>
          </c:tx>
          <c:spPr>
            <a:solidFill>
              <a:srgbClr val="002060"/>
            </a:solidFill>
            <a:ln>
              <a:solidFill>
                <a:srgbClr val="002060"/>
              </a:solidFill>
            </a:ln>
            <a:effectLst/>
            <a:sp3d>
              <a:contourClr>
                <a:srgbClr val="002060"/>
              </a:contourClr>
            </a:sp3d>
          </c:spPr>
          <c:invertIfNegative val="0"/>
          <c:cat>
            <c:strRef>
              <c:f>Incidents!$B$66:$I$66</c:f>
              <c:strCache>
                <c:ptCount val="8"/>
                <c:pt idx="1">
                  <c:v>CDM</c:v>
                </c:pt>
                <c:pt idx="2">
                  <c:v>FDM</c:v>
                </c:pt>
                <c:pt idx="3">
                  <c:v>KDM</c:v>
                </c:pt>
                <c:pt idx="4">
                  <c:v>KUM</c:v>
                </c:pt>
                <c:pt idx="5">
                  <c:v>KEM</c:v>
                </c:pt>
                <c:pt idx="6">
                  <c:v>WDL</c:v>
                </c:pt>
                <c:pt idx="7">
                  <c:v>GROUP</c:v>
                </c:pt>
              </c:strCache>
            </c:strRef>
          </c:cat>
          <c:val>
            <c:numRef>
              <c:f>Incidents!$B$70:$I$70</c:f>
              <c:numCache>
                <c:formatCode>General</c:formatCode>
                <c:ptCount val="8"/>
                <c:pt idx="1">
                  <c:v>24</c:v>
                </c:pt>
                <c:pt idx="2">
                  <c:v>0</c:v>
                </c:pt>
                <c:pt idx="3">
                  <c:v>11</c:v>
                </c:pt>
                <c:pt idx="4">
                  <c:v>26</c:v>
                </c:pt>
                <c:pt idx="5">
                  <c:v>4</c:v>
                </c:pt>
                <c:pt idx="6">
                  <c:v>44</c:v>
                </c:pt>
                <c:pt idx="7">
                  <c:v>109</c:v>
                </c:pt>
              </c:numCache>
            </c:numRef>
          </c:val>
          <c:extLst xmlns:c16r2="http://schemas.microsoft.com/office/drawing/2015/06/chart">
            <c:ext xmlns:c16="http://schemas.microsoft.com/office/drawing/2014/chart" uri="{C3380CC4-5D6E-409C-BE32-E72D297353CC}">
              <c16:uniqueId val="{00000003-410C-4BF1-8032-6BA6D5FAAF5A}"/>
            </c:ext>
          </c:extLst>
        </c:ser>
        <c:ser>
          <c:idx val="4"/>
          <c:order val="4"/>
          <c:tx>
            <c:strRef>
              <c:f>Incidents!$A$71</c:f>
              <c:strCache>
                <c:ptCount val="1"/>
                <c:pt idx="0">
                  <c:v>Minor</c:v>
                </c:pt>
              </c:strCache>
            </c:strRef>
          </c:tx>
          <c:spPr>
            <a:solidFill>
              <a:srgbClr val="1F497D">
                <a:lumMod val="40000"/>
                <a:lumOff val="60000"/>
              </a:srgbClr>
            </a:solidFill>
            <a:ln>
              <a:noFill/>
            </a:ln>
            <a:effectLst/>
            <a:sp3d/>
          </c:spPr>
          <c:invertIfNegative val="0"/>
          <c:cat>
            <c:strRef>
              <c:f>Incidents!$B$66:$I$66</c:f>
              <c:strCache>
                <c:ptCount val="8"/>
                <c:pt idx="1">
                  <c:v>CDM</c:v>
                </c:pt>
                <c:pt idx="2">
                  <c:v>FDM</c:v>
                </c:pt>
                <c:pt idx="3">
                  <c:v>KDM</c:v>
                </c:pt>
                <c:pt idx="4">
                  <c:v>KUM</c:v>
                </c:pt>
                <c:pt idx="5">
                  <c:v>KEM</c:v>
                </c:pt>
                <c:pt idx="6">
                  <c:v>WDL</c:v>
                </c:pt>
                <c:pt idx="7">
                  <c:v>GROUP</c:v>
                </c:pt>
              </c:strCache>
            </c:strRef>
          </c:cat>
          <c:val>
            <c:numRef>
              <c:f>Incidents!$B$71:$I$71</c:f>
              <c:numCache>
                <c:formatCode>General</c:formatCode>
                <c:ptCount val="8"/>
                <c:pt idx="1">
                  <c:v>154</c:v>
                </c:pt>
                <c:pt idx="2">
                  <c:v>146</c:v>
                </c:pt>
                <c:pt idx="3">
                  <c:v>19</c:v>
                </c:pt>
                <c:pt idx="4">
                  <c:v>27</c:v>
                </c:pt>
                <c:pt idx="5">
                  <c:v>42</c:v>
                </c:pt>
                <c:pt idx="6">
                  <c:v>68</c:v>
                </c:pt>
                <c:pt idx="7">
                  <c:v>456</c:v>
                </c:pt>
              </c:numCache>
            </c:numRef>
          </c:val>
          <c:extLst xmlns:c16r2="http://schemas.microsoft.com/office/drawing/2015/06/chart">
            <c:ext xmlns:c16="http://schemas.microsoft.com/office/drawing/2014/chart" uri="{C3380CC4-5D6E-409C-BE32-E72D297353CC}">
              <c16:uniqueId val="{00000004-410C-4BF1-8032-6BA6D5FAAF5A}"/>
            </c:ext>
          </c:extLst>
        </c:ser>
        <c:ser>
          <c:idx val="5"/>
          <c:order val="5"/>
          <c:tx>
            <c:strRef>
              <c:f>Incidents!$A$72</c:f>
              <c:strCache>
                <c:ptCount val="1"/>
                <c:pt idx="0">
                  <c:v>Total Incidents</c:v>
                </c:pt>
              </c:strCache>
            </c:strRef>
          </c:tx>
          <c:spPr>
            <a:solidFill>
              <a:srgbClr val="4BACC6">
                <a:lumMod val="75000"/>
              </a:srgb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Incidents!$B$66:$I$66</c:f>
              <c:strCache>
                <c:ptCount val="8"/>
                <c:pt idx="1">
                  <c:v>CDM</c:v>
                </c:pt>
                <c:pt idx="2">
                  <c:v>FDM</c:v>
                </c:pt>
                <c:pt idx="3">
                  <c:v>KDM</c:v>
                </c:pt>
                <c:pt idx="4">
                  <c:v>KUM</c:v>
                </c:pt>
                <c:pt idx="5">
                  <c:v>KEM</c:v>
                </c:pt>
                <c:pt idx="6">
                  <c:v>WDL</c:v>
                </c:pt>
                <c:pt idx="7">
                  <c:v>GROUP</c:v>
                </c:pt>
              </c:strCache>
            </c:strRef>
          </c:cat>
          <c:val>
            <c:numRef>
              <c:f>Incidents!$B$72:$I$72</c:f>
              <c:numCache>
                <c:formatCode>General</c:formatCode>
                <c:ptCount val="8"/>
                <c:pt idx="1">
                  <c:v>178</c:v>
                </c:pt>
                <c:pt idx="2">
                  <c:v>146</c:v>
                </c:pt>
                <c:pt idx="3">
                  <c:v>31</c:v>
                </c:pt>
                <c:pt idx="4">
                  <c:v>53</c:v>
                </c:pt>
                <c:pt idx="5">
                  <c:v>46</c:v>
                </c:pt>
                <c:pt idx="6">
                  <c:v>112</c:v>
                </c:pt>
                <c:pt idx="7">
                  <c:v>566</c:v>
                </c:pt>
              </c:numCache>
            </c:numRef>
          </c:val>
          <c:extLst xmlns:c16r2="http://schemas.microsoft.com/office/drawing/2015/06/chart">
            <c:ext xmlns:c16="http://schemas.microsoft.com/office/drawing/2014/chart" uri="{C3380CC4-5D6E-409C-BE32-E72D297353CC}">
              <c16:uniqueId val="{00000005-410C-4BF1-8032-6BA6D5FAAF5A}"/>
            </c:ext>
          </c:extLst>
        </c:ser>
        <c:dLbls>
          <c:showLegendKey val="0"/>
          <c:showVal val="0"/>
          <c:showCatName val="0"/>
          <c:showSerName val="0"/>
          <c:showPercent val="0"/>
          <c:showBubbleSize val="0"/>
        </c:dLbls>
        <c:gapWidth val="150"/>
        <c:shape val="box"/>
        <c:axId val="455560144"/>
        <c:axId val="455562888"/>
        <c:axId val="0"/>
      </c:bar3DChart>
      <c:catAx>
        <c:axId val="4555601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562888"/>
        <c:crosses val="autoZero"/>
        <c:auto val="1"/>
        <c:lblAlgn val="ctr"/>
        <c:lblOffset val="100"/>
        <c:noMultiLvlLbl val="0"/>
      </c:catAx>
      <c:valAx>
        <c:axId val="455562888"/>
        <c:scaling>
          <c:orientation val="minMax"/>
        </c:scaling>
        <c:delete val="0"/>
        <c:axPos val="l"/>
        <c:majorGridlines>
          <c:spPr>
            <a:ln w="9525" cap="flat" cmpd="sng" algn="ctr">
              <a:solidFill>
                <a:schemeClr val="bg2">
                  <a:lumMod val="90000"/>
                </a:schemeClr>
              </a:solidFill>
              <a:round/>
            </a:ln>
            <a:effectLst/>
          </c:spPr>
        </c:majorGridlines>
        <c:numFmt formatCode="_(* #,##0_);_(* \(#,##0\);_(* &quot;-&quot;_);_(@_)" sourceLinked="0"/>
        <c:majorTickMark val="none"/>
        <c:minorTickMark val="none"/>
        <c:tickLblPos val="nextTo"/>
        <c:spPr>
          <a:noFill/>
          <a:ln>
            <a:solidFill>
              <a:schemeClr val="tx2"/>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560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ZA"/>
              <a:t>Significant</a:t>
            </a:r>
            <a:r>
              <a:rPr lang="en-ZA" baseline="0"/>
              <a:t> Environmental Incidents</a:t>
            </a:r>
            <a:endParaRPr lang="en-ZA"/>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'[1]Raw data'!$C$7</c:f>
              <c:strCache>
                <c:ptCount val="1"/>
                <c:pt idx="0">
                  <c:v> Significant Environmental Incidents</c:v>
                </c:pt>
              </c:strCache>
            </c:strRef>
          </c:tx>
          <c:spPr>
            <a:ln w="22225" cap="rnd">
              <a:solidFill>
                <a:schemeClr val="accent1"/>
              </a:solidFill>
            </a:ln>
            <a:effectLst>
              <a:glow rad="139700">
                <a:schemeClr val="accent1">
                  <a:satMod val="175000"/>
                  <a:alpha val="14000"/>
                </a:schemeClr>
              </a:glow>
            </a:effectLst>
          </c:spPr>
          <c:marker>
            <c:symbol val="none"/>
          </c:marker>
          <c:cat>
            <c:strRef>
              <c:f>'[1]Raw data'!$D$3:$O$3</c:f>
              <c:strCache>
                <c:ptCount val="12"/>
                <c:pt idx="0">
                  <c:v>July</c:v>
                </c:pt>
                <c:pt idx="1">
                  <c:v>August</c:v>
                </c:pt>
                <c:pt idx="2">
                  <c:v>September</c:v>
                </c:pt>
                <c:pt idx="3">
                  <c:v>October</c:v>
                </c:pt>
                <c:pt idx="4">
                  <c:v>November</c:v>
                </c:pt>
                <c:pt idx="5">
                  <c:v>December</c:v>
                </c:pt>
                <c:pt idx="6">
                  <c:v>January</c:v>
                </c:pt>
                <c:pt idx="7">
                  <c:v>February</c:v>
                </c:pt>
                <c:pt idx="8">
                  <c:v>March</c:v>
                </c:pt>
                <c:pt idx="9">
                  <c:v>April</c:v>
                </c:pt>
                <c:pt idx="10">
                  <c:v>May</c:v>
                </c:pt>
                <c:pt idx="11">
                  <c:v>June</c:v>
                </c:pt>
              </c:strCache>
            </c:strRef>
          </c:cat>
          <c:val>
            <c:numRef>
              <c:f>'[1]Raw data'!$D$7:$O$7</c:f>
              <c:numCache>
                <c:formatCode>General</c:formatCode>
                <c:ptCount val="12"/>
                <c:pt idx="0">
                  <c:v>1</c:v>
                </c:pt>
                <c:pt idx="1">
                  <c:v>1</c:v>
                </c:pt>
                <c:pt idx="2">
                  <c:v>1</c:v>
                </c:pt>
                <c:pt idx="3">
                  <c:v>1</c:v>
                </c:pt>
                <c:pt idx="4">
                  <c:v>4</c:v>
                </c:pt>
                <c:pt idx="5">
                  <c:v>5</c:v>
                </c:pt>
                <c:pt idx="6">
                  <c:v>6</c:v>
                </c:pt>
                <c:pt idx="7">
                  <c:v>8</c:v>
                </c:pt>
                <c:pt idx="8">
                  <c:v>8</c:v>
                </c:pt>
              </c:numCache>
            </c:numRef>
          </c:val>
          <c:smooth val="0"/>
          <c:extLst xmlns:c16r2="http://schemas.microsoft.com/office/drawing/2015/06/chart">
            <c:ext xmlns:c16="http://schemas.microsoft.com/office/drawing/2014/chart" uri="{C3380CC4-5D6E-409C-BE32-E72D297353CC}">
              <c16:uniqueId val="{00000000-C737-42E3-BE2C-D0BEE7C68543}"/>
            </c:ext>
          </c:extLst>
        </c:ser>
        <c:ser>
          <c:idx val="1"/>
          <c:order val="1"/>
          <c:tx>
            <c:strRef>
              <c:f>'[1]Raw data'!$C$8</c:f>
              <c:strCache>
                <c:ptCount val="1"/>
                <c:pt idx="0">
                  <c:v>Target </c:v>
                </c:pt>
              </c:strCache>
            </c:strRef>
          </c:tx>
          <c:spPr>
            <a:ln w="22225" cap="rnd">
              <a:solidFill>
                <a:srgbClr val="FF0000"/>
              </a:solidFill>
            </a:ln>
            <a:effectLst>
              <a:glow rad="139700">
                <a:schemeClr val="accent2">
                  <a:satMod val="175000"/>
                  <a:alpha val="14000"/>
                </a:schemeClr>
              </a:glow>
            </a:effectLst>
          </c:spPr>
          <c:marker>
            <c:symbol val="none"/>
          </c:marker>
          <c:cat>
            <c:strRef>
              <c:f>'[1]Raw data'!$D$3:$O$3</c:f>
              <c:strCache>
                <c:ptCount val="12"/>
                <c:pt idx="0">
                  <c:v>July</c:v>
                </c:pt>
                <c:pt idx="1">
                  <c:v>August</c:v>
                </c:pt>
                <c:pt idx="2">
                  <c:v>September</c:v>
                </c:pt>
                <c:pt idx="3">
                  <c:v>October</c:v>
                </c:pt>
                <c:pt idx="4">
                  <c:v>November</c:v>
                </c:pt>
                <c:pt idx="5">
                  <c:v>December</c:v>
                </c:pt>
                <c:pt idx="6">
                  <c:v>January</c:v>
                </c:pt>
                <c:pt idx="7">
                  <c:v>February</c:v>
                </c:pt>
                <c:pt idx="8">
                  <c:v>March</c:v>
                </c:pt>
                <c:pt idx="9">
                  <c:v>April</c:v>
                </c:pt>
                <c:pt idx="10">
                  <c:v>May</c:v>
                </c:pt>
                <c:pt idx="11">
                  <c:v>June</c:v>
                </c:pt>
              </c:strCache>
            </c:strRef>
          </c:cat>
          <c:val>
            <c:numRef>
              <c:f>'[1]Raw data'!$D$8:$O$8</c:f>
              <c:numCache>
                <c:formatCode>General</c:formatCode>
                <c:ptCount val="12"/>
                <c:pt idx="0">
                  <c:v>10</c:v>
                </c:pt>
                <c:pt idx="1">
                  <c:v>10</c:v>
                </c:pt>
                <c:pt idx="2">
                  <c:v>10</c:v>
                </c:pt>
                <c:pt idx="3">
                  <c:v>10</c:v>
                </c:pt>
                <c:pt idx="4">
                  <c:v>10</c:v>
                </c:pt>
                <c:pt idx="5">
                  <c:v>10</c:v>
                </c:pt>
                <c:pt idx="6">
                  <c:v>10</c:v>
                </c:pt>
                <c:pt idx="7">
                  <c:v>10</c:v>
                </c:pt>
                <c:pt idx="8">
                  <c:v>10</c:v>
                </c:pt>
                <c:pt idx="9">
                  <c:v>10</c:v>
                </c:pt>
                <c:pt idx="10">
                  <c:v>10</c:v>
                </c:pt>
                <c:pt idx="11">
                  <c:v>10</c:v>
                </c:pt>
              </c:numCache>
            </c:numRef>
          </c:val>
          <c:smooth val="0"/>
          <c:extLst xmlns:c16r2="http://schemas.microsoft.com/office/drawing/2015/06/chart">
            <c:ext xmlns:c16="http://schemas.microsoft.com/office/drawing/2014/chart" uri="{C3380CC4-5D6E-409C-BE32-E72D297353CC}">
              <c16:uniqueId val="{00000001-C737-42E3-BE2C-D0BEE7C68543}"/>
            </c:ext>
          </c:extLst>
        </c:ser>
        <c:dLbls>
          <c:showLegendKey val="0"/>
          <c:showVal val="0"/>
          <c:showCatName val="0"/>
          <c:showSerName val="0"/>
          <c:showPercent val="0"/>
          <c:showBubbleSize val="0"/>
        </c:dLbls>
        <c:smooth val="0"/>
        <c:axId val="455564456"/>
        <c:axId val="455562104"/>
      </c:lineChart>
      <c:catAx>
        <c:axId val="45556445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5562104"/>
        <c:crosses val="autoZero"/>
        <c:auto val="1"/>
        <c:lblAlgn val="ctr"/>
        <c:lblOffset val="100"/>
        <c:noMultiLvlLbl val="0"/>
      </c:catAx>
      <c:valAx>
        <c:axId val="4555621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5564456"/>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ZA" sz="1100"/>
              <a:t>Carbon Intensity Measure</a:t>
            </a:r>
          </a:p>
          <a:p>
            <a:pPr>
              <a:defRPr sz="1100"/>
            </a:pPr>
            <a:r>
              <a:rPr lang="en-ZA" sz="1100"/>
              <a:t>t</a:t>
            </a:r>
            <a:r>
              <a:rPr lang="en-ZA" sz="1100" baseline="0"/>
              <a:t> CO</a:t>
            </a:r>
            <a:r>
              <a:rPr lang="en-ZA" sz="1100" baseline="0">
                <a:latin typeface="Calibri" panose="020F0502020204030204" pitchFamily="34" charset="0"/>
              </a:rPr>
              <a:t>₂</a:t>
            </a:r>
            <a:r>
              <a:rPr lang="en-ZA" sz="1100" baseline="0"/>
              <a:t> -e/t</a:t>
            </a:r>
            <a:endParaRPr lang="en-ZA" sz="1100"/>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'GHG '!$AK$36</c:f>
              <c:strCache>
                <c:ptCount val="1"/>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'GHG '!$AJ$37:$AJ$43</c:f>
              <c:numCache>
                <c:formatCode>General</c:formatCode>
                <c:ptCount val="7"/>
              </c:numCache>
            </c:numRef>
          </c:cat>
          <c:val>
            <c:numRef>
              <c:f>'GHG '!$AK$37:$AK$43</c:f>
              <c:numCache>
                <c:formatCode>0.00</c:formatCode>
                <c:ptCount val="7"/>
              </c:numCache>
            </c:numRef>
          </c:val>
          <c:extLst xmlns:c16r2="http://schemas.microsoft.com/office/drawing/2015/06/chart">
            <c:ext xmlns:c16="http://schemas.microsoft.com/office/drawing/2014/chart" uri="{C3380CC4-5D6E-409C-BE32-E72D297353CC}">
              <c16:uniqueId val="{00000000-CB59-436F-9779-6CF4571CD814}"/>
            </c:ext>
          </c:extLst>
        </c:ser>
        <c:ser>
          <c:idx val="1"/>
          <c:order val="1"/>
          <c:tx>
            <c:strRef>
              <c:f>'GHG '!$AL$36</c:f>
              <c:strCache>
                <c:ptCount val="1"/>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'GHG '!$AJ$37:$AJ$43</c:f>
              <c:numCache>
                <c:formatCode>General</c:formatCode>
                <c:ptCount val="7"/>
              </c:numCache>
            </c:numRef>
          </c:cat>
          <c:val>
            <c:numRef>
              <c:f>'GHG '!$AL$37:$AL$43</c:f>
              <c:numCache>
                <c:formatCode>0.00</c:formatCode>
                <c:ptCount val="7"/>
              </c:numCache>
            </c:numRef>
          </c:val>
          <c:extLst xmlns:c16r2="http://schemas.microsoft.com/office/drawing/2015/06/chart">
            <c:ext xmlns:c16="http://schemas.microsoft.com/office/drawing/2014/chart" uri="{C3380CC4-5D6E-409C-BE32-E72D297353CC}">
              <c16:uniqueId val="{00000001-CB59-436F-9779-6CF4571CD814}"/>
            </c:ext>
          </c:extLst>
        </c:ser>
        <c:dLbls>
          <c:showLegendKey val="0"/>
          <c:showVal val="0"/>
          <c:showCatName val="0"/>
          <c:showSerName val="0"/>
          <c:showPercent val="0"/>
          <c:showBubbleSize val="0"/>
        </c:dLbls>
        <c:gapWidth val="110"/>
        <c:axId val="455564848"/>
        <c:axId val="455565240"/>
      </c:barChart>
      <c:catAx>
        <c:axId val="45556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565240"/>
        <c:crosses val="autoZero"/>
        <c:auto val="1"/>
        <c:lblAlgn val="ctr"/>
        <c:lblOffset val="100"/>
        <c:noMultiLvlLbl val="0"/>
      </c:catAx>
      <c:valAx>
        <c:axId val="455565240"/>
        <c:scaling>
          <c:orientation val="minMax"/>
        </c:scaling>
        <c:delete val="1"/>
        <c:axPos val="l"/>
        <c:numFmt formatCode="0.00" sourceLinked="1"/>
        <c:majorTickMark val="none"/>
        <c:minorTickMark val="none"/>
        <c:tickLblPos val="nextTo"/>
        <c:crossAx val="455564848"/>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ZA" sz="1100"/>
              <a:t>Carbon Intensity measure</a:t>
            </a:r>
          </a:p>
          <a:p>
            <a:pPr>
              <a:defRPr sz="1100"/>
            </a:pPr>
            <a:r>
              <a:rPr lang="en-ZA" sz="1100"/>
              <a:t>t CO</a:t>
            </a:r>
            <a:r>
              <a:rPr lang="en-ZA" sz="1100">
                <a:latin typeface="Calibri" panose="020F0502020204030204" pitchFamily="34" charset="0"/>
              </a:rPr>
              <a:t>₂</a:t>
            </a:r>
            <a:r>
              <a:rPr lang="en-ZA" sz="1100"/>
              <a:t> -e/ct</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2775371828521432E-2"/>
          <c:y val="0.15319444444444447"/>
          <c:w val="0.88389129483814521"/>
          <c:h val="0.61498432487605714"/>
        </c:manualLayout>
      </c:layout>
      <c:barChart>
        <c:barDir val="col"/>
        <c:grouping val="clustered"/>
        <c:varyColors val="0"/>
        <c:ser>
          <c:idx val="0"/>
          <c:order val="0"/>
          <c:tx>
            <c:strRef>
              <c:f>'GHG '!$AK$49</c:f>
              <c:strCache>
                <c:ptCount val="1"/>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'GHG '!$AJ$50:$AJ$58</c:f>
              <c:numCache>
                <c:formatCode>General</c:formatCode>
                <c:ptCount val="9"/>
              </c:numCache>
            </c:numRef>
          </c:cat>
          <c:val>
            <c:numRef>
              <c:f>'GHG '!$AK$50:$AK$58</c:f>
              <c:numCache>
                <c:formatCode>0.00</c:formatCode>
                <c:ptCount val="9"/>
              </c:numCache>
            </c:numRef>
          </c:val>
          <c:extLst xmlns:c16r2="http://schemas.microsoft.com/office/drawing/2015/06/chart">
            <c:ext xmlns:c16="http://schemas.microsoft.com/office/drawing/2014/chart" uri="{C3380CC4-5D6E-409C-BE32-E72D297353CC}">
              <c16:uniqueId val="{00000000-29DD-404E-9900-EFAE542836BC}"/>
            </c:ext>
          </c:extLst>
        </c:ser>
        <c:ser>
          <c:idx val="1"/>
          <c:order val="1"/>
          <c:tx>
            <c:strRef>
              <c:f>'GHG '!$AL$49</c:f>
              <c:strCache>
                <c:ptCount val="1"/>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'GHG '!$AJ$50:$AJ$58</c:f>
              <c:numCache>
                <c:formatCode>General</c:formatCode>
                <c:ptCount val="9"/>
              </c:numCache>
            </c:numRef>
          </c:cat>
          <c:val>
            <c:numRef>
              <c:f>'GHG '!$AL$50:$AL$58</c:f>
              <c:numCache>
                <c:formatCode>0.00</c:formatCode>
                <c:ptCount val="9"/>
              </c:numCache>
            </c:numRef>
          </c:val>
          <c:extLst xmlns:c16r2="http://schemas.microsoft.com/office/drawing/2015/06/chart">
            <c:ext xmlns:c16="http://schemas.microsoft.com/office/drawing/2014/chart" uri="{C3380CC4-5D6E-409C-BE32-E72D297353CC}">
              <c16:uniqueId val="{00000001-29DD-404E-9900-EFAE542836BC}"/>
            </c:ext>
          </c:extLst>
        </c:ser>
        <c:dLbls>
          <c:showLegendKey val="0"/>
          <c:showVal val="0"/>
          <c:showCatName val="0"/>
          <c:showSerName val="0"/>
          <c:showPercent val="0"/>
          <c:showBubbleSize val="0"/>
        </c:dLbls>
        <c:gapWidth val="28"/>
        <c:axId val="455567200"/>
        <c:axId val="455566024"/>
      </c:barChart>
      <c:catAx>
        <c:axId val="455567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566024"/>
        <c:crosses val="autoZero"/>
        <c:auto val="1"/>
        <c:lblAlgn val="ctr"/>
        <c:lblOffset val="100"/>
        <c:noMultiLvlLbl val="0"/>
      </c:catAx>
      <c:valAx>
        <c:axId val="455566024"/>
        <c:scaling>
          <c:orientation val="minMax"/>
        </c:scaling>
        <c:delete val="1"/>
        <c:axPos val="l"/>
        <c:numFmt formatCode="0.00" sourceLinked="1"/>
        <c:majorTickMark val="none"/>
        <c:minorTickMark val="none"/>
        <c:tickLblPos val="nextTo"/>
        <c:crossAx val="455567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54013888888888884"/>
          <c:y val="4.3835616438356165E-2"/>
        </c:manualLayout>
      </c:layout>
      <c:overlay val="0"/>
    </c:title>
    <c:autoTitleDeleted val="0"/>
    <c:view3D>
      <c:rotX val="30"/>
      <c:rotY val="0"/>
      <c:rAngAx val="0"/>
    </c:view3D>
    <c:floor>
      <c:thickness val="0"/>
    </c:floor>
    <c:sideWall>
      <c:thickness val="0"/>
    </c:sideWall>
    <c:backWall>
      <c:thickness val="0"/>
    </c:backWall>
    <c:plotArea>
      <c:layout/>
      <c:pie3DChart>
        <c:varyColors val="1"/>
        <c:ser>
          <c:idx val="0"/>
          <c:order val="0"/>
          <c:tx>
            <c:strRef>
              <c:f>Graphs!$D$9</c:f>
              <c:strCache>
                <c:ptCount val="1"/>
                <c:pt idx="0">
                  <c:v>OUTSTANDING EMPR COMMITMENTS Q1</c:v>
                </c:pt>
              </c:strCache>
            </c:strRef>
          </c:tx>
          <c:spPr>
            <a:ln>
              <a:solidFill>
                <a:schemeClr val="tx2">
                  <a:lumMod val="75000"/>
                </a:schemeClr>
              </a:solidFill>
            </a:ln>
          </c:spPr>
          <c:dPt>
            <c:idx val="2"/>
            <c:bubble3D val="0"/>
            <c:spPr>
              <a:solidFill>
                <a:schemeClr val="tx2">
                  <a:lumMod val="75000"/>
                </a:schemeClr>
              </a:solidFill>
              <a:ln>
                <a:solidFill>
                  <a:srgbClr val="002060"/>
                </a:solidFill>
              </a:ln>
            </c:spPr>
            <c:extLst xmlns:c16r2="http://schemas.microsoft.com/office/drawing/2015/06/chart">
              <c:ext xmlns:c16="http://schemas.microsoft.com/office/drawing/2014/chart" uri="{C3380CC4-5D6E-409C-BE32-E72D297353CC}">
                <c16:uniqueId val="{00000001-2BFB-4FF3-9910-4F5FBB19F9F3}"/>
              </c:ext>
            </c:extLst>
          </c:dPt>
          <c:dLbls>
            <c:dLbl>
              <c:idx val="1"/>
              <c:showLegendKey val="0"/>
              <c:showVal val="0"/>
              <c:showCatName val="1"/>
              <c:showSerName val="0"/>
              <c:showPercent val="0"/>
              <c:showBubbleSize val="0"/>
              <c:extLst xmlns:c16r2="http://schemas.microsoft.com/office/drawing/2015/06/chart">
                <c:ext xmlns:c16="http://schemas.microsoft.com/office/drawing/2014/chart" uri="{C3380CC4-5D6E-409C-BE32-E72D297353CC}">
                  <c16:uniqueId val="{00000002-2BFB-4FF3-9910-4F5FBB19F9F3}"/>
                </c:ext>
                <c:ext xmlns:c15="http://schemas.microsoft.com/office/drawing/2012/chart" uri="{CE6537A1-D6FC-4f65-9D91-7224C49458BB}"/>
              </c:extLst>
            </c:dLbl>
            <c:dLbl>
              <c:idx val="3"/>
              <c:showLegendKey val="0"/>
              <c:showVal val="0"/>
              <c:showCatName val="1"/>
              <c:showSerName val="0"/>
              <c:showPercent val="0"/>
              <c:showBubbleSize val="0"/>
              <c:extLst xmlns:c16r2="http://schemas.microsoft.com/office/drawing/2015/06/chart">
                <c:ext xmlns:c16="http://schemas.microsoft.com/office/drawing/2014/chart" uri="{C3380CC4-5D6E-409C-BE32-E72D297353CC}">
                  <c16:uniqueId val="{00000003-2BFB-4FF3-9910-4F5FBB19F9F3}"/>
                </c:ext>
                <c:ext xmlns:c15="http://schemas.microsoft.com/office/drawing/2012/chart" uri="{CE6537A1-D6FC-4f65-9D91-7224C49458BB}"/>
              </c:extLst>
            </c:dLbl>
            <c:dLbl>
              <c:idx val="4"/>
              <c:showLegendKey val="0"/>
              <c:showVal val="0"/>
              <c:showCatName val="1"/>
              <c:showSerName val="0"/>
              <c:showPercent val="0"/>
              <c:showBubbleSize val="0"/>
              <c:extLst xmlns:c16r2="http://schemas.microsoft.com/office/drawing/2015/06/chart">
                <c:ext xmlns:c16="http://schemas.microsoft.com/office/drawing/2014/chart" uri="{C3380CC4-5D6E-409C-BE32-E72D297353CC}">
                  <c16:uniqueId val="{00000004-2BFB-4FF3-9910-4F5FBB19F9F3}"/>
                </c:ext>
                <c:ext xmlns:c15="http://schemas.microsoft.com/office/drawing/2012/chart" uri="{CE6537A1-D6FC-4f65-9D91-7224C49458BB}"/>
              </c:extLst>
            </c:dLbl>
            <c:spPr>
              <a:noFill/>
              <a:ln>
                <a:noFill/>
              </a:ln>
              <a:effectLst/>
            </c:spPr>
            <c:txPr>
              <a:bodyPr wrap="square" lIns="38100" tIns="19050" rIns="38100" bIns="19050" anchor="ctr">
                <a:spAutoFit/>
              </a:bodyPr>
              <a:lstStyle/>
              <a:p>
                <a:pPr>
                  <a:defRPr>
                    <a:solidFill>
                      <a:schemeClr val="bg1"/>
                    </a:solidFill>
                  </a:defRPr>
                </a:pPr>
                <a:endParaRPr lang="en-US"/>
              </a:p>
            </c:txPr>
            <c:showLegendKey val="0"/>
            <c:showVal val="1"/>
            <c:showCatName val="1"/>
            <c:showSerName val="0"/>
            <c:showPercent val="0"/>
            <c:showBubbleSize val="0"/>
            <c:showLeaderLines val="1"/>
            <c:extLst xmlns:c16r2="http://schemas.microsoft.com/office/drawing/2015/06/chart">
              <c:ext xmlns:c15="http://schemas.microsoft.com/office/drawing/2012/chart" uri="{CE6537A1-D6FC-4f65-9D91-7224C49458BB}"/>
            </c:extLst>
          </c:dLbls>
          <c:cat>
            <c:strRef>
              <c:f>Graphs!$B$9:$B$15</c:f>
              <c:strCache>
                <c:ptCount val="5"/>
                <c:pt idx="1">
                  <c:v>CDM</c:v>
                </c:pt>
                <c:pt idx="2">
                  <c:v>FDM</c:v>
                </c:pt>
                <c:pt idx="3">
                  <c:v>KDM</c:v>
                </c:pt>
                <c:pt idx="4">
                  <c:v>WDL</c:v>
                </c:pt>
              </c:strCache>
            </c:strRef>
          </c:cat>
          <c:val>
            <c:numRef>
              <c:f>Graphs!$D$10:$D$15</c:f>
              <c:numCache>
                <c:formatCode>General</c:formatCode>
                <c:ptCount val="6"/>
                <c:pt idx="0">
                  <c:v>1</c:v>
                </c:pt>
                <c:pt idx="1">
                  <c:v>0</c:v>
                </c:pt>
                <c:pt idx="2">
                  <c:v>3</c:v>
                </c:pt>
                <c:pt idx="3">
                  <c:v>0</c:v>
                </c:pt>
              </c:numCache>
            </c:numRef>
          </c:val>
          <c:extLst xmlns:c16r2="http://schemas.microsoft.com/office/drawing/2015/06/chart">
            <c:ext xmlns:c16="http://schemas.microsoft.com/office/drawing/2014/chart" uri="{C3380CC4-5D6E-409C-BE32-E72D297353CC}">
              <c16:uniqueId val="{00000005-2BFB-4FF3-9910-4F5FBB19F9F3}"/>
            </c:ext>
          </c:extLst>
        </c:ser>
        <c:dLbls>
          <c:showLegendKey val="0"/>
          <c:showVal val="0"/>
          <c:showCatName val="0"/>
          <c:showSerName val="0"/>
          <c:showPercent val="0"/>
          <c:showBubbleSize val="0"/>
          <c:showLeaderLines val="1"/>
        </c:dLbls>
      </c:pie3DChart>
    </c:plotArea>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444444444444442E-2"/>
          <c:y val="5.128205128205128E-2"/>
          <c:w val="0.58416710411198602"/>
          <c:h val="0.81511972541893807"/>
        </c:manualLayout>
      </c:layout>
      <c:barChart>
        <c:barDir val="col"/>
        <c:grouping val="clustered"/>
        <c:varyColors val="0"/>
        <c:ser>
          <c:idx val="0"/>
          <c:order val="0"/>
          <c:tx>
            <c:strRef>
              <c:f>Graphs!$C$68</c:f>
              <c:strCache>
                <c:ptCount val="1"/>
                <c:pt idx="0">
                  <c:v>Water consumption (m3/t)</c:v>
                </c:pt>
              </c:strCache>
            </c:strRef>
          </c:tx>
          <c:invertIfNegative val="0"/>
          <c:dLbls>
            <c:dLbl>
              <c:idx val="3"/>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0-4690-499F-900B-2640CAC57312}"/>
                </c:ext>
                <c:ext xmlns:c15="http://schemas.microsoft.com/office/drawing/2012/chart" uri="{CE6537A1-D6FC-4f65-9D91-7224C49458BB}"/>
              </c:extLst>
            </c:dLbl>
            <c:dLbl>
              <c:idx val="4"/>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4690-499F-900B-2640CAC57312}"/>
                </c:ext>
                <c:ext xmlns:c15="http://schemas.microsoft.com/office/drawing/2012/chart" uri="{CE6537A1-D6FC-4f65-9D91-7224C49458BB}"/>
              </c:extLst>
            </c:dLbl>
            <c:dLbl>
              <c:idx val="5"/>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4690-499F-900B-2640CAC57312}"/>
                </c:ext>
                <c:ext xmlns:c15="http://schemas.microsoft.com/office/drawing/2012/chart" uri="{CE6537A1-D6FC-4f65-9D91-7224C49458BB}"/>
              </c:extLst>
            </c:dLbl>
            <c:spPr>
              <a:noFill/>
              <a:ln>
                <a:noFill/>
              </a:ln>
              <a:effectLst/>
            </c:sp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cat>
            <c:strRef>
              <c:f>Graphs!$B$69:$B$73</c:f>
              <c:strCache>
                <c:ptCount val="5"/>
                <c:pt idx="0">
                  <c:v>CDM</c:v>
                </c:pt>
                <c:pt idx="1">
                  <c:v>FDM</c:v>
                </c:pt>
                <c:pt idx="2">
                  <c:v>KDM</c:v>
                </c:pt>
                <c:pt idx="3">
                  <c:v>WDL</c:v>
                </c:pt>
                <c:pt idx="4">
                  <c:v>Petra</c:v>
                </c:pt>
              </c:strCache>
            </c:strRef>
          </c:cat>
          <c:val>
            <c:numRef>
              <c:f>Graphs!$C$69:$C$73</c:f>
              <c:numCache>
                <c:formatCode>General</c:formatCode>
                <c:ptCount val="5"/>
                <c:pt idx="0">
                  <c:v>0.17</c:v>
                </c:pt>
                <c:pt idx="1">
                  <c:v>1.01</c:v>
                </c:pt>
                <c:pt idx="2">
                  <c:v>2.0099999999999998</c:v>
                </c:pt>
                <c:pt idx="3">
                  <c:v>2.5</c:v>
                </c:pt>
                <c:pt idx="4">
                  <c:v>1.32</c:v>
                </c:pt>
              </c:numCache>
            </c:numRef>
          </c:val>
          <c:extLst xmlns:c16r2="http://schemas.microsoft.com/office/drawing/2015/06/chart">
            <c:ext xmlns:c16="http://schemas.microsoft.com/office/drawing/2014/chart" uri="{C3380CC4-5D6E-409C-BE32-E72D297353CC}">
              <c16:uniqueId val="{00000003-4690-499F-900B-2640CAC57312}"/>
            </c:ext>
          </c:extLst>
        </c:ser>
        <c:ser>
          <c:idx val="1"/>
          <c:order val="1"/>
          <c:tx>
            <c:strRef>
              <c:f>Graphs!$D$68</c:f>
              <c:strCache>
                <c:ptCount val="1"/>
                <c:pt idx="0">
                  <c:v>Clean water intake (m3/t)</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Graphs!$B$69:$B$73</c:f>
              <c:strCache>
                <c:ptCount val="5"/>
                <c:pt idx="0">
                  <c:v>CDM</c:v>
                </c:pt>
                <c:pt idx="1">
                  <c:v>FDM</c:v>
                </c:pt>
                <c:pt idx="2">
                  <c:v>KDM</c:v>
                </c:pt>
                <c:pt idx="3">
                  <c:v>WDL</c:v>
                </c:pt>
                <c:pt idx="4">
                  <c:v>Petra</c:v>
                </c:pt>
              </c:strCache>
            </c:strRef>
          </c:cat>
          <c:val>
            <c:numRef>
              <c:f>Graphs!$D$69:$D$73</c:f>
              <c:numCache>
                <c:formatCode>General</c:formatCode>
                <c:ptCount val="5"/>
                <c:pt idx="0">
                  <c:v>0.17</c:v>
                </c:pt>
                <c:pt idx="1">
                  <c:v>0.75</c:v>
                </c:pt>
                <c:pt idx="2">
                  <c:v>0.62</c:v>
                </c:pt>
                <c:pt idx="3">
                  <c:v>2.17</c:v>
                </c:pt>
                <c:pt idx="4">
                  <c:v>1.03</c:v>
                </c:pt>
              </c:numCache>
            </c:numRef>
          </c:val>
          <c:extLst xmlns:c16r2="http://schemas.microsoft.com/office/drawing/2015/06/chart">
            <c:ext xmlns:c16="http://schemas.microsoft.com/office/drawing/2014/chart" uri="{C3380CC4-5D6E-409C-BE32-E72D297353CC}">
              <c16:uniqueId val="{00000004-4690-499F-900B-2640CAC57312}"/>
            </c:ext>
          </c:extLst>
        </c:ser>
        <c:dLbls>
          <c:showLegendKey val="0"/>
          <c:showVal val="0"/>
          <c:showCatName val="0"/>
          <c:showSerName val="0"/>
          <c:showPercent val="0"/>
          <c:showBubbleSize val="0"/>
        </c:dLbls>
        <c:gapWidth val="150"/>
        <c:axId val="453741720"/>
        <c:axId val="453738584"/>
      </c:barChart>
      <c:catAx>
        <c:axId val="453741720"/>
        <c:scaling>
          <c:orientation val="minMax"/>
        </c:scaling>
        <c:delete val="0"/>
        <c:axPos val="b"/>
        <c:numFmt formatCode="General" sourceLinked="0"/>
        <c:majorTickMark val="out"/>
        <c:minorTickMark val="none"/>
        <c:tickLblPos val="nextTo"/>
        <c:crossAx val="453738584"/>
        <c:crosses val="autoZero"/>
        <c:auto val="1"/>
        <c:lblAlgn val="ctr"/>
        <c:lblOffset val="100"/>
        <c:noMultiLvlLbl val="0"/>
      </c:catAx>
      <c:valAx>
        <c:axId val="453738584"/>
        <c:scaling>
          <c:orientation val="minMax"/>
        </c:scaling>
        <c:delete val="1"/>
        <c:axPos val="l"/>
        <c:numFmt formatCode="General" sourceLinked="1"/>
        <c:majorTickMark val="out"/>
        <c:minorTickMark val="none"/>
        <c:tickLblPos val="nextTo"/>
        <c:crossAx val="453741720"/>
        <c:crosses val="autoZero"/>
        <c:crossBetween val="between"/>
      </c:valAx>
      <c:spPr>
        <a:noFill/>
        <a:ln w="25400">
          <a:noFill/>
        </a:ln>
      </c:spPr>
    </c:plotArea>
    <c:legend>
      <c:legendPos val="r"/>
      <c:overlay val="0"/>
    </c:legend>
    <c:plotVisOnly val="1"/>
    <c:dispBlanksAs val="gap"/>
    <c:showDLblsOverMax val="0"/>
  </c:chart>
  <c:spPr>
    <a:ln>
      <a:solidFill>
        <a:schemeClr val="accent1"/>
      </a:solid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Graphs!$C$51</c:f>
              <c:strCache>
                <c:ptCount val="1"/>
                <c:pt idx="0">
                  <c:v>Procedures reviewed</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Graphs!$B$52:$B$56</c:f>
              <c:strCache>
                <c:ptCount val="5"/>
                <c:pt idx="0">
                  <c:v>CDM</c:v>
                </c:pt>
                <c:pt idx="1">
                  <c:v>FDM</c:v>
                </c:pt>
                <c:pt idx="2">
                  <c:v>KDM</c:v>
                </c:pt>
                <c:pt idx="3">
                  <c:v>KEM</c:v>
                </c:pt>
                <c:pt idx="4">
                  <c:v>WDL</c:v>
                </c:pt>
              </c:strCache>
            </c:strRef>
          </c:cat>
          <c:val>
            <c:numRef>
              <c:f>Graphs!$C$52:$C$56</c:f>
              <c:numCache>
                <c:formatCode>General</c:formatCode>
                <c:ptCount val="5"/>
                <c:pt idx="0">
                  <c:v>18</c:v>
                </c:pt>
                <c:pt idx="1">
                  <c:v>57</c:v>
                </c:pt>
                <c:pt idx="2">
                  <c:v>13</c:v>
                </c:pt>
                <c:pt idx="3">
                  <c:v>3</c:v>
                </c:pt>
                <c:pt idx="4">
                  <c:v>2</c:v>
                </c:pt>
              </c:numCache>
            </c:numRef>
          </c:val>
          <c:extLst xmlns:c16r2="http://schemas.microsoft.com/office/drawing/2015/06/chart">
            <c:ext xmlns:c16="http://schemas.microsoft.com/office/drawing/2014/chart" uri="{C3380CC4-5D6E-409C-BE32-E72D297353CC}">
              <c16:uniqueId val="{00000000-803B-44A5-AA30-3B0E57CCE0EA}"/>
            </c:ext>
          </c:extLst>
        </c:ser>
        <c:ser>
          <c:idx val="1"/>
          <c:order val="1"/>
          <c:tx>
            <c:strRef>
              <c:f>Graphs!$D$51</c:f>
              <c:strCache>
                <c:ptCount val="1"/>
                <c:pt idx="0">
                  <c:v>Procedures under review</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Graphs!$B$52:$B$56</c:f>
              <c:strCache>
                <c:ptCount val="5"/>
                <c:pt idx="0">
                  <c:v>CDM</c:v>
                </c:pt>
                <c:pt idx="1">
                  <c:v>FDM</c:v>
                </c:pt>
                <c:pt idx="2">
                  <c:v>KDM</c:v>
                </c:pt>
                <c:pt idx="3">
                  <c:v>KEM</c:v>
                </c:pt>
                <c:pt idx="4">
                  <c:v>WDL</c:v>
                </c:pt>
              </c:strCache>
            </c:strRef>
          </c:cat>
          <c:val>
            <c:numRef>
              <c:f>Graphs!$D$52:$D$56</c:f>
              <c:numCache>
                <c:formatCode>General</c:formatCode>
                <c:ptCount val="5"/>
                <c:pt idx="0">
                  <c:v>0</c:v>
                </c:pt>
                <c:pt idx="1">
                  <c:v>1</c:v>
                </c:pt>
                <c:pt idx="2">
                  <c:v>3</c:v>
                </c:pt>
                <c:pt idx="3">
                  <c:v>0</c:v>
                </c:pt>
                <c:pt idx="4">
                  <c:v>2</c:v>
                </c:pt>
              </c:numCache>
            </c:numRef>
          </c:val>
          <c:extLst xmlns:c16r2="http://schemas.microsoft.com/office/drawing/2015/06/chart">
            <c:ext xmlns:c16="http://schemas.microsoft.com/office/drawing/2014/chart" uri="{C3380CC4-5D6E-409C-BE32-E72D297353CC}">
              <c16:uniqueId val="{00000001-803B-44A5-AA30-3B0E57CCE0EA}"/>
            </c:ext>
          </c:extLst>
        </c:ser>
        <c:dLbls>
          <c:showLegendKey val="0"/>
          <c:showVal val="0"/>
          <c:showCatName val="0"/>
          <c:showSerName val="0"/>
          <c:showPercent val="0"/>
          <c:showBubbleSize val="0"/>
        </c:dLbls>
        <c:gapWidth val="150"/>
        <c:shape val="cylinder"/>
        <c:axId val="458854440"/>
        <c:axId val="458849344"/>
        <c:axId val="0"/>
      </c:bar3DChart>
      <c:catAx>
        <c:axId val="458854440"/>
        <c:scaling>
          <c:orientation val="minMax"/>
        </c:scaling>
        <c:delete val="0"/>
        <c:axPos val="b"/>
        <c:numFmt formatCode="General" sourceLinked="0"/>
        <c:majorTickMark val="out"/>
        <c:minorTickMark val="none"/>
        <c:tickLblPos val="nextTo"/>
        <c:crossAx val="458849344"/>
        <c:crosses val="autoZero"/>
        <c:auto val="1"/>
        <c:lblAlgn val="ctr"/>
        <c:lblOffset val="100"/>
        <c:noMultiLvlLbl val="0"/>
      </c:catAx>
      <c:valAx>
        <c:axId val="458849344"/>
        <c:scaling>
          <c:orientation val="minMax"/>
        </c:scaling>
        <c:delete val="0"/>
        <c:axPos val="l"/>
        <c:majorGridlines/>
        <c:numFmt formatCode="General" sourceLinked="1"/>
        <c:majorTickMark val="out"/>
        <c:minorTickMark val="none"/>
        <c:tickLblPos val="nextTo"/>
        <c:crossAx val="45885444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4806199127759349E-2"/>
          <c:y val="8.2899113618461931E-2"/>
          <c:w val="0.94542636191892948"/>
          <c:h val="0.73531178551852749"/>
        </c:manualLayout>
      </c:layout>
      <c:barChart>
        <c:barDir val="col"/>
        <c:grouping val="clustered"/>
        <c:varyColors val="0"/>
        <c:ser>
          <c:idx val="0"/>
          <c:order val="0"/>
          <c:tx>
            <c:strRef>
              <c:f>Graphs!$C$42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Graphs!$B$43:$B$46</c:f>
              <c:strCache>
                <c:ptCount val="4"/>
                <c:pt idx="0">
                  <c:v>CDM</c:v>
                </c:pt>
                <c:pt idx="1">
                  <c:v>FDM</c:v>
                </c:pt>
                <c:pt idx="2">
                  <c:v>KDM</c:v>
                </c:pt>
                <c:pt idx="3">
                  <c:v>WDL</c:v>
                </c:pt>
              </c:strCache>
            </c:strRef>
          </c:cat>
          <c:val>
            <c:numRef>
              <c:f>Graphs!$C$43:$C$46</c:f>
              <c:numCache>
                <c:formatCode>General</c:formatCode>
                <c:ptCount val="4"/>
                <c:pt idx="0">
                  <c:v>481</c:v>
                </c:pt>
                <c:pt idx="1">
                  <c:v>1440</c:v>
                </c:pt>
                <c:pt idx="2">
                  <c:v>29</c:v>
                </c:pt>
                <c:pt idx="3">
                  <c:v>396</c:v>
                </c:pt>
              </c:numCache>
            </c:numRef>
          </c:val>
          <c:extLst xmlns:c16r2="http://schemas.microsoft.com/office/drawing/2015/06/chart">
            <c:ext xmlns:c16="http://schemas.microsoft.com/office/drawing/2014/chart" uri="{C3380CC4-5D6E-409C-BE32-E72D297353CC}">
              <c16:uniqueId val="{00000000-2B3E-48C0-A7EA-0452DB4B51AB}"/>
            </c:ext>
          </c:extLst>
        </c:ser>
        <c:ser>
          <c:idx val="1"/>
          <c:order val="1"/>
          <c:tx>
            <c:strRef>
              <c:f>Graphs!$D$42</c:f>
              <c:strCache>
                <c:ptCount val="1"/>
                <c:pt idx="0">
                  <c:v>Minor</c:v>
                </c:pt>
              </c:strCache>
            </c:strRef>
          </c:tx>
          <c:spPr>
            <a:solidFill>
              <a:schemeClr val="tx2">
                <a:lumMod val="75000"/>
              </a:schemeClr>
            </a:solidFill>
            <a:ln>
              <a:noFill/>
            </a:ln>
            <a:effectLst/>
          </c:spPr>
          <c:invertIfNegative val="0"/>
          <c:dLbls>
            <c:dLbl>
              <c:idx val="0"/>
              <c:layout>
                <c:manualLayout>
                  <c:x val="1.7364339389431542E-2"/>
                  <c:y val="0"/>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2B3E-48C0-A7EA-0452DB4B51AB}"/>
                </c:ext>
                <c:ext xmlns:c15="http://schemas.microsoft.com/office/drawing/2012/chart" uri="{CE6537A1-D6FC-4f65-9D91-7224C49458BB}"/>
              </c:extLst>
            </c:dLbl>
            <c:dLbl>
              <c:idx val="1"/>
              <c:layout>
                <c:manualLayout>
                  <c:x val="2.2325579214983415E-2"/>
                  <c:y val="4.3360441006412903E-3"/>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2B3E-48C0-A7EA-0452DB4B51AB}"/>
                </c:ext>
                <c:ext xmlns:c15="http://schemas.microsoft.com/office/drawing/2012/chart" uri="{CE6537A1-D6FC-4f65-9D91-7224C49458BB}"/>
              </c:extLst>
            </c:dLbl>
            <c:dLbl>
              <c:idx val="2"/>
              <c:layout>
                <c:manualLayout>
                  <c:x val="1.2403197226080964E-2"/>
                  <c:y val="7.9493223532588662E-1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2B3E-48C0-A7EA-0452DB4B51AB}"/>
                </c:ext>
                <c:ext xmlns:c15="http://schemas.microsoft.com/office/drawing/2012/chart" uri="{CE6537A1-D6FC-4f65-9D91-7224C49458BB}">
                  <c15:layout>
                    <c:manualLayout>
                      <c:w val="4.8818599883430389E-2"/>
                      <c:h val="5.6303703357224823E-2"/>
                    </c:manualLayout>
                  </c15:layout>
                </c:ext>
              </c:extLst>
            </c:dLbl>
            <c:dLbl>
              <c:idx val="3"/>
              <c:layout>
                <c:manualLayout>
                  <c:x val="1.2403099563879675E-2"/>
                  <c:y val="-8.6720882012825806E-3"/>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4-2B3E-48C0-A7EA-0452DB4B51AB}"/>
                </c:ext>
                <c:ext xmlns:c15="http://schemas.microsoft.com/office/drawing/2012/chart" uri="{CE6537A1-D6FC-4f65-9D91-7224C49458BB}"/>
              </c:extLst>
            </c:dLbl>
            <c:dLbl>
              <c:idx val="4"/>
              <c:layout>
                <c:manualLayout>
                  <c:x val="1.4883719476655517E-2"/>
                  <c:y val="-7.9493223532588662E-17"/>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5-2B3E-48C0-A7EA-0452DB4B51AB}"/>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Graphs!$B$43:$B$46</c:f>
              <c:strCache>
                <c:ptCount val="4"/>
                <c:pt idx="0">
                  <c:v>CDM</c:v>
                </c:pt>
                <c:pt idx="1">
                  <c:v>FDM</c:v>
                </c:pt>
                <c:pt idx="2">
                  <c:v>KDM</c:v>
                </c:pt>
                <c:pt idx="3">
                  <c:v>WDL</c:v>
                </c:pt>
              </c:strCache>
            </c:strRef>
          </c:cat>
          <c:val>
            <c:numRef>
              <c:f>Graphs!$D$43:$D$46</c:f>
              <c:numCache>
                <c:formatCode>General</c:formatCode>
                <c:ptCount val="4"/>
                <c:pt idx="0">
                  <c:v>338</c:v>
                </c:pt>
                <c:pt idx="1">
                  <c:v>1437</c:v>
                </c:pt>
                <c:pt idx="2">
                  <c:v>15</c:v>
                </c:pt>
                <c:pt idx="3">
                  <c:v>157</c:v>
                </c:pt>
              </c:numCache>
            </c:numRef>
          </c:val>
          <c:extLst xmlns:c16r2="http://schemas.microsoft.com/office/drawing/2015/06/chart">
            <c:ext xmlns:c16="http://schemas.microsoft.com/office/drawing/2014/chart" uri="{C3380CC4-5D6E-409C-BE32-E72D297353CC}">
              <c16:uniqueId val="{00000006-2B3E-48C0-A7EA-0452DB4B51AB}"/>
            </c:ext>
          </c:extLst>
        </c:ser>
        <c:ser>
          <c:idx val="2"/>
          <c:order val="2"/>
          <c:tx>
            <c:strRef>
              <c:f>Graphs!$E$42</c:f>
              <c:strCache>
                <c:ptCount val="1"/>
                <c:pt idx="0">
                  <c:v>Low</c:v>
                </c:pt>
              </c:strCache>
            </c:strRef>
          </c:tx>
          <c:spPr>
            <a:solidFill>
              <a:schemeClr val="bg1">
                <a:lumMod val="65000"/>
              </a:schemeClr>
            </a:solidFill>
            <a:ln>
              <a:noFill/>
            </a:ln>
            <a:effectLst/>
          </c:spPr>
          <c:invertIfNegative val="0"/>
          <c:dLbls>
            <c:dLbl>
              <c:idx val="0"/>
              <c:layout>
                <c:manualLayout>
                  <c:x val="9.9224796511037383E-3"/>
                  <c:y val="-7.9493223532588662E-17"/>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7-2B3E-48C0-A7EA-0452DB4B51AB}"/>
                </c:ext>
                <c:ext xmlns:c15="http://schemas.microsoft.com/office/drawing/2012/chart" uri="{CE6537A1-D6FC-4f65-9D91-7224C49458BB}"/>
              </c:extLst>
            </c:dLbl>
            <c:dLbl>
              <c:idx val="1"/>
              <c:layout>
                <c:manualLayout>
                  <c:x val="7.4418597383277586E-3"/>
                  <c:y val="-7.9493223532588662E-17"/>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8-2B3E-48C0-A7EA-0452DB4B51AB}"/>
                </c:ext>
                <c:ext xmlns:c15="http://schemas.microsoft.com/office/drawing/2012/chart" uri="{CE6537A1-D6FC-4f65-9D91-7224C49458BB}"/>
              </c:extLst>
            </c:dLbl>
            <c:dLbl>
              <c:idx val="2"/>
              <c:layout>
                <c:manualLayout>
                  <c:x val="9.9224796511037383E-3"/>
                  <c:y val="-7.9493223532588662E-17"/>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9-2B3E-48C0-A7EA-0452DB4B51AB}"/>
                </c:ext>
                <c:ext xmlns:c15="http://schemas.microsoft.com/office/drawing/2012/chart" uri="{CE6537A1-D6FC-4f65-9D91-7224C49458BB}"/>
              </c:extLst>
            </c:dLbl>
            <c:dLbl>
              <c:idx val="3"/>
              <c:layout>
                <c:manualLayout>
                  <c:x val="1.2403099563879583E-2"/>
                  <c:y val="0"/>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A-2B3E-48C0-A7EA-0452DB4B51AB}"/>
                </c:ext>
                <c:ext xmlns:c15="http://schemas.microsoft.com/office/drawing/2012/chart" uri="{CE6537A1-D6FC-4f65-9D91-7224C49458BB}"/>
              </c:extLst>
            </c:dLbl>
            <c:dLbl>
              <c:idx val="4"/>
              <c:layout>
                <c:manualLayout>
                  <c:x val="9.9224796511037383E-3"/>
                  <c:y val="8.6720882012825806E-3"/>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B-2B3E-48C0-A7EA-0452DB4B51AB}"/>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Graphs!$B$43:$B$46</c:f>
              <c:strCache>
                <c:ptCount val="4"/>
                <c:pt idx="0">
                  <c:v>CDM</c:v>
                </c:pt>
                <c:pt idx="1">
                  <c:v>FDM</c:v>
                </c:pt>
                <c:pt idx="2">
                  <c:v>KDM</c:v>
                </c:pt>
                <c:pt idx="3">
                  <c:v>WDL</c:v>
                </c:pt>
              </c:strCache>
            </c:strRef>
          </c:cat>
          <c:val>
            <c:numRef>
              <c:f>Graphs!$E$43:$E$46</c:f>
              <c:numCache>
                <c:formatCode>General</c:formatCode>
                <c:ptCount val="4"/>
                <c:pt idx="0">
                  <c:v>141</c:v>
                </c:pt>
                <c:pt idx="1">
                  <c:v>3</c:v>
                </c:pt>
                <c:pt idx="2">
                  <c:v>13</c:v>
                </c:pt>
                <c:pt idx="3">
                  <c:v>238</c:v>
                </c:pt>
              </c:numCache>
            </c:numRef>
          </c:val>
          <c:extLst xmlns:c16r2="http://schemas.microsoft.com/office/drawing/2015/06/chart">
            <c:ext xmlns:c16="http://schemas.microsoft.com/office/drawing/2014/chart" uri="{C3380CC4-5D6E-409C-BE32-E72D297353CC}">
              <c16:uniqueId val="{0000000C-2B3E-48C0-A7EA-0452DB4B51AB}"/>
            </c:ext>
          </c:extLst>
        </c:ser>
        <c:ser>
          <c:idx val="3"/>
          <c:order val="3"/>
          <c:tx>
            <c:strRef>
              <c:f>Graphs!$F$42</c:f>
              <c:strCache>
                <c:ptCount val="1"/>
                <c:pt idx="0">
                  <c:v>Medium</c:v>
                </c:pt>
              </c:strCache>
            </c:strRef>
          </c:tx>
          <c:spPr>
            <a:solidFill>
              <a:srgbClr val="990033"/>
            </a:solidFill>
            <a:ln>
              <a:noFill/>
            </a:ln>
            <a:effectLst/>
          </c:spPr>
          <c:invertIfNegative val="0"/>
          <c:dLbls>
            <c:dLbl>
              <c:idx val="0"/>
              <c:layout>
                <c:manualLayout>
                  <c:x val="1.2403099563879675E-2"/>
                  <c:y val="7.9493223532588662E-17"/>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D-2B3E-48C0-A7EA-0452DB4B51AB}"/>
                </c:ext>
                <c:ext xmlns:c15="http://schemas.microsoft.com/office/drawing/2012/chart" uri="{CE6537A1-D6FC-4f65-9D91-7224C49458BB}"/>
              </c:extLst>
            </c:dLbl>
            <c:dLbl>
              <c:idx val="1"/>
              <c:layout>
                <c:manualLayout>
                  <c:x val="9.9224796511037383E-3"/>
                  <c:y val="-7.9493223532588662E-17"/>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E-2B3E-48C0-A7EA-0452DB4B51AB}"/>
                </c:ext>
                <c:ext xmlns:c15="http://schemas.microsoft.com/office/drawing/2012/chart" uri="{CE6537A1-D6FC-4f65-9D91-7224C49458BB}"/>
              </c:extLst>
            </c:dLbl>
            <c:dLbl>
              <c:idx val="2"/>
              <c:layout>
                <c:manualLayout>
                  <c:x val="1.4883719476655609E-2"/>
                  <c:y val="4.3360441006412903E-3"/>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F-2B3E-48C0-A7EA-0452DB4B51AB}"/>
                </c:ext>
                <c:ext xmlns:c15="http://schemas.microsoft.com/office/drawing/2012/chart" uri="{CE6537A1-D6FC-4f65-9D91-7224C49458BB}"/>
              </c:extLst>
            </c:dLbl>
            <c:dLbl>
              <c:idx val="3"/>
              <c:layout>
                <c:manualLayout>
                  <c:x val="9.9224796511037383E-3"/>
                  <c:y val="-7.9493223532588662E-17"/>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10-2B3E-48C0-A7EA-0452DB4B51AB}"/>
                </c:ext>
                <c:ext xmlns:c15="http://schemas.microsoft.com/office/drawing/2012/chart" uri="{CE6537A1-D6FC-4f65-9D91-7224C49458BB}"/>
              </c:extLst>
            </c:dLbl>
            <c:dLbl>
              <c:idx val="4"/>
              <c:layout>
                <c:manualLayout>
                  <c:x val="1.7364339389431362E-2"/>
                  <c:y val="7.9493223532588662E-17"/>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11-2B3E-48C0-A7EA-0452DB4B51AB}"/>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Graphs!$B$43:$B$46</c:f>
              <c:strCache>
                <c:ptCount val="4"/>
                <c:pt idx="0">
                  <c:v>CDM</c:v>
                </c:pt>
                <c:pt idx="1">
                  <c:v>FDM</c:v>
                </c:pt>
                <c:pt idx="2">
                  <c:v>KDM</c:v>
                </c:pt>
                <c:pt idx="3">
                  <c:v>WDL</c:v>
                </c:pt>
              </c:strCache>
            </c:strRef>
          </c:cat>
          <c:val>
            <c:numRef>
              <c:f>Graphs!$F$43:$F$46</c:f>
              <c:numCache>
                <c:formatCode>General</c:formatCode>
                <c:ptCount val="4"/>
                <c:pt idx="0">
                  <c:v>2</c:v>
                </c:pt>
                <c:pt idx="1">
                  <c:v>0</c:v>
                </c:pt>
                <c:pt idx="2">
                  <c:v>1</c:v>
                </c:pt>
                <c:pt idx="3">
                  <c:v>0</c:v>
                </c:pt>
              </c:numCache>
            </c:numRef>
          </c:val>
          <c:extLst xmlns:c16r2="http://schemas.microsoft.com/office/drawing/2015/06/chart">
            <c:ext xmlns:c16="http://schemas.microsoft.com/office/drawing/2014/chart" uri="{C3380CC4-5D6E-409C-BE32-E72D297353CC}">
              <c16:uniqueId val="{00000012-2B3E-48C0-A7EA-0452DB4B51AB}"/>
            </c:ext>
          </c:extLst>
        </c:ser>
        <c:dLbls>
          <c:showLegendKey val="0"/>
          <c:showVal val="0"/>
          <c:showCatName val="0"/>
          <c:showSerName val="0"/>
          <c:showPercent val="0"/>
          <c:showBubbleSize val="0"/>
        </c:dLbls>
        <c:gapWidth val="150"/>
        <c:axId val="458852480"/>
        <c:axId val="458853264"/>
      </c:barChart>
      <c:catAx>
        <c:axId val="458852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853264"/>
        <c:crosses val="autoZero"/>
        <c:auto val="1"/>
        <c:lblAlgn val="ctr"/>
        <c:lblOffset val="100"/>
        <c:noMultiLvlLbl val="0"/>
      </c:catAx>
      <c:valAx>
        <c:axId val="458853264"/>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458852480"/>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tx>
            <c:strRef>
              <c:f>Graphs!$C$51</c:f>
              <c:strCache>
                <c:ptCount val="1"/>
                <c:pt idx="0">
                  <c:v>Procedures reviewed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Graphs!$B$52:$B$57</c:f>
              <c:strCache>
                <c:ptCount val="5"/>
                <c:pt idx="0">
                  <c:v>CDM</c:v>
                </c:pt>
                <c:pt idx="1">
                  <c:v>FDM</c:v>
                </c:pt>
                <c:pt idx="2">
                  <c:v>KDM</c:v>
                </c:pt>
                <c:pt idx="3">
                  <c:v>KEM</c:v>
                </c:pt>
                <c:pt idx="4">
                  <c:v>WDL</c:v>
                </c:pt>
              </c:strCache>
            </c:strRef>
          </c:cat>
          <c:val>
            <c:numRef>
              <c:f>Graphs!$C$52:$C$57</c:f>
              <c:numCache>
                <c:formatCode>General</c:formatCode>
                <c:ptCount val="6"/>
                <c:pt idx="0">
                  <c:v>18</c:v>
                </c:pt>
                <c:pt idx="1">
                  <c:v>57</c:v>
                </c:pt>
                <c:pt idx="2">
                  <c:v>13</c:v>
                </c:pt>
                <c:pt idx="3">
                  <c:v>3</c:v>
                </c:pt>
                <c:pt idx="4">
                  <c:v>2</c:v>
                </c:pt>
              </c:numCache>
            </c:numRef>
          </c:val>
          <c:extLst xmlns:c16r2="http://schemas.microsoft.com/office/drawing/2015/06/chart">
            <c:ext xmlns:c16="http://schemas.microsoft.com/office/drawing/2014/chart" uri="{C3380CC4-5D6E-409C-BE32-E72D297353CC}">
              <c16:uniqueId val="{00000000-47D2-4B87-A595-130BBBC38482}"/>
            </c:ext>
          </c:extLst>
        </c:ser>
        <c:ser>
          <c:idx val="1"/>
          <c:order val="1"/>
          <c:tx>
            <c:strRef>
              <c:f>Graphs!$D$51</c:f>
              <c:strCache>
                <c:ptCount val="1"/>
                <c:pt idx="0">
                  <c:v>Procedures under review</c:v>
                </c:pt>
              </c:strCache>
            </c:strRef>
          </c:tx>
          <c:spPr>
            <a:solidFill>
              <a:srgbClr val="1F497D">
                <a:lumMod val="75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Graphs!$B$52:$B$57</c:f>
              <c:strCache>
                <c:ptCount val="5"/>
                <c:pt idx="0">
                  <c:v>CDM</c:v>
                </c:pt>
                <c:pt idx="1">
                  <c:v>FDM</c:v>
                </c:pt>
                <c:pt idx="2">
                  <c:v>KDM</c:v>
                </c:pt>
                <c:pt idx="3">
                  <c:v>KEM</c:v>
                </c:pt>
                <c:pt idx="4">
                  <c:v>WDL</c:v>
                </c:pt>
              </c:strCache>
            </c:strRef>
          </c:cat>
          <c:val>
            <c:numRef>
              <c:f>Graphs!$D$52:$D$57</c:f>
              <c:numCache>
                <c:formatCode>General</c:formatCode>
                <c:ptCount val="6"/>
                <c:pt idx="0">
                  <c:v>0</c:v>
                </c:pt>
                <c:pt idx="1">
                  <c:v>1</c:v>
                </c:pt>
                <c:pt idx="2">
                  <c:v>3</c:v>
                </c:pt>
                <c:pt idx="3">
                  <c:v>0</c:v>
                </c:pt>
                <c:pt idx="4">
                  <c:v>2</c:v>
                </c:pt>
              </c:numCache>
            </c:numRef>
          </c:val>
          <c:extLst xmlns:c16r2="http://schemas.microsoft.com/office/drawing/2015/06/chart">
            <c:ext xmlns:c16="http://schemas.microsoft.com/office/drawing/2014/chart" uri="{C3380CC4-5D6E-409C-BE32-E72D297353CC}">
              <c16:uniqueId val="{00000001-47D2-4B87-A595-130BBBC38482}"/>
            </c:ext>
          </c:extLst>
        </c:ser>
        <c:dLbls>
          <c:showLegendKey val="0"/>
          <c:showVal val="0"/>
          <c:showCatName val="0"/>
          <c:showSerName val="0"/>
          <c:showPercent val="0"/>
          <c:showBubbleSize val="0"/>
        </c:dLbls>
        <c:gapWidth val="150"/>
        <c:axId val="458851696"/>
        <c:axId val="458854832"/>
      </c:barChart>
      <c:catAx>
        <c:axId val="4588516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854832"/>
        <c:crosses val="autoZero"/>
        <c:auto val="1"/>
        <c:lblAlgn val="ctr"/>
        <c:lblOffset val="100"/>
        <c:noMultiLvlLbl val="0"/>
      </c:catAx>
      <c:valAx>
        <c:axId val="458854832"/>
        <c:scaling>
          <c:orientation val="minMax"/>
        </c:scaling>
        <c:delete val="1"/>
        <c:axPos val="l"/>
        <c:majorGridlines>
          <c:spPr>
            <a:ln w="9525" cap="flat" cmpd="sng" algn="ctr">
              <a:noFill/>
              <a:round/>
            </a:ln>
            <a:effectLst/>
          </c:spPr>
        </c:majorGridlines>
        <c:numFmt formatCode="_(* #,##0_);_(* \(#,##0\);_(* &quot;-&quot;_);_(@_)" sourceLinked="0"/>
        <c:majorTickMark val="none"/>
        <c:minorTickMark val="none"/>
        <c:tickLblPos val="nextTo"/>
        <c:crossAx val="458851696"/>
        <c:crosses val="autoZero"/>
        <c:crossBetween val="between"/>
      </c:valAx>
      <c:spPr>
        <a:noFill/>
        <a:ln>
          <a:noFill/>
        </a:ln>
        <a:effectLst/>
      </c:spPr>
    </c:plotArea>
    <c:legend>
      <c:legendPos val="r"/>
      <c:layout>
        <c:manualLayout>
          <c:xMode val="edge"/>
          <c:yMode val="edge"/>
          <c:x val="0.51707830271216093"/>
          <c:y val="0.38533775383340241"/>
          <c:w val="0.29958836395450567"/>
          <c:h val="0.169174116393345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ysClr val="window" lastClr="FFFFFF"/>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effectLst>
              <a:softEdge rad="0"/>
            </a:effectLst>
          </c:spPr>
          <c:explosion val="3"/>
          <c:dPt>
            <c:idx val="0"/>
            <c:bubble3D val="0"/>
            <c:spPr>
              <a:solidFill>
                <a:schemeClr val="tx2">
                  <a:lumMod val="75000"/>
                </a:schemeClr>
              </a:solidFill>
              <a:ln w="19050">
                <a:solidFill>
                  <a:schemeClr val="lt1"/>
                </a:solidFill>
              </a:ln>
              <a:effectLst>
                <a:softEdge rad="0"/>
              </a:effectLst>
            </c:spPr>
            <c:extLst xmlns:c16r2="http://schemas.microsoft.com/office/drawing/2015/06/chart">
              <c:ext xmlns:c16="http://schemas.microsoft.com/office/drawing/2014/chart" uri="{C3380CC4-5D6E-409C-BE32-E72D297353CC}">
                <c16:uniqueId val="{00000001-5804-4CF2-B606-F0E22E744184}"/>
              </c:ext>
            </c:extLst>
          </c:dPt>
          <c:dPt>
            <c:idx val="1"/>
            <c:bubble3D val="0"/>
            <c:spPr>
              <a:solidFill>
                <a:schemeClr val="tx2">
                  <a:lumMod val="20000"/>
                  <a:lumOff val="80000"/>
                </a:schemeClr>
              </a:solidFill>
              <a:ln w="19050">
                <a:solidFill>
                  <a:schemeClr val="lt1"/>
                </a:solidFill>
              </a:ln>
              <a:effectLst>
                <a:softEdge rad="0"/>
              </a:effectLst>
            </c:spPr>
            <c:extLst xmlns:c16r2="http://schemas.microsoft.com/office/drawing/2015/06/chart">
              <c:ext xmlns:c16="http://schemas.microsoft.com/office/drawing/2014/chart" uri="{C3380CC4-5D6E-409C-BE32-E72D297353CC}">
                <c16:uniqueId val="{00000003-5804-4CF2-B606-F0E22E744184}"/>
              </c:ext>
            </c:extLst>
          </c:dPt>
          <c:dPt>
            <c:idx val="2"/>
            <c:bubble3D val="0"/>
            <c:spPr>
              <a:solidFill>
                <a:schemeClr val="tx2">
                  <a:lumMod val="60000"/>
                  <a:lumOff val="40000"/>
                </a:schemeClr>
              </a:solidFill>
              <a:ln w="19050">
                <a:solidFill>
                  <a:schemeClr val="lt1"/>
                </a:solidFill>
              </a:ln>
              <a:effectLst>
                <a:softEdge rad="0"/>
              </a:effectLst>
            </c:spPr>
            <c:extLst xmlns:c16r2="http://schemas.microsoft.com/office/drawing/2015/06/chart">
              <c:ext xmlns:c16="http://schemas.microsoft.com/office/drawing/2014/chart" uri="{C3380CC4-5D6E-409C-BE32-E72D297353CC}">
                <c16:uniqueId val="{00000005-5804-4CF2-B606-F0E22E744184}"/>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Graphs!$C$153:$C$155</c:f>
              <c:strCache>
                <c:ptCount val="3"/>
                <c:pt idx="0">
                  <c:v>Rehab completed</c:v>
                </c:pt>
                <c:pt idx="1">
                  <c:v>Rehab in progress</c:v>
                </c:pt>
                <c:pt idx="2">
                  <c:v>Outstanding area</c:v>
                </c:pt>
              </c:strCache>
            </c:strRef>
          </c:cat>
          <c:val>
            <c:numRef>
              <c:f>Graphs!$D$153:$D$155</c:f>
              <c:numCache>
                <c:formatCode>0.00%</c:formatCode>
                <c:ptCount val="3"/>
                <c:pt idx="0">
                  <c:v>0.1291030679536708</c:v>
                </c:pt>
                <c:pt idx="1">
                  <c:v>2.30087247599856E-2</c:v>
                </c:pt>
                <c:pt idx="2">
                  <c:v>0.84788820728634351</c:v>
                </c:pt>
              </c:numCache>
            </c:numRef>
          </c:val>
          <c:extLst xmlns:c16r2="http://schemas.microsoft.com/office/drawing/2015/06/chart">
            <c:ext xmlns:c16="http://schemas.microsoft.com/office/drawing/2014/chart" uri="{C3380CC4-5D6E-409C-BE32-E72D297353CC}">
              <c16:uniqueId val="{00000006-5804-4CF2-B606-F0E22E74418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a:softEdge rad="12700"/>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Petra</a:t>
            </a:r>
          </a:p>
          <a:p>
            <a:pPr>
              <a:defRPr/>
            </a:pPr>
            <a:r>
              <a:rPr lang="en-US"/>
              <a:t>Electricity used per T</a:t>
            </a:r>
          </a:p>
        </c:rich>
      </c:tx>
      <c:layout>
        <c:manualLayout>
          <c:xMode val="edge"/>
          <c:yMode val="edge"/>
          <c:x val="0.29585213721186671"/>
          <c:y val="0"/>
        </c:manualLayout>
      </c:layout>
      <c:overlay val="0"/>
    </c:title>
    <c:autoTitleDeleted val="0"/>
    <c:plotArea>
      <c:layout>
        <c:manualLayout>
          <c:layoutTarget val="inner"/>
          <c:xMode val="edge"/>
          <c:yMode val="edge"/>
          <c:x val="0.15023747014424507"/>
          <c:y val="0.28799311466083638"/>
          <c:w val="0.81619691124793359"/>
          <c:h val="0.49891100650328513"/>
        </c:manualLayout>
      </c:layout>
      <c:lineChart>
        <c:grouping val="standard"/>
        <c:varyColors val="0"/>
        <c:ser>
          <c:idx val="0"/>
          <c:order val="0"/>
          <c:tx>
            <c:strRef>
              <c:f>Energy!$A$40:$B$40</c:f>
              <c:strCache>
                <c:ptCount val="2"/>
                <c:pt idx="0">
                  <c:v>Electricity used per Production</c:v>
                </c:pt>
                <c:pt idx="1">
                  <c:v>kWh/t</c:v>
                </c:pt>
              </c:strCache>
            </c:strRef>
          </c:tx>
          <c:dLbls>
            <c:spPr>
              <a:noFill/>
              <a:ln>
                <a:noFill/>
              </a:ln>
              <a:effectLst/>
            </c:sp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Energy!$C$26:$F$26</c:f>
              <c:strCache>
                <c:ptCount val="4"/>
                <c:pt idx="0">
                  <c:v>Quarter 1</c:v>
                </c:pt>
                <c:pt idx="1">
                  <c:v>Quarter 2</c:v>
                </c:pt>
                <c:pt idx="2">
                  <c:v>Quarter 3</c:v>
                </c:pt>
                <c:pt idx="3">
                  <c:v>Quarter 4</c:v>
                </c:pt>
              </c:strCache>
            </c:strRef>
          </c:cat>
          <c:val>
            <c:numRef>
              <c:f>Energy!$C$40:$F$40</c:f>
              <c:numCache>
                <c:formatCode>#,##0.00</c:formatCode>
                <c:ptCount val="4"/>
                <c:pt idx="0">
                  <c:v>33.639507826597679</c:v>
                </c:pt>
                <c:pt idx="1">
                  <c:v>34.735326796249623</c:v>
                </c:pt>
                <c:pt idx="2">
                  <c:v>34.073909103874129</c:v>
                </c:pt>
                <c:pt idx="3">
                  <c:v>58.746339750665491</c:v>
                </c:pt>
              </c:numCache>
            </c:numRef>
          </c:val>
          <c:smooth val="0"/>
          <c:extLst xmlns:c16r2="http://schemas.microsoft.com/office/drawing/2015/06/chart">
            <c:ext xmlns:c16="http://schemas.microsoft.com/office/drawing/2014/chart" uri="{C3380CC4-5D6E-409C-BE32-E72D297353CC}">
              <c16:uniqueId val="{00000000-1298-4AEE-B838-C82D5431C35B}"/>
            </c:ext>
          </c:extLst>
        </c:ser>
        <c:ser>
          <c:idx val="1"/>
          <c:order val="1"/>
          <c:tx>
            <c:strRef>
              <c:f>Energy!$A$43</c:f>
              <c:strCache>
                <c:ptCount val="1"/>
                <c:pt idx="0">
                  <c:v>IMPROVEMENT STRATEGY: Year on year reduction in total electrcity use per ton treated</c:v>
                </c:pt>
              </c:strCache>
            </c:strRef>
          </c:tx>
          <c:val>
            <c:numRef>
              <c:f>Energy!$C$43:$F$43</c:f>
              <c:numCache>
                <c:formatCode>_(* #\ ##0.00_);_(* \(#\ ##0.00\);_(* "-"??_);_(@_)</c:formatCode>
                <c:ptCount val="4"/>
                <c:pt idx="0">
                  <c:v>0</c:v>
                </c:pt>
                <c:pt idx="1">
                  <c:v>0</c:v>
                </c:pt>
                <c:pt idx="2">
                  <c:v>0</c:v>
                </c:pt>
                <c:pt idx="3">
                  <c:v>0</c:v>
                </c:pt>
              </c:numCache>
            </c:numRef>
          </c:val>
          <c:smooth val="0"/>
          <c:extLst xmlns:c16r2="http://schemas.microsoft.com/office/drawing/2015/06/chart">
            <c:ext xmlns:c16="http://schemas.microsoft.com/office/drawing/2014/chart" uri="{C3380CC4-5D6E-409C-BE32-E72D297353CC}">
              <c16:uniqueId val="{00000001-1298-4AEE-B838-C82D5431C35B}"/>
            </c:ext>
          </c:extLst>
        </c:ser>
        <c:dLbls>
          <c:showLegendKey val="0"/>
          <c:showVal val="0"/>
          <c:showCatName val="0"/>
          <c:showSerName val="0"/>
          <c:showPercent val="0"/>
          <c:showBubbleSize val="0"/>
        </c:dLbls>
        <c:marker val="1"/>
        <c:smooth val="0"/>
        <c:axId val="322462808"/>
        <c:axId val="453739760"/>
      </c:lineChart>
      <c:catAx>
        <c:axId val="322462808"/>
        <c:scaling>
          <c:orientation val="minMax"/>
        </c:scaling>
        <c:delete val="0"/>
        <c:axPos val="b"/>
        <c:numFmt formatCode="General" sourceLinked="0"/>
        <c:majorTickMark val="none"/>
        <c:minorTickMark val="none"/>
        <c:tickLblPos val="nextTo"/>
        <c:crossAx val="453739760"/>
        <c:crosses val="autoZero"/>
        <c:auto val="1"/>
        <c:lblAlgn val="ctr"/>
        <c:lblOffset val="100"/>
        <c:noMultiLvlLbl val="0"/>
      </c:catAx>
      <c:valAx>
        <c:axId val="453739760"/>
        <c:scaling>
          <c:orientation val="minMax"/>
          <c:min val="20"/>
        </c:scaling>
        <c:delete val="0"/>
        <c:axPos val="l"/>
        <c:majorGridlines/>
        <c:title>
          <c:tx>
            <c:rich>
              <a:bodyPr rot="0" vert="horz"/>
              <a:lstStyle/>
              <a:p>
                <a:pPr>
                  <a:defRPr/>
                </a:pPr>
                <a:r>
                  <a:rPr lang="en-US"/>
                  <a:t>kWh/t</a:t>
                </a:r>
              </a:p>
            </c:rich>
          </c:tx>
          <c:overlay val="0"/>
        </c:title>
        <c:numFmt formatCode="#,##0.00" sourceLinked="1"/>
        <c:majorTickMark val="none"/>
        <c:minorTickMark val="none"/>
        <c:tickLblPos val="nextTo"/>
        <c:spPr>
          <a:ln w="9525">
            <a:noFill/>
          </a:ln>
        </c:spPr>
        <c:crossAx val="322462808"/>
        <c:crosses val="autoZero"/>
        <c:crossBetween val="between"/>
        <c:majorUnit val="5"/>
      </c:valAx>
    </c:plotArea>
    <c:legend>
      <c:legendPos val="b"/>
      <c:overlay val="0"/>
    </c:legend>
    <c:plotVisOnly val="1"/>
    <c:dispBlanksAs val="gap"/>
    <c:showDLblsOverMax val="0"/>
  </c:chart>
  <c:printSettings>
    <c:headerFooter/>
    <c:pageMargins b="0.750000000000004" l="0.70000000000000062" r="0.70000000000000062" t="0.750000000000004"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111111111111109E-2"/>
          <c:y val="6.9444444444444448E-2"/>
          <c:w val="0.93888888888888888"/>
          <c:h val="0.73577136191309422"/>
        </c:manualLayout>
      </c:layout>
      <c:barChart>
        <c:barDir val="col"/>
        <c:grouping val="clustered"/>
        <c:varyColors val="0"/>
        <c:ser>
          <c:idx val="0"/>
          <c:order val="0"/>
          <c:tx>
            <c:strRef>
              <c:f>Graphs!$C$168</c:f>
              <c:strCache>
                <c:ptCount val="1"/>
                <c:pt idx="0">
                  <c:v>Water consumption (m³/ton treated)</c:v>
                </c:pt>
              </c:strCache>
            </c:strRef>
          </c:tx>
          <c:spPr>
            <a:solidFill>
              <a:schemeClr val="accent1"/>
            </a:solidFill>
            <a:ln>
              <a:noFill/>
            </a:ln>
            <a:effectLst/>
          </c:spPr>
          <c:invertIfNegative val="0"/>
          <c:dLbls>
            <c:dLbl>
              <c:idx val="0"/>
              <c:layout>
                <c:manualLayout>
                  <c:x val="5.5555555555555558E-3"/>
                  <c:y val="2.5437206153533825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0-96CD-4648-9E8A-0AB5A3C95D64}"/>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Graphs!$D$167:$H$167</c:f>
              <c:strCache>
                <c:ptCount val="5"/>
                <c:pt idx="0">
                  <c:v>CDM</c:v>
                </c:pt>
                <c:pt idx="1">
                  <c:v>FDM</c:v>
                </c:pt>
                <c:pt idx="2">
                  <c:v>KDM</c:v>
                </c:pt>
                <c:pt idx="3">
                  <c:v>WDL</c:v>
                </c:pt>
                <c:pt idx="4">
                  <c:v>Petra</c:v>
                </c:pt>
              </c:strCache>
            </c:strRef>
          </c:cat>
          <c:val>
            <c:numRef>
              <c:f>Graphs!$D$168:$H$168</c:f>
              <c:numCache>
                <c:formatCode>General</c:formatCode>
                <c:ptCount val="5"/>
                <c:pt idx="0">
                  <c:v>0.159</c:v>
                </c:pt>
                <c:pt idx="1">
                  <c:v>1.0900000000000001</c:v>
                </c:pt>
                <c:pt idx="2">
                  <c:v>2.08</c:v>
                </c:pt>
                <c:pt idx="3">
                  <c:v>1.45</c:v>
                </c:pt>
                <c:pt idx="4">
                  <c:v>0.97</c:v>
                </c:pt>
              </c:numCache>
            </c:numRef>
          </c:val>
          <c:extLst xmlns:c16r2="http://schemas.microsoft.com/office/drawing/2015/06/chart">
            <c:ext xmlns:c16="http://schemas.microsoft.com/office/drawing/2014/chart" uri="{C3380CC4-5D6E-409C-BE32-E72D297353CC}">
              <c16:uniqueId val="{00000001-96CD-4648-9E8A-0AB5A3C95D64}"/>
            </c:ext>
          </c:extLst>
        </c:ser>
        <c:ser>
          <c:idx val="1"/>
          <c:order val="1"/>
          <c:tx>
            <c:strRef>
              <c:f>Graphs!$C$169</c:f>
              <c:strCache>
                <c:ptCount val="1"/>
                <c:pt idx="0">
                  <c:v>Raw water intake (m³/ton treated)</c:v>
                </c:pt>
              </c:strCache>
            </c:strRef>
          </c:tx>
          <c:spPr>
            <a:solidFill>
              <a:schemeClr val="tx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Graphs!$D$167:$H$167</c:f>
              <c:strCache>
                <c:ptCount val="5"/>
                <c:pt idx="0">
                  <c:v>CDM</c:v>
                </c:pt>
                <c:pt idx="1">
                  <c:v>FDM</c:v>
                </c:pt>
                <c:pt idx="2">
                  <c:v>KDM</c:v>
                </c:pt>
                <c:pt idx="3">
                  <c:v>WDL</c:v>
                </c:pt>
                <c:pt idx="4">
                  <c:v>Petra</c:v>
                </c:pt>
              </c:strCache>
            </c:strRef>
          </c:cat>
          <c:val>
            <c:numRef>
              <c:f>Graphs!$D$169:$H$169</c:f>
              <c:numCache>
                <c:formatCode>General</c:formatCode>
                <c:ptCount val="5"/>
                <c:pt idx="0">
                  <c:v>0.06</c:v>
                </c:pt>
                <c:pt idx="1">
                  <c:v>0.34</c:v>
                </c:pt>
                <c:pt idx="2">
                  <c:v>0.69</c:v>
                </c:pt>
                <c:pt idx="3" formatCode="0.00">
                  <c:v>1.04</c:v>
                </c:pt>
                <c:pt idx="4">
                  <c:v>0.51</c:v>
                </c:pt>
              </c:numCache>
            </c:numRef>
          </c:val>
          <c:extLst xmlns:c16r2="http://schemas.microsoft.com/office/drawing/2015/06/chart">
            <c:ext xmlns:c16="http://schemas.microsoft.com/office/drawing/2014/chart" uri="{C3380CC4-5D6E-409C-BE32-E72D297353CC}">
              <c16:uniqueId val="{00000002-96CD-4648-9E8A-0AB5A3C95D64}"/>
            </c:ext>
          </c:extLst>
        </c:ser>
        <c:dLbls>
          <c:showLegendKey val="0"/>
          <c:showVal val="0"/>
          <c:showCatName val="0"/>
          <c:showSerName val="0"/>
          <c:showPercent val="0"/>
          <c:showBubbleSize val="0"/>
        </c:dLbls>
        <c:gapWidth val="219"/>
        <c:overlap val="-27"/>
        <c:axId val="458856008"/>
        <c:axId val="458855616"/>
      </c:barChart>
      <c:catAx>
        <c:axId val="458856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855616"/>
        <c:crosses val="autoZero"/>
        <c:auto val="1"/>
        <c:lblAlgn val="ctr"/>
        <c:lblOffset val="100"/>
        <c:noMultiLvlLbl val="0"/>
      </c:catAx>
      <c:valAx>
        <c:axId val="458855616"/>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458856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Electricity consumption (kWh/t)</a:t>
            </a:r>
            <a:r>
              <a:rPr lang="en-US" b="1" baseline="0">
                <a:solidFill>
                  <a:sysClr val="windowText" lastClr="000000"/>
                </a:solidFill>
              </a:rPr>
              <a:t> </a:t>
            </a:r>
          </a:p>
          <a:p>
            <a:pPr>
              <a:defRPr sz="1400" b="1" i="0" u="none" strike="noStrike" kern="1200" spc="0" baseline="0">
                <a:solidFill>
                  <a:sysClr val="windowText" lastClr="000000"/>
                </a:solidFill>
                <a:latin typeface="+mn-lt"/>
                <a:ea typeface="+mn-ea"/>
                <a:cs typeface="+mn-cs"/>
              </a:defRPr>
            </a:pPr>
            <a:r>
              <a:rPr lang="en-US" b="1" baseline="0">
                <a:solidFill>
                  <a:sysClr val="windowText" lastClr="000000"/>
                </a:solidFill>
              </a:rPr>
              <a:t>FY 2016 and  FY2017 vs FY 2018 YTD</a:t>
            </a:r>
            <a:endParaRPr lang="en-US" b="1">
              <a:solidFill>
                <a:sysClr val="windowText" lastClr="000000"/>
              </a:solidFill>
            </a:endParaRPr>
          </a:p>
        </c:rich>
      </c:tx>
      <c:layout>
        <c:manualLayout>
          <c:xMode val="edge"/>
          <c:yMode val="edge"/>
          <c:x val="0.1879166666666667"/>
          <c:y val="2.8368794326241134E-2"/>
        </c:manualLayout>
      </c:layout>
      <c:overlay val="0"/>
      <c:spPr>
        <a:noFill/>
        <a:ln>
          <a:noFill/>
        </a:ln>
        <a:effectLst/>
      </c:spPr>
    </c:title>
    <c:autoTitleDeleted val="0"/>
    <c:plotArea>
      <c:layout>
        <c:manualLayout>
          <c:layoutTarget val="inner"/>
          <c:xMode val="edge"/>
          <c:yMode val="edge"/>
          <c:x val="8.8803149606299217E-2"/>
          <c:y val="0.21703485537590245"/>
          <c:w val="0.90286351706036749"/>
          <c:h val="0.5358639545056868"/>
        </c:manualLayout>
      </c:layout>
      <c:barChart>
        <c:barDir val="col"/>
        <c:grouping val="clustered"/>
        <c:varyColors val="0"/>
        <c:ser>
          <c:idx val="2"/>
          <c:order val="2"/>
          <c:tx>
            <c:strRef>
              <c:f>Graphs!$E$177</c:f>
              <c:strCache>
                <c:ptCount val="1"/>
                <c:pt idx="0">
                  <c:v>FY 2018</c:v>
                </c:pt>
              </c:strCache>
            </c:strRef>
          </c:tx>
          <c:spPr>
            <a:solidFill>
              <a:schemeClr val="tx2">
                <a:lumMod val="75000"/>
              </a:schemeClr>
            </a:solidFill>
            <a:ln>
              <a:noFill/>
            </a:ln>
            <a:effectLst/>
          </c:spPr>
          <c:invertIfNegative val="0"/>
          <c:dLbls>
            <c:dLbl>
              <c:idx val="2"/>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0-635D-49F3-B576-753949CA7DC7}"/>
                </c:ext>
                <c:ext xmlns:c15="http://schemas.microsoft.com/office/drawing/2012/chart" uri="{CE6537A1-D6FC-4f65-9D91-7224C49458BB}">
                  <c15:spPr xmlns:c15="http://schemas.microsoft.com/office/drawing/2012/chart">
                    <a:prstGeom prst="rect">
                      <a:avLst/>
                    </a:prstGeom>
                  </c15:spPr>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pPr xmlns:c15="http://schemas.microsoft.com/office/drawing/2012/chart">
                  <a:prstGeom prst="rect">
                    <a:avLst/>
                  </a:prstGeom>
                </c15:spPr>
                <c15:showLeaderLines val="0"/>
              </c:ext>
            </c:extLst>
          </c:dLbls>
          <c:trendline>
            <c:spPr>
              <a:ln>
                <a:solidFill>
                  <a:srgbClr val="FF0000"/>
                </a:solidFill>
              </a:ln>
            </c:spPr>
            <c:trendlineType val="linear"/>
            <c:dispRSqr val="0"/>
            <c:dispEq val="0"/>
          </c:trendline>
          <c:cat>
            <c:strRef>
              <c:f>Graphs!$B$178:$B$182</c:f>
              <c:strCache>
                <c:ptCount val="5"/>
                <c:pt idx="0">
                  <c:v>Q1</c:v>
                </c:pt>
                <c:pt idx="1">
                  <c:v>Q2</c:v>
                </c:pt>
                <c:pt idx="2">
                  <c:v>Q3</c:v>
                </c:pt>
                <c:pt idx="3">
                  <c:v>Q4</c:v>
                </c:pt>
                <c:pt idx="4">
                  <c:v>Annual</c:v>
                </c:pt>
              </c:strCache>
            </c:strRef>
          </c:cat>
          <c:val>
            <c:numRef>
              <c:f>Graphs!$E$178:$E$182</c:f>
              <c:numCache>
                <c:formatCode>General</c:formatCode>
                <c:ptCount val="5"/>
                <c:pt idx="0">
                  <c:v>30.93</c:v>
                </c:pt>
                <c:pt idx="1">
                  <c:v>29.29</c:v>
                </c:pt>
                <c:pt idx="2" formatCode="0.00">
                  <c:v>28.42</c:v>
                </c:pt>
                <c:pt idx="3">
                  <c:v>26.85</c:v>
                </c:pt>
                <c:pt idx="4">
                  <c:v>28.81</c:v>
                </c:pt>
              </c:numCache>
            </c:numRef>
          </c:val>
          <c:extLst xmlns:c16r2="http://schemas.microsoft.com/office/drawing/2015/06/chart">
            <c:ext xmlns:c16="http://schemas.microsoft.com/office/drawing/2014/chart" uri="{C3380CC4-5D6E-409C-BE32-E72D297353CC}">
              <c16:uniqueId val="{00000001-635D-49F3-B576-753949CA7DC7}"/>
            </c:ext>
          </c:extLst>
        </c:ser>
        <c:dLbls>
          <c:showLegendKey val="0"/>
          <c:showVal val="0"/>
          <c:showCatName val="0"/>
          <c:showSerName val="0"/>
          <c:showPercent val="0"/>
          <c:showBubbleSize val="0"/>
        </c:dLbls>
        <c:gapWidth val="150"/>
        <c:axId val="458856400"/>
        <c:axId val="458853656"/>
      </c:barChart>
      <c:lineChart>
        <c:grouping val="standard"/>
        <c:varyColors val="0"/>
        <c:ser>
          <c:idx val="0"/>
          <c:order val="0"/>
          <c:tx>
            <c:strRef>
              <c:f>Graphs!$C$177</c:f>
              <c:strCache>
                <c:ptCount val="1"/>
                <c:pt idx="0">
                  <c:v>FY 2016</c:v>
                </c:pt>
              </c:strCache>
            </c:strRef>
          </c:tx>
          <c:spPr>
            <a:ln w="28575" cap="rnd">
              <a:solidFill>
                <a:schemeClr val="accent1"/>
              </a:solidFill>
              <a:round/>
            </a:ln>
            <a:effectLst/>
          </c:spPr>
          <c:marker>
            <c:symbol val="none"/>
          </c:marker>
          <c:cat>
            <c:strRef>
              <c:f>Graphs!$B$178:$B$182</c:f>
              <c:strCache>
                <c:ptCount val="5"/>
                <c:pt idx="0">
                  <c:v>Q1</c:v>
                </c:pt>
                <c:pt idx="1">
                  <c:v>Q2</c:v>
                </c:pt>
                <c:pt idx="2">
                  <c:v>Q3</c:v>
                </c:pt>
                <c:pt idx="3">
                  <c:v>Q4</c:v>
                </c:pt>
                <c:pt idx="4">
                  <c:v>Annual</c:v>
                </c:pt>
              </c:strCache>
            </c:strRef>
          </c:cat>
          <c:val>
            <c:numRef>
              <c:f>Graphs!$C$178:$C$182</c:f>
              <c:numCache>
                <c:formatCode>General</c:formatCode>
                <c:ptCount val="5"/>
                <c:pt idx="0">
                  <c:v>37.26</c:v>
                </c:pt>
                <c:pt idx="1">
                  <c:v>33.33</c:v>
                </c:pt>
                <c:pt idx="2">
                  <c:v>31.53</c:v>
                </c:pt>
                <c:pt idx="3">
                  <c:v>33.33</c:v>
                </c:pt>
                <c:pt idx="4">
                  <c:v>33.799999999999997</c:v>
                </c:pt>
              </c:numCache>
            </c:numRef>
          </c:val>
          <c:smooth val="0"/>
          <c:extLst xmlns:c16r2="http://schemas.microsoft.com/office/drawing/2015/06/chart">
            <c:ext xmlns:c16="http://schemas.microsoft.com/office/drawing/2014/chart" uri="{C3380CC4-5D6E-409C-BE32-E72D297353CC}">
              <c16:uniqueId val="{00000002-635D-49F3-B576-753949CA7DC7}"/>
            </c:ext>
          </c:extLst>
        </c:ser>
        <c:ser>
          <c:idx val="1"/>
          <c:order val="1"/>
          <c:tx>
            <c:strRef>
              <c:f>Graphs!$D$177</c:f>
              <c:strCache>
                <c:ptCount val="1"/>
                <c:pt idx="0">
                  <c:v>FY 2017</c:v>
                </c:pt>
              </c:strCache>
            </c:strRef>
          </c:tx>
          <c:spPr>
            <a:ln w="28575" cap="rnd">
              <a:solidFill>
                <a:srgbClr val="00B050"/>
              </a:solidFill>
              <a:round/>
            </a:ln>
            <a:effectLst/>
          </c:spPr>
          <c:marker>
            <c:symbol val="none"/>
          </c:marker>
          <c:cat>
            <c:strRef>
              <c:f>Graphs!$B$178:$B$182</c:f>
              <c:strCache>
                <c:ptCount val="5"/>
                <c:pt idx="0">
                  <c:v>Q1</c:v>
                </c:pt>
                <c:pt idx="1">
                  <c:v>Q2</c:v>
                </c:pt>
                <c:pt idx="2">
                  <c:v>Q3</c:v>
                </c:pt>
                <c:pt idx="3">
                  <c:v>Q4</c:v>
                </c:pt>
                <c:pt idx="4">
                  <c:v>Annual</c:v>
                </c:pt>
              </c:strCache>
            </c:strRef>
          </c:cat>
          <c:val>
            <c:numRef>
              <c:f>Graphs!$D$178:$D$182</c:f>
              <c:numCache>
                <c:formatCode>General</c:formatCode>
                <c:ptCount val="5"/>
                <c:pt idx="0">
                  <c:v>25.34</c:v>
                </c:pt>
                <c:pt idx="1">
                  <c:v>32.979999999999997</c:v>
                </c:pt>
                <c:pt idx="2">
                  <c:v>34.07</c:v>
                </c:pt>
                <c:pt idx="3">
                  <c:v>31.65</c:v>
                </c:pt>
                <c:pt idx="4">
                  <c:v>30.6</c:v>
                </c:pt>
              </c:numCache>
            </c:numRef>
          </c:val>
          <c:smooth val="0"/>
          <c:extLst xmlns:c16r2="http://schemas.microsoft.com/office/drawing/2015/06/chart">
            <c:ext xmlns:c16="http://schemas.microsoft.com/office/drawing/2014/chart" uri="{C3380CC4-5D6E-409C-BE32-E72D297353CC}">
              <c16:uniqueId val="{00000003-635D-49F3-B576-753949CA7DC7}"/>
            </c:ext>
          </c:extLst>
        </c:ser>
        <c:dLbls>
          <c:showLegendKey val="0"/>
          <c:showVal val="0"/>
          <c:showCatName val="0"/>
          <c:showSerName val="0"/>
          <c:showPercent val="0"/>
          <c:showBubbleSize val="0"/>
        </c:dLbls>
        <c:marker val="1"/>
        <c:smooth val="0"/>
        <c:axId val="458856400"/>
        <c:axId val="458853656"/>
      </c:lineChart>
      <c:catAx>
        <c:axId val="458856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853656"/>
        <c:crosses val="autoZero"/>
        <c:auto val="1"/>
        <c:lblAlgn val="ctr"/>
        <c:lblOffset val="100"/>
        <c:noMultiLvlLbl val="0"/>
      </c:catAx>
      <c:valAx>
        <c:axId val="458853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856400"/>
        <c:crosses val="autoZero"/>
        <c:crossBetween val="between"/>
      </c:valAx>
      <c:spPr>
        <a:noFill/>
        <a:ln>
          <a:noFill/>
        </a:ln>
        <a:effectLst/>
      </c:spPr>
    </c:plotArea>
    <c:legend>
      <c:legendPos val="b"/>
      <c:layout>
        <c:manualLayout>
          <c:xMode val="edge"/>
          <c:yMode val="edge"/>
          <c:x val="9.5246281714785649E-2"/>
          <c:y val="0.84096652040632325"/>
          <c:w val="0.80395188101487314"/>
          <c:h val="5.725230911021618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111111111111109E-2"/>
          <c:y val="0.19910365715588801"/>
          <c:w val="0.93888888888888888"/>
          <c:h val="0.61234597243924416"/>
        </c:manualLayout>
      </c:layout>
      <c:barChart>
        <c:barDir val="col"/>
        <c:grouping val="stacked"/>
        <c:varyColors val="0"/>
        <c:ser>
          <c:idx val="0"/>
          <c:order val="0"/>
          <c:tx>
            <c:strRef>
              <c:f>Graphs!$C$208</c:f>
              <c:strCache>
                <c:ptCount val="1"/>
                <c:pt idx="0">
                  <c:v>Q1</c:v>
                </c:pt>
              </c:strCache>
            </c:strRef>
          </c:tx>
          <c:spPr>
            <a:solidFill>
              <a:schemeClr val="accent1">
                <a:lumMod val="75000"/>
              </a:schemeClr>
            </a:solidFill>
            <a:ln w="19050">
              <a:noFill/>
            </a:ln>
            <a:effectLst/>
          </c:spPr>
          <c:invertIfNegative val="0"/>
          <c:dPt>
            <c:idx val="0"/>
            <c:invertIfNegative val="0"/>
            <c:bubble3D val="0"/>
            <c:spPr>
              <a:solidFill>
                <a:schemeClr val="accent1"/>
              </a:solidFill>
              <a:ln w="19050">
                <a:noFill/>
              </a:ln>
              <a:effectLst/>
            </c:spPr>
            <c:extLst xmlns:c16r2="http://schemas.microsoft.com/office/drawing/2015/06/chart">
              <c:ext xmlns:c16="http://schemas.microsoft.com/office/drawing/2014/chart" uri="{C3380CC4-5D6E-409C-BE32-E72D297353CC}">
                <c16:uniqueId val="{00000001-6E1D-4830-B4AB-0D6F3CCE1B48}"/>
              </c:ext>
            </c:extLst>
          </c:dPt>
          <c:dPt>
            <c:idx val="1"/>
            <c:invertIfNegative val="0"/>
            <c:bubble3D val="0"/>
            <c:spPr>
              <a:solidFill>
                <a:schemeClr val="accent1">
                  <a:lumMod val="60000"/>
                  <a:lumOff val="40000"/>
                </a:schemeClr>
              </a:solidFill>
              <a:ln w="19050">
                <a:noFill/>
              </a:ln>
              <a:effectLst/>
            </c:spPr>
            <c:extLst xmlns:c16r2="http://schemas.microsoft.com/office/drawing/2015/06/chart">
              <c:ext xmlns:c16="http://schemas.microsoft.com/office/drawing/2014/chart" uri="{C3380CC4-5D6E-409C-BE32-E72D297353CC}">
                <c16:uniqueId val="{00000003-6E1D-4830-B4AB-0D6F3CCE1B48}"/>
              </c:ext>
            </c:extLst>
          </c:dPt>
          <c:dPt>
            <c:idx val="3"/>
            <c:invertIfNegative val="0"/>
            <c:bubble3D val="0"/>
            <c:spPr>
              <a:solidFill>
                <a:schemeClr val="accent5">
                  <a:lumMod val="75000"/>
                </a:schemeClr>
              </a:solidFill>
              <a:ln w="19050">
                <a:noFill/>
              </a:ln>
              <a:effectLst/>
            </c:spPr>
            <c:extLst xmlns:c16r2="http://schemas.microsoft.com/office/drawing/2015/06/chart">
              <c:ext xmlns:c16="http://schemas.microsoft.com/office/drawing/2014/chart" uri="{C3380CC4-5D6E-409C-BE32-E72D297353CC}">
                <c16:uniqueId val="{00000005-6E1D-4830-B4AB-0D6F3CCE1B48}"/>
              </c:ext>
            </c:extLst>
          </c:dPt>
          <c:dPt>
            <c:idx val="4"/>
            <c:invertIfNegative val="0"/>
            <c:bubble3D val="0"/>
            <c:spPr>
              <a:solidFill>
                <a:schemeClr val="tx2">
                  <a:lumMod val="75000"/>
                </a:schemeClr>
              </a:solidFill>
              <a:ln w="19050">
                <a:noFill/>
              </a:ln>
              <a:effectLst/>
            </c:spPr>
            <c:extLst xmlns:c16r2="http://schemas.microsoft.com/office/drawing/2015/06/chart">
              <c:ext xmlns:c16="http://schemas.microsoft.com/office/drawing/2014/chart" uri="{C3380CC4-5D6E-409C-BE32-E72D297353CC}">
                <c16:uniqueId val="{00000007-6E1D-4830-B4AB-0D6F3CCE1B48}"/>
              </c:ext>
            </c:extLst>
          </c:dPt>
          <c:dLbls>
            <c:dLbl>
              <c:idx val="0"/>
              <c:layout>
                <c:manualLayout>
                  <c:x val="-2.7777777777777779E-3"/>
                  <c:y val="-2.3148148148148147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6E1D-4830-B4AB-0D6F3CCE1B48}"/>
                </c:ext>
                <c:ext xmlns:c15="http://schemas.microsoft.com/office/drawing/2012/chart" uri="{CE6537A1-D6FC-4f65-9D91-7224C49458BB}"/>
              </c:extLst>
            </c:dLbl>
            <c:dLbl>
              <c:idx val="1"/>
              <c:layout>
                <c:manualLayout>
                  <c:x val="-8.3333333333333332E-3"/>
                  <c:y val="9.2592592592590887E-3"/>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6E1D-4830-B4AB-0D6F3CCE1B48}"/>
                </c:ext>
                <c:ext xmlns:c15="http://schemas.microsoft.com/office/drawing/2012/chart" uri="{CE6537A1-D6FC-4f65-9D91-7224C49458BB}"/>
              </c:extLst>
            </c:dLbl>
            <c:dLbl>
              <c:idx val="2"/>
              <c:layout>
                <c:manualLayout>
                  <c:x val="-5.5555555555555046E-3"/>
                  <c:y val="1.3888888888888888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8-6E1D-4830-B4AB-0D6F3CCE1B48}"/>
                </c:ext>
                <c:ext xmlns:c15="http://schemas.microsoft.com/office/drawing/2012/chart" uri="{CE6537A1-D6FC-4f65-9D91-7224C49458BB}"/>
              </c:extLst>
            </c:dLbl>
            <c:dLbl>
              <c:idx val="3"/>
              <c:layout>
                <c:manualLayout>
                  <c:x val="0"/>
                  <c:y val="1.3888888888888888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5-6E1D-4830-B4AB-0D6F3CCE1B48}"/>
                </c:ext>
                <c:ext xmlns:c15="http://schemas.microsoft.com/office/drawing/2012/chart" uri="{CE6537A1-D6FC-4f65-9D91-7224C49458BB}"/>
              </c:extLst>
            </c:dLbl>
            <c:dLbl>
              <c:idx val="4"/>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Graphs!$B$209:$B$213</c:f>
              <c:strCache>
                <c:ptCount val="5"/>
                <c:pt idx="0">
                  <c:v>CDM</c:v>
                </c:pt>
                <c:pt idx="1">
                  <c:v>FDM</c:v>
                </c:pt>
                <c:pt idx="2">
                  <c:v>KDM</c:v>
                </c:pt>
                <c:pt idx="3">
                  <c:v>WDL</c:v>
                </c:pt>
                <c:pt idx="4">
                  <c:v>GROUP</c:v>
                </c:pt>
              </c:strCache>
            </c:strRef>
          </c:cat>
          <c:val>
            <c:numRef>
              <c:f>Graphs!$C$209:$C$213</c:f>
              <c:numCache>
                <c:formatCode>0</c:formatCode>
                <c:ptCount val="5"/>
                <c:pt idx="0">
                  <c:v>497.50740000000002</c:v>
                </c:pt>
                <c:pt idx="1">
                  <c:v>380.40630000000004</c:v>
                </c:pt>
                <c:pt idx="2">
                  <c:v>96.29</c:v>
                </c:pt>
                <c:pt idx="3" formatCode="#,##0">
                  <c:v>712.0085499999999</c:v>
                </c:pt>
                <c:pt idx="4" formatCode="#,##0">
                  <c:v>1688.75225</c:v>
                </c:pt>
              </c:numCache>
            </c:numRef>
          </c:val>
          <c:extLst xmlns:c16r2="http://schemas.microsoft.com/office/drawing/2015/06/chart">
            <c:ext xmlns:c16="http://schemas.microsoft.com/office/drawing/2014/chart" uri="{C3380CC4-5D6E-409C-BE32-E72D297353CC}">
              <c16:uniqueId val="{00000009-6E1D-4830-B4AB-0D6F3CCE1B48}"/>
            </c:ext>
          </c:extLst>
        </c:ser>
        <c:ser>
          <c:idx val="1"/>
          <c:order val="1"/>
          <c:tx>
            <c:strRef>
              <c:f>Graphs!$D$208</c:f>
              <c:strCache>
                <c:ptCount val="1"/>
                <c:pt idx="0">
                  <c:v>Q2</c:v>
                </c:pt>
              </c:strCache>
            </c:strRef>
          </c:tx>
          <c:spPr>
            <a:solidFill>
              <a:schemeClr val="accent3"/>
            </a:solidFill>
          </c:spPr>
          <c:invertIfNegative val="0"/>
          <c:dLbls>
            <c:dLbl>
              <c:idx val="2"/>
              <c:layout>
                <c:manualLayout>
                  <c:x val="8.3333333333332309E-3"/>
                  <c:y val="-6.1185456168891129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A-6E1D-4830-B4AB-0D6F3CCE1B48}"/>
                </c:ext>
                <c:ext xmlns:c15="http://schemas.microsoft.com/office/drawing/2012/chart" uri="{CE6537A1-D6FC-4f65-9D91-7224C49458BB}"/>
              </c:extLst>
            </c:dLbl>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ext>
            </c:extLst>
          </c:dLbls>
          <c:cat>
            <c:strRef>
              <c:f>Graphs!$B$209:$B$213</c:f>
              <c:strCache>
                <c:ptCount val="5"/>
                <c:pt idx="0">
                  <c:v>CDM</c:v>
                </c:pt>
                <c:pt idx="1">
                  <c:v>FDM</c:v>
                </c:pt>
                <c:pt idx="2">
                  <c:v>KDM</c:v>
                </c:pt>
                <c:pt idx="3">
                  <c:v>WDL</c:v>
                </c:pt>
                <c:pt idx="4">
                  <c:v>GROUP</c:v>
                </c:pt>
              </c:strCache>
            </c:strRef>
          </c:cat>
          <c:val>
            <c:numRef>
              <c:f>Graphs!$D$209:$D$213</c:f>
              <c:numCache>
                <c:formatCode>#,##0</c:formatCode>
                <c:ptCount val="5"/>
                <c:pt idx="0" formatCode="0">
                  <c:v>371.09180000000003</c:v>
                </c:pt>
                <c:pt idx="1">
                  <c:v>372.96299999999997</c:v>
                </c:pt>
                <c:pt idx="2" formatCode="0">
                  <c:v>128.97999999999999</c:v>
                </c:pt>
                <c:pt idx="3" formatCode="0">
                  <c:v>588.08900499999993</c:v>
                </c:pt>
                <c:pt idx="4">
                  <c:v>1474.5638049999998</c:v>
                </c:pt>
              </c:numCache>
            </c:numRef>
          </c:val>
          <c:extLst xmlns:c16r2="http://schemas.microsoft.com/office/drawing/2015/06/chart">
            <c:ext xmlns:c16="http://schemas.microsoft.com/office/drawing/2014/chart" uri="{C3380CC4-5D6E-409C-BE32-E72D297353CC}">
              <c16:uniqueId val="{0000000B-6E1D-4830-B4AB-0D6F3CCE1B48}"/>
            </c:ext>
          </c:extLst>
        </c:ser>
        <c:ser>
          <c:idx val="2"/>
          <c:order val="2"/>
          <c:tx>
            <c:strRef>
              <c:f>Graphs!$E$208</c:f>
              <c:strCache>
                <c:ptCount val="1"/>
                <c:pt idx="0">
                  <c:v>Q3</c:v>
                </c:pt>
              </c:strCache>
            </c:strRef>
          </c:tx>
          <c:invertIfNegative val="0"/>
          <c:cat>
            <c:strRef>
              <c:f>Graphs!$B$209:$B$213</c:f>
              <c:strCache>
                <c:ptCount val="5"/>
                <c:pt idx="0">
                  <c:v>CDM</c:v>
                </c:pt>
                <c:pt idx="1">
                  <c:v>FDM</c:v>
                </c:pt>
                <c:pt idx="2">
                  <c:v>KDM</c:v>
                </c:pt>
                <c:pt idx="3">
                  <c:v>WDL</c:v>
                </c:pt>
                <c:pt idx="4">
                  <c:v>GROUP</c:v>
                </c:pt>
              </c:strCache>
            </c:strRef>
          </c:cat>
          <c:val>
            <c:numRef>
              <c:f>Graphs!$E$209:$E$213</c:f>
              <c:numCache>
                <c:formatCode>#,##0</c:formatCode>
                <c:ptCount val="5"/>
                <c:pt idx="0">
                  <c:v>531.2978999999998</c:v>
                </c:pt>
                <c:pt idx="1">
                  <c:v>199.57399999999998</c:v>
                </c:pt>
                <c:pt idx="2">
                  <c:v>245.25000000000003</c:v>
                </c:pt>
                <c:pt idx="3">
                  <c:v>565.39773500000001</c:v>
                </c:pt>
                <c:pt idx="4">
                  <c:v>1557.9196349999997</c:v>
                </c:pt>
              </c:numCache>
            </c:numRef>
          </c:val>
          <c:extLst xmlns:c16r2="http://schemas.microsoft.com/office/drawing/2015/06/chart">
            <c:ext xmlns:c16="http://schemas.microsoft.com/office/drawing/2014/chart" uri="{C3380CC4-5D6E-409C-BE32-E72D297353CC}">
              <c16:uniqueId val="{0000000C-6E1D-4830-B4AB-0D6F3CCE1B48}"/>
            </c:ext>
          </c:extLst>
        </c:ser>
        <c:dLbls>
          <c:showLegendKey val="0"/>
          <c:showVal val="0"/>
          <c:showCatName val="0"/>
          <c:showSerName val="0"/>
          <c:showPercent val="0"/>
          <c:showBubbleSize val="0"/>
        </c:dLbls>
        <c:gapWidth val="54"/>
        <c:overlap val="100"/>
        <c:axId val="458854048"/>
        <c:axId val="458855224"/>
        <c:extLst xmlns:c16r2="http://schemas.microsoft.com/office/drawing/2015/06/chart">
          <c:ext xmlns:c15="http://schemas.microsoft.com/office/drawing/2012/chart" uri="{02D57815-91ED-43cb-92C2-25804820EDAC}">
            <c15:filteredBarSeries>
              <c15:ser>
                <c:idx val="3"/>
                <c:order val="3"/>
                <c:invertIfNegative val="0"/>
                <c:val>
                  <c:numLit>
                    <c:formatCode>General</c:formatCode>
                    <c:ptCount val="1"/>
                    <c:pt idx="0">
                      <c:v>1</c:v>
                    </c:pt>
                  </c:numLit>
                </c:val>
                <c:extLst xmlns:c16r2="http://schemas.microsoft.com/office/drawing/2015/06/chart">
                  <c:ext xmlns:c16="http://schemas.microsoft.com/office/drawing/2014/chart" uri="{C3380CC4-5D6E-409C-BE32-E72D297353CC}">
                    <c16:uniqueId val="{0000000D-6E1D-4830-B4AB-0D6F3CCE1B48}"/>
                  </c:ext>
                </c:extLst>
              </c15:ser>
            </c15:filteredBarSeries>
          </c:ext>
        </c:extLst>
      </c:barChart>
      <c:catAx>
        <c:axId val="45885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58855224"/>
        <c:crosses val="autoZero"/>
        <c:auto val="1"/>
        <c:lblAlgn val="ctr"/>
        <c:lblOffset val="100"/>
        <c:noMultiLvlLbl val="0"/>
      </c:catAx>
      <c:valAx>
        <c:axId val="458855224"/>
        <c:scaling>
          <c:orientation val="minMax"/>
        </c:scaling>
        <c:delete val="1"/>
        <c:axPos val="l"/>
        <c:numFmt formatCode="0" sourceLinked="1"/>
        <c:majorTickMark val="none"/>
        <c:minorTickMark val="none"/>
        <c:tickLblPos val="nextTo"/>
        <c:crossAx val="458854048"/>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3E5C-417F-995C-A541E17E4CA6}"/>
              </c:ext>
            </c:extLst>
          </c:dPt>
          <c:dPt>
            <c:idx val="1"/>
            <c:invertIfNegative val="0"/>
            <c:bubble3D val="0"/>
            <c:spPr>
              <a:solidFill>
                <a:schemeClr val="accent5">
                  <a:lumMod val="75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3-3E5C-417F-995C-A541E17E4CA6}"/>
              </c:ext>
            </c:extLst>
          </c:dPt>
          <c:dPt>
            <c:idx val="2"/>
            <c:invertIfNegative val="0"/>
            <c:bubble3D val="0"/>
            <c:spPr>
              <a:solidFill>
                <a:srgbClr val="002060"/>
              </a:solidFill>
              <a:ln w="19050">
                <a:solidFill>
                  <a:schemeClr val="lt1"/>
                </a:solidFill>
              </a:ln>
              <a:effectLst/>
            </c:spPr>
            <c:extLst xmlns:c16r2="http://schemas.microsoft.com/office/drawing/2015/06/chart">
              <c:ext xmlns:c16="http://schemas.microsoft.com/office/drawing/2014/chart" uri="{C3380CC4-5D6E-409C-BE32-E72D297353CC}">
                <c16:uniqueId val="{00000005-3E5C-417F-995C-A541E17E4CA6}"/>
              </c:ext>
            </c:extLst>
          </c:dPt>
          <c:dPt>
            <c:idx val="3"/>
            <c:invertIfNegative val="0"/>
            <c:bubble3D val="0"/>
            <c:spPr>
              <a:solidFill>
                <a:schemeClr val="bg1">
                  <a:lumMod val="85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7-3E5C-417F-995C-A541E17E4CA6}"/>
              </c:ext>
            </c:extLst>
          </c:dPt>
          <c:dPt>
            <c:idx val="4"/>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9-3E5C-417F-995C-A541E17E4CA6}"/>
              </c:ext>
            </c:extLst>
          </c:dPt>
          <c:dLbls>
            <c:dLbl>
              <c:idx val="0"/>
              <c:layout>
                <c:manualLayout>
                  <c:x val="-4.1086832895888013E-2"/>
                  <c:y val="0.1183004389509528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xmlns:c16r2="http://schemas.microsoft.com/office/drawing/2015/06/chart">
                <c:ext xmlns:c16="http://schemas.microsoft.com/office/drawing/2014/chart" uri="{C3380CC4-5D6E-409C-BE32-E72D297353CC}">
                  <c16:uniqueId val="{00000001-3E5C-417F-995C-A541E17E4CA6}"/>
                </c:ext>
                <c:ext xmlns:c15="http://schemas.microsoft.com/office/drawing/2012/chart" uri="{CE6537A1-D6FC-4f65-9D91-7224C49458BB}">
                  <c15:layout>
                    <c:manualLayout>
                      <c:w val="9.1305555555555556E-2"/>
                      <c:h val="9.2851760948507112E-2"/>
                    </c:manualLayout>
                  </c15:layout>
                </c:ext>
              </c:extLst>
            </c:dLbl>
            <c:dLbl>
              <c:idx val="1"/>
              <c:layout>
                <c:manualLayout>
                  <c:x val="-6.0399387576552929E-2"/>
                  <c:y val="0.24691406513175326"/>
                </c:manualLayout>
              </c:layout>
              <c:showLegendKey val="0"/>
              <c:showVal val="1"/>
              <c:showCatName val="1"/>
              <c:showSerName val="0"/>
              <c:showPercent val="0"/>
              <c:showBubbleSize val="0"/>
              <c:extLst>
                <c:ext xmlns:c15="http://schemas.microsoft.com/office/drawing/2012/chart" uri="{CE6537A1-D6FC-4f65-9D91-7224C49458BB}"/>
              </c:extLst>
            </c:dLbl>
            <c:dLbl>
              <c:idx val="3"/>
              <c:layout>
                <c:manualLayout>
                  <c:x val="-4.1667760279965056E-2"/>
                  <c:y val="0.20607854469737638"/>
                </c:manualLayout>
              </c:layout>
              <c:showLegendKey val="0"/>
              <c:showVal val="1"/>
              <c:showCatName val="1"/>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1"/>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Graphs!$B$10:$B$13</c:f>
              <c:strCache>
                <c:ptCount val="4"/>
                <c:pt idx="0">
                  <c:v>CDM</c:v>
                </c:pt>
                <c:pt idx="1">
                  <c:v>FDM</c:v>
                </c:pt>
                <c:pt idx="2">
                  <c:v>KDM</c:v>
                </c:pt>
                <c:pt idx="3">
                  <c:v>WDL</c:v>
                </c:pt>
              </c:strCache>
            </c:strRef>
          </c:cat>
          <c:val>
            <c:numRef>
              <c:f>Graphs!$C$10:$C$13</c:f>
              <c:numCache>
                <c:formatCode>General</c:formatCode>
                <c:ptCount val="4"/>
                <c:pt idx="0">
                  <c:v>1</c:v>
                </c:pt>
                <c:pt idx="1">
                  <c:v>0</c:v>
                </c:pt>
                <c:pt idx="2">
                  <c:v>9</c:v>
                </c:pt>
                <c:pt idx="3">
                  <c:v>0</c:v>
                </c:pt>
              </c:numCache>
            </c:numRef>
          </c:val>
          <c:extLst xmlns:c16r2="http://schemas.microsoft.com/office/drawing/2015/06/chart">
            <c:ext xmlns:c16="http://schemas.microsoft.com/office/drawing/2014/chart" uri="{C3380CC4-5D6E-409C-BE32-E72D297353CC}">
              <c16:uniqueId val="{0000000A-3E5C-417F-995C-A541E17E4CA6}"/>
            </c:ext>
          </c:extLst>
        </c:ser>
        <c:dLbls>
          <c:showLegendKey val="0"/>
          <c:showVal val="0"/>
          <c:showCatName val="0"/>
          <c:showSerName val="0"/>
          <c:showPercent val="0"/>
          <c:showBubbleSize val="0"/>
        </c:dLbls>
        <c:gapWidth val="100"/>
        <c:axId val="458850520"/>
        <c:axId val="459749392"/>
      </c:barChart>
      <c:catAx>
        <c:axId val="4588505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749392"/>
        <c:crosses val="autoZero"/>
        <c:auto val="1"/>
        <c:lblAlgn val="ctr"/>
        <c:lblOffset val="100"/>
        <c:noMultiLvlLbl val="0"/>
      </c:catAx>
      <c:valAx>
        <c:axId val="459749392"/>
        <c:scaling>
          <c:orientation val="minMax"/>
        </c:scaling>
        <c:delete val="1"/>
        <c:axPos val="l"/>
        <c:numFmt formatCode="General" sourceLinked="1"/>
        <c:majorTickMark val="out"/>
        <c:minorTickMark val="none"/>
        <c:tickLblPos val="nextTo"/>
        <c:crossAx val="458850520"/>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7222222222222221E-2"/>
          <c:y val="0.1111111111111111"/>
          <c:w val="0.93888888888888888"/>
          <c:h val="0.73577136191309422"/>
        </c:manualLayout>
      </c:layout>
      <c:barChart>
        <c:barDir val="col"/>
        <c:grouping val="stacked"/>
        <c:varyColors val="0"/>
        <c:ser>
          <c:idx val="0"/>
          <c:order val="0"/>
          <c:tx>
            <c:strRef>
              <c:f>Graphs!$C$86</c:f>
              <c:strCache>
                <c:ptCount val="1"/>
                <c:pt idx="0">
                  <c:v>FY 2020</c:v>
                </c:pt>
              </c:strCache>
            </c:strRef>
          </c:tx>
          <c:spPr>
            <a:solidFill>
              <a:srgbClr val="0075B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Graphs!$D$81:$I$81</c:f>
              <c:strCache>
                <c:ptCount val="6"/>
                <c:pt idx="0">
                  <c:v>Surface water</c:v>
                </c:pt>
                <c:pt idx="1">
                  <c:v>Groundwater</c:v>
                </c:pt>
                <c:pt idx="2">
                  <c:v>Fall out dust</c:v>
                </c:pt>
                <c:pt idx="3">
                  <c:v>PM10</c:v>
                </c:pt>
                <c:pt idx="4">
                  <c:v>PM2.5</c:v>
                </c:pt>
                <c:pt idx="5">
                  <c:v>Env noise</c:v>
                </c:pt>
              </c:strCache>
            </c:strRef>
          </c:cat>
          <c:val>
            <c:numRef>
              <c:f>Graphs!$D$86:$I$86</c:f>
              <c:numCache>
                <c:formatCode>General</c:formatCode>
                <c:ptCount val="6"/>
                <c:pt idx="0">
                  <c:v>7</c:v>
                </c:pt>
                <c:pt idx="1">
                  <c:v>7</c:v>
                </c:pt>
                <c:pt idx="2">
                  <c:v>3</c:v>
                </c:pt>
                <c:pt idx="3">
                  <c:v>0</c:v>
                </c:pt>
                <c:pt idx="4">
                  <c:v>0</c:v>
                </c:pt>
                <c:pt idx="5">
                  <c:v>3</c:v>
                </c:pt>
              </c:numCache>
            </c:numRef>
          </c:val>
          <c:extLst xmlns:c16r2="http://schemas.microsoft.com/office/drawing/2015/06/chart">
            <c:ext xmlns:c16="http://schemas.microsoft.com/office/drawing/2014/chart" uri="{C3380CC4-5D6E-409C-BE32-E72D297353CC}">
              <c16:uniqueId val="{00000000-4240-45EA-A4EC-408A6342476E}"/>
            </c:ext>
          </c:extLst>
        </c:ser>
        <c:dLbls>
          <c:showLegendKey val="0"/>
          <c:showVal val="0"/>
          <c:showCatName val="0"/>
          <c:showSerName val="0"/>
          <c:showPercent val="0"/>
          <c:showBubbleSize val="0"/>
        </c:dLbls>
        <c:gapWidth val="78"/>
        <c:overlap val="100"/>
        <c:axId val="459754096"/>
        <c:axId val="459749784"/>
      </c:barChart>
      <c:catAx>
        <c:axId val="45975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749784"/>
        <c:crosses val="autoZero"/>
        <c:auto val="1"/>
        <c:lblAlgn val="ctr"/>
        <c:lblOffset val="100"/>
        <c:noMultiLvlLbl val="0"/>
      </c:catAx>
      <c:valAx>
        <c:axId val="459749784"/>
        <c:scaling>
          <c:orientation val="minMax"/>
        </c:scaling>
        <c:delete val="1"/>
        <c:axPos val="l"/>
        <c:numFmt formatCode="General" sourceLinked="1"/>
        <c:majorTickMark val="none"/>
        <c:minorTickMark val="none"/>
        <c:tickLblPos val="nextTo"/>
        <c:crossAx val="459754096"/>
        <c:crosses val="autoZero"/>
        <c:crossBetween val="between"/>
      </c:valAx>
      <c:spPr>
        <a:noFill/>
        <a:ln>
          <a:noFill/>
        </a:ln>
        <a:effectLst/>
      </c:spPr>
    </c:plotArea>
    <c:legend>
      <c:legendPos val="b"/>
      <c:layout>
        <c:manualLayout>
          <c:xMode val="edge"/>
          <c:yMode val="edge"/>
          <c:x val="0.36332283464566928"/>
          <c:y val="0.92187445319335082"/>
          <c:w val="0.12893875765529308"/>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469816272965886E-2"/>
          <c:y val="7.8703703703703706E-2"/>
          <c:w val="0.90286351706036749"/>
          <c:h val="0.73577136191309422"/>
        </c:manualLayout>
      </c:layout>
      <c:barChart>
        <c:barDir val="col"/>
        <c:grouping val="stacked"/>
        <c:varyColors val="0"/>
        <c:ser>
          <c:idx val="0"/>
          <c:order val="0"/>
          <c:tx>
            <c:strRef>
              <c:f>Graphs!$C$100</c:f>
              <c:strCache>
                <c:ptCount val="1"/>
                <c:pt idx="0">
                  <c:v>FY 2020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Graphs!$D$96:$I$97</c15:sqref>
                  </c15:fullRef>
                  <c15:levelRef>
                    <c15:sqref>Graphs!$D$97:$I$97</c15:sqref>
                  </c15:levelRef>
                </c:ext>
              </c:extLst>
              <c:f>Graphs!$D$97:$I$97</c:f>
              <c:strCache>
                <c:ptCount val="6"/>
                <c:pt idx="0">
                  <c:v>Surface water</c:v>
                </c:pt>
                <c:pt idx="1">
                  <c:v>Groundwater</c:v>
                </c:pt>
                <c:pt idx="2">
                  <c:v>Fall out dust</c:v>
                </c:pt>
                <c:pt idx="3">
                  <c:v>PM10</c:v>
                </c:pt>
                <c:pt idx="4">
                  <c:v>PM2.5</c:v>
                </c:pt>
                <c:pt idx="5">
                  <c:v>Env noise</c:v>
                </c:pt>
              </c:strCache>
            </c:strRef>
          </c:cat>
          <c:val>
            <c:numRef>
              <c:f>Graphs!$D$100:$I$100</c:f>
              <c:numCache>
                <c:formatCode>General</c:formatCode>
                <c:ptCount val="6"/>
                <c:pt idx="0">
                  <c:v>0</c:v>
                </c:pt>
                <c:pt idx="1">
                  <c:v>29</c:v>
                </c:pt>
                <c:pt idx="2">
                  <c:v>5</c:v>
                </c:pt>
                <c:pt idx="3">
                  <c:v>0</c:v>
                </c:pt>
                <c:pt idx="4">
                  <c:v>0</c:v>
                </c:pt>
                <c:pt idx="5">
                  <c:v>0</c:v>
                </c:pt>
              </c:numCache>
            </c:numRef>
          </c:val>
          <c:extLst xmlns:c16r2="http://schemas.microsoft.com/office/drawing/2015/06/chart">
            <c:ext xmlns:c16="http://schemas.microsoft.com/office/drawing/2014/chart" uri="{C3380CC4-5D6E-409C-BE32-E72D297353CC}">
              <c16:uniqueId val="{00000000-002E-440C-8D67-EDF618718FED}"/>
            </c:ext>
          </c:extLst>
        </c:ser>
        <c:dLbls>
          <c:showLegendKey val="0"/>
          <c:showVal val="0"/>
          <c:showCatName val="0"/>
          <c:showSerName val="0"/>
          <c:showPercent val="0"/>
          <c:showBubbleSize val="0"/>
        </c:dLbls>
        <c:gapWidth val="150"/>
        <c:overlap val="100"/>
        <c:axId val="459750568"/>
        <c:axId val="459754880"/>
      </c:barChart>
      <c:catAx>
        <c:axId val="459750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754880"/>
        <c:crosses val="autoZero"/>
        <c:auto val="1"/>
        <c:lblAlgn val="ctr"/>
        <c:lblOffset val="100"/>
        <c:noMultiLvlLbl val="0"/>
      </c:catAx>
      <c:valAx>
        <c:axId val="459754880"/>
        <c:scaling>
          <c:orientation val="minMax"/>
        </c:scaling>
        <c:delete val="1"/>
        <c:axPos val="l"/>
        <c:numFmt formatCode="General" sourceLinked="1"/>
        <c:majorTickMark val="none"/>
        <c:minorTickMark val="none"/>
        <c:tickLblPos val="nextTo"/>
        <c:crossAx val="459750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6111111111111108E-2"/>
          <c:y val="6.0185185185185182E-2"/>
          <c:w val="0.93888888888888888"/>
          <c:h val="0.73577136191309422"/>
        </c:manualLayout>
      </c:layout>
      <c:barChart>
        <c:barDir val="col"/>
        <c:grouping val="stacked"/>
        <c:varyColors val="0"/>
        <c:ser>
          <c:idx val="0"/>
          <c:order val="0"/>
          <c:spPr>
            <a:solidFill>
              <a:schemeClr val="accent1"/>
            </a:solidFill>
            <a:ln>
              <a:noFill/>
            </a:ln>
            <a:effectLst/>
          </c:spPr>
          <c:invertIfNegative val="0"/>
          <c:dLbls>
            <c:dLbl>
              <c:idx val="2"/>
              <c:delete val="1"/>
              <c:extLst xmlns:c16r2="http://schemas.microsoft.com/office/drawing/2015/06/chart">
                <c:ext xmlns:c16="http://schemas.microsoft.com/office/drawing/2014/chart" uri="{C3380CC4-5D6E-409C-BE32-E72D297353CC}">
                  <c16:uniqueId val="{00000000-85A4-4B9C-AF4F-16F092A70A00}"/>
                </c:ext>
                <c:ext xmlns:c15="http://schemas.microsoft.com/office/drawing/2012/chart" uri="{CE6537A1-D6FC-4f65-9D91-7224C49458BB}"/>
              </c:extLst>
            </c:dLbl>
            <c:dLbl>
              <c:idx val="4"/>
              <c:layout>
                <c:manualLayout>
                  <c:x val="-1.0185067526415994E-16"/>
                  <c:y val="-6.9444444444444531E-2"/>
                </c:manualLayout>
              </c:layout>
              <c:tx>
                <c:rich>
                  <a:bodyPr/>
                  <a:lstStyle/>
                  <a:p>
                    <a:r>
                      <a:rPr lang="en-US"/>
                      <a:t>2</a:t>
                    </a:r>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85A4-4B9C-AF4F-16F092A70A00}"/>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Graphs!#REF!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2-85A4-4B9C-AF4F-16F092A70A00}"/>
            </c:ext>
            <c:ext xmlns:c15="http://schemas.microsoft.com/office/drawing/2012/chart" uri="{02D57815-91ED-43cb-92C2-25804820EDAC}">
              <c15:filteredSeriesTitle>
                <c15:tx>
                  <c:strRef>
                    <c:extLst xmlns:c16="http://schemas.microsoft.com/office/drawing/2014/chart" xmlns:c16r2="http://schemas.microsoft.com/office/drawing/2015/06/chart">
                      <c:ext uri="{02D57815-91ED-43cb-92C2-25804820EDAC}">
                        <c15:formulaRef>
                          <c15:sqref>Graphs!#REF!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xmlns:c16r2="http://schemas.microsoft.com/office/drawing/2015/06/chart">
                      <c:ext uri="{02D57815-91ED-43cb-92C2-25804820EDAC}">
                        <c15:formulaRef>
                          <c15:sqref>Graphs!#REF!</c15:sqref>
                        </c15:formulaRef>
                      </c:ext>
                    </c:extLst>
                  </c:multiLvlStrRef>
                </c15:cat>
              </c15:filteredCategoryTitle>
            </c:ext>
          </c:extLst>
        </c:ser>
        <c:ser>
          <c:idx val="1"/>
          <c:order val="1"/>
          <c:spPr>
            <a:solidFill>
              <a:schemeClr val="bg1">
                <a:lumMod val="65000"/>
              </a:schemeClr>
            </a:solidFill>
            <a:ln>
              <a:noFill/>
            </a:ln>
            <a:effectLst/>
          </c:spPr>
          <c:invertIfNegative val="0"/>
          <c:dLbls>
            <c:dLbl>
              <c:idx val="0"/>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85A4-4B9C-AF4F-16F092A70A00}"/>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Graphs!#REF!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4-85A4-4B9C-AF4F-16F092A70A00}"/>
            </c:ext>
            <c:ext xmlns:c15="http://schemas.microsoft.com/office/drawing/2012/chart" uri="{02D57815-91ED-43cb-92C2-25804820EDAC}">
              <c15:filteredSeriesTitle>
                <c15:tx>
                  <c:strRef>
                    <c:extLst xmlns:c16="http://schemas.microsoft.com/office/drawing/2014/chart" xmlns:c16r2="http://schemas.microsoft.com/office/drawing/2015/06/chart">
                      <c:ext uri="{02D57815-91ED-43cb-92C2-25804820EDAC}">
                        <c15:formulaRef>
                          <c15:sqref>Graphs!#REF!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xmlns:c16r2="http://schemas.microsoft.com/office/drawing/2015/06/chart">
                      <c:ext uri="{02D57815-91ED-43cb-92C2-25804820EDAC}">
                        <c15:formulaRef>
                          <c15:sqref>Graphs!#REF!</c15:sqref>
                        </c15:formulaRef>
                      </c:ext>
                    </c:extLst>
                  </c:multiLvlStrRef>
                </c15:cat>
              </c15:filteredCategoryTitle>
            </c:ext>
          </c:extLst>
        </c:ser>
        <c:ser>
          <c:idx val="2"/>
          <c:order val="2"/>
          <c:spPr>
            <a:solidFill>
              <a:srgbClr val="002060"/>
            </a:solidFill>
            <a:ln>
              <a:noFill/>
            </a:ln>
            <a:effectLst/>
          </c:spPr>
          <c:invertIfNegative val="0"/>
          <c:dLbls>
            <c:dLbl>
              <c:idx val="2"/>
              <c:delete val="1"/>
              <c:extLst xmlns:c16r2="http://schemas.microsoft.com/office/drawing/2015/06/chart">
                <c:ext xmlns:c16="http://schemas.microsoft.com/office/drawing/2014/chart" uri="{C3380CC4-5D6E-409C-BE32-E72D297353CC}">
                  <c16:uniqueId val="{00000005-85A4-4B9C-AF4F-16F092A70A00}"/>
                </c:ext>
                <c:ext xmlns:c15="http://schemas.microsoft.com/office/drawing/2012/chart" uri="{CE6537A1-D6FC-4f65-9D91-7224C49458BB}"/>
              </c:extLst>
            </c:dLbl>
            <c:dLbl>
              <c:idx val="4"/>
              <c:delete val="1"/>
              <c:extLst xmlns:c16r2="http://schemas.microsoft.com/office/drawing/2015/06/chart">
                <c:ext xmlns:c16="http://schemas.microsoft.com/office/drawing/2014/chart" uri="{C3380CC4-5D6E-409C-BE32-E72D297353CC}">
                  <c16:uniqueId val="{00000006-85A4-4B9C-AF4F-16F092A70A00}"/>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Graphs!#REF!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7-85A4-4B9C-AF4F-16F092A70A00}"/>
            </c:ext>
            <c:ext xmlns:c15="http://schemas.microsoft.com/office/drawing/2012/chart" uri="{02D57815-91ED-43cb-92C2-25804820EDAC}">
              <c15:filteredSeriesTitle>
                <c15:tx>
                  <c:strRef>
                    <c:extLst xmlns:c16="http://schemas.microsoft.com/office/drawing/2014/chart" xmlns:c16r2="http://schemas.microsoft.com/office/drawing/2015/06/chart">
                      <c:ext uri="{02D57815-91ED-43cb-92C2-25804820EDAC}">
                        <c15:formulaRef>
                          <c15:sqref>Graphs!#REF!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xmlns:c16r2="http://schemas.microsoft.com/office/drawing/2015/06/chart">
                      <c:ext uri="{02D57815-91ED-43cb-92C2-25804820EDAC}">
                        <c15:formulaRef>
                          <c15:sqref>Graphs!#REF!</c15:sqref>
                        </c15:formulaRef>
                      </c:ext>
                    </c:extLst>
                  </c:multiLvlStrRef>
                </c15:cat>
              </c15:filteredCategoryTitle>
            </c:ext>
          </c:extLst>
        </c:ser>
        <c:ser>
          <c:idx val="3"/>
          <c:order val="3"/>
          <c:spPr>
            <a:solidFill>
              <a:schemeClr val="bg1">
                <a:lumMod val="85000"/>
              </a:schemeClr>
            </a:solidFill>
            <a:ln>
              <a:noFill/>
            </a:ln>
            <a:effectLst/>
          </c:spPr>
          <c:invertIfNegative val="0"/>
          <c:dLbls>
            <c:dLbl>
              <c:idx val="2"/>
              <c:delete val="1"/>
              <c:extLst xmlns:c16r2="http://schemas.microsoft.com/office/drawing/2015/06/chart">
                <c:ext xmlns:c16="http://schemas.microsoft.com/office/drawing/2014/chart" uri="{C3380CC4-5D6E-409C-BE32-E72D297353CC}">
                  <c16:uniqueId val="{00000008-85A4-4B9C-AF4F-16F092A70A00}"/>
                </c:ext>
                <c:ext xmlns:c15="http://schemas.microsoft.com/office/drawing/2012/chart" uri="{CE6537A1-D6FC-4f65-9D91-7224C49458BB}"/>
              </c:extLst>
            </c:dLbl>
            <c:dLbl>
              <c:idx val="3"/>
              <c:delete val="1"/>
              <c:extLst xmlns:c16r2="http://schemas.microsoft.com/office/drawing/2015/06/chart">
                <c:ext xmlns:c16="http://schemas.microsoft.com/office/drawing/2014/chart" uri="{C3380CC4-5D6E-409C-BE32-E72D297353CC}">
                  <c16:uniqueId val="{00000009-85A4-4B9C-AF4F-16F092A70A00}"/>
                </c:ext>
                <c:ext xmlns:c15="http://schemas.microsoft.com/office/drawing/2012/chart" uri="{CE6537A1-D6FC-4f65-9D91-7224C49458BB}"/>
              </c:extLst>
            </c:dLbl>
            <c:dLbl>
              <c:idx val="4"/>
              <c:delete val="1"/>
              <c:extLst xmlns:c16r2="http://schemas.microsoft.com/office/drawing/2015/06/chart">
                <c:ext xmlns:c16="http://schemas.microsoft.com/office/drawing/2014/chart" uri="{C3380CC4-5D6E-409C-BE32-E72D297353CC}">
                  <c16:uniqueId val="{0000000A-85A4-4B9C-AF4F-16F092A70A00}"/>
                </c:ext>
                <c:ext xmlns:c15="http://schemas.microsoft.com/office/drawing/2012/chart" uri="{CE6537A1-D6FC-4f65-9D91-7224C49458BB}"/>
              </c:extLst>
            </c:dLbl>
            <c:dLbl>
              <c:idx val="5"/>
              <c:delete val="1"/>
              <c:extLst xmlns:c16r2="http://schemas.microsoft.com/office/drawing/2015/06/chart">
                <c:ext xmlns:c16="http://schemas.microsoft.com/office/drawing/2014/chart" uri="{C3380CC4-5D6E-409C-BE32-E72D297353CC}">
                  <c16:uniqueId val="{0000000B-85A4-4B9C-AF4F-16F092A70A00}"/>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Graphs!#REF!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C-85A4-4B9C-AF4F-16F092A70A00}"/>
            </c:ext>
            <c:ext xmlns:c15="http://schemas.microsoft.com/office/drawing/2012/chart" uri="{02D57815-91ED-43cb-92C2-25804820EDAC}">
              <c15:filteredSeriesTitle>
                <c15:tx>
                  <c:strRef>
                    <c:extLst xmlns:c16="http://schemas.microsoft.com/office/drawing/2014/chart" xmlns:c16r2="http://schemas.microsoft.com/office/drawing/2015/06/chart">
                      <c:ext uri="{02D57815-91ED-43cb-92C2-25804820EDAC}">
                        <c15:formulaRef>
                          <c15:sqref>Graphs!#REF!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xmlns:c16r2="http://schemas.microsoft.com/office/drawing/2015/06/chart">
                      <c:ext uri="{02D57815-91ED-43cb-92C2-25804820EDAC}">
                        <c15:formulaRef>
                          <c15:sqref>Graphs!#REF!</c15:sqref>
                        </c15:formulaRef>
                      </c:ext>
                    </c:extLst>
                  </c:multiLvlStrRef>
                </c15:cat>
              </c15:filteredCategoryTitle>
            </c:ext>
          </c:extLst>
        </c:ser>
        <c:dLbls>
          <c:showLegendKey val="0"/>
          <c:showVal val="0"/>
          <c:showCatName val="0"/>
          <c:showSerName val="0"/>
          <c:showPercent val="0"/>
          <c:showBubbleSize val="0"/>
        </c:dLbls>
        <c:gapWidth val="150"/>
        <c:overlap val="100"/>
        <c:axId val="459753312"/>
        <c:axId val="459747824"/>
      </c:barChart>
      <c:catAx>
        <c:axId val="459753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747824"/>
        <c:crosses val="autoZero"/>
        <c:auto val="1"/>
        <c:lblAlgn val="ctr"/>
        <c:lblOffset val="100"/>
        <c:noMultiLvlLbl val="0"/>
      </c:catAx>
      <c:valAx>
        <c:axId val="459747824"/>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459753312"/>
        <c:crosses val="autoZero"/>
        <c:crossBetween val="between"/>
      </c:valAx>
      <c:spPr>
        <a:noFill/>
        <a:ln>
          <a:noFill/>
        </a:ln>
        <a:effectLst/>
      </c:spPr>
    </c:plotArea>
    <c:legend>
      <c:legendPos val="b"/>
      <c:layout>
        <c:manualLayout>
          <c:xMode val="edge"/>
          <c:yMode val="edge"/>
          <c:x val="0.36332283464566928"/>
          <c:y val="0.90798556430446198"/>
          <c:w val="0.27335433070866144"/>
          <c:h val="9.201443569553806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Graphs!$C$120</c:f>
              <c:strCache>
                <c:ptCount val="1"/>
                <c:pt idx="0">
                  <c:v>FY 2020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Graphs!$D$117:$I$117</c:f>
              <c:strCache>
                <c:ptCount val="6"/>
                <c:pt idx="0">
                  <c:v>Surface water</c:v>
                </c:pt>
                <c:pt idx="1">
                  <c:v>Groundwater</c:v>
                </c:pt>
                <c:pt idx="2">
                  <c:v>Fall out dust</c:v>
                </c:pt>
                <c:pt idx="3">
                  <c:v>PM10</c:v>
                </c:pt>
                <c:pt idx="4">
                  <c:v>PM2.5</c:v>
                </c:pt>
                <c:pt idx="5">
                  <c:v>Env noise</c:v>
                </c:pt>
              </c:strCache>
            </c:strRef>
          </c:cat>
          <c:val>
            <c:numRef>
              <c:f>Graphs!$D$120:$I$120</c:f>
              <c:numCache>
                <c:formatCode>General</c:formatCode>
                <c:ptCount val="6"/>
                <c:pt idx="0">
                  <c:v>6</c:v>
                </c:pt>
                <c:pt idx="1">
                  <c:v>4</c:v>
                </c:pt>
              </c:numCache>
            </c:numRef>
          </c:val>
          <c:extLst xmlns:c16r2="http://schemas.microsoft.com/office/drawing/2015/06/chart">
            <c:ext xmlns:c16="http://schemas.microsoft.com/office/drawing/2014/chart" uri="{C3380CC4-5D6E-409C-BE32-E72D297353CC}">
              <c16:uniqueId val="{00000000-9A5F-4748-81F6-9A7AB6E8ADE4}"/>
            </c:ext>
          </c:extLst>
        </c:ser>
        <c:dLbls>
          <c:showLegendKey val="0"/>
          <c:showVal val="0"/>
          <c:showCatName val="0"/>
          <c:showSerName val="0"/>
          <c:showPercent val="0"/>
          <c:showBubbleSize val="0"/>
        </c:dLbls>
        <c:gapWidth val="150"/>
        <c:overlap val="100"/>
        <c:axId val="459754488"/>
        <c:axId val="459753704"/>
      </c:barChart>
      <c:catAx>
        <c:axId val="459754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753704"/>
        <c:crosses val="autoZero"/>
        <c:auto val="1"/>
        <c:lblAlgn val="ctr"/>
        <c:lblOffset val="100"/>
        <c:noMultiLvlLbl val="0"/>
      </c:catAx>
      <c:valAx>
        <c:axId val="459753704"/>
        <c:scaling>
          <c:orientation val="minMax"/>
        </c:scaling>
        <c:delete val="1"/>
        <c:axPos val="l"/>
        <c:numFmt formatCode="General" sourceLinked="1"/>
        <c:majorTickMark val="none"/>
        <c:minorTickMark val="none"/>
        <c:tickLblPos val="nextTo"/>
        <c:crossAx val="459754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6111111111111108E-2"/>
          <c:y val="5.5555555555555552E-2"/>
          <c:w val="0.93888888888888888"/>
          <c:h val="0.73577136191309422"/>
        </c:manualLayout>
      </c:layout>
      <c:barChart>
        <c:barDir val="col"/>
        <c:grouping val="stacked"/>
        <c:varyColors val="0"/>
        <c:ser>
          <c:idx val="0"/>
          <c:order val="0"/>
          <c:tx>
            <c:strRef>
              <c:f>Graphs!$C$138</c:f>
              <c:strCache>
                <c:ptCount val="1"/>
                <c:pt idx="0">
                  <c:v>FY2020</c:v>
                </c:pt>
              </c:strCache>
            </c:strRef>
          </c:tx>
          <c:spPr>
            <a:solidFill>
              <a:schemeClr val="tx2"/>
            </a:solidFill>
            <a:ln>
              <a:noFill/>
            </a:ln>
            <a:effectLst/>
          </c:spPr>
          <c:invertIfNegative val="0"/>
          <c:dLbls>
            <c:dLbl>
              <c:idx val="0"/>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0-8341-4197-99F5-B5AA543BDAA4}"/>
                </c:ext>
                <c:ext xmlns:c15="http://schemas.microsoft.com/office/drawing/2012/chart" uri="{CE6537A1-D6FC-4f65-9D91-7224C49458BB}"/>
              </c:extLst>
            </c:dLbl>
            <c:dLbl>
              <c:idx val="1"/>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8341-4197-99F5-B5AA543BDAA4}"/>
                </c:ext>
                <c:ext xmlns:c15="http://schemas.microsoft.com/office/drawing/2012/chart" uri="{CE6537A1-D6FC-4f65-9D91-7224C49458BB}"/>
              </c:extLst>
            </c:dLbl>
            <c:dLbl>
              <c:idx val="5"/>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8341-4197-99F5-B5AA543BDAA4}"/>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Graphs!$D$135:$I$135</c:f>
              <c:strCache>
                <c:ptCount val="6"/>
                <c:pt idx="0">
                  <c:v>Surface water</c:v>
                </c:pt>
                <c:pt idx="1">
                  <c:v>Groundwater</c:v>
                </c:pt>
                <c:pt idx="2">
                  <c:v>Fall out dust</c:v>
                </c:pt>
                <c:pt idx="3">
                  <c:v>PM10</c:v>
                </c:pt>
                <c:pt idx="4">
                  <c:v>PM2.5</c:v>
                </c:pt>
                <c:pt idx="5">
                  <c:v>Env noise</c:v>
                </c:pt>
              </c:strCache>
            </c:strRef>
          </c:cat>
          <c:val>
            <c:numRef>
              <c:f>Graphs!$D$138:$I$138</c:f>
              <c:numCache>
                <c:formatCode>General</c:formatCode>
                <c:ptCount val="6"/>
                <c:pt idx="0">
                  <c:v>10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3-8341-4197-99F5-B5AA543BDAA4}"/>
            </c:ext>
          </c:extLst>
        </c:ser>
        <c:dLbls>
          <c:showLegendKey val="0"/>
          <c:showVal val="0"/>
          <c:showCatName val="0"/>
          <c:showSerName val="0"/>
          <c:showPercent val="0"/>
          <c:showBubbleSize val="0"/>
        </c:dLbls>
        <c:gapWidth val="150"/>
        <c:overlap val="100"/>
        <c:axId val="459750960"/>
        <c:axId val="459750176"/>
      </c:barChart>
      <c:catAx>
        <c:axId val="459750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750176"/>
        <c:crosses val="autoZero"/>
        <c:auto val="1"/>
        <c:lblAlgn val="ctr"/>
        <c:lblOffset val="100"/>
        <c:noMultiLvlLbl val="0"/>
      </c:catAx>
      <c:valAx>
        <c:axId val="459750176"/>
        <c:scaling>
          <c:orientation val="minMax"/>
        </c:scaling>
        <c:delete val="1"/>
        <c:axPos val="l"/>
        <c:numFmt formatCode="General" sourceLinked="1"/>
        <c:majorTickMark val="none"/>
        <c:minorTickMark val="none"/>
        <c:tickLblPos val="nextTo"/>
        <c:crossAx val="459750960"/>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Graphs!$C$168</c:f>
              <c:strCache>
                <c:ptCount val="1"/>
                <c:pt idx="0">
                  <c:v>Water consumption (m³/ton treated)</c:v>
                </c:pt>
              </c:strCache>
            </c:strRef>
          </c:tx>
          <c:spPr>
            <a:solidFill>
              <a:schemeClr val="accent1"/>
            </a:solidFill>
            <a:ln>
              <a:noFill/>
            </a:ln>
            <a:effectLst/>
          </c:spPr>
          <c:invertIfNegative val="0"/>
          <c:dLbls>
            <c:dLbl>
              <c:idx val="3"/>
              <c:layout>
                <c:manualLayout>
                  <c:x val="0"/>
                  <c:y val="4.61361014994233E-3"/>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4.4444444444444238E-2"/>
                  <c:y val="0"/>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Graphs!$D$167:$H$167</c:f>
              <c:strCache>
                <c:ptCount val="5"/>
                <c:pt idx="0">
                  <c:v>CDM</c:v>
                </c:pt>
                <c:pt idx="1">
                  <c:v>FDM</c:v>
                </c:pt>
                <c:pt idx="2">
                  <c:v>KDM</c:v>
                </c:pt>
                <c:pt idx="3">
                  <c:v>WDL</c:v>
                </c:pt>
                <c:pt idx="4">
                  <c:v>Petra</c:v>
                </c:pt>
              </c:strCache>
            </c:strRef>
          </c:cat>
          <c:val>
            <c:numRef>
              <c:f>Graphs!$D$168:$H$168</c:f>
              <c:numCache>
                <c:formatCode>General</c:formatCode>
                <c:ptCount val="5"/>
                <c:pt idx="0">
                  <c:v>0.159</c:v>
                </c:pt>
                <c:pt idx="1">
                  <c:v>1.0900000000000001</c:v>
                </c:pt>
                <c:pt idx="2">
                  <c:v>2.08</c:v>
                </c:pt>
                <c:pt idx="3">
                  <c:v>1.45</c:v>
                </c:pt>
                <c:pt idx="4">
                  <c:v>0.97</c:v>
                </c:pt>
              </c:numCache>
            </c:numRef>
          </c:val>
          <c:extLst xmlns:c16r2="http://schemas.microsoft.com/office/drawing/2015/06/chart">
            <c:ext xmlns:c16="http://schemas.microsoft.com/office/drawing/2014/chart" uri="{C3380CC4-5D6E-409C-BE32-E72D297353CC}">
              <c16:uniqueId val="{00000000-DFA2-4DB1-B4A8-BEA44ABB0617}"/>
            </c:ext>
          </c:extLst>
        </c:ser>
        <c:ser>
          <c:idx val="1"/>
          <c:order val="1"/>
          <c:tx>
            <c:strRef>
              <c:f>Graphs!$C$169</c:f>
              <c:strCache>
                <c:ptCount val="1"/>
                <c:pt idx="0">
                  <c:v>Raw water intake (m³/ton treated)</c:v>
                </c:pt>
              </c:strCache>
            </c:strRef>
          </c:tx>
          <c:spPr>
            <a:solidFill>
              <a:srgbClr val="002060"/>
            </a:solidFill>
            <a:ln>
              <a:noFill/>
            </a:ln>
            <a:effectLst/>
          </c:spPr>
          <c:invertIfNegative val="0"/>
          <c:dLbls>
            <c:dLbl>
              <c:idx val="0"/>
              <c:layout>
                <c:manualLayout>
                  <c:x val="8.3333333333333072E-3"/>
                  <c:y val="1.384083044982699E-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1.1111111111111112E-2"/>
                  <c:y val="9.227220299884575E-3"/>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1.0185067526415994E-16"/>
                  <c:y val="2.768166089965398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Graphs!$D$167:$H$167</c:f>
              <c:strCache>
                <c:ptCount val="5"/>
                <c:pt idx="0">
                  <c:v>CDM</c:v>
                </c:pt>
                <c:pt idx="1">
                  <c:v>FDM</c:v>
                </c:pt>
                <c:pt idx="2">
                  <c:v>KDM</c:v>
                </c:pt>
                <c:pt idx="3">
                  <c:v>WDL</c:v>
                </c:pt>
                <c:pt idx="4">
                  <c:v>Petra</c:v>
                </c:pt>
              </c:strCache>
            </c:strRef>
          </c:cat>
          <c:val>
            <c:numRef>
              <c:f>Graphs!$D$169:$H$169</c:f>
              <c:numCache>
                <c:formatCode>General</c:formatCode>
                <c:ptCount val="5"/>
                <c:pt idx="0">
                  <c:v>0.06</c:v>
                </c:pt>
                <c:pt idx="1">
                  <c:v>0.34</c:v>
                </c:pt>
                <c:pt idx="2">
                  <c:v>0.69</c:v>
                </c:pt>
                <c:pt idx="3" formatCode="0.00">
                  <c:v>1.04</c:v>
                </c:pt>
                <c:pt idx="4">
                  <c:v>0.51</c:v>
                </c:pt>
              </c:numCache>
            </c:numRef>
          </c:val>
          <c:extLst xmlns:c16r2="http://schemas.microsoft.com/office/drawing/2015/06/chart">
            <c:ext xmlns:c16="http://schemas.microsoft.com/office/drawing/2014/chart" uri="{C3380CC4-5D6E-409C-BE32-E72D297353CC}">
              <c16:uniqueId val="{00000001-DFA2-4DB1-B4A8-BEA44ABB0617}"/>
            </c:ext>
          </c:extLst>
        </c:ser>
        <c:dLbls>
          <c:showLegendKey val="0"/>
          <c:showVal val="0"/>
          <c:showCatName val="0"/>
          <c:showSerName val="0"/>
          <c:showPercent val="0"/>
          <c:showBubbleSize val="0"/>
        </c:dLbls>
        <c:gapWidth val="212"/>
        <c:overlap val="-1"/>
        <c:axId val="459752528"/>
        <c:axId val="459751352"/>
      </c:barChart>
      <c:lineChart>
        <c:grouping val="standard"/>
        <c:varyColors val="0"/>
        <c:ser>
          <c:idx val="2"/>
          <c:order val="2"/>
          <c:tx>
            <c:strRef>
              <c:f>Graphs!$C$170</c:f>
              <c:strCache>
                <c:ptCount val="1"/>
                <c:pt idx="0">
                  <c:v>Percentage water recycled</c:v>
                </c:pt>
              </c:strCache>
            </c:strRef>
          </c:tx>
          <c:spPr>
            <a:ln w="28575" cap="rnd">
              <a:solidFill>
                <a:schemeClr val="accent3"/>
              </a:solidFill>
              <a:round/>
            </a:ln>
            <a:effectLst/>
          </c:spPr>
          <c:marker>
            <c:symbol val="none"/>
          </c:marker>
          <c:dLbls>
            <c:dLbl>
              <c:idx val="1"/>
              <c:layout>
                <c:manualLayout>
                  <c:x val="-8.3333333333333835E-3"/>
                  <c:y val="-3.2407407407407406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DFA2-4DB1-B4A8-BEA44ABB0617}"/>
                </c:ext>
                <c:ext xmlns:c15="http://schemas.microsoft.com/office/drawing/2012/chart" uri="{CE6537A1-D6FC-4f65-9D91-7224C49458BB}"/>
              </c:extLst>
            </c:dLbl>
            <c:dLbl>
              <c:idx val="3"/>
              <c:layout>
                <c:manualLayout>
                  <c:x val="-1.1111111111111112E-2"/>
                  <c:y val="-8.3108919343559587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DFA2-4DB1-B4A8-BEA44ABB0617}"/>
                </c:ext>
                <c:ext xmlns:c15="http://schemas.microsoft.com/office/drawing/2012/chart" uri="{CE6537A1-D6FC-4f65-9D91-7224C49458BB}"/>
              </c:extLst>
            </c:dLbl>
            <c:dLbl>
              <c:idx val="4"/>
              <c:layout>
                <c:manualLayout>
                  <c:x val="-6.1111111111111109E-2"/>
                  <c:y val="-4.6088149015975119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4-DFA2-4DB1-B4A8-BEA44ABB0617}"/>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Graphs!$D$167:$H$167</c:f>
              <c:strCache>
                <c:ptCount val="5"/>
                <c:pt idx="0">
                  <c:v>CDM</c:v>
                </c:pt>
                <c:pt idx="1">
                  <c:v>FDM</c:v>
                </c:pt>
                <c:pt idx="2">
                  <c:v>KDM</c:v>
                </c:pt>
                <c:pt idx="3">
                  <c:v>WDL</c:v>
                </c:pt>
                <c:pt idx="4">
                  <c:v>Petra</c:v>
                </c:pt>
              </c:strCache>
            </c:strRef>
          </c:cat>
          <c:val>
            <c:numRef>
              <c:f>Graphs!$D$170:$H$170</c:f>
              <c:numCache>
                <c:formatCode>0</c:formatCode>
                <c:ptCount val="5"/>
                <c:pt idx="0">
                  <c:v>98</c:v>
                </c:pt>
                <c:pt idx="1">
                  <c:v>34</c:v>
                </c:pt>
                <c:pt idx="2">
                  <c:v>49</c:v>
                </c:pt>
                <c:pt idx="3">
                  <c:v>74</c:v>
                </c:pt>
                <c:pt idx="4">
                  <c:v>81</c:v>
                </c:pt>
              </c:numCache>
            </c:numRef>
          </c:val>
          <c:smooth val="0"/>
          <c:extLst xmlns:c16r2="http://schemas.microsoft.com/office/drawing/2015/06/chart">
            <c:ext xmlns:c16="http://schemas.microsoft.com/office/drawing/2014/chart" uri="{C3380CC4-5D6E-409C-BE32-E72D297353CC}">
              <c16:uniqueId val="{00000005-DFA2-4DB1-B4A8-BEA44ABB0617}"/>
            </c:ext>
          </c:extLst>
        </c:ser>
        <c:dLbls>
          <c:showLegendKey val="0"/>
          <c:showVal val="0"/>
          <c:showCatName val="0"/>
          <c:showSerName val="0"/>
          <c:showPercent val="0"/>
          <c:showBubbleSize val="0"/>
        </c:dLbls>
        <c:marker val="1"/>
        <c:smooth val="0"/>
        <c:axId val="474126800"/>
        <c:axId val="459751744"/>
      </c:lineChart>
      <c:catAx>
        <c:axId val="45975252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751352"/>
        <c:crosses val="autoZero"/>
        <c:auto val="1"/>
        <c:lblAlgn val="ctr"/>
        <c:lblOffset val="100"/>
        <c:noMultiLvlLbl val="0"/>
      </c:catAx>
      <c:valAx>
        <c:axId val="459751352"/>
        <c:scaling>
          <c:orientation val="minMax"/>
        </c:scaling>
        <c:delete val="0"/>
        <c:axPos val="l"/>
        <c:majorGridlines>
          <c:spPr>
            <a:ln w="9525" cap="flat" cmpd="sng" algn="ctr">
              <a:noFill/>
              <a:round/>
            </a:ln>
            <a:effectLst/>
          </c:spPr>
        </c:majorGridlines>
        <c:numFmt formatCode="General" sourceLinked="1"/>
        <c:majorTickMark val="none"/>
        <c:minorTickMark val="none"/>
        <c:tickLblPos val="none"/>
        <c:spPr>
          <a:noFill/>
          <a:ln>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752528"/>
        <c:crosses val="autoZero"/>
        <c:crossBetween val="between"/>
      </c:valAx>
      <c:valAx>
        <c:axId val="459751744"/>
        <c:scaling>
          <c:orientation val="minMax"/>
        </c:scaling>
        <c:delete val="0"/>
        <c:axPos val="r"/>
        <c:numFmt formatCode="0"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26800"/>
        <c:crosses val="max"/>
        <c:crossBetween val="between"/>
      </c:valAx>
      <c:catAx>
        <c:axId val="474126800"/>
        <c:scaling>
          <c:orientation val="minMax"/>
        </c:scaling>
        <c:delete val="1"/>
        <c:axPos val="b"/>
        <c:numFmt formatCode="General" sourceLinked="1"/>
        <c:majorTickMark val="out"/>
        <c:minorTickMark val="none"/>
        <c:tickLblPos val="nextTo"/>
        <c:crossAx val="4597517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a:t>
            </a:r>
            <a:r>
              <a:rPr lang="en-US" baseline="0"/>
              <a:t> </a:t>
            </a:r>
            <a:r>
              <a:rPr lang="en-US"/>
              <a:t>Waste generated</a:t>
            </a:r>
          </a:p>
        </c:rich>
      </c:tx>
      <c:layout>
        <c:manualLayout>
          <c:xMode val="edge"/>
          <c:yMode val="edge"/>
          <c:x val="0.31486266442639788"/>
          <c:y val="0"/>
        </c:manualLayout>
      </c:layout>
      <c:overlay val="0"/>
      <c:spPr>
        <a:ln>
          <a:solidFill>
            <a:schemeClr val="accent1"/>
          </a:solidFill>
        </a:ln>
      </c:spPr>
    </c:title>
    <c:autoTitleDeleted val="0"/>
    <c:plotArea>
      <c:layout>
        <c:manualLayout>
          <c:layoutTarget val="inner"/>
          <c:xMode val="edge"/>
          <c:yMode val="edge"/>
          <c:x val="0.23151715118546426"/>
          <c:y val="2.9478715291564324E-2"/>
          <c:w val="0.76667567562665173"/>
          <c:h val="0.7557694368099207"/>
        </c:manualLayout>
      </c:layout>
      <c:barChart>
        <c:barDir val="col"/>
        <c:grouping val="clustered"/>
        <c:varyColors val="0"/>
        <c:ser>
          <c:idx val="0"/>
          <c:order val="0"/>
          <c:tx>
            <c:strRef>
              <c:f>Waste!$C$128</c:f>
              <c:strCache>
                <c:ptCount val="1"/>
                <c:pt idx="0">
                  <c:v>Q1</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Waste!$B$129:$B$134</c:f>
              <c:strCache>
                <c:ptCount val="6"/>
                <c:pt idx="0">
                  <c:v>CDM</c:v>
                </c:pt>
                <c:pt idx="1">
                  <c:v>FDM</c:v>
                </c:pt>
                <c:pt idx="2">
                  <c:v>KDM</c:v>
                </c:pt>
                <c:pt idx="3">
                  <c:v>KUM</c:v>
                </c:pt>
                <c:pt idx="4">
                  <c:v>WDL</c:v>
                </c:pt>
                <c:pt idx="5">
                  <c:v>GROUP</c:v>
                </c:pt>
              </c:strCache>
            </c:strRef>
          </c:cat>
          <c:val>
            <c:numRef>
              <c:f>Waste!$C$129:$C$134</c:f>
              <c:numCache>
                <c:formatCode>_(* #,##0.00_);_(* \(#,##0.00\);_(* "-"??_);_(@_)</c:formatCode>
                <c:ptCount val="6"/>
                <c:pt idx="0">
                  <c:v>497.50740000000002</c:v>
                </c:pt>
                <c:pt idx="1">
                  <c:v>380.40630000000004</c:v>
                </c:pt>
                <c:pt idx="2">
                  <c:v>0</c:v>
                </c:pt>
                <c:pt idx="3">
                  <c:v>0</c:v>
                </c:pt>
                <c:pt idx="4">
                  <c:v>0</c:v>
                </c:pt>
                <c:pt idx="5">
                  <c:v>1688.75225</c:v>
                </c:pt>
              </c:numCache>
            </c:numRef>
          </c:val>
          <c:extLst xmlns:c16r2="http://schemas.microsoft.com/office/drawing/2015/06/chart">
            <c:ext xmlns:c16="http://schemas.microsoft.com/office/drawing/2014/chart" uri="{C3380CC4-5D6E-409C-BE32-E72D297353CC}">
              <c16:uniqueId val="{00000000-AFEA-4982-A217-FAE4BFA83731}"/>
            </c:ext>
          </c:extLst>
        </c:ser>
        <c:dLbls>
          <c:showLegendKey val="0"/>
          <c:showVal val="0"/>
          <c:showCatName val="0"/>
          <c:showSerName val="0"/>
          <c:showPercent val="0"/>
          <c:showBubbleSize val="0"/>
        </c:dLbls>
        <c:gapWidth val="150"/>
        <c:axId val="453738192"/>
        <c:axId val="453735056"/>
      </c:barChart>
      <c:catAx>
        <c:axId val="453738192"/>
        <c:scaling>
          <c:orientation val="minMax"/>
        </c:scaling>
        <c:delete val="0"/>
        <c:axPos val="b"/>
        <c:numFmt formatCode="General" sourceLinked="0"/>
        <c:majorTickMark val="out"/>
        <c:minorTickMark val="none"/>
        <c:tickLblPos val="nextTo"/>
        <c:crossAx val="453735056"/>
        <c:crosses val="autoZero"/>
        <c:auto val="1"/>
        <c:lblAlgn val="ctr"/>
        <c:lblOffset val="100"/>
        <c:noMultiLvlLbl val="0"/>
      </c:catAx>
      <c:valAx>
        <c:axId val="453735056"/>
        <c:scaling>
          <c:orientation val="minMax"/>
        </c:scaling>
        <c:delete val="0"/>
        <c:axPos val="l"/>
        <c:majorGridlines/>
        <c:numFmt formatCode="_(* #,##0.00_);_(* \(#,##0.00\);_(* &quot;-&quot;??_);_(@_)" sourceLinked="1"/>
        <c:majorTickMark val="out"/>
        <c:minorTickMark val="none"/>
        <c:tickLblPos val="nextTo"/>
        <c:crossAx val="4537381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Carbon</a:t>
            </a:r>
            <a:r>
              <a:rPr lang="en-ZA" baseline="0"/>
              <a:t> Footprint in t CO</a:t>
            </a:r>
            <a:r>
              <a:rPr lang="en-ZA" baseline="-25000"/>
              <a:t>2</a:t>
            </a:r>
            <a:r>
              <a:rPr lang="en-ZA" baseline="0"/>
              <a:t>-e/ct: FY 2018</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344203849518809"/>
          <c:y val="2.5428331875182269E-2"/>
          <c:w val="0.89655796150481193"/>
          <c:h val="0.61498432487605714"/>
        </c:manualLayout>
      </c:layout>
      <c:lineChart>
        <c:grouping val="standard"/>
        <c:varyColors val="0"/>
        <c:ser>
          <c:idx val="0"/>
          <c:order val="0"/>
          <c:tx>
            <c:strRef>
              <c:f>Graphs!$A$259</c:f>
              <c:strCache>
                <c:ptCount val="1"/>
                <c:pt idx="0">
                  <c:v>CDM</c:v>
                </c:pt>
              </c:strCache>
            </c:strRef>
          </c:tx>
          <c:spPr>
            <a:ln w="28575" cap="rnd">
              <a:solidFill>
                <a:schemeClr val="accent1"/>
              </a:solidFill>
              <a:round/>
            </a:ln>
            <a:effectLst/>
          </c:spPr>
          <c:marker>
            <c:symbol val="none"/>
          </c:marker>
          <c:cat>
            <c:strRef>
              <c:f>Graphs!$B$258:$F$258</c:f>
              <c:strCache>
                <c:ptCount val="5"/>
                <c:pt idx="0">
                  <c:v>Q1</c:v>
                </c:pt>
                <c:pt idx="1">
                  <c:v>Q2</c:v>
                </c:pt>
                <c:pt idx="2">
                  <c:v>Q3</c:v>
                </c:pt>
                <c:pt idx="3">
                  <c:v>Q4</c:v>
                </c:pt>
                <c:pt idx="4">
                  <c:v>FY 2018</c:v>
                </c:pt>
              </c:strCache>
            </c:strRef>
          </c:cat>
          <c:val>
            <c:numRef>
              <c:f>Graphs!$B$259:$F$259</c:f>
              <c:numCache>
                <c:formatCode>General</c:formatCode>
                <c:ptCount val="5"/>
                <c:pt idx="0">
                  <c:v>0.2</c:v>
                </c:pt>
                <c:pt idx="1">
                  <c:v>0.14000000000000001</c:v>
                </c:pt>
                <c:pt idx="2">
                  <c:v>0.14000000000000001</c:v>
                </c:pt>
                <c:pt idx="3">
                  <c:v>0.12</c:v>
                </c:pt>
                <c:pt idx="4">
                  <c:v>0.15</c:v>
                </c:pt>
              </c:numCache>
            </c:numRef>
          </c:val>
          <c:smooth val="0"/>
          <c:extLst xmlns:c16r2="http://schemas.microsoft.com/office/drawing/2015/06/chart">
            <c:ext xmlns:c16="http://schemas.microsoft.com/office/drawing/2014/chart" uri="{C3380CC4-5D6E-409C-BE32-E72D297353CC}">
              <c16:uniqueId val="{00000000-A4E5-49E6-BA68-AFBFE9F9AA60}"/>
            </c:ext>
          </c:extLst>
        </c:ser>
        <c:ser>
          <c:idx val="1"/>
          <c:order val="1"/>
          <c:tx>
            <c:strRef>
              <c:f>Graphs!$A$260</c:f>
              <c:strCache>
                <c:ptCount val="1"/>
                <c:pt idx="0">
                  <c:v>FDM</c:v>
                </c:pt>
              </c:strCache>
            </c:strRef>
          </c:tx>
          <c:spPr>
            <a:ln w="28575" cap="rnd">
              <a:solidFill>
                <a:schemeClr val="accent3"/>
              </a:solidFill>
              <a:round/>
            </a:ln>
            <a:effectLst/>
          </c:spPr>
          <c:marker>
            <c:symbol val="none"/>
          </c:marker>
          <c:cat>
            <c:strRef>
              <c:f>Graphs!$B$258:$F$258</c:f>
              <c:strCache>
                <c:ptCount val="5"/>
                <c:pt idx="0">
                  <c:v>Q1</c:v>
                </c:pt>
                <c:pt idx="1">
                  <c:v>Q2</c:v>
                </c:pt>
                <c:pt idx="2">
                  <c:v>Q3</c:v>
                </c:pt>
                <c:pt idx="3">
                  <c:v>Q4</c:v>
                </c:pt>
                <c:pt idx="4">
                  <c:v>FY 2018</c:v>
                </c:pt>
              </c:strCache>
            </c:strRef>
          </c:cat>
          <c:val>
            <c:numRef>
              <c:f>Graphs!$B$260:$F$260</c:f>
              <c:numCache>
                <c:formatCode>General</c:formatCode>
                <c:ptCount val="5"/>
                <c:pt idx="0">
                  <c:v>0.11</c:v>
                </c:pt>
                <c:pt idx="1">
                  <c:v>0.12</c:v>
                </c:pt>
                <c:pt idx="2">
                  <c:v>0.11</c:v>
                </c:pt>
                <c:pt idx="3">
                  <c:v>0.12</c:v>
                </c:pt>
                <c:pt idx="4">
                  <c:v>0.1</c:v>
                </c:pt>
              </c:numCache>
            </c:numRef>
          </c:val>
          <c:smooth val="0"/>
          <c:extLst xmlns:c16r2="http://schemas.microsoft.com/office/drawing/2015/06/chart">
            <c:ext xmlns:c16="http://schemas.microsoft.com/office/drawing/2014/chart" uri="{C3380CC4-5D6E-409C-BE32-E72D297353CC}">
              <c16:uniqueId val="{00000001-A4E5-49E6-BA68-AFBFE9F9AA60}"/>
            </c:ext>
          </c:extLst>
        </c:ser>
        <c:ser>
          <c:idx val="2"/>
          <c:order val="2"/>
          <c:tx>
            <c:strRef>
              <c:f>Graphs!$A$261</c:f>
              <c:strCache>
                <c:ptCount val="1"/>
                <c:pt idx="0">
                  <c:v>KDM</c:v>
                </c:pt>
              </c:strCache>
            </c:strRef>
          </c:tx>
          <c:spPr>
            <a:ln w="28575" cap="rnd">
              <a:solidFill>
                <a:schemeClr val="accent5"/>
              </a:solidFill>
              <a:round/>
            </a:ln>
            <a:effectLst/>
          </c:spPr>
          <c:marker>
            <c:symbol val="none"/>
          </c:marker>
          <c:cat>
            <c:strRef>
              <c:f>Graphs!$B$258:$F$258</c:f>
              <c:strCache>
                <c:ptCount val="5"/>
                <c:pt idx="0">
                  <c:v>Q1</c:v>
                </c:pt>
                <c:pt idx="1">
                  <c:v>Q2</c:v>
                </c:pt>
                <c:pt idx="2">
                  <c:v>Q3</c:v>
                </c:pt>
                <c:pt idx="3">
                  <c:v>Q4</c:v>
                </c:pt>
                <c:pt idx="4">
                  <c:v>FY 2018</c:v>
                </c:pt>
              </c:strCache>
            </c:strRef>
          </c:cat>
          <c:val>
            <c:numRef>
              <c:f>Graphs!$B$261:$F$261</c:f>
              <c:numCache>
                <c:formatCode>General</c:formatCode>
                <c:ptCount val="5"/>
                <c:pt idx="0">
                  <c:v>0.79</c:v>
                </c:pt>
                <c:pt idx="1">
                  <c:v>0.41</c:v>
                </c:pt>
                <c:pt idx="2">
                  <c:v>0.41</c:v>
                </c:pt>
                <c:pt idx="3">
                  <c:v>0.23</c:v>
                </c:pt>
                <c:pt idx="4">
                  <c:v>0.46</c:v>
                </c:pt>
              </c:numCache>
            </c:numRef>
          </c:val>
          <c:smooth val="0"/>
          <c:extLst xmlns:c16r2="http://schemas.microsoft.com/office/drawing/2015/06/chart">
            <c:ext xmlns:c16="http://schemas.microsoft.com/office/drawing/2014/chart" uri="{C3380CC4-5D6E-409C-BE32-E72D297353CC}">
              <c16:uniqueId val="{00000002-A4E5-49E6-BA68-AFBFE9F9AA60}"/>
            </c:ext>
          </c:extLst>
        </c:ser>
        <c:ser>
          <c:idx val="3"/>
          <c:order val="3"/>
          <c:tx>
            <c:strRef>
              <c:f>Graphs!$A$262</c:f>
              <c:strCache>
                <c:ptCount val="1"/>
                <c:pt idx="0">
                  <c:v>WDL</c:v>
                </c:pt>
              </c:strCache>
            </c:strRef>
          </c:tx>
          <c:spPr>
            <a:ln w="28575" cap="rnd">
              <a:solidFill>
                <a:schemeClr val="accent1">
                  <a:lumMod val="60000"/>
                </a:schemeClr>
              </a:solidFill>
              <a:round/>
            </a:ln>
            <a:effectLst/>
          </c:spPr>
          <c:marker>
            <c:symbol val="none"/>
          </c:marker>
          <c:cat>
            <c:strRef>
              <c:f>Graphs!$B$258:$F$258</c:f>
              <c:strCache>
                <c:ptCount val="5"/>
                <c:pt idx="0">
                  <c:v>Q1</c:v>
                </c:pt>
                <c:pt idx="1">
                  <c:v>Q2</c:v>
                </c:pt>
                <c:pt idx="2">
                  <c:v>Q3</c:v>
                </c:pt>
                <c:pt idx="3">
                  <c:v>Q4</c:v>
                </c:pt>
                <c:pt idx="4">
                  <c:v>FY 2018</c:v>
                </c:pt>
              </c:strCache>
            </c:strRef>
          </c:cat>
          <c:val>
            <c:numRef>
              <c:f>Graphs!$B$262:$F$262</c:f>
              <c:numCache>
                <c:formatCode>General</c:formatCode>
                <c:ptCount val="5"/>
                <c:pt idx="0">
                  <c:v>0.08</c:v>
                </c:pt>
                <c:pt idx="1">
                  <c:v>0.08</c:v>
                </c:pt>
                <c:pt idx="2">
                  <c:v>0.1</c:v>
                </c:pt>
                <c:pt idx="3">
                  <c:v>0.08</c:v>
                </c:pt>
                <c:pt idx="4">
                  <c:v>0.03</c:v>
                </c:pt>
              </c:numCache>
            </c:numRef>
          </c:val>
          <c:smooth val="0"/>
          <c:extLst xmlns:c16r2="http://schemas.microsoft.com/office/drawing/2015/06/chart">
            <c:ext xmlns:c16="http://schemas.microsoft.com/office/drawing/2014/chart" uri="{C3380CC4-5D6E-409C-BE32-E72D297353CC}">
              <c16:uniqueId val="{00000003-A4E5-49E6-BA68-AFBFE9F9AA60}"/>
            </c:ext>
          </c:extLst>
        </c:ser>
        <c:ser>
          <c:idx val="4"/>
          <c:order val="4"/>
          <c:tx>
            <c:strRef>
              <c:f>Graphs!$A$263</c:f>
              <c:strCache>
                <c:ptCount val="1"/>
                <c:pt idx="0">
                  <c:v>PETRA</c:v>
                </c:pt>
              </c:strCache>
            </c:strRef>
          </c:tx>
          <c:spPr>
            <a:ln w="28575" cap="rnd">
              <a:solidFill>
                <a:srgbClr val="C00000"/>
              </a:solidFill>
              <a:round/>
            </a:ln>
            <a:effectLst/>
          </c:spPr>
          <c:marker>
            <c:symbol val="none"/>
          </c:marker>
          <c:cat>
            <c:strRef>
              <c:f>Graphs!$B$258:$F$258</c:f>
              <c:strCache>
                <c:ptCount val="5"/>
                <c:pt idx="0">
                  <c:v>Q1</c:v>
                </c:pt>
                <c:pt idx="1">
                  <c:v>Q2</c:v>
                </c:pt>
                <c:pt idx="2">
                  <c:v>Q3</c:v>
                </c:pt>
                <c:pt idx="3">
                  <c:v>Q4</c:v>
                </c:pt>
                <c:pt idx="4">
                  <c:v>FY 2018</c:v>
                </c:pt>
              </c:strCache>
            </c:strRef>
          </c:cat>
          <c:val>
            <c:numRef>
              <c:f>Graphs!$B$263:$F$263</c:f>
              <c:numCache>
                <c:formatCode>General</c:formatCode>
                <c:ptCount val="5"/>
                <c:pt idx="0">
                  <c:v>0.15</c:v>
                </c:pt>
                <c:pt idx="1">
                  <c:v>0.14000000000000001</c:v>
                </c:pt>
                <c:pt idx="2">
                  <c:v>0.13</c:v>
                </c:pt>
                <c:pt idx="3">
                  <c:v>0.13</c:v>
                </c:pt>
                <c:pt idx="4">
                  <c:v>0.14000000000000001</c:v>
                </c:pt>
              </c:numCache>
            </c:numRef>
          </c:val>
          <c:smooth val="0"/>
          <c:extLst xmlns:c16r2="http://schemas.microsoft.com/office/drawing/2015/06/chart">
            <c:ext xmlns:c16="http://schemas.microsoft.com/office/drawing/2014/chart" uri="{C3380CC4-5D6E-409C-BE32-E72D297353CC}">
              <c16:uniqueId val="{00000004-A4E5-49E6-BA68-AFBFE9F9AA60}"/>
            </c:ext>
          </c:extLst>
        </c:ser>
        <c:dLbls>
          <c:showLegendKey val="0"/>
          <c:showVal val="0"/>
          <c:showCatName val="0"/>
          <c:showSerName val="0"/>
          <c:showPercent val="0"/>
          <c:showBubbleSize val="0"/>
        </c:dLbls>
        <c:smooth val="0"/>
        <c:axId val="474130328"/>
        <c:axId val="474126408"/>
      </c:lineChart>
      <c:catAx>
        <c:axId val="47413032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26408"/>
        <c:crosses val="autoZero"/>
        <c:auto val="1"/>
        <c:lblAlgn val="ctr"/>
        <c:lblOffset val="100"/>
        <c:noMultiLvlLbl val="0"/>
      </c:catAx>
      <c:valAx>
        <c:axId val="474126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30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Carbon footprints in t CO</a:t>
            </a:r>
            <a:r>
              <a:rPr lang="en-ZA">
                <a:latin typeface="Calibri" panose="020F0502020204030204" pitchFamily="34" charset="0"/>
                <a:cs typeface="Calibri" panose="020F0502020204030204" pitchFamily="34" charset="0"/>
              </a:rPr>
              <a:t>₂</a:t>
            </a:r>
            <a:r>
              <a:rPr lang="en-ZA"/>
              <a:t>-e/ct:</a:t>
            </a:r>
          </a:p>
          <a:p>
            <a:pPr>
              <a:defRPr/>
            </a:pPr>
            <a:r>
              <a:rPr lang="en-ZA"/>
              <a:t> Q1 FY 2018 vs</a:t>
            </a:r>
            <a:r>
              <a:rPr lang="en-ZA" baseline="0"/>
              <a:t> Q1 FY 2019</a:t>
            </a:r>
            <a:endParaRPr lang="en-ZA"/>
          </a:p>
        </c:rich>
      </c:tx>
      <c:layout>
        <c:manualLayout>
          <c:xMode val="edge"/>
          <c:yMode val="edge"/>
          <c:x val="0.259304358608717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22444562268809"/>
          <c:y val="0.26912939783284073"/>
          <c:w val="0.84702996500437444"/>
          <c:h val="0.5358639545056868"/>
        </c:manualLayout>
      </c:layout>
      <c:barChart>
        <c:barDir val="bar"/>
        <c:grouping val="stacked"/>
        <c:varyColors val="0"/>
        <c:ser>
          <c:idx val="0"/>
          <c:order val="0"/>
          <c:tx>
            <c:strRef>
              <c:f>Graphs!$B$272</c:f>
              <c:strCache>
                <c:ptCount val="1"/>
                <c:pt idx="0">
                  <c:v>Q1 FY2018</c:v>
                </c:pt>
              </c:strCache>
            </c:strRef>
          </c:tx>
          <c:spPr>
            <a:solidFill>
              <a:schemeClr val="tx2">
                <a:lumMod val="40000"/>
                <a:lumOff val="60000"/>
              </a:schemeClr>
            </a:solidFill>
            <a:ln>
              <a:noFill/>
            </a:ln>
            <a:effectLst/>
          </c:spPr>
          <c:invertIfNegative val="0"/>
          <c:cat>
            <c:strRef>
              <c:f>Graphs!$A$273:$A$277</c:f>
              <c:strCache>
                <c:ptCount val="5"/>
                <c:pt idx="0">
                  <c:v>CDM</c:v>
                </c:pt>
                <c:pt idx="1">
                  <c:v>FDM</c:v>
                </c:pt>
                <c:pt idx="2">
                  <c:v>KDM</c:v>
                </c:pt>
                <c:pt idx="3">
                  <c:v>WDL</c:v>
                </c:pt>
                <c:pt idx="4">
                  <c:v>PETRA</c:v>
                </c:pt>
              </c:strCache>
            </c:strRef>
          </c:cat>
          <c:val>
            <c:numRef>
              <c:f>Graphs!$B$273:$B$277</c:f>
              <c:numCache>
                <c:formatCode>General</c:formatCode>
                <c:ptCount val="5"/>
                <c:pt idx="0">
                  <c:v>0.2</c:v>
                </c:pt>
                <c:pt idx="1">
                  <c:v>0.11</c:v>
                </c:pt>
                <c:pt idx="2">
                  <c:v>0.79</c:v>
                </c:pt>
                <c:pt idx="3">
                  <c:v>0.08</c:v>
                </c:pt>
                <c:pt idx="4">
                  <c:v>0.15</c:v>
                </c:pt>
              </c:numCache>
            </c:numRef>
          </c:val>
          <c:extLst xmlns:c16r2="http://schemas.microsoft.com/office/drawing/2015/06/chart">
            <c:ext xmlns:c16="http://schemas.microsoft.com/office/drawing/2014/chart" uri="{C3380CC4-5D6E-409C-BE32-E72D297353CC}">
              <c16:uniqueId val="{00000000-87DA-4E25-9801-75A26980F79B}"/>
            </c:ext>
          </c:extLst>
        </c:ser>
        <c:ser>
          <c:idx val="1"/>
          <c:order val="1"/>
          <c:tx>
            <c:strRef>
              <c:f>Graphs!$C$272</c:f>
              <c:strCache>
                <c:ptCount val="1"/>
                <c:pt idx="0">
                  <c:v>Q1 FY2019</c:v>
                </c:pt>
              </c:strCache>
            </c:strRef>
          </c:tx>
          <c:spPr>
            <a:solidFill>
              <a:schemeClr val="tx2"/>
            </a:solidFill>
            <a:ln>
              <a:noFill/>
            </a:ln>
            <a:effectLst/>
          </c:spPr>
          <c:invertIfNegative val="0"/>
          <c:cat>
            <c:strRef>
              <c:f>Graphs!$A$273:$A$277</c:f>
              <c:strCache>
                <c:ptCount val="5"/>
                <c:pt idx="0">
                  <c:v>CDM</c:v>
                </c:pt>
                <c:pt idx="1">
                  <c:v>FDM</c:v>
                </c:pt>
                <c:pt idx="2">
                  <c:v>KDM</c:v>
                </c:pt>
                <c:pt idx="3">
                  <c:v>WDL</c:v>
                </c:pt>
                <c:pt idx="4">
                  <c:v>PETRA</c:v>
                </c:pt>
              </c:strCache>
            </c:strRef>
          </c:cat>
          <c:val>
            <c:numRef>
              <c:f>Graphs!$C$273:$C$277</c:f>
              <c:numCache>
                <c:formatCode>General</c:formatCode>
                <c:ptCount val="5"/>
                <c:pt idx="0">
                  <c:v>0.13</c:v>
                </c:pt>
                <c:pt idx="1">
                  <c:v>0.1</c:v>
                </c:pt>
                <c:pt idx="2">
                  <c:v>0.69</c:v>
                </c:pt>
                <c:pt idx="3">
                  <c:v>0.08</c:v>
                </c:pt>
                <c:pt idx="4">
                  <c:v>0.12</c:v>
                </c:pt>
              </c:numCache>
            </c:numRef>
          </c:val>
          <c:extLst xmlns:c16r2="http://schemas.microsoft.com/office/drawing/2015/06/chart">
            <c:ext xmlns:c16="http://schemas.microsoft.com/office/drawing/2014/chart" uri="{C3380CC4-5D6E-409C-BE32-E72D297353CC}">
              <c16:uniqueId val="{00000001-87DA-4E25-9801-75A26980F79B}"/>
            </c:ext>
          </c:extLst>
        </c:ser>
        <c:dLbls>
          <c:showLegendKey val="0"/>
          <c:showVal val="0"/>
          <c:showCatName val="0"/>
          <c:showSerName val="0"/>
          <c:showPercent val="0"/>
          <c:showBubbleSize val="0"/>
        </c:dLbls>
        <c:gapWidth val="150"/>
        <c:overlap val="100"/>
        <c:axId val="474131896"/>
        <c:axId val="474127976"/>
      </c:barChart>
      <c:catAx>
        <c:axId val="474131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27976"/>
        <c:crosses val="autoZero"/>
        <c:auto val="1"/>
        <c:lblAlgn val="ctr"/>
        <c:lblOffset val="100"/>
        <c:noMultiLvlLbl val="0"/>
      </c:catAx>
      <c:valAx>
        <c:axId val="4741279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31896"/>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555555555555555E-2"/>
          <c:y val="0.22685185185185186"/>
          <c:w val="0.93888888888888888"/>
          <c:h val="0.55984543598716829"/>
        </c:manualLayout>
      </c:layout>
      <c:barChart>
        <c:barDir val="col"/>
        <c:grouping val="clustered"/>
        <c:varyColors val="0"/>
        <c:ser>
          <c:idx val="0"/>
          <c:order val="0"/>
          <c:tx>
            <c:strRef>
              <c:f>Graphs!$C$21</c:f>
              <c:strCache>
                <c:ptCount val="1"/>
                <c:pt idx="0">
                  <c:v>Total Non-conformances</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Graphs!$B$22:$B$24</c:f>
              <c:strCache>
                <c:ptCount val="3"/>
                <c:pt idx="0">
                  <c:v>CDM</c:v>
                </c:pt>
                <c:pt idx="1">
                  <c:v>FDM</c:v>
                </c:pt>
                <c:pt idx="2">
                  <c:v>KDM</c:v>
                </c:pt>
              </c:strCache>
            </c:strRef>
          </c:cat>
          <c:val>
            <c:numRef>
              <c:f>Graphs!$C$22:$C$24</c:f>
              <c:numCache>
                <c:formatCode>General</c:formatCode>
                <c:ptCount val="3"/>
                <c:pt idx="0">
                  <c:v>3</c:v>
                </c:pt>
                <c:pt idx="1">
                  <c:v>7</c:v>
                </c:pt>
                <c:pt idx="2">
                  <c:v>4</c:v>
                </c:pt>
              </c:numCache>
            </c:numRef>
          </c:val>
          <c:extLst xmlns:c16r2="http://schemas.microsoft.com/office/drawing/2015/06/chart">
            <c:ext xmlns:c16="http://schemas.microsoft.com/office/drawing/2014/chart" uri="{C3380CC4-5D6E-409C-BE32-E72D297353CC}">
              <c16:uniqueId val="{00000000-9436-480D-9F11-9DCCFAA90D95}"/>
            </c:ext>
          </c:extLst>
        </c:ser>
        <c:ser>
          <c:idx val="1"/>
          <c:order val="1"/>
          <c:tx>
            <c:strRef>
              <c:f>Graphs!$D$21</c:f>
              <c:strCache>
                <c:ptCount val="1"/>
                <c:pt idx="0">
                  <c:v>Minor non-conformances</c:v>
                </c:pt>
              </c:strCache>
            </c:strRef>
          </c:tx>
          <c:spPr>
            <a:solidFill>
              <a:schemeClr val="bg1">
                <a:lumMod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Graphs!$B$22:$B$24</c:f>
              <c:strCache>
                <c:ptCount val="3"/>
                <c:pt idx="0">
                  <c:v>CDM</c:v>
                </c:pt>
                <c:pt idx="1">
                  <c:v>FDM</c:v>
                </c:pt>
                <c:pt idx="2">
                  <c:v>KDM</c:v>
                </c:pt>
              </c:strCache>
            </c:strRef>
          </c:cat>
          <c:val>
            <c:numRef>
              <c:f>Graphs!$D$22:$D$24</c:f>
              <c:numCache>
                <c:formatCode>General</c:formatCode>
                <c:ptCount val="3"/>
                <c:pt idx="0">
                  <c:v>3</c:v>
                </c:pt>
                <c:pt idx="1">
                  <c:v>4</c:v>
                </c:pt>
                <c:pt idx="2">
                  <c:v>4</c:v>
                </c:pt>
              </c:numCache>
            </c:numRef>
          </c:val>
          <c:extLst xmlns:c16r2="http://schemas.microsoft.com/office/drawing/2015/06/chart">
            <c:ext xmlns:c16="http://schemas.microsoft.com/office/drawing/2014/chart" uri="{C3380CC4-5D6E-409C-BE32-E72D297353CC}">
              <c16:uniqueId val="{00000001-9436-480D-9F11-9DCCFAA90D95}"/>
            </c:ext>
          </c:extLst>
        </c:ser>
        <c:ser>
          <c:idx val="2"/>
          <c:order val="2"/>
          <c:tx>
            <c:strRef>
              <c:f>Graphs!$E$21</c:f>
              <c:strCache>
                <c:ptCount val="1"/>
                <c:pt idx="0">
                  <c:v>Major non-conformance</c:v>
                </c:pt>
              </c:strCache>
            </c:strRef>
          </c:tx>
          <c:spPr>
            <a:solidFill>
              <a:schemeClr val="tx2">
                <a:lumMod val="75000"/>
              </a:schemeClr>
            </a:solidFill>
            <a:ln>
              <a:solidFill>
                <a:schemeClr val="tx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Graphs!$B$22:$B$24</c:f>
              <c:strCache>
                <c:ptCount val="3"/>
                <c:pt idx="0">
                  <c:v>CDM</c:v>
                </c:pt>
                <c:pt idx="1">
                  <c:v>FDM</c:v>
                </c:pt>
                <c:pt idx="2">
                  <c:v>KDM</c:v>
                </c:pt>
              </c:strCache>
            </c:strRef>
          </c:cat>
          <c:val>
            <c:numRef>
              <c:f>Graphs!$E$22:$E$24</c:f>
              <c:numCache>
                <c:formatCode>General</c:formatCode>
                <c:ptCount val="3"/>
                <c:pt idx="0">
                  <c:v>0</c:v>
                </c:pt>
                <c:pt idx="1">
                  <c:v>3</c:v>
                </c:pt>
                <c:pt idx="2">
                  <c:v>0</c:v>
                </c:pt>
              </c:numCache>
            </c:numRef>
          </c:val>
          <c:extLst xmlns:c16r2="http://schemas.microsoft.com/office/drawing/2015/06/chart">
            <c:ext xmlns:c16="http://schemas.microsoft.com/office/drawing/2014/chart" uri="{C3380CC4-5D6E-409C-BE32-E72D297353CC}">
              <c16:uniqueId val="{00000002-9436-480D-9F11-9DCCFAA90D95}"/>
            </c:ext>
          </c:extLst>
        </c:ser>
        <c:ser>
          <c:idx val="3"/>
          <c:order val="3"/>
          <c:tx>
            <c:strRef>
              <c:f>Graphs!$F$21</c:f>
              <c:strCache>
                <c:ptCount val="1"/>
                <c:pt idx="0">
                  <c:v>Opportunities for improvement</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Graphs!$B$22:$B$24</c:f>
              <c:strCache>
                <c:ptCount val="3"/>
                <c:pt idx="0">
                  <c:v>CDM</c:v>
                </c:pt>
                <c:pt idx="1">
                  <c:v>FDM</c:v>
                </c:pt>
                <c:pt idx="2">
                  <c:v>KDM</c:v>
                </c:pt>
              </c:strCache>
            </c:strRef>
          </c:cat>
          <c:val>
            <c:numRef>
              <c:f>Graphs!$F$22:$F$24</c:f>
              <c:numCache>
                <c:formatCode>General</c:formatCode>
                <c:ptCount val="3"/>
                <c:pt idx="0">
                  <c:v>2</c:v>
                </c:pt>
                <c:pt idx="1">
                  <c:v>0</c:v>
                </c:pt>
                <c:pt idx="2">
                  <c:v>2</c:v>
                </c:pt>
              </c:numCache>
            </c:numRef>
          </c:val>
        </c:ser>
        <c:dLbls>
          <c:showLegendKey val="0"/>
          <c:showVal val="0"/>
          <c:showCatName val="0"/>
          <c:showSerName val="0"/>
          <c:showPercent val="0"/>
          <c:showBubbleSize val="0"/>
        </c:dLbls>
        <c:gapWidth val="219"/>
        <c:overlap val="-27"/>
        <c:axId val="474124448"/>
        <c:axId val="474127192"/>
      </c:barChart>
      <c:catAx>
        <c:axId val="47412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27192"/>
        <c:crosses val="autoZero"/>
        <c:auto val="1"/>
        <c:lblAlgn val="ctr"/>
        <c:lblOffset val="100"/>
        <c:noMultiLvlLbl val="0"/>
      </c:catAx>
      <c:valAx>
        <c:axId val="474127192"/>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474124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Graphs!$C$68</c:f>
              <c:strCache>
                <c:ptCount val="1"/>
                <c:pt idx="0">
                  <c:v>Water consumption (m3/t)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Graphs!$B$69:$B$73</c:f>
              <c:strCache>
                <c:ptCount val="5"/>
                <c:pt idx="0">
                  <c:v>CDM</c:v>
                </c:pt>
                <c:pt idx="1">
                  <c:v>FDM</c:v>
                </c:pt>
                <c:pt idx="2">
                  <c:v>KDM</c:v>
                </c:pt>
                <c:pt idx="3">
                  <c:v>WDL</c:v>
                </c:pt>
                <c:pt idx="4">
                  <c:v>Petra</c:v>
                </c:pt>
              </c:strCache>
            </c:strRef>
          </c:cat>
          <c:val>
            <c:numRef>
              <c:f>Graphs!$C$69:$C$73</c:f>
              <c:numCache>
                <c:formatCode>General</c:formatCode>
                <c:ptCount val="5"/>
                <c:pt idx="0">
                  <c:v>0.17</c:v>
                </c:pt>
                <c:pt idx="1">
                  <c:v>1.01</c:v>
                </c:pt>
                <c:pt idx="2">
                  <c:v>2.0099999999999998</c:v>
                </c:pt>
                <c:pt idx="3">
                  <c:v>2.5</c:v>
                </c:pt>
                <c:pt idx="4">
                  <c:v>1.32</c:v>
                </c:pt>
              </c:numCache>
            </c:numRef>
          </c:val>
          <c:extLst xmlns:c16r2="http://schemas.microsoft.com/office/drawing/2015/06/chart">
            <c:ext xmlns:c16="http://schemas.microsoft.com/office/drawing/2014/chart" uri="{C3380CC4-5D6E-409C-BE32-E72D297353CC}">
              <c16:uniqueId val="{00000000-46B9-4A35-9561-04F41992F77F}"/>
            </c:ext>
          </c:extLst>
        </c:ser>
        <c:ser>
          <c:idx val="1"/>
          <c:order val="1"/>
          <c:tx>
            <c:strRef>
              <c:f>Graphs!$D$68</c:f>
              <c:strCache>
                <c:ptCount val="1"/>
                <c:pt idx="0">
                  <c:v>Clean water intake (m3/t)</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Graphs!$B$69:$B$73</c:f>
              <c:strCache>
                <c:ptCount val="5"/>
                <c:pt idx="0">
                  <c:v>CDM</c:v>
                </c:pt>
                <c:pt idx="1">
                  <c:v>FDM</c:v>
                </c:pt>
                <c:pt idx="2">
                  <c:v>KDM</c:v>
                </c:pt>
                <c:pt idx="3">
                  <c:v>WDL</c:v>
                </c:pt>
                <c:pt idx="4">
                  <c:v>Petra</c:v>
                </c:pt>
              </c:strCache>
            </c:strRef>
          </c:cat>
          <c:val>
            <c:numRef>
              <c:f>Graphs!$D$69:$D$73</c:f>
              <c:numCache>
                <c:formatCode>General</c:formatCode>
                <c:ptCount val="5"/>
                <c:pt idx="0">
                  <c:v>0.17</c:v>
                </c:pt>
                <c:pt idx="1">
                  <c:v>0.75</c:v>
                </c:pt>
                <c:pt idx="2">
                  <c:v>0.62</c:v>
                </c:pt>
                <c:pt idx="3">
                  <c:v>2.17</c:v>
                </c:pt>
                <c:pt idx="4">
                  <c:v>1.03</c:v>
                </c:pt>
              </c:numCache>
            </c:numRef>
          </c:val>
          <c:extLst xmlns:c16r2="http://schemas.microsoft.com/office/drawing/2015/06/chart">
            <c:ext xmlns:c16="http://schemas.microsoft.com/office/drawing/2014/chart" uri="{C3380CC4-5D6E-409C-BE32-E72D297353CC}">
              <c16:uniqueId val="{00000001-46B9-4A35-9561-04F41992F77F}"/>
            </c:ext>
          </c:extLst>
        </c:ser>
        <c:dLbls>
          <c:showLegendKey val="0"/>
          <c:showVal val="0"/>
          <c:showCatName val="0"/>
          <c:showSerName val="0"/>
          <c:showPercent val="0"/>
          <c:showBubbleSize val="0"/>
        </c:dLbls>
        <c:gapWidth val="219"/>
        <c:overlap val="-27"/>
        <c:axId val="474124840"/>
        <c:axId val="474129544"/>
      </c:barChart>
      <c:lineChart>
        <c:grouping val="standard"/>
        <c:varyColors val="0"/>
        <c:ser>
          <c:idx val="2"/>
          <c:order val="2"/>
          <c:tx>
            <c:strRef>
              <c:f>Graphs!$E$68</c:f>
              <c:strCache>
                <c:ptCount val="1"/>
                <c:pt idx="0">
                  <c:v>Percentage water recylced</c:v>
                </c:pt>
              </c:strCache>
            </c:strRef>
          </c:tx>
          <c:spPr>
            <a:ln w="28575" cap="rnd">
              <a:solidFill>
                <a:schemeClr val="accent3"/>
              </a:solidFill>
              <a:round/>
            </a:ln>
            <a:effectLst/>
          </c:spPr>
          <c:marker>
            <c:symbol val="none"/>
          </c:marker>
          <c:cat>
            <c:strRef>
              <c:f>Graphs!$B$69:$B$73</c:f>
              <c:strCache>
                <c:ptCount val="5"/>
                <c:pt idx="0">
                  <c:v>CDM</c:v>
                </c:pt>
                <c:pt idx="1">
                  <c:v>FDM</c:v>
                </c:pt>
                <c:pt idx="2">
                  <c:v>KDM</c:v>
                </c:pt>
                <c:pt idx="3">
                  <c:v>WDL</c:v>
                </c:pt>
                <c:pt idx="4">
                  <c:v>Petra</c:v>
                </c:pt>
              </c:strCache>
            </c:strRef>
          </c:cat>
          <c:val>
            <c:numRef>
              <c:f>Graphs!$E$69:$E$73</c:f>
              <c:numCache>
                <c:formatCode>General</c:formatCode>
                <c:ptCount val="5"/>
              </c:numCache>
            </c:numRef>
          </c:val>
          <c:smooth val="0"/>
          <c:extLst xmlns:c16r2="http://schemas.microsoft.com/office/drawing/2015/06/chart">
            <c:ext xmlns:c16="http://schemas.microsoft.com/office/drawing/2014/chart" uri="{C3380CC4-5D6E-409C-BE32-E72D297353CC}">
              <c16:uniqueId val="{00000002-46B9-4A35-9561-04F41992F77F}"/>
            </c:ext>
          </c:extLst>
        </c:ser>
        <c:dLbls>
          <c:showLegendKey val="0"/>
          <c:showVal val="0"/>
          <c:showCatName val="0"/>
          <c:showSerName val="0"/>
          <c:showPercent val="0"/>
          <c:showBubbleSize val="0"/>
        </c:dLbls>
        <c:marker val="1"/>
        <c:smooth val="0"/>
        <c:axId val="474124840"/>
        <c:axId val="474129544"/>
      </c:lineChart>
      <c:catAx>
        <c:axId val="474124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29544"/>
        <c:crosses val="autoZero"/>
        <c:auto val="1"/>
        <c:lblAlgn val="ctr"/>
        <c:lblOffset val="100"/>
        <c:noMultiLvlLbl val="0"/>
      </c:catAx>
      <c:valAx>
        <c:axId val="474129544"/>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474124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555555555555555E-2"/>
          <c:y val="6.0185185185185182E-2"/>
          <c:w val="0.93888888888888888"/>
          <c:h val="0.73577136191309422"/>
        </c:manualLayout>
      </c:layout>
      <c:barChart>
        <c:barDir val="col"/>
        <c:grouping val="stacked"/>
        <c:varyColors val="0"/>
        <c:ser>
          <c:idx val="0"/>
          <c:order val="0"/>
          <c:tx>
            <c:strRef>
              <c:f>Graphs!$C$208</c:f>
              <c:strCache>
                <c:ptCount val="1"/>
                <c:pt idx="0">
                  <c:v>Q1</c:v>
                </c:pt>
              </c:strCache>
            </c:strRef>
          </c:tx>
          <c:spPr>
            <a:solidFill>
              <a:schemeClr val="tx2"/>
            </a:solidFill>
            <a:ln>
              <a:noFill/>
            </a:ln>
            <a:effectLst/>
          </c:spPr>
          <c:invertIfNegative val="0"/>
          <c:dLbls>
            <c:dLbl>
              <c:idx val="2"/>
              <c:layout>
                <c:manualLayout>
                  <c:x val="4.4444553805774278E-2"/>
                  <c:y val="2.777777777777777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5.4666666666666662E-2"/>
                      <c:h val="5.5486293379994167E-2"/>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Graphs!$B$209:$B$213</c:f>
              <c:strCache>
                <c:ptCount val="5"/>
                <c:pt idx="0">
                  <c:v>CDM</c:v>
                </c:pt>
                <c:pt idx="1">
                  <c:v>FDM</c:v>
                </c:pt>
                <c:pt idx="2">
                  <c:v>KDM</c:v>
                </c:pt>
                <c:pt idx="3">
                  <c:v>WDL</c:v>
                </c:pt>
                <c:pt idx="4">
                  <c:v>GROUP</c:v>
                </c:pt>
              </c:strCache>
            </c:strRef>
          </c:cat>
          <c:val>
            <c:numRef>
              <c:f>Graphs!$C$209:$C$213</c:f>
              <c:numCache>
                <c:formatCode>0</c:formatCode>
                <c:ptCount val="5"/>
                <c:pt idx="0">
                  <c:v>497.50740000000002</c:v>
                </c:pt>
                <c:pt idx="1">
                  <c:v>380.40630000000004</c:v>
                </c:pt>
                <c:pt idx="2">
                  <c:v>96.29</c:v>
                </c:pt>
                <c:pt idx="3" formatCode="#,##0">
                  <c:v>712.0085499999999</c:v>
                </c:pt>
                <c:pt idx="4" formatCode="#,##0">
                  <c:v>1688.75225</c:v>
                </c:pt>
              </c:numCache>
            </c:numRef>
          </c:val>
          <c:extLst xmlns:c16r2="http://schemas.microsoft.com/office/drawing/2015/06/chart">
            <c:ext xmlns:c16="http://schemas.microsoft.com/office/drawing/2014/chart" uri="{C3380CC4-5D6E-409C-BE32-E72D297353CC}">
              <c16:uniqueId val="{00000001-2C5D-45D8-A9CD-25D157B00694}"/>
            </c:ext>
          </c:extLst>
        </c:ser>
        <c:ser>
          <c:idx val="1"/>
          <c:order val="1"/>
          <c:tx>
            <c:strRef>
              <c:f>Graphs!$D$208</c:f>
              <c:strCache>
                <c:ptCount val="1"/>
                <c:pt idx="0">
                  <c:v>Q2</c:v>
                </c:pt>
              </c:strCache>
            </c:strRef>
          </c:tx>
          <c:spPr>
            <a:solidFill>
              <a:schemeClr val="bg1">
                <a:lumMod val="50000"/>
              </a:schemeClr>
            </a:solidFill>
            <a:ln>
              <a:solidFill>
                <a:schemeClr val="tx2">
                  <a:lumMod val="75000"/>
                </a:schemeClr>
              </a:solidFill>
            </a:ln>
            <a:effectLst/>
          </c:spPr>
          <c:invertIfNegative val="0"/>
          <c:dLbls>
            <c:dLbl>
              <c:idx val="2"/>
              <c:layout>
                <c:manualLayout>
                  <c:x val="5.2777777777777674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2C5D-45D8-A9CD-25D157B00694}"/>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Graphs!$B$209:$B$213</c:f>
              <c:strCache>
                <c:ptCount val="5"/>
                <c:pt idx="0">
                  <c:v>CDM</c:v>
                </c:pt>
                <c:pt idx="1">
                  <c:v>FDM</c:v>
                </c:pt>
                <c:pt idx="2">
                  <c:v>KDM</c:v>
                </c:pt>
                <c:pt idx="3">
                  <c:v>WDL</c:v>
                </c:pt>
                <c:pt idx="4">
                  <c:v>GROUP</c:v>
                </c:pt>
              </c:strCache>
            </c:strRef>
          </c:cat>
          <c:val>
            <c:numRef>
              <c:f>Graphs!$D$209:$D$213</c:f>
              <c:numCache>
                <c:formatCode>#,##0</c:formatCode>
                <c:ptCount val="5"/>
                <c:pt idx="0" formatCode="0">
                  <c:v>371.09180000000003</c:v>
                </c:pt>
                <c:pt idx="1">
                  <c:v>372.96299999999997</c:v>
                </c:pt>
                <c:pt idx="2" formatCode="0">
                  <c:v>128.97999999999999</c:v>
                </c:pt>
                <c:pt idx="3" formatCode="0">
                  <c:v>588.08900499999993</c:v>
                </c:pt>
                <c:pt idx="4">
                  <c:v>1474.5638049999998</c:v>
                </c:pt>
              </c:numCache>
            </c:numRef>
          </c:val>
          <c:extLst xmlns:c16r2="http://schemas.microsoft.com/office/drawing/2015/06/chart">
            <c:ext xmlns:c16="http://schemas.microsoft.com/office/drawing/2014/chart" uri="{C3380CC4-5D6E-409C-BE32-E72D297353CC}">
              <c16:uniqueId val="{00000003-2C5D-45D8-A9CD-25D157B00694}"/>
            </c:ext>
          </c:extLst>
        </c:ser>
        <c:ser>
          <c:idx val="2"/>
          <c:order val="2"/>
          <c:tx>
            <c:strRef>
              <c:f>Graphs!$E$208</c:f>
              <c:strCache>
                <c:ptCount val="1"/>
                <c:pt idx="0">
                  <c:v>Q3</c:v>
                </c:pt>
              </c:strCache>
            </c:strRef>
          </c:tx>
          <c:spPr>
            <a:solidFill>
              <a:schemeClr val="bg1">
                <a:lumMod val="85000"/>
              </a:schemeClr>
            </a:solidFill>
            <a:ln>
              <a:noFill/>
            </a:ln>
            <a:effectLst/>
          </c:spPr>
          <c:invertIfNegative val="0"/>
          <c:dLbls>
            <c:dLbl>
              <c:idx val="2"/>
              <c:layout>
                <c:manualLayout>
                  <c:x val="6.3888888888888884E-2"/>
                  <c:y val="-5.5555555555555552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4-2C5D-45D8-A9CD-25D157B00694}"/>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Graphs!$B$209:$B$213</c:f>
              <c:strCache>
                <c:ptCount val="5"/>
                <c:pt idx="0">
                  <c:v>CDM</c:v>
                </c:pt>
                <c:pt idx="1">
                  <c:v>FDM</c:v>
                </c:pt>
                <c:pt idx="2">
                  <c:v>KDM</c:v>
                </c:pt>
                <c:pt idx="3">
                  <c:v>WDL</c:v>
                </c:pt>
                <c:pt idx="4">
                  <c:v>GROUP</c:v>
                </c:pt>
              </c:strCache>
            </c:strRef>
          </c:cat>
          <c:val>
            <c:numRef>
              <c:f>Graphs!$E$209:$E$213</c:f>
              <c:numCache>
                <c:formatCode>#,##0</c:formatCode>
                <c:ptCount val="5"/>
                <c:pt idx="0">
                  <c:v>531.2978999999998</c:v>
                </c:pt>
                <c:pt idx="1">
                  <c:v>199.57399999999998</c:v>
                </c:pt>
                <c:pt idx="2">
                  <c:v>245.25000000000003</c:v>
                </c:pt>
                <c:pt idx="3">
                  <c:v>565.39773500000001</c:v>
                </c:pt>
                <c:pt idx="4">
                  <c:v>1557.9196349999997</c:v>
                </c:pt>
              </c:numCache>
            </c:numRef>
          </c:val>
          <c:extLst xmlns:c16r2="http://schemas.microsoft.com/office/drawing/2015/06/chart">
            <c:ext xmlns:c16="http://schemas.microsoft.com/office/drawing/2014/chart" uri="{C3380CC4-5D6E-409C-BE32-E72D297353CC}">
              <c16:uniqueId val="{00000005-2C5D-45D8-A9CD-25D157B00694}"/>
            </c:ext>
          </c:extLst>
        </c:ser>
        <c:ser>
          <c:idx val="3"/>
          <c:order val="3"/>
          <c:tx>
            <c:strRef>
              <c:f>Graphs!$F$208</c:f>
              <c:strCache>
                <c:ptCount val="1"/>
                <c:pt idx="0">
                  <c:v>Q4</c:v>
                </c:pt>
              </c:strCache>
            </c:strRef>
          </c:tx>
          <c:spPr>
            <a:solidFill>
              <a:schemeClr val="accent1"/>
            </a:solidFill>
            <a:ln>
              <a:noFill/>
            </a:ln>
            <a:effectLst/>
          </c:spPr>
          <c:invertIfNegative val="0"/>
          <c:dLbls>
            <c:dLbl>
              <c:idx val="2"/>
              <c:layout>
                <c:manualLayout>
                  <c:x val="5.8333333333333334E-2"/>
                  <c:y val="-9.7222222222222224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6-2C5D-45D8-A9CD-25D157B00694}"/>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Graphs!$B$209:$B$213</c:f>
              <c:strCache>
                <c:ptCount val="5"/>
                <c:pt idx="0">
                  <c:v>CDM</c:v>
                </c:pt>
                <c:pt idx="1">
                  <c:v>FDM</c:v>
                </c:pt>
                <c:pt idx="2">
                  <c:v>KDM</c:v>
                </c:pt>
                <c:pt idx="3">
                  <c:v>WDL</c:v>
                </c:pt>
                <c:pt idx="4">
                  <c:v>GROUP</c:v>
                </c:pt>
              </c:strCache>
            </c:strRef>
          </c:cat>
          <c:val>
            <c:numRef>
              <c:f>Graphs!$F$209:$F$213</c:f>
              <c:numCache>
                <c:formatCode>#\ ##0_ ;\-#\ ##0\ </c:formatCode>
                <c:ptCount val="5"/>
                <c:pt idx="0">
                  <c:v>131.37999999999997</c:v>
                </c:pt>
                <c:pt idx="1">
                  <c:v>31.83</c:v>
                </c:pt>
                <c:pt idx="2">
                  <c:v>76.180000000000007</c:v>
                </c:pt>
                <c:pt idx="3">
                  <c:v>554.34071500000005</c:v>
                </c:pt>
                <c:pt idx="4">
                  <c:v>793.73071500000003</c:v>
                </c:pt>
              </c:numCache>
            </c:numRef>
          </c:val>
          <c:extLst xmlns:c16r2="http://schemas.microsoft.com/office/drawing/2015/06/chart">
            <c:ext xmlns:c16="http://schemas.microsoft.com/office/drawing/2014/chart" uri="{C3380CC4-5D6E-409C-BE32-E72D297353CC}">
              <c16:uniqueId val="{00000007-2C5D-45D8-A9CD-25D157B00694}"/>
            </c:ext>
          </c:extLst>
        </c:ser>
        <c:dLbls>
          <c:showLegendKey val="0"/>
          <c:showVal val="0"/>
          <c:showCatName val="0"/>
          <c:showSerName val="0"/>
          <c:showPercent val="0"/>
          <c:showBubbleSize val="0"/>
        </c:dLbls>
        <c:gapWidth val="150"/>
        <c:overlap val="100"/>
        <c:axId val="474128760"/>
        <c:axId val="474125624"/>
      </c:barChart>
      <c:catAx>
        <c:axId val="474128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25624"/>
        <c:crosses val="autoZero"/>
        <c:auto val="1"/>
        <c:lblAlgn val="ctr"/>
        <c:lblOffset val="100"/>
        <c:noMultiLvlLbl val="0"/>
      </c:catAx>
      <c:valAx>
        <c:axId val="474125624"/>
        <c:scaling>
          <c:orientation val="minMax"/>
        </c:scaling>
        <c:delete val="1"/>
        <c:axPos val="l"/>
        <c:majorGridlines>
          <c:spPr>
            <a:ln w="9525" cap="flat" cmpd="sng" algn="ctr">
              <a:noFill/>
              <a:round/>
            </a:ln>
            <a:effectLst/>
          </c:spPr>
        </c:majorGridlines>
        <c:numFmt formatCode="0" sourceLinked="1"/>
        <c:majorTickMark val="none"/>
        <c:minorTickMark val="none"/>
        <c:tickLblPos val="nextTo"/>
        <c:crossAx val="474128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722003499562554"/>
          <c:y val="5.092590349283263E-2"/>
          <c:w val="0.82539807524059494"/>
          <c:h val="0.73577136191309422"/>
        </c:manualLayout>
      </c:layout>
      <c:barChart>
        <c:barDir val="bar"/>
        <c:grouping val="stacked"/>
        <c:varyColors val="0"/>
        <c:ser>
          <c:idx val="0"/>
          <c:order val="0"/>
          <c:tx>
            <c:strRef>
              <c:f>Graphs!$R$237</c:f>
              <c:strCache>
                <c:ptCount val="1"/>
                <c:pt idx="0">
                  <c:v>Q1 </c:v>
                </c:pt>
              </c:strCache>
            </c:strRef>
          </c:tx>
          <c:spPr>
            <a:solidFill>
              <a:schemeClr val="accent1"/>
            </a:solidFill>
            <a:ln>
              <a:noFill/>
            </a:ln>
            <a:effectLst/>
          </c:spPr>
          <c:invertIfNegative val="0"/>
          <c:dLbls>
            <c:dLbl>
              <c:idx val="3"/>
              <c:layout>
                <c:manualLayout>
                  <c:x val="1.0936132982103945E-7"/>
                  <c:y val="-5.5555373286672517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0-13A8-429C-A9F3-91EB59D19E49}"/>
                </c:ext>
                <c:ext xmlns:c15="http://schemas.microsoft.com/office/drawing/2012/chart" uri="{CE6537A1-D6FC-4f65-9D91-7224C49458BB}">
                  <c15:layout>
                    <c:manualLayout>
                      <c:w val="5.9875109361329823E-2"/>
                      <c:h val="6.4745552639253412E-2"/>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Graphs!$Q$238:$Q$242</c:f>
              <c:numCache>
                <c:formatCode>General</c:formatCode>
                <c:ptCount val="5"/>
                <c:pt idx="0">
                  <c:v>0</c:v>
                </c:pt>
                <c:pt idx="1">
                  <c:v>0</c:v>
                </c:pt>
                <c:pt idx="2">
                  <c:v>0</c:v>
                </c:pt>
                <c:pt idx="3">
                  <c:v>0</c:v>
                </c:pt>
                <c:pt idx="4">
                  <c:v>0</c:v>
                </c:pt>
              </c:numCache>
            </c:numRef>
          </c:cat>
          <c:val>
            <c:numRef>
              <c:f>Graphs!$R$238:$R$242</c:f>
              <c:numCache>
                <c:formatCode>0%</c:formatCode>
                <c:ptCount val="5"/>
                <c:pt idx="0">
                  <c:v>0.79627157304594864</c:v>
                </c:pt>
                <c:pt idx="1">
                  <c:v>0.75516730401152665</c:v>
                </c:pt>
                <c:pt idx="2">
                  <c:v>0.7320651624000809</c:v>
                </c:pt>
                <c:pt idx="3">
                  <c:v>0.16888934830908986</c:v>
                </c:pt>
                <c:pt idx="4">
                  <c:v>0.51873924076192945</c:v>
                </c:pt>
              </c:numCache>
            </c:numRef>
          </c:val>
          <c:extLst xmlns:c16r2="http://schemas.microsoft.com/office/drawing/2015/06/chart">
            <c:ext xmlns:c16="http://schemas.microsoft.com/office/drawing/2014/chart" uri="{C3380CC4-5D6E-409C-BE32-E72D297353CC}">
              <c16:uniqueId val="{00000001-13A8-429C-A9F3-91EB59D19E49}"/>
            </c:ext>
          </c:extLst>
        </c:ser>
        <c:ser>
          <c:idx val="1"/>
          <c:order val="1"/>
          <c:tx>
            <c:strRef>
              <c:f>Graphs!$S$237</c:f>
              <c:strCache>
                <c:ptCount val="1"/>
                <c:pt idx="0">
                  <c:v>Q2</c:v>
                </c:pt>
              </c:strCache>
            </c:strRef>
          </c:tx>
          <c:spPr>
            <a:solidFill>
              <a:schemeClr val="tx1">
                <a:lumMod val="50000"/>
                <a:lumOff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Graphs!$Q$238:$Q$242</c:f>
              <c:numCache>
                <c:formatCode>General</c:formatCode>
                <c:ptCount val="5"/>
                <c:pt idx="0">
                  <c:v>0</c:v>
                </c:pt>
                <c:pt idx="1">
                  <c:v>0</c:v>
                </c:pt>
                <c:pt idx="2">
                  <c:v>0</c:v>
                </c:pt>
                <c:pt idx="3">
                  <c:v>0</c:v>
                </c:pt>
                <c:pt idx="4">
                  <c:v>0</c:v>
                </c:pt>
              </c:numCache>
            </c:numRef>
          </c:cat>
          <c:val>
            <c:numRef>
              <c:f>Graphs!$S$238:$S$242</c:f>
              <c:numCache>
                <c:formatCode>0%</c:formatCode>
                <c:ptCount val="5"/>
                <c:pt idx="0">
                  <c:v>0.74942372749815545</c:v>
                </c:pt>
                <c:pt idx="1">
                  <c:v>0.80375265106726412</c:v>
                </c:pt>
                <c:pt idx="2">
                  <c:v>0.57800870664232551</c:v>
                </c:pt>
                <c:pt idx="3">
                  <c:v>5.9276996685221151E-3</c:v>
                </c:pt>
                <c:pt idx="4">
                  <c:v>0.45008633247986174</c:v>
                </c:pt>
              </c:numCache>
            </c:numRef>
          </c:val>
          <c:extLst xmlns:c16r2="http://schemas.microsoft.com/office/drawing/2015/06/chart">
            <c:ext xmlns:c16="http://schemas.microsoft.com/office/drawing/2014/chart" uri="{C3380CC4-5D6E-409C-BE32-E72D297353CC}">
              <c16:uniqueId val="{00000002-13A8-429C-A9F3-91EB59D19E49}"/>
            </c:ext>
          </c:extLst>
        </c:ser>
        <c:ser>
          <c:idx val="2"/>
          <c:order val="2"/>
          <c:tx>
            <c:strRef>
              <c:f>Graphs!$T$237</c:f>
              <c:strCache>
                <c:ptCount val="1"/>
                <c:pt idx="0">
                  <c:v>Q3</c:v>
                </c:pt>
              </c:strCache>
            </c:strRef>
          </c:tx>
          <c:spPr>
            <a:solidFill>
              <a:schemeClr val="accent3"/>
            </a:solidFill>
            <a:ln>
              <a:noFill/>
            </a:ln>
            <a:effectLst/>
          </c:spPr>
          <c:invertIfNegative val="0"/>
          <c:dLbls>
            <c:dLbl>
              <c:idx val="3"/>
              <c:layout>
                <c:manualLayout>
                  <c:x val="4.7222222222222221E-2"/>
                  <c:y val="0"/>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13A8-429C-A9F3-91EB59D19E49}"/>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Graphs!$Q$238:$Q$242</c:f>
              <c:numCache>
                <c:formatCode>General</c:formatCode>
                <c:ptCount val="5"/>
                <c:pt idx="0">
                  <c:v>0</c:v>
                </c:pt>
                <c:pt idx="1">
                  <c:v>0</c:v>
                </c:pt>
                <c:pt idx="2">
                  <c:v>0</c:v>
                </c:pt>
                <c:pt idx="3">
                  <c:v>0</c:v>
                </c:pt>
                <c:pt idx="4">
                  <c:v>0</c:v>
                </c:pt>
              </c:numCache>
            </c:numRef>
          </c:cat>
          <c:val>
            <c:numRef>
              <c:f>Graphs!$T$238:$T$242</c:f>
              <c:numCache>
                <c:formatCode>0%</c:formatCode>
                <c:ptCount val="5"/>
                <c:pt idx="0">
                  <c:v>0.82846365475941097</c:v>
                </c:pt>
                <c:pt idx="1">
                  <c:v>0.78547305761271513</c:v>
                </c:pt>
                <c:pt idx="2">
                  <c:v>0.65381234473533345</c:v>
                </c:pt>
                <c:pt idx="3">
                  <c:v>8.8800231928767796E-3</c:v>
                </c:pt>
                <c:pt idx="4">
                  <c:v>0.49618204150819373</c:v>
                </c:pt>
              </c:numCache>
            </c:numRef>
          </c:val>
          <c:extLst xmlns:c16r2="http://schemas.microsoft.com/office/drawing/2015/06/chart">
            <c:ext xmlns:c16="http://schemas.microsoft.com/office/drawing/2014/chart" uri="{C3380CC4-5D6E-409C-BE32-E72D297353CC}">
              <c16:uniqueId val="{00000004-13A8-429C-A9F3-91EB59D19E49}"/>
            </c:ext>
          </c:extLst>
        </c:ser>
        <c:dLbls>
          <c:showLegendKey val="0"/>
          <c:showVal val="0"/>
          <c:showCatName val="0"/>
          <c:showSerName val="0"/>
          <c:showPercent val="0"/>
          <c:showBubbleSize val="0"/>
        </c:dLbls>
        <c:gapWidth val="150"/>
        <c:overlap val="100"/>
        <c:axId val="474129936"/>
        <c:axId val="474130720"/>
      </c:barChart>
      <c:catAx>
        <c:axId val="474129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30720"/>
        <c:crosses val="autoZero"/>
        <c:auto val="1"/>
        <c:lblAlgn val="ctr"/>
        <c:lblOffset val="100"/>
        <c:noMultiLvlLbl val="0"/>
      </c:catAx>
      <c:valAx>
        <c:axId val="47413072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29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Carbon footprints in t CO</a:t>
            </a:r>
            <a:r>
              <a:rPr lang="en-US" baseline="-25000"/>
              <a:t>2</a:t>
            </a:r>
            <a:r>
              <a:rPr lang="en-US"/>
              <a:t>-e/ct:</a:t>
            </a:r>
          </a:p>
          <a:p>
            <a:pPr>
              <a:defRPr/>
            </a:pPr>
            <a:r>
              <a:rPr lang="en-US"/>
              <a:t>Q3</a:t>
            </a:r>
            <a:r>
              <a:rPr lang="en-US" baseline="0"/>
              <a:t> FY 2018 vs Q2 FY 2019</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Graphs!$B$296</c:f>
              <c:strCache>
                <c:ptCount val="1"/>
                <c:pt idx="0">
                  <c:v>Q3 FY 2018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Graphs!$A$297:$A$301</c:f>
              <c:strCache>
                <c:ptCount val="5"/>
                <c:pt idx="0">
                  <c:v>CDM</c:v>
                </c:pt>
                <c:pt idx="1">
                  <c:v>FDM</c:v>
                </c:pt>
                <c:pt idx="2">
                  <c:v>KDM</c:v>
                </c:pt>
                <c:pt idx="3">
                  <c:v>WDL</c:v>
                </c:pt>
                <c:pt idx="4">
                  <c:v>PETRA</c:v>
                </c:pt>
              </c:strCache>
            </c:strRef>
          </c:cat>
          <c:val>
            <c:numRef>
              <c:f>Graphs!$B$297:$B$301</c:f>
              <c:numCache>
                <c:formatCode>0.00</c:formatCode>
                <c:ptCount val="5"/>
                <c:pt idx="0" formatCode="General">
                  <c:v>0.13</c:v>
                </c:pt>
                <c:pt idx="1">
                  <c:v>0.1</c:v>
                </c:pt>
                <c:pt idx="2">
                  <c:v>0.4</c:v>
                </c:pt>
                <c:pt idx="3">
                  <c:v>0.1</c:v>
                </c:pt>
                <c:pt idx="4" formatCode="General">
                  <c:v>0.13</c:v>
                </c:pt>
              </c:numCache>
            </c:numRef>
          </c:val>
          <c:extLst xmlns:c16r2="http://schemas.microsoft.com/office/drawing/2015/06/chart">
            <c:ext xmlns:c16="http://schemas.microsoft.com/office/drawing/2014/chart" uri="{C3380CC4-5D6E-409C-BE32-E72D297353CC}">
              <c16:uniqueId val="{00000000-533E-4F76-A5DB-D8DD04EE3FFC}"/>
            </c:ext>
          </c:extLst>
        </c:ser>
        <c:ser>
          <c:idx val="1"/>
          <c:order val="1"/>
          <c:tx>
            <c:strRef>
              <c:f>Graphs!$C$296</c:f>
              <c:strCache>
                <c:ptCount val="1"/>
                <c:pt idx="0">
                  <c:v>Q3 fY2019</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Graphs!$A$297:$A$301</c:f>
              <c:strCache>
                <c:ptCount val="5"/>
                <c:pt idx="0">
                  <c:v>CDM</c:v>
                </c:pt>
                <c:pt idx="1">
                  <c:v>FDM</c:v>
                </c:pt>
                <c:pt idx="2">
                  <c:v>KDM</c:v>
                </c:pt>
                <c:pt idx="3">
                  <c:v>WDL</c:v>
                </c:pt>
                <c:pt idx="4">
                  <c:v>PETRA</c:v>
                </c:pt>
              </c:strCache>
            </c:strRef>
          </c:cat>
          <c:val>
            <c:numRef>
              <c:f>Graphs!$C$297:$C$301</c:f>
              <c:numCache>
                <c:formatCode>#,##0.00</c:formatCode>
                <c:ptCount val="5"/>
                <c:pt idx="0">
                  <c:v>0.13257268208928188</c:v>
                </c:pt>
                <c:pt idx="1">
                  <c:v>9.9261102921152228E-2</c:v>
                </c:pt>
                <c:pt idx="2">
                  <c:v>0.67053665847209332</c:v>
                </c:pt>
                <c:pt idx="3">
                  <c:v>0.16990156101270798</c:v>
                </c:pt>
                <c:pt idx="4">
                  <c:v>0.13257268208928188</c:v>
                </c:pt>
              </c:numCache>
            </c:numRef>
          </c:val>
          <c:extLst xmlns:c16r2="http://schemas.microsoft.com/office/drawing/2015/06/chart">
            <c:ext xmlns:c16="http://schemas.microsoft.com/office/drawing/2014/chart" uri="{C3380CC4-5D6E-409C-BE32-E72D297353CC}">
              <c16:uniqueId val="{00000001-533E-4F76-A5DB-D8DD04EE3FFC}"/>
            </c:ext>
          </c:extLst>
        </c:ser>
        <c:dLbls>
          <c:showLegendKey val="0"/>
          <c:showVal val="0"/>
          <c:showCatName val="0"/>
          <c:showSerName val="0"/>
          <c:showPercent val="0"/>
          <c:showBubbleSize val="0"/>
        </c:dLbls>
        <c:gapWidth val="150"/>
        <c:overlap val="100"/>
        <c:axId val="474405424"/>
        <c:axId val="474409736"/>
      </c:barChart>
      <c:catAx>
        <c:axId val="474405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409736"/>
        <c:crosses val="autoZero"/>
        <c:auto val="1"/>
        <c:lblAlgn val="ctr"/>
        <c:lblOffset val="100"/>
        <c:noMultiLvlLbl val="0"/>
      </c:catAx>
      <c:valAx>
        <c:axId val="474409736"/>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405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Graphs!$B$309</c:f>
              <c:strCache>
                <c:ptCount val="1"/>
                <c:pt idx="0">
                  <c:v> FY 2018</c:v>
                </c:pt>
              </c:strCache>
            </c:strRef>
          </c:tx>
          <c:spPr>
            <a:solidFill>
              <a:schemeClr val="tx1">
                <a:lumMod val="50000"/>
                <a:lumOff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Graphs!$A$310:$A$314</c:f>
              <c:strCache>
                <c:ptCount val="5"/>
                <c:pt idx="0">
                  <c:v>CDM</c:v>
                </c:pt>
                <c:pt idx="1">
                  <c:v>FDM</c:v>
                </c:pt>
                <c:pt idx="2">
                  <c:v>KDM</c:v>
                </c:pt>
                <c:pt idx="3">
                  <c:v>WDL</c:v>
                </c:pt>
                <c:pt idx="4">
                  <c:v>PETRA</c:v>
                </c:pt>
              </c:strCache>
            </c:strRef>
          </c:cat>
          <c:val>
            <c:numRef>
              <c:f>Graphs!$B$310:$B$314</c:f>
              <c:numCache>
                <c:formatCode>#\ ##0.000</c:formatCode>
                <c:ptCount val="5"/>
                <c:pt idx="0">
                  <c:v>0.14839523919284406</c:v>
                </c:pt>
                <c:pt idx="1">
                  <c:v>0.1042126128508462</c:v>
                </c:pt>
                <c:pt idx="2">
                  <c:v>0.80429417597903707</c:v>
                </c:pt>
                <c:pt idx="3">
                  <c:v>8.2113936460386075E-2</c:v>
                </c:pt>
                <c:pt idx="4">
                  <c:v>0.13259655497238751</c:v>
                </c:pt>
              </c:numCache>
            </c:numRef>
          </c:val>
          <c:extLst xmlns:c16r2="http://schemas.microsoft.com/office/drawing/2015/06/chart">
            <c:ext xmlns:c16="http://schemas.microsoft.com/office/drawing/2014/chart" uri="{C3380CC4-5D6E-409C-BE32-E72D297353CC}">
              <c16:uniqueId val="{00000000-9739-4181-98BB-BF8F19C0E65A}"/>
            </c:ext>
          </c:extLst>
        </c:ser>
        <c:ser>
          <c:idx val="1"/>
          <c:order val="1"/>
          <c:tx>
            <c:strRef>
              <c:f>Graphs!$C$309</c:f>
              <c:strCache>
                <c:ptCount val="1"/>
                <c:pt idx="0">
                  <c:v> FY 2019</c:v>
                </c:pt>
              </c:strCache>
            </c:strRef>
          </c:tx>
          <c:spPr>
            <a:solidFill>
              <a:schemeClr val="tx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Graphs!$A$310:$A$314</c:f>
              <c:strCache>
                <c:ptCount val="5"/>
                <c:pt idx="0">
                  <c:v>CDM</c:v>
                </c:pt>
                <c:pt idx="1">
                  <c:v>FDM</c:v>
                </c:pt>
                <c:pt idx="2">
                  <c:v>KDM</c:v>
                </c:pt>
                <c:pt idx="3">
                  <c:v>WDL</c:v>
                </c:pt>
                <c:pt idx="4">
                  <c:v>PETRA</c:v>
                </c:pt>
              </c:strCache>
            </c:strRef>
          </c:cat>
          <c:val>
            <c:numRef>
              <c:f>Graphs!$C$310:$C$314</c:f>
              <c:numCache>
                <c:formatCode>#\ ##0.000</c:formatCode>
                <c:ptCount val="5"/>
                <c:pt idx="0">
                  <c:v>0</c:v>
                </c:pt>
                <c:pt idx="1">
                  <c:v>0</c:v>
                </c:pt>
                <c:pt idx="2">
                  <c:v>0</c:v>
                </c:pt>
                <c:pt idx="3">
                  <c:v>0</c:v>
                </c:pt>
                <c:pt idx="4">
                  <c:v>0.124</c:v>
                </c:pt>
              </c:numCache>
            </c:numRef>
          </c:val>
          <c:extLst xmlns:c16r2="http://schemas.microsoft.com/office/drawing/2015/06/chart">
            <c:ext xmlns:c16="http://schemas.microsoft.com/office/drawing/2014/chart" uri="{C3380CC4-5D6E-409C-BE32-E72D297353CC}">
              <c16:uniqueId val="{00000001-9739-4181-98BB-BF8F19C0E65A}"/>
            </c:ext>
          </c:extLst>
        </c:ser>
        <c:dLbls>
          <c:showLegendKey val="0"/>
          <c:showVal val="0"/>
          <c:showCatName val="0"/>
          <c:showSerName val="0"/>
          <c:showPercent val="0"/>
          <c:showBubbleSize val="0"/>
        </c:dLbls>
        <c:gapWidth val="48"/>
        <c:axId val="474403072"/>
        <c:axId val="474408168"/>
      </c:barChart>
      <c:catAx>
        <c:axId val="47440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408168"/>
        <c:crosses val="autoZero"/>
        <c:auto val="1"/>
        <c:lblAlgn val="ctr"/>
        <c:lblOffset val="100"/>
        <c:noMultiLvlLbl val="0"/>
      </c:catAx>
      <c:valAx>
        <c:axId val="474408168"/>
        <c:scaling>
          <c:orientation val="minMax"/>
        </c:scaling>
        <c:delete val="1"/>
        <c:axPos val="l"/>
        <c:majorGridlines>
          <c:spPr>
            <a:ln w="9525" cap="flat" cmpd="sng" algn="ctr">
              <a:noFill/>
              <a:round/>
            </a:ln>
            <a:effectLst/>
          </c:spPr>
        </c:majorGridlines>
        <c:numFmt formatCode="#\ ##0.000" sourceLinked="1"/>
        <c:majorTickMark val="none"/>
        <c:minorTickMark val="none"/>
        <c:tickLblPos val="nextTo"/>
        <c:crossAx val="474403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GHGemission trends :FY 2017-FY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Graphs!$S$177</c:f>
              <c:strCache>
                <c:ptCount val="1"/>
                <c:pt idx="0">
                  <c:v>tCO2-e/ct</c:v>
                </c:pt>
              </c:strCache>
            </c:strRef>
          </c:tx>
          <c:spPr>
            <a:ln w="28575" cap="rnd">
              <a:solidFill>
                <a:schemeClr val="accent1"/>
              </a:solidFill>
              <a:round/>
            </a:ln>
            <a:effectLst/>
          </c:spPr>
          <c:marker>
            <c:symbol val="none"/>
          </c:marker>
          <c:cat>
            <c:strRef>
              <c:f>Graphs!$R$178:$R$180</c:f>
              <c:strCache>
                <c:ptCount val="3"/>
                <c:pt idx="0">
                  <c:v>FY 2017</c:v>
                </c:pt>
                <c:pt idx="1">
                  <c:v>FY2018</c:v>
                </c:pt>
                <c:pt idx="2">
                  <c:v>FY 2019</c:v>
                </c:pt>
              </c:strCache>
            </c:strRef>
          </c:cat>
          <c:val>
            <c:numRef>
              <c:f>Graphs!$S$178:$S$180</c:f>
              <c:numCache>
                <c:formatCode>0.000</c:formatCode>
                <c:ptCount val="3"/>
                <c:pt idx="0">
                  <c:v>0.15157373632351234</c:v>
                </c:pt>
                <c:pt idx="1">
                  <c:v>0.13102697148069151</c:v>
                </c:pt>
                <c:pt idx="2">
                  <c:v>0.13362301325638104</c:v>
                </c:pt>
              </c:numCache>
            </c:numRef>
          </c:val>
          <c:smooth val="0"/>
          <c:extLst xmlns:c16r2="http://schemas.microsoft.com/office/drawing/2015/06/chart">
            <c:ext xmlns:c16="http://schemas.microsoft.com/office/drawing/2014/chart" uri="{C3380CC4-5D6E-409C-BE32-E72D297353CC}">
              <c16:uniqueId val="{00000000-6364-463E-9BBA-C2113F758F07}"/>
            </c:ext>
          </c:extLst>
        </c:ser>
        <c:ser>
          <c:idx val="1"/>
          <c:order val="1"/>
          <c:tx>
            <c:strRef>
              <c:f>Graphs!$T$177</c:f>
              <c:strCache>
                <c:ptCount val="1"/>
                <c:pt idx="0">
                  <c:v>tCO2-e/t</c:v>
                </c:pt>
              </c:strCache>
            </c:strRef>
          </c:tx>
          <c:spPr>
            <a:ln w="28575" cap="rnd">
              <a:solidFill>
                <a:schemeClr val="accent2"/>
              </a:solidFill>
              <a:round/>
            </a:ln>
            <a:effectLst/>
          </c:spPr>
          <c:marker>
            <c:symbol val="none"/>
          </c:marker>
          <c:cat>
            <c:strRef>
              <c:f>Graphs!$R$178:$R$180</c:f>
              <c:strCache>
                <c:ptCount val="3"/>
                <c:pt idx="0">
                  <c:v>FY 2017</c:v>
                </c:pt>
                <c:pt idx="1">
                  <c:v>FY2018</c:v>
                </c:pt>
                <c:pt idx="2">
                  <c:v>FY 2019</c:v>
                </c:pt>
              </c:strCache>
            </c:strRef>
          </c:cat>
          <c:val>
            <c:numRef>
              <c:f>Graphs!$T$178:$T$180</c:f>
              <c:numCache>
                <c:formatCode>0.000</c:formatCode>
                <c:ptCount val="3"/>
                <c:pt idx="0">
                  <c:v>3.1655246207288684E-2</c:v>
                </c:pt>
                <c:pt idx="1">
                  <c:v>2.8023602035699775E-2</c:v>
                </c:pt>
                <c:pt idx="2">
                  <c:v>3.8878210570624828E-2</c:v>
                </c:pt>
              </c:numCache>
            </c:numRef>
          </c:val>
          <c:smooth val="0"/>
          <c:extLst xmlns:c16r2="http://schemas.microsoft.com/office/drawing/2015/06/chart">
            <c:ext xmlns:c16="http://schemas.microsoft.com/office/drawing/2014/chart" uri="{C3380CC4-5D6E-409C-BE32-E72D297353CC}">
              <c16:uniqueId val="{00000001-6364-463E-9BBA-C2113F758F07}"/>
            </c:ext>
          </c:extLst>
        </c:ser>
        <c:ser>
          <c:idx val="2"/>
          <c:order val="2"/>
          <c:tx>
            <c:strRef>
              <c:f>Graphs!$U$177</c:f>
              <c:strCache>
                <c:ptCount val="1"/>
                <c:pt idx="0">
                  <c:v>tCO2-e/USD</c:v>
                </c:pt>
              </c:strCache>
            </c:strRef>
          </c:tx>
          <c:spPr>
            <a:ln w="28575" cap="rnd">
              <a:solidFill>
                <a:schemeClr val="accent3"/>
              </a:solidFill>
              <a:round/>
            </a:ln>
            <a:effectLst/>
          </c:spPr>
          <c:marker>
            <c:symbol val="none"/>
          </c:marker>
          <c:cat>
            <c:strRef>
              <c:f>Graphs!$R$178:$R$180</c:f>
              <c:strCache>
                <c:ptCount val="3"/>
                <c:pt idx="0">
                  <c:v>FY 2017</c:v>
                </c:pt>
                <c:pt idx="1">
                  <c:v>FY2018</c:v>
                </c:pt>
                <c:pt idx="2">
                  <c:v>FY 2019</c:v>
                </c:pt>
              </c:strCache>
            </c:strRef>
          </c:cat>
          <c:val>
            <c:numRef>
              <c:f>Graphs!$U$178:$U$180</c:f>
              <c:numCache>
                <c:formatCode>0.0000</c:formatCode>
                <c:ptCount val="3"/>
                <c:pt idx="0">
                  <c:v>1.2999999999999999E-3</c:v>
                </c:pt>
                <c:pt idx="1">
                  <c:v>1.1000000000000001E-3</c:v>
                </c:pt>
                <c:pt idx="2">
                  <c:v>1E-3</c:v>
                </c:pt>
              </c:numCache>
            </c:numRef>
          </c:val>
          <c:smooth val="0"/>
          <c:extLst xmlns:c16r2="http://schemas.microsoft.com/office/drawing/2015/06/chart">
            <c:ext xmlns:c16="http://schemas.microsoft.com/office/drawing/2014/chart" uri="{C3380CC4-5D6E-409C-BE32-E72D297353CC}">
              <c16:uniqueId val="{00000002-6364-463E-9BBA-C2113F758F07}"/>
            </c:ext>
          </c:extLst>
        </c:ser>
        <c:dLbls>
          <c:showLegendKey val="0"/>
          <c:showVal val="0"/>
          <c:showCatName val="0"/>
          <c:showSerName val="0"/>
          <c:showPercent val="0"/>
          <c:showBubbleSize val="0"/>
        </c:dLbls>
        <c:smooth val="0"/>
        <c:axId val="474408560"/>
        <c:axId val="474407776"/>
      </c:lineChart>
      <c:catAx>
        <c:axId val="47440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407776"/>
        <c:crosses val="autoZero"/>
        <c:auto val="1"/>
        <c:lblAlgn val="ctr"/>
        <c:lblOffset val="100"/>
        <c:noMultiLvlLbl val="0"/>
      </c:catAx>
      <c:valAx>
        <c:axId val="47440777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408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8888888888889E-2"/>
          <c:y val="0.20846335697399526"/>
          <c:w val="0.93888888888888888"/>
          <c:h val="0.6067925020010797"/>
        </c:manualLayout>
      </c:layout>
      <c:barChart>
        <c:barDir val="col"/>
        <c:grouping val="clustered"/>
        <c:varyColors val="0"/>
        <c:ser>
          <c:idx val="0"/>
          <c:order val="0"/>
          <c:tx>
            <c:strRef>
              <c:f>Graphs!$AF$176</c:f>
              <c:strCache>
                <c:ptCount val="1"/>
                <c:pt idx="0">
                  <c:v>Scope 1</c:v>
                </c:pt>
              </c:strCache>
            </c:strRef>
          </c:tx>
          <c:spPr>
            <a:solidFill>
              <a:schemeClr val="bg1">
                <a:lumMod val="65000"/>
              </a:schemeClr>
            </a:solidFill>
            <a:ln>
              <a:noFill/>
            </a:ln>
            <a:effectLst/>
          </c:spPr>
          <c:invertIfNegative val="0"/>
          <c:dLbls>
            <c:dLbl>
              <c:idx val="3"/>
              <c:layout>
                <c:manualLayout>
                  <c:x val="0"/>
                  <c:y val="-3.7825059101654845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0-47B1-476A-BDA7-E70EF73F2734}"/>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Graphs!$AE$177:$AE$182</c:f>
              <c:strCache>
                <c:ptCount val="6"/>
                <c:pt idx="0">
                  <c:v>CDM</c:v>
                </c:pt>
                <c:pt idx="1">
                  <c:v>FDM</c:v>
                </c:pt>
                <c:pt idx="2">
                  <c:v>KDM</c:v>
                </c:pt>
                <c:pt idx="3">
                  <c:v>WDL</c:v>
                </c:pt>
                <c:pt idx="4">
                  <c:v>PDSA/LONDON</c:v>
                </c:pt>
                <c:pt idx="5">
                  <c:v>PETRA</c:v>
                </c:pt>
              </c:strCache>
            </c:strRef>
          </c:cat>
          <c:val>
            <c:numRef>
              <c:f>Graphs!$AF$177:$AF$182</c:f>
              <c:numCache>
                <c:formatCode>#,##0</c:formatCode>
                <c:ptCount val="6"/>
                <c:pt idx="0">
                  <c:v>6578.3609926839099</c:v>
                </c:pt>
                <c:pt idx="1">
                  <c:v>6026.5007256605631</c:v>
                </c:pt>
                <c:pt idx="2">
                  <c:v>1902.4859576822857</c:v>
                </c:pt>
                <c:pt idx="3">
                  <c:v>12997.668556735862</c:v>
                </c:pt>
                <c:pt idx="4">
                  <c:v>291.43361510670542</c:v>
                </c:pt>
                <c:pt idx="5">
                  <c:v>27796.449847869328</c:v>
                </c:pt>
              </c:numCache>
            </c:numRef>
          </c:val>
          <c:extLst xmlns:c16r2="http://schemas.microsoft.com/office/drawing/2015/06/chart">
            <c:ext xmlns:c16="http://schemas.microsoft.com/office/drawing/2014/chart" uri="{C3380CC4-5D6E-409C-BE32-E72D297353CC}">
              <c16:uniqueId val="{00000001-47B1-476A-BDA7-E70EF73F2734}"/>
            </c:ext>
          </c:extLst>
        </c:ser>
        <c:ser>
          <c:idx val="1"/>
          <c:order val="1"/>
          <c:tx>
            <c:strRef>
              <c:f>Graphs!$AG$176</c:f>
              <c:strCache>
                <c:ptCount val="1"/>
                <c:pt idx="0">
                  <c:v>Scope 2</c:v>
                </c:pt>
              </c:strCache>
            </c:strRef>
          </c:tx>
          <c:spPr>
            <a:solidFill>
              <a:schemeClr val="tx2"/>
            </a:solidFill>
            <a:ln w="9525">
              <a:solidFill>
                <a:schemeClr val="tx1">
                  <a:lumMod val="15000"/>
                  <a:lumOff val="85000"/>
                  <a:alpha val="34000"/>
                </a:schemeClr>
              </a:solidFill>
            </a:ln>
            <a:effectLst/>
          </c:spPr>
          <c:invertIfNegative val="0"/>
          <c:dLbls>
            <c:dLbl>
              <c:idx val="3"/>
              <c:layout>
                <c:manualLayout>
                  <c:x val="1.1111111111111112E-2"/>
                  <c:y val="-8.668142575673187E-17"/>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47B1-476A-BDA7-E70EF73F2734}"/>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Graphs!$AE$177:$AE$182</c:f>
              <c:strCache>
                <c:ptCount val="6"/>
                <c:pt idx="0">
                  <c:v>CDM</c:v>
                </c:pt>
                <c:pt idx="1">
                  <c:v>FDM</c:v>
                </c:pt>
                <c:pt idx="2">
                  <c:v>KDM</c:v>
                </c:pt>
                <c:pt idx="3">
                  <c:v>WDL</c:v>
                </c:pt>
                <c:pt idx="4">
                  <c:v>PDSA/LONDON</c:v>
                </c:pt>
                <c:pt idx="5">
                  <c:v>PETRA</c:v>
                </c:pt>
              </c:strCache>
            </c:strRef>
          </c:cat>
          <c:val>
            <c:numRef>
              <c:f>Graphs!$AG$177:$AG$182</c:f>
              <c:numCache>
                <c:formatCode>#,##0</c:formatCode>
                <c:ptCount val="6"/>
                <c:pt idx="0">
                  <c:v>208652.62260960002</c:v>
                </c:pt>
                <c:pt idx="1">
                  <c:v>173719.28098107025</c:v>
                </c:pt>
                <c:pt idx="2">
                  <c:v>45431.630815999997</c:v>
                </c:pt>
                <c:pt idx="3">
                  <c:v>23644.038812775983</c:v>
                </c:pt>
                <c:pt idx="4">
                  <c:v>352.50122720000002</c:v>
                </c:pt>
                <c:pt idx="5">
                  <c:v>451800.07444664621</c:v>
                </c:pt>
              </c:numCache>
            </c:numRef>
          </c:val>
          <c:extLst xmlns:c16r2="http://schemas.microsoft.com/office/drawing/2015/06/chart">
            <c:ext xmlns:c16="http://schemas.microsoft.com/office/drawing/2014/chart" uri="{C3380CC4-5D6E-409C-BE32-E72D297353CC}">
              <c16:uniqueId val="{00000003-47B1-476A-BDA7-E70EF73F2734}"/>
            </c:ext>
          </c:extLst>
        </c:ser>
        <c:dLbls>
          <c:showLegendKey val="0"/>
          <c:showVal val="0"/>
          <c:showCatName val="0"/>
          <c:showSerName val="0"/>
          <c:showPercent val="0"/>
          <c:showBubbleSize val="0"/>
        </c:dLbls>
        <c:gapWidth val="91"/>
        <c:axId val="474404640"/>
        <c:axId val="474405816"/>
      </c:barChart>
      <c:catAx>
        <c:axId val="47440464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405816"/>
        <c:crosses val="autoZero"/>
        <c:auto val="0"/>
        <c:lblAlgn val="ctr"/>
        <c:lblOffset val="100"/>
        <c:noMultiLvlLbl val="0"/>
      </c:catAx>
      <c:valAx>
        <c:axId val="474405816"/>
        <c:scaling>
          <c:orientation val="minMax"/>
        </c:scaling>
        <c:delete val="1"/>
        <c:axPos val="l"/>
        <c:numFmt formatCode="#,##0" sourceLinked="1"/>
        <c:majorTickMark val="none"/>
        <c:minorTickMark val="none"/>
        <c:tickLblPos val="nextTo"/>
        <c:crossAx val="474404640"/>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127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504990410847897"/>
          <c:y val="0.16245370370370371"/>
          <c:w val="0.83495009589152103"/>
          <c:h val="0.61498432487605714"/>
        </c:manualLayout>
      </c:layout>
      <c:barChart>
        <c:barDir val="col"/>
        <c:grouping val="clustered"/>
        <c:varyColors val="0"/>
        <c:ser>
          <c:idx val="0"/>
          <c:order val="0"/>
          <c:tx>
            <c:strRef>
              <c:f>Waste!$C$128</c:f>
              <c:strCache>
                <c:ptCount val="1"/>
                <c:pt idx="0">
                  <c:v>Q1</c:v>
                </c:pt>
              </c:strCache>
            </c:strRef>
          </c:tx>
          <c:spPr>
            <a:solidFill>
              <a:schemeClr val="accent1"/>
            </a:solidFill>
            <a:ln>
              <a:noFill/>
            </a:ln>
            <a:effectLst/>
            <a:scene3d>
              <a:camera prst="orthographicFront"/>
              <a:lightRig rig="threePt" dir="t"/>
            </a:scene3d>
            <a:sp3d>
              <a:bevelT prst="angle"/>
            </a:sp3d>
          </c:spPr>
          <c:invertIfNegative val="0"/>
          <c:cat>
            <c:strRef>
              <c:f>Waste!$B$129:$B$134</c:f>
              <c:strCache>
                <c:ptCount val="6"/>
                <c:pt idx="0">
                  <c:v>CDM</c:v>
                </c:pt>
                <c:pt idx="1">
                  <c:v>FDM</c:v>
                </c:pt>
                <c:pt idx="2">
                  <c:v>KDM</c:v>
                </c:pt>
                <c:pt idx="3">
                  <c:v>KUM</c:v>
                </c:pt>
                <c:pt idx="4">
                  <c:v>WDL</c:v>
                </c:pt>
                <c:pt idx="5">
                  <c:v>GROUP</c:v>
                </c:pt>
              </c:strCache>
            </c:strRef>
          </c:cat>
          <c:val>
            <c:numRef>
              <c:f>Waste!$C$129:$C$134</c:f>
              <c:numCache>
                <c:formatCode>_(* #,##0.00_);_(* \(#,##0.00\);_(* "-"??_);_(@_)</c:formatCode>
                <c:ptCount val="6"/>
                <c:pt idx="0">
                  <c:v>497.50740000000002</c:v>
                </c:pt>
                <c:pt idx="1">
                  <c:v>380.40630000000004</c:v>
                </c:pt>
                <c:pt idx="2">
                  <c:v>0</c:v>
                </c:pt>
                <c:pt idx="3">
                  <c:v>0</c:v>
                </c:pt>
                <c:pt idx="4">
                  <c:v>0</c:v>
                </c:pt>
                <c:pt idx="5">
                  <c:v>1688.75225</c:v>
                </c:pt>
              </c:numCache>
            </c:numRef>
          </c:val>
          <c:extLst xmlns:c16r2="http://schemas.microsoft.com/office/drawing/2015/06/chart">
            <c:ext xmlns:c16="http://schemas.microsoft.com/office/drawing/2014/chart" uri="{C3380CC4-5D6E-409C-BE32-E72D297353CC}">
              <c16:uniqueId val="{00000000-AB1A-419C-BC53-88624AFCF25D}"/>
            </c:ext>
          </c:extLst>
        </c:ser>
        <c:ser>
          <c:idx val="1"/>
          <c:order val="1"/>
          <c:tx>
            <c:strRef>
              <c:f>Waste!$D$128</c:f>
              <c:strCache>
                <c:ptCount val="1"/>
                <c:pt idx="0">
                  <c:v>Q2</c:v>
                </c:pt>
              </c:strCache>
            </c:strRef>
          </c:tx>
          <c:spPr>
            <a:solidFill>
              <a:schemeClr val="accent5">
                <a:lumMod val="60000"/>
                <a:lumOff val="40000"/>
              </a:schemeClr>
            </a:solidFill>
            <a:ln>
              <a:noFill/>
            </a:ln>
            <a:effectLst/>
            <a:scene3d>
              <a:camera prst="orthographicFront"/>
              <a:lightRig rig="threePt" dir="t"/>
            </a:scene3d>
            <a:sp3d>
              <a:bevelT w="114300" prst="angle"/>
            </a:sp3d>
          </c:spPr>
          <c:invertIfNegative val="0"/>
          <c:cat>
            <c:strRef>
              <c:f>Waste!$B$129:$B$134</c:f>
              <c:strCache>
                <c:ptCount val="6"/>
                <c:pt idx="0">
                  <c:v>CDM</c:v>
                </c:pt>
                <c:pt idx="1">
                  <c:v>FDM</c:v>
                </c:pt>
                <c:pt idx="2">
                  <c:v>KDM</c:v>
                </c:pt>
                <c:pt idx="3">
                  <c:v>KUM</c:v>
                </c:pt>
                <c:pt idx="4">
                  <c:v>WDL</c:v>
                </c:pt>
                <c:pt idx="5">
                  <c:v>GROUP</c:v>
                </c:pt>
              </c:strCache>
            </c:strRef>
          </c:cat>
          <c:val>
            <c:numRef>
              <c:f>Waste!$D$129:$D$134</c:f>
              <c:numCache>
                <c:formatCode>General</c:formatCode>
                <c:ptCount val="6"/>
                <c:pt idx="0">
                  <c:v>541.51</c:v>
                </c:pt>
                <c:pt idx="1">
                  <c:v>4225.6000000000004</c:v>
                </c:pt>
                <c:pt idx="2">
                  <c:v>254.2</c:v>
                </c:pt>
                <c:pt idx="3">
                  <c:v>92.85</c:v>
                </c:pt>
                <c:pt idx="4">
                  <c:v>115.15</c:v>
                </c:pt>
                <c:pt idx="5" formatCode="_(* #,##0.00_);_(* \(#,##0.00\);_(* &quot;-&quot;??_);_(@_)">
                  <c:v>1474.5638049999998</c:v>
                </c:pt>
              </c:numCache>
            </c:numRef>
          </c:val>
          <c:extLst xmlns:c16r2="http://schemas.microsoft.com/office/drawing/2015/06/chart">
            <c:ext xmlns:c16="http://schemas.microsoft.com/office/drawing/2014/chart" uri="{C3380CC4-5D6E-409C-BE32-E72D297353CC}">
              <c16:uniqueId val="{00000001-AB1A-419C-BC53-88624AFCF25D}"/>
            </c:ext>
          </c:extLst>
        </c:ser>
        <c:ser>
          <c:idx val="2"/>
          <c:order val="2"/>
          <c:tx>
            <c:strRef>
              <c:f>Waste!$E$128</c:f>
              <c:strCache>
                <c:ptCount val="1"/>
                <c:pt idx="0">
                  <c:v>Q3</c:v>
                </c:pt>
              </c:strCache>
            </c:strRef>
          </c:tx>
          <c:spPr>
            <a:solidFill>
              <a:schemeClr val="accent5">
                <a:lumMod val="75000"/>
              </a:schemeClr>
            </a:solidFill>
            <a:ln>
              <a:noFill/>
            </a:ln>
            <a:effectLst/>
            <a:scene3d>
              <a:camera prst="orthographicFront"/>
              <a:lightRig rig="threePt" dir="t"/>
            </a:scene3d>
            <a:sp3d>
              <a:bevelT prst="angle"/>
            </a:sp3d>
          </c:spPr>
          <c:invertIfNegative val="0"/>
          <c:cat>
            <c:strRef>
              <c:f>Waste!$B$129:$B$134</c:f>
              <c:strCache>
                <c:ptCount val="6"/>
                <c:pt idx="0">
                  <c:v>CDM</c:v>
                </c:pt>
                <c:pt idx="1">
                  <c:v>FDM</c:v>
                </c:pt>
                <c:pt idx="2">
                  <c:v>KDM</c:v>
                </c:pt>
                <c:pt idx="3">
                  <c:v>KUM</c:v>
                </c:pt>
                <c:pt idx="4">
                  <c:v>WDL</c:v>
                </c:pt>
                <c:pt idx="5">
                  <c:v>GROUP</c:v>
                </c:pt>
              </c:strCache>
            </c:strRef>
          </c:cat>
          <c:val>
            <c:numRef>
              <c:f>Waste!$E$129:$E$134</c:f>
              <c:numCache>
                <c:formatCode>_(* #,##0.00_);_(* \(#,##0.00\);_(* "-"??_);_(@_)</c:formatCode>
                <c:ptCount val="6"/>
                <c:pt idx="0">
                  <c:v>531.2978999999998</c:v>
                </c:pt>
                <c:pt idx="1">
                  <c:v>199.57399999999998</c:v>
                </c:pt>
                <c:pt idx="2">
                  <c:v>0</c:v>
                </c:pt>
                <c:pt idx="3">
                  <c:v>0</c:v>
                </c:pt>
                <c:pt idx="4" formatCode="General">
                  <c:v>99.85</c:v>
                </c:pt>
                <c:pt idx="5" formatCode="General">
                  <c:v>5698.25</c:v>
                </c:pt>
              </c:numCache>
            </c:numRef>
          </c:val>
          <c:extLst xmlns:c16r2="http://schemas.microsoft.com/office/drawing/2015/06/chart">
            <c:ext xmlns:c16="http://schemas.microsoft.com/office/drawing/2014/chart" uri="{C3380CC4-5D6E-409C-BE32-E72D297353CC}">
              <c16:uniqueId val="{00000002-AB1A-419C-BC53-88624AFCF25D}"/>
            </c:ext>
          </c:extLst>
        </c:ser>
        <c:dLbls>
          <c:showLegendKey val="0"/>
          <c:showVal val="0"/>
          <c:showCatName val="0"/>
          <c:showSerName val="0"/>
          <c:showPercent val="0"/>
          <c:showBubbleSize val="0"/>
        </c:dLbls>
        <c:gapWidth val="219"/>
        <c:overlap val="-27"/>
        <c:axId val="453736624"/>
        <c:axId val="453739368"/>
      </c:barChart>
      <c:catAx>
        <c:axId val="453736624"/>
        <c:scaling>
          <c:orientation val="minMax"/>
        </c:scaling>
        <c:delete val="0"/>
        <c:axPos val="b"/>
        <c:numFmt formatCode="General" sourceLinked="1"/>
        <c:majorTickMark val="out"/>
        <c:minorTickMark val="none"/>
        <c:tickLblPos val="nextTo"/>
        <c:spPr>
          <a:noFill/>
          <a:ln w="9525" cap="flat" cmpd="sng" algn="ctr">
            <a:solidFill>
              <a:schemeClr val="tx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739368"/>
        <c:crosses val="autoZero"/>
        <c:auto val="1"/>
        <c:lblAlgn val="ctr"/>
        <c:lblOffset val="100"/>
        <c:noMultiLvlLbl val="0"/>
      </c:catAx>
      <c:valAx>
        <c:axId val="453739368"/>
        <c:scaling>
          <c:orientation val="minMax"/>
        </c:scaling>
        <c:delete val="0"/>
        <c:axPos val="l"/>
        <c:majorGridlines>
          <c:spPr>
            <a:ln w="9525" cap="flat" cmpd="sng" algn="ctr">
              <a:solidFill>
                <a:schemeClr val="accent1"/>
              </a:solidFill>
              <a:round/>
            </a:ln>
            <a:effectLst/>
          </c:spPr>
        </c:majorGridlines>
        <c:numFmt formatCode="_(* #,##0.00_);_(* \(#,##0.00\);_(* &quot;-&quot;??_);_(@_)" sourceLinked="1"/>
        <c:majorTickMark val="out"/>
        <c:minorTickMark val="none"/>
        <c:tickLblPos val="nextTo"/>
        <c:spPr>
          <a:noFill/>
          <a:ln>
            <a:solidFill>
              <a:schemeClr val="tx2"/>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736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 Sc 1 and Sc 2 emissions FY 2015-FY 2019- 10</a:t>
            </a:r>
            <a:r>
              <a:rPr lang="en-ZA" baseline="30000"/>
              <a:t>3</a:t>
            </a:r>
            <a:r>
              <a:rPr lang="en-ZA"/>
              <a:t>tCO</a:t>
            </a:r>
            <a:r>
              <a:rPr lang="en-ZA" baseline="-25000"/>
              <a:t>2</a:t>
            </a:r>
            <a:r>
              <a:rPr lang="en-ZA"/>
              <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Graphs!$AK$201</c:f>
              <c:strCache>
                <c:ptCount val="1"/>
                <c:pt idx="0">
                  <c:v>Scope 1</c:v>
                </c:pt>
              </c:strCache>
            </c:strRef>
          </c:tx>
          <c:spPr>
            <a:solidFill>
              <a:schemeClr val="tx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Graphs!$AJ$202:$AJ$206</c:f>
              <c:strCache>
                <c:ptCount val="5"/>
                <c:pt idx="0">
                  <c:v>FY 2015</c:v>
                </c:pt>
                <c:pt idx="1">
                  <c:v>FY 2016</c:v>
                </c:pt>
                <c:pt idx="2">
                  <c:v>FY 2017</c:v>
                </c:pt>
                <c:pt idx="3">
                  <c:v>FY 2018</c:v>
                </c:pt>
                <c:pt idx="4">
                  <c:v>FY 2019</c:v>
                </c:pt>
              </c:strCache>
            </c:strRef>
          </c:cat>
          <c:val>
            <c:numRef>
              <c:f>Graphs!$AK$202:$AK$206</c:f>
              <c:numCache>
                <c:formatCode>General</c:formatCode>
                <c:ptCount val="5"/>
                <c:pt idx="0">
                  <c:v>55</c:v>
                </c:pt>
                <c:pt idx="1">
                  <c:v>44</c:v>
                </c:pt>
                <c:pt idx="2">
                  <c:v>53</c:v>
                </c:pt>
                <c:pt idx="3">
                  <c:v>50</c:v>
                </c:pt>
                <c:pt idx="4">
                  <c:v>38</c:v>
                </c:pt>
              </c:numCache>
            </c:numRef>
          </c:val>
          <c:extLst xmlns:c16r2="http://schemas.microsoft.com/office/drawing/2015/06/chart">
            <c:ext xmlns:c16="http://schemas.microsoft.com/office/drawing/2014/chart" uri="{C3380CC4-5D6E-409C-BE32-E72D297353CC}">
              <c16:uniqueId val="{00000000-99AF-43EC-B814-54D34061250D}"/>
            </c:ext>
          </c:extLst>
        </c:ser>
        <c:ser>
          <c:idx val="1"/>
          <c:order val="1"/>
          <c:tx>
            <c:strRef>
              <c:f>Graphs!$AL$201</c:f>
              <c:strCache>
                <c:ptCount val="1"/>
                <c:pt idx="0">
                  <c:v>Scope 2</c:v>
                </c:pt>
              </c:strCache>
            </c:strRef>
          </c:tx>
          <c:spPr>
            <a:solidFill>
              <a:schemeClr val="bg1">
                <a:lumMod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Graphs!$AJ$202:$AJ$206</c:f>
              <c:strCache>
                <c:ptCount val="5"/>
                <c:pt idx="0">
                  <c:v>FY 2015</c:v>
                </c:pt>
                <c:pt idx="1">
                  <c:v>FY 2016</c:v>
                </c:pt>
                <c:pt idx="2">
                  <c:v>FY 2017</c:v>
                </c:pt>
                <c:pt idx="3">
                  <c:v>FY 2018</c:v>
                </c:pt>
                <c:pt idx="4">
                  <c:v>FY 2019</c:v>
                </c:pt>
              </c:strCache>
            </c:strRef>
          </c:cat>
          <c:val>
            <c:numRef>
              <c:f>Graphs!$AL$202:$AL$206</c:f>
              <c:numCache>
                <c:formatCode>General</c:formatCode>
                <c:ptCount val="5"/>
                <c:pt idx="0">
                  <c:v>531</c:v>
                </c:pt>
                <c:pt idx="1">
                  <c:v>560</c:v>
                </c:pt>
                <c:pt idx="2">
                  <c:v>576</c:v>
                </c:pt>
                <c:pt idx="3">
                  <c:v>587</c:v>
                </c:pt>
                <c:pt idx="4">
                  <c:v>437</c:v>
                </c:pt>
              </c:numCache>
            </c:numRef>
          </c:val>
          <c:extLst xmlns:c16r2="http://schemas.microsoft.com/office/drawing/2015/06/chart">
            <c:ext xmlns:c16="http://schemas.microsoft.com/office/drawing/2014/chart" uri="{C3380CC4-5D6E-409C-BE32-E72D297353CC}">
              <c16:uniqueId val="{00000001-99AF-43EC-B814-54D34061250D}"/>
            </c:ext>
          </c:extLst>
        </c:ser>
        <c:dLbls>
          <c:showLegendKey val="0"/>
          <c:showVal val="0"/>
          <c:showCatName val="0"/>
          <c:showSerName val="0"/>
          <c:showPercent val="0"/>
          <c:showBubbleSize val="0"/>
        </c:dLbls>
        <c:gapWidth val="150"/>
        <c:overlap val="100"/>
        <c:axId val="474410520"/>
        <c:axId val="474403856"/>
      </c:barChart>
      <c:catAx>
        <c:axId val="474410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403856"/>
        <c:crosses val="autoZero"/>
        <c:auto val="1"/>
        <c:lblAlgn val="ctr"/>
        <c:lblOffset val="100"/>
        <c:noMultiLvlLbl val="0"/>
      </c:catAx>
      <c:valAx>
        <c:axId val="474403856"/>
        <c:scaling>
          <c:orientation val="minMax"/>
        </c:scaling>
        <c:delete val="1"/>
        <c:axPos val="l"/>
        <c:numFmt formatCode="General" sourceLinked="1"/>
        <c:majorTickMark val="none"/>
        <c:minorTickMark val="none"/>
        <c:tickLblPos val="nextTo"/>
        <c:crossAx val="474410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Graphs!$N$179</c:f>
              <c:strCache>
                <c:ptCount val="1"/>
                <c:pt idx="0">
                  <c:v>kWh/t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Graphs!$O$178:$Q$178</c:f>
              <c:strCache>
                <c:ptCount val="3"/>
                <c:pt idx="0">
                  <c:v>FY 2019</c:v>
                </c:pt>
                <c:pt idx="1">
                  <c:v>FY 2018 KEM-in</c:v>
                </c:pt>
                <c:pt idx="2">
                  <c:v>FY 2018 KEM-out</c:v>
                </c:pt>
              </c:strCache>
            </c:strRef>
          </c:cat>
          <c:val>
            <c:numRef>
              <c:f>Graphs!$O$179:$Q$179</c:f>
              <c:numCache>
                <c:formatCode>General</c:formatCode>
                <c:ptCount val="3"/>
                <c:pt idx="0">
                  <c:v>33.520000000000003</c:v>
                </c:pt>
                <c:pt idx="1">
                  <c:v>28.7</c:v>
                </c:pt>
                <c:pt idx="2">
                  <c:v>36.78</c:v>
                </c:pt>
              </c:numCache>
            </c:numRef>
          </c:val>
          <c:extLst xmlns:c16r2="http://schemas.microsoft.com/office/drawing/2015/06/chart">
            <c:ext xmlns:c16="http://schemas.microsoft.com/office/drawing/2014/chart" uri="{C3380CC4-5D6E-409C-BE32-E72D297353CC}">
              <c16:uniqueId val="{00000000-111D-4BE8-B426-C4A22C7CB390}"/>
            </c:ext>
          </c:extLst>
        </c:ser>
        <c:dLbls>
          <c:showLegendKey val="0"/>
          <c:showVal val="0"/>
          <c:showCatName val="0"/>
          <c:showSerName val="0"/>
          <c:showPercent val="0"/>
          <c:showBubbleSize val="0"/>
        </c:dLbls>
        <c:gapWidth val="219"/>
        <c:overlap val="-27"/>
        <c:axId val="474405032"/>
        <c:axId val="474406208"/>
      </c:barChart>
      <c:catAx>
        <c:axId val="474405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406208"/>
        <c:crosses val="autoZero"/>
        <c:auto val="1"/>
        <c:lblAlgn val="ctr"/>
        <c:lblOffset val="100"/>
        <c:noMultiLvlLbl val="0"/>
      </c:catAx>
      <c:valAx>
        <c:axId val="474406208"/>
        <c:scaling>
          <c:orientation val="minMax"/>
        </c:scaling>
        <c:delete val="1"/>
        <c:axPos val="l"/>
        <c:numFmt formatCode="General" sourceLinked="1"/>
        <c:majorTickMark val="none"/>
        <c:minorTickMark val="none"/>
        <c:tickLblPos val="nextTo"/>
        <c:crossAx val="4744050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waste recycled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
          <c:y val="0.12042834674558447"/>
          <c:w val="0.93888888888888888"/>
          <c:h val="0.52511953224830332"/>
        </c:manualLayout>
      </c:layout>
      <c:barChart>
        <c:barDir val="col"/>
        <c:grouping val="stacked"/>
        <c:varyColors val="0"/>
        <c:ser>
          <c:idx val="0"/>
          <c:order val="0"/>
          <c:tx>
            <c:strRef>
              <c:f>Graphs!$Z$227</c:f>
              <c:strCache>
                <c:ptCount val="1"/>
                <c:pt idx="0">
                  <c:v>Q3 FY 2019</c:v>
                </c:pt>
              </c:strCache>
            </c:strRef>
          </c:tx>
          <c:spPr>
            <a:solidFill>
              <a:srgbClr val="1C5083"/>
            </a:solidFill>
            <a:ln>
              <a:noFill/>
            </a:ln>
            <a:effectLst/>
          </c:spPr>
          <c:invertIfNegative val="0"/>
          <c:dLbls>
            <c:dLbl>
              <c:idx val="3"/>
              <c:layout>
                <c:manualLayout>
                  <c:x val="0.05"/>
                  <c:y val="-1.71306325384900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Graphs!$AA$222:$AE$222</c:f>
              <c:strCache>
                <c:ptCount val="5"/>
                <c:pt idx="0">
                  <c:v>CDM</c:v>
                </c:pt>
                <c:pt idx="1">
                  <c:v>FDM</c:v>
                </c:pt>
                <c:pt idx="2">
                  <c:v>KDM</c:v>
                </c:pt>
                <c:pt idx="3">
                  <c:v>WDL</c:v>
                </c:pt>
                <c:pt idx="4">
                  <c:v>PETRA</c:v>
                </c:pt>
              </c:strCache>
            </c:strRef>
          </c:cat>
          <c:val>
            <c:numRef>
              <c:f>Graphs!$AA$227:$AE$227</c:f>
              <c:numCache>
                <c:formatCode>General</c:formatCode>
                <c:ptCount val="5"/>
                <c:pt idx="0">
                  <c:v>73</c:v>
                </c:pt>
                <c:pt idx="1">
                  <c:v>78</c:v>
                </c:pt>
                <c:pt idx="2">
                  <c:v>64</c:v>
                </c:pt>
                <c:pt idx="3">
                  <c:v>5</c:v>
                </c:pt>
                <c:pt idx="4">
                  <c:v>50</c:v>
                </c:pt>
              </c:numCache>
            </c:numRef>
          </c:val>
        </c:ser>
        <c:ser>
          <c:idx val="1"/>
          <c:order val="1"/>
          <c:tx>
            <c:strRef>
              <c:f>Graphs!$Z$228</c:f>
              <c:strCache>
                <c:ptCount val="1"/>
                <c:pt idx="0">
                  <c:v>Q3 FY 2020</c:v>
                </c:pt>
              </c:strCache>
            </c:strRef>
          </c:tx>
          <c:spPr>
            <a:solidFill>
              <a:srgbClr val="70CFF2"/>
            </a:solidFill>
            <a:ln>
              <a:noFill/>
            </a:ln>
            <a:effectLst/>
          </c:spPr>
          <c:invertIfNegative val="0"/>
          <c:dLbls>
            <c:dLbl>
              <c:idx val="3"/>
              <c:layout>
                <c:manualLayout>
                  <c:x val="0"/>
                  <c:y val="-8.5653162692449838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Graphs!$AA$222:$AE$222</c:f>
              <c:strCache>
                <c:ptCount val="5"/>
                <c:pt idx="0">
                  <c:v>CDM</c:v>
                </c:pt>
                <c:pt idx="1">
                  <c:v>FDM</c:v>
                </c:pt>
                <c:pt idx="2">
                  <c:v>KDM</c:v>
                </c:pt>
                <c:pt idx="3">
                  <c:v>WDL</c:v>
                </c:pt>
                <c:pt idx="4">
                  <c:v>PETRA</c:v>
                </c:pt>
              </c:strCache>
            </c:strRef>
          </c:cat>
          <c:val>
            <c:numRef>
              <c:f>Graphs!$AA$228:$AE$228</c:f>
              <c:numCache>
                <c:formatCode>General</c:formatCode>
                <c:ptCount val="5"/>
                <c:pt idx="0">
                  <c:v>83</c:v>
                </c:pt>
                <c:pt idx="1">
                  <c:v>79</c:v>
                </c:pt>
                <c:pt idx="2">
                  <c:v>63</c:v>
                </c:pt>
                <c:pt idx="3">
                  <c:v>1</c:v>
                </c:pt>
                <c:pt idx="4">
                  <c:v>49</c:v>
                </c:pt>
              </c:numCache>
            </c:numRef>
          </c:val>
        </c:ser>
        <c:dLbls>
          <c:showLegendKey val="0"/>
          <c:showVal val="0"/>
          <c:showCatName val="0"/>
          <c:showSerName val="0"/>
          <c:showPercent val="0"/>
          <c:showBubbleSize val="0"/>
        </c:dLbls>
        <c:gapWidth val="150"/>
        <c:overlap val="100"/>
        <c:axId val="474408952"/>
        <c:axId val="474409344"/>
      </c:barChart>
      <c:catAx>
        <c:axId val="474408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409344"/>
        <c:crosses val="autoZero"/>
        <c:auto val="1"/>
        <c:lblAlgn val="ctr"/>
        <c:lblOffset val="100"/>
        <c:noMultiLvlLbl val="0"/>
      </c:catAx>
      <c:valAx>
        <c:axId val="474409344"/>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474408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Carbon</a:t>
            </a:r>
            <a:r>
              <a:rPr lang="en-US" baseline="0"/>
              <a:t> Footprints in t CO</a:t>
            </a:r>
            <a:r>
              <a:rPr lang="en-US" baseline="-25000"/>
              <a:t>2</a:t>
            </a:r>
            <a:r>
              <a:rPr lang="en-US" baseline="0"/>
              <a:t>-e/ct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326181102362205"/>
          <c:y val="0.17171296296296298"/>
          <c:w val="0.86284930008748906"/>
          <c:h val="0.6714577865266842"/>
        </c:manualLayout>
      </c:layout>
      <c:barChart>
        <c:barDir val="bar"/>
        <c:grouping val="stacked"/>
        <c:varyColors val="0"/>
        <c:ser>
          <c:idx val="0"/>
          <c:order val="0"/>
          <c:tx>
            <c:strRef>
              <c:f>Graphs!$B$278</c:f>
              <c:strCache>
                <c:ptCount val="1"/>
                <c:pt idx="0">
                  <c:v>Q1 FY2018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60" b="0" i="0" u="none" strike="noStrike" kern="1200" baseline="0">
                    <a:solidFill>
                      <a:schemeClr val="tx1">
                        <a:lumMod val="75000"/>
                        <a:lumOff val="25000"/>
                      </a:schemeClr>
                    </a:solidFill>
                    <a:latin typeface="Calibri" panose="020F050202020403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Graphs!$A$279:$A$283</c:f>
              <c:strCache>
                <c:ptCount val="5"/>
                <c:pt idx="0">
                  <c:v>CDM</c:v>
                </c:pt>
                <c:pt idx="1">
                  <c:v>FDM</c:v>
                </c:pt>
                <c:pt idx="2">
                  <c:v>KDM</c:v>
                </c:pt>
                <c:pt idx="3">
                  <c:v>WDL</c:v>
                </c:pt>
                <c:pt idx="4">
                  <c:v>PETRA</c:v>
                </c:pt>
              </c:strCache>
            </c:strRef>
          </c:cat>
          <c:val>
            <c:numRef>
              <c:f>Graphs!$B$279:$B$283</c:f>
              <c:numCache>
                <c:formatCode>0.000</c:formatCode>
                <c:ptCount val="5"/>
                <c:pt idx="0">
                  <c:v>0.2</c:v>
                </c:pt>
                <c:pt idx="1">
                  <c:v>0.11</c:v>
                </c:pt>
                <c:pt idx="2">
                  <c:v>0.79</c:v>
                </c:pt>
                <c:pt idx="3">
                  <c:v>0.08</c:v>
                </c:pt>
                <c:pt idx="4">
                  <c:v>0.15</c:v>
                </c:pt>
              </c:numCache>
            </c:numRef>
          </c:val>
        </c:ser>
        <c:ser>
          <c:idx val="1"/>
          <c:order val="1"/>
          <c:tx>
            <c:strRef>
              <c:f>Graphs!$C$278</c:f>
              <c:strCache>
                <c:ptCount val="1"/>
                <c:pt idx="0">
                  <c:v>Q1 FY2019</c:v>
                </c:pt>
              </c:strCache>
            </c:strRef>
          </c:tx>
          <c:spPr>
            <a:solidFill>
              <a:schemeClr val="accent5">
                <a:lumMod val="75000"/>
              </a:schemeClr>
            </a:solidFill>
            <a:ln>
              <a:noFill/>
            </a:ln>
            <a:effectLst/>
          </c:spPr>
          <c:invertIfNegative val="0"/>
          <c:dLbls>
            <c:dLbl>
              <c:idx val="0"/>
              <c:layout>
                <c:manualLayout>
                  <c:x val="0"/>
                  <c:y val="-5.5555555555555643E-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2.777777777777803E-3"/>
                  <c:y val="-5.5555555555555552E-2"/>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2.777777777777803E-3"/>
                  <c:y val="-6.018518518518523E-2"/>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5.5555555555555558E-3"/>
                  <c:y val="-4.6296296296296315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Graphs!$A$279:$A$283</c:f>
              <c:strCache>
                <c:ptCount val="5"/>
                <c:pt idx="0">
                  <c:v>CDM</c:v>
                </c:pt>
                <c:pt idx="1">
                  <c:v>FDM</c:v>
                </c:pt>
                <c:pt idx="2">
                  <c:v>KDM</c:v>
                </c:pt>
                <c:pt idx="3">
                  <c:v>WDL</c:v>
                </c:pt>
                <c:pt idx="4">
                  <c:v>PETRA</c:v>
                </c:pt>
              </c:strCache>
            </c:strRef>
          </c:cat>
          <c:val>
            <c:numRef>
              <c:f>Graphs!$C$279:$C$283</c:f>
              <c:numCache>
                <c:formatCode>0.000</c:formatCode>
                <c:ptCount val="5"/>
                <c:pt idx="0">
                  <c:v>0.13</c:v>
                </c:pt>
                <c:pt idx="1">
                  <c:v>0.1</c:v>
                </c:pt>
                <c:pt idx="2">
                  <c:v>0.69</c:v>
                </c:pt>
                <c:pt idx="3">
                  <c:v>0.08</c:v>
                </c:pt>
                <c:pt idx="4">
                  <c:v>0.12</c:v>
                </c:pt>
              </c:numCache>
            </c:numRef>
          </c:val>
        </c:ser>
        <c:ser>
          <c:idx val="2"/>
          <c:order val="2"/>
          <c:tx>
            <c:strRef>
              <c:f>Graphs!$D$278</c:f>
              <c:strCache>
                <c:ptCount val="1"/>
                <c:pt idx="0">
                  <c:v>Q1 FY2020</c:v>
                </c:pt>
              </c:strCache>
            </c:strRef>
          </c:tx>
          <c:spPr>
            <a:solidFill>
              <a:schemeClr val="bg1">
                <a:lumMod val="75000"/>
              </a:schemeClr>
            </a:solidFill>
            <a:ln>
              <a:noFill/>
            </a:ln>
            <a:effectLst/>
          </c:spPr>
          <c:invertIfNegative val="0"/>
          <c:dLbls>
            <c:dLbl>
              <c:idx val="0"/>
              <c:layout>
                <c:manualLayout>
                  <c:x val="8.0555555555555561E-2"/>
                  <c:y val="2.3148148148147977E-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4.4444444444444446E-2"/>
                  <c:y val="8.4875562720133283E-17"/>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4.4444444444444467E-2"/>
                  <c:y val="9.2592592592592587E-3"/>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1.944444444444442E-2"/>
                  <c:y val="-4.2437781360066642E-17"/>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Graphs!$A$279:$A$283</c:f>
              <c:strCache>
                <c:ptCount val="5"/>
                <c:pt idx="0">
                  <c:v>CDM</c:v>
                </c:pt>
                <c:pt idx="1">
                  <c:v>FDM</c:v>
                </c:pt>
                <c:pt idx="2">
                  <c:v>KDM</c:v>
                </c:pt>
                <c:pt idx="3">
                  <c:v>WDL</c:v>
                </c:pt>
                <c:pt idx="4">
                  <c:v>PETRA</c:v>
                </c:pt>
              </c:strCache>
            </c:strRef>
          </c:cat>
          <c:val>
            <c:numRef>
              <c:f>Graphs!$D$279:$D$283</c:f>
              <c:numCache>
                <c:formatCode>0.000</c:formatCode>
                <c:ptCount val="5"/>
                <c:pt idx="0">
                  <c:v>0.13500000000000001</c:v>
                </c:pt>
                <c:pt idx="1">
                  <c:v>0.108</c:v>
                </c:pt>
                <c:pt idx="2">
                  <c:v>0.69299999999999995</c:v>
                </c:pt>
                <c:pt idx="3">
                  <c:v>7.2999999999999995E-2</c:v>
                </c:pt>
                <c:pt idx="4">
                  <c:v>0.127</c:v>
                </c:pt>
              </c:numCache>
            </c:numRef>
          </c:val>
        </c:ser>
        <c:dLbls>
          <c:showLegendKey val="0"/>
          <c:showVal val="0"/>
          <c:showCatName val="0"/>
          <c:showSerName val="0"/>
          <c:showPercent val="0"/>
          <c:showBubbleSize val="0"/>
        </c:dLbls>
        <c:gapWidth val="150"/>
        <c:overlap val="100"/>
        <c:axId val="475389992"/>
        <c:axId val="475397048"/>
      </c:barChart>
      <c:catAx>
        <c:axId val="475389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397048"/>
        <c:crosses val="autoZero"/>
        <c:auto val="1"/>
        <c:lblAlgn val="ctr"/>
        <c:lblOffset val="100"/>
        <c:noMultiLvlLbl val="0"/>
      </c:catAx>
      <c:valAx>
        <c:axId val="475397048"/>
        <c:scaling>
          <c:orientation val="minMax"/>
        </c:scaling>
        <c:delete val="1"/>
        <c:axPos val="b"/>
        <c:numFmt formatCode="0.000" sourceLinked="1"/>
        <c:majorTickMark val="none"/>
        <c:minorTickMark val="none"/>
        <c:tickLblPos val="nextTo"/>
        <c:crossAx val="475389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Carbon Footprints in t CO</a:t>
            </a:r>
            <a:r>
              <a:rPr lang="en-ZA" baseline="-25000"/>
              <a:t>2</a:t>
            </a:r>
            <a:r>
              <a:rPr lang="en-ZA"/>
              <a:t>-e/ct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Graphs!$B$265</c:f>
              <c:strCache>
                <c:ptCount val="1"/>
                <c:pt idx="0">
                  <c:v>Q2 FY 2018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Graphs!$A$266:$A$270</c:f>
              <c:strCache>
                <c:ptCount val="5"/>
                <c:pt idx="0">
                  <c:v>CDM</c:v>
                </c:pt>
                <c:pt idx="1">
                  <c:v>FDM</c:v>
                </c:pt>
                <c:pt idx="2">
                  <c:v>KDM</c:v>
                </c:pt>
                <c:pt idx="3">
                  <c:v>WDL</c:v>
                </c:pt>
                <c:pt idx="4">
                  <c:v>PETRA</c:v>
                </c:pt>
              </c:strCache>
            </c:strRef>
          </c:cat>
          <c:val>
            <c:numRef>
              <c:f>Graphs!$B$266:$B$270</c:f>
              <c:numCache>
                <c:formatCode>0.000</c:formatCode>
                <c:ptCount val="5"/>
                <c:pt idx="0">
                  <c:v>0.13</c:v>
                </c:pt>
                <c:pt idx="1">
                  <c:v>0.114</c:v>
                </c:pt>
                <c:pt idx="2">
                  <c:v>0.40200000000000002</c:v>
                </c:pt>
                <c:pt idx="3">
                  <c:v>7.6999999999999999E-2</c:v>
                </c:pt>
                <c:pt idx="4">
                  <c:v>0.13500000000000001</c:v>
                </c:pt>
              </c:numCache>
            </c:numRef>
          </c:val>
        </c:ser>
        <c:ser>
          <c:idx val="1"/>
          <c:order val="1"/>
          <c:tx>
            <c:strRef>
              <c:f>Graphs!$C$265</c:f>
              <c:strCache>
                <c:ptCount val="1"/>
                <c:pt idx="0">
                  <c:v>Q2 fY2019</c:v>
                </c:pt>
              </c:strCache>
            </c:strRef>
          </c:tx>
          <c:spPr>
            <a:solidFill>
              <a:schemeClr val="bg1">
                <a:lumMod val="65000"/>
              </a:schemeClr>
            </a:solidFill>
            <a:ln>
              <a:noFill/>
            </a:ln>
            <a:effectLst/>
          </c:spPr>
          <c:invertIfNegative val="0"/>
          <c:dLbls>
            <c:dLbl>
              <c:idx val="0"/>
              <c:layout>
                <c:manualLayout>
                  <c:x val="0"/>
                  <c:y val="-5.0925925925925923E-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0"/>
                  <c:y val="-4.1666666666666755E-2"/>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2.7777777777777523E-3"/>
                  <c:y val="-4.1666666666666664E-2"/>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2.5462668816039986E-17"/>
                  <c:y val="-4.6296296296296315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Graphs!$A$266:$A$270</c:f>
              <c:strCache>
                <c:ptCount val="5"/>
                <c:pt idx="0">
                  <c:v>CDM</c:v>
                </c:pt>
                <c:pt idx="1">
                  <c:v>FDM</c:v>
                </c:pt>
                <c:pt idx="2">
                  <c:v>KDM</c:v>
                </c:pt>
                <c:pt idx="3">
                  <c:v>WDL</c:v>
                </c:pt>
                <c:pt idx="4">
                  <c:v>PETRA</c:v>
                </c:pt>
              </c:strCache>
            </c:strRef>
          </c:cat>
          <c:val>
            <c:numRef>
              <c:f>Graphs!$C$266:$C$270</c:f>
              <c:numCache>
                <c:formatCode>0.000</c:formatCode>
                <c:ptCount val="5"/>
                <c:pt idx="0">
                  <c:v>0.14099999999999999</c:v>
                </c:pt>
                <c:pt idx="1">
                  <c:v>0.114</c:v>
                </c:pt>
                <c:pt idx="2">
                  <c:v>1.4910000000000001</c:v>
                </c:pt>
                <c:pt idx="3">
                  <c:v>7.2999999999999995E-2</c:v>
                </c:pt>
                <c:pt idx="4">
                  <c:v>0.125</c:v>
                </c:pt>
              </c:numCache>
            </c:numRef>
          </c:val>
        </c:ser>
        <c:ser>
          <c:idx val="2"/>
          <c:order val="2"/>
          <c:tx>
            <c:strRef>
              <c:f>Graphs!$D$265</c:f>
              <c:strCache>
                <c:ptCount val="1"/>
                <c:pt idx="0">
                  <c:v>Q2 FY 2020</c:v>
                </c:pt>
              </c:strCache>
            </c:strRef>
          </c:tx>
          <c:spPr>
            <a:solidFill>
              <a:schemeClr val="accent5">
                <a:lumMod val="75000"/>
              </a:schemeClr>
            </a:solidFill>
            <a:ln>
              <a:noFill/>
            </a:ln>
            <a:effectLst/>
          </c:spPr>
          <c:invertIfNegative val="0"/>
          <c:dLbls>
            <c:dLbl>
              <c:idx val="0"/>
              <c:layout>
                <c:manualLayout>
                  <c:x val="5.2777777777777805E-2"/>
                  <c:y val="-4.6296296296295444E-3"/>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4.4444444444444418E-2"/>
                  <c:y val="-8.4875562720133283E-17"/>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4.1666666666666664E-2"/>
                  <c:y val="-1.3888888888888888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Graphs!$A$266:$A$270</c:f>
              <c:strCache>
                <c:ptCount val="5"/>
                <c:pt idx="0">
                  <c:v>CDM</c:v>
                </c:pt>
                <c:pt idx="1">
                  <c:v>FDM</c:v>
                </c:pt>
                <c:pt idx="2">
                  <c:v>KDM</c:v>
                </c:pt>
                <c:pt idx="3">
                  <c:v>WDL</c:v>
                </c:pt>
                <c:pt idx="4">
                  <c:v>PETRA</c:v>
                </c:pt>
              </c:strCache>
            </c:strRef>
          </c:cat>
          <c:val>
            <c:numRef>
              <c:f>Graphs!$D$266:$D$270</c:f>
              <c:numCache>
                <c:formatCode>General</c:formatCode>
                <c:ptCount val="5"/>
                <c:pt idx="0">
                  <c:v>0.14099999999999999</c:v>
                </c:pt>
                <c:pt idx="1">
                  <c:v>0.121</c:v>
                </c:pt>
                <c:pt idx="2">
                  <c:v>0.56100000000000005</c:v>
                </c:pt>
                <c:pt idx="3">
                  <c:v>7.6999999999999999E-2</c:v>
                </c:pt>
                <c:pt idx="4">
                  <c:v>0.13100000000000001</c:v>
                </c:pt>
              </c:numCache>
            </c:numRef>
          </c:val>
        </c:ser>
        <c:dLbls>
          <c:showLegendKey val="0"/>
          <c:showVal val="0"/>
          <c:showCatName val="0"/>
          <c:showSerName val="0"/>
          <c:showPercent val="0"/>
          <c:showBubbleSize val="0"/>
        </c:dLbls>
        <c:gapWidth val="150"/>
        <c:overlap val="100"/>
        <c:axId val="475394696"/>
        <c:axId val="475391560"/>
      </c:barChart>
      <c:catAx>
        <c:axId val="475394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391560"/>
        <c:crosses val="autoZero"/>
        <c:auto val="1"/>
        <c:lblAlgn val="ctr"/>
        <c:lblOffset val="100"/>
        <c:noMultiLvlLbl val="0"/>
      </c:catAx>
      <c:valAx>
        <c:axId val="475391560"/>
        <c:scaling>
          <c:orientation val="minMax"/>
        </c:scaling>
        <c:delete val="1"/>
        <c:axPos val="b"/>
        <c:numFmt formatCode="0.000" sourceLinked="1"/>
        <c:majorTickMark val="none"/>
        <c:minorTickMark val="none"/>
        <c:tickLblPos val="nextTo"/>
        <c:crossAx val="475394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Graphs!$C$200</c:f>
              <c:strCache>
                <c:ptCount val="1"/>
                <c:pt idx="0">
                  <c:v> FY 2018</c:v>
                </c:pt>
              </c:strCache>
            </c:strRef>
          </c:tx>
          <c:spPr>
            <a:solidFill>
              <a:srgbClr val="1C508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Graphs!$D$198:$H$198</c:f>
              <c:strCache>
                <c:ptCount val="5"/>
                <c:pt idx="0">
                  <c:v>CDM</c:v>
                </c:pt>
                <c:pt idx="1">
                  <c:v>FDM</c:v>
                </c:pt>
                <c:pt idx="2">
                  <c:v>KDM</c:v>
                </c:pt>
                <c:pt idx="3">
                  <c:v>WDL</c:v>
                </c:pt>
                <c:pt idx="4">
                  <c:v>Petra</c:v>
                </c:pt>
              </c:strCache>
            </c:strRef>
          </c:cat>
          <c:val>
            <c:numRef>
              <c:f>Graphs!$D$200:$H$200</c:f>
              <c:numCache>
                <c:formatCode>0.00</c:formatCode>
                <c:ptCount val="5"/>
                <c:pt idx="0">
                  <c:v>49.002168007984288</c:v>
                </c:pt>
                <c:pt idx="1">
                  <c:v>55.38</c:v>
                </c:pt>
                <c:pt idx="2">
                  <c:v>64.989999999999995</c:v>
                </c:pt>
                <c:pt idx="3">
                  <c:v>9.01</c:v>
                </c:pt>
                <c:pt idx="4">
                  <c:v>28.7</c:v>
                </c:pt>
              </c:numCache>
            </c:numRef>
          </c:val>
        </c:ser>
        <c:ser>
          <c:idx val="1"/>
          <c:order val="1"/>
          <c:tx>
            <c:strRef>
              <c:f>Graphs!$C$201</c:f>
              <c:strCache>
                <c:ptCount val="1"/>
                <c:pt idx="0">
                  <c:v> FY 2019</c:v>
                </c:pt>
              </c:strCache>
            </c:strRef>
          </c:tx>
          <c:spPr>
            <a:solidFill>
              <a:srgbClr val="70CFF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Graphs!$D$198:$H$198</c:f>
              <c:strCache>
                <c:ptCount val="5"/>
                <c:pt idx="0">
                  <c:v>CDM</c:v>
                </c:pt>
                <c:pt idx="1">
                  <c:v>FDM</c:v>
                </c:pt>
                <c:pt idx="2">
                  <c:v>KDM</c:v>
                </c:pt>
                <c:pt idx="3">
                  <c:v>WDL</c:v>
                </c:pt>
                <c:pt idx="4">
                  <c:v>Petra</c:v>
                </c:pt>
              </c:strCache>
            </c:strRef>
          </c:cat>
          <c:val>
            <c:numRef>
              <c:f>Graphs!$D$201:$H$201</c:f>
              <c:numCache>
                <c:formatCode>0.00</c:formatCode>
                <c:ptCount val="5"/>
                <c:pt idx="0">
                  <c:v>42.01</c:v>
                </c:pt>
                <c:pt idx="1">
                  <c:v>56.97</c:v>
                </c:pt>
                <c:pt idx="2">
                  <c:v>46.78</c:v>
                </c:pt>
                <c:pt idx="3">
                  <c:v>9.4</c:v>
                </c:pt>
                <c:pt idx="4">
                  <c:v>33.619999999999997</c:v>
                </c:pt>
              </c:numCache>
            </c:numRef>
          </c:val>
        </c:ser>
        <c:ser>
          <c:idx val="2"/>
          <c:order val="2"/>
          <c:tx>
            <c:strRef>
              <c:f>Graphs!$C$202</c:f>
              <c:strCache>
                <c:ptCount val="1"/>
                <c:pt idx="0">
                  <c:v>FY 2020</c:v>
                </c:pt>
              </c:strCache>
            </c:strRef>
          </c:tx>
          <c:spPr>
            <a:solidFill>
              <a:srgbClr val="7D818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Graphs!$D$198:$H$198</c:f>
              <c:strCache>
                <c:ptCount val="5"/>
                <c:pt idx="0">
                  <c:v>CDM</c:v>
                </c:pt>
                <c:pt idx="1">
                  <c:v>FDM</c:v>
                </c:pt>
                <c:pt idx="2">
                  <c:v>KDM</c:v>
                </c:pt>
                <c:pt idx="3">
                  <c:v>WDL</c:v>
                </c:pt>
                <c:pt idx="4">
                  <c:v>Petra</c:v>
                </c:pt>
              </c:strCache>
            </c:strRef>
          </c:cat>
          <c:val>
            <c:numRef>
              <c:f>Graphs!$D$202:$H$202</c:f>
              <c:numCache>
                <c:formatCode>General</c:formatCode>
                <c:ptCount val="5"/>
                <c:pt idx="0">
                  <c:v>47.43</c:v>
                </c:pt>
                <c:pt idx="1">
                  <c:v>56.99</c:v>
                </c:pt>
                <c:pt idx="2">
                  <c:v>48.99</c:v>
                </c:pt>
                <c:pt idx="3">
                  <c:v>10.48</c:v>
                </c:pt>
                <c:pt idx="4">
                  <c:v>37.020000000000003</c:v>
                </c:pt>
              </c:numCache>
            </c:numRef>
          </c:val>
        </c:ser>
        <c:dLbls>
          <c:showLegendKey val="0"/>
          <c:showVal val="0"/>
          <c:showCatName val="0"/>
          <c:showSerName val="0"/>
          <c:showPercent val="0"/>
          <c:showBubbleSize val="0"/>
        </c:dLbls>
        <c:gapWidth val="150"/>
        <c:overlap val="100"/>
        <c:axId val="475397440"/>
        <c:axId val="475390384"/>
      </c:barChart>
      <c:catAx>
        <c:axId val="47539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390384"/>
        <c:crosses val="autoZero"/>
        <c:auto val="1"/>
        <c:lblAlgn val="ctr"/>
        <c:lblOffset val="100"/>
        <c:noMultiLvlLbl val="0"/>
      </c:catAx>
      <c:valAx>
        <c:axId val="475390384"/>
        <c:scaling>
          <c:orientation val="minMax"/>
        </c:scaling>
        <c:delete val="1"/>
        <c:axPos val="l"/>
        <c:numFmt formatCode="0.00" sourceLinked="1"/>
        <c:majorTickMark val="none"/>
        <c:minorTickMark val="none"/>
        <c:tickLblPos val="nextTo"/>
        <c:crossAx val="475397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Q3 Normalised Carbon Footprints </a:t>
            </a:r>
            <a:r>
              <a:rPr lang="en-ZA" baseline="0"/>
              <a:t> (t CO</a:t>
            </a:r>
            <a:r>
              <a:rPr lang="en-ZA" baseline="-25000"/>
              <a:t>2</a:t>
            </a:r>
            <a:r>
              <a:rPr lang="en-ZA" baseline="0"/>
              <a: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Graphs!$B$249</c:f>
              <c:strCache>
                <c:ptCount val="1"/>
                <c:pt idx="0">
                  <c:v>Q3 FY 2018</c:v>
                </c:pt>
              </c:strCache>
            </c:strRef>
          </c:tx>
          <c:spPr>
            <a:solidFill>
              <a:srgbClr val="C8CACB"/>
            </a:solidFill>
            <a:ln>
              <a:noFill/>
            </a:ln>
            <a:effectLst/>
          </c:spPr>
          <c:invertIfNegative val="0"/>
          <c:cat>
            <c:strRef>
              <c:f>Graphs!$A$250:$A$254</c:f>
              <c:strCache>
                <c:ptCount val="5"/>
                <c:pt idx="0">
                  <c:v>CDM</c:v>
                </c:pt>
                <c:pt idx="1">
                  <c:v>FDM</c:v>
                </c:pt>
                <c:pt idx="2">
                  <c:v>KDM</c:v>
                </c:pt>
                <c:pt idx="3">
                  <c:v>WDL</c:v>
                </c:pt>
                <c:pt idx="4">
                  <c:v>PETRA</c:v>
                </c:pt>
              </c:strCache>
            </c:strRef>
          </c:cat>
          <c:val>
            <c:numRef>
              <c:f>Graphs!$B$250:$B$254</c:f>
              <c:numCache>
                <c:formatCode>0.000</c:formatCode>
                <c:ptCount val="5"/>
                <c:pt idx="0">
                  <c:v>0.13102017824312154</c:v>
                </c:pt>
                <c:pt idx="1">
                  <c:v>0.10404202126991637</c:v>
                </c:pt>
                <c:pt idx="2">
                  <c:v>0.39531627693790927</c:v>
                </c:pt>
                <c:pt idx="3">
                  <c:v>9.7765973785708477E-2</c:v>
                </c:pt>
                <c:pt idx="4">
                  <c:v>0.12766166154931416</c:v>
                </c:pt>
              </c:numCache>
            </c:numRef>
          </c:val>
        </c:ser>
        <c:ser>
          <c:idx val="1"/>
          <c:order val="1"/>
          <c:tx>
            <c:strRef>
              <c:f>Graphs!$C$249</c:f>
              <c:strCache>
                <c:ptCount val="1"/>
                <c:pt idx="0">
                  <c:v>Q3 FY 2019</c:v>
                </c:pt>
              </c:strCache>
            </c:strRef>
          </c:tx>
          <c:spPr>
            <a:solidFill>
              <a:srgbClr val="70CFF2"/>
            </a:solidFill>
            <a:ln>
              <a:noFill/>
            </a:ln>
            <a:effectLst/>
          </c:spPr>
          <c:invertIfNegative val="0"/>
          <c:cat>
            <c:strRef>
              <c:f>Graphs!$A$250:$A$254</c:f>
              <c:strCache>
                <c:ptCount val="5"/>
                <c:pt idx="0">
                  <c:v>CDM</c:v>
                </c:pt>
                <c:pt idx="1">
                  <c:v>FDM</c:v>
                </c:pt>
                <c:pt idx="2">
                  <c:v>KDM</c:v>
                </c:pt>
                <c:pt idx="3">
                  <c:v>WDL</c:v>
                </c:pt>
                <c:pt idx="4">
                  <c:v>PETRA</c:v>
                </c:pt>
              </c:strCache>
            </c:strRef>
          </c:cat>
          <c:val>
            <c:numRef>
              <c:f>Graphs!$C$250:$C$254</c:f>
              <c:numCache>
                <c:formatCode>0.000</c:formatCode>
                <c:ptCount val="5"/>
                <c:pt idx="0">
                  <c:v>0.12782930298476475</c:v>
                </c:pt>
                <c:pt idx="1">
                  <c:v>0.13024492526463163</c:v>
                </c:pt>
                <c:pt idx="2">
                  <c:v>0.68940309165677827</c:v>
                </c:pt>
                <c:pt idx="3">
                  <c:v>8.9243649796370866E-2</c:v>
                </c:pt>
                <c:pt idx="4">
                  <c:v>0.12481501184025956</c:v>
                </c:pt>
              </c:numCache>
            </c:numRef>
          </c:val>
        </c:ser>
        <c:ser>
          <c:idx val="2"/>
          <c:order val="2"/>
          <c:tx>
            <c:strRef>
              <c:f>Graphs!$D$249</c:f>
              <c:strCache>
                <c:ptCount val="1"/>
                <c:pt idx="0">
                  <c:v>Q3 FY 2020</c:v>
                </c:pt>
              </c:strCache>
            </c:strRef>
          </c:tx>
          <c:spPr>
            <a:solidFill>
              <a:srgbClr val="1C5083"/>
            </a:solidFill>
            <a:ln>
              <a:noFill/>
            </a:ln>
            <a:effectLst/>
          </c:spPr>
          <c:invertIfNegative val="0"/>
          <c:cat>
            <c:strRef>
              <c:f>Graphs!$A$250:$A$254</c:f>
              <c:strCache>
                <c:ptCount val="5"/>
                <c:pt idx="0">
                  <c:v>CDM</c:v>
                </c:pt>
                <c:pt idx="1">
                  <c:v>FDM</c:v>
                </c:pt>
                <c:pt idx="2">
                  <c:v>KDM</c:v>
                </c:pt>
                <c:pt idx="3">
                  <c:v>WDL</c:v>
                </c:pt>
                <c:pt idx="4">
                  <c:v>PETRA</c:v>
                </c:pt>
              </c:strCache>
            </c:strRef>
          </c:cat>
          <c:val>
            <c:numRef>
              <c:f>Graphs!$D$250:$D$254</c:f>
              <c:numCache>
                <c:formatCode>0.000</c:formatCode>
                <c:ptCount val="5"/>
                <c:pt idx="0">
                  <c:v>0.13400000000000001</c:v>
                </c:pt>
                <c:pt idx="1">
                  <c:v>9.9000000000000005E-2</c:v>
                </c:pt>
                <c:pt idx="2">
                  <c:v>0.46</c:v>
                </c:pt>
                <c:pt idx="3">
                  <c:v>0.17100000000000001</c:v>
                </c:pt>
                <c:pt idx="4">
                  <c:v>0.127</c:v>
                </c:pt>
              </c:numCache>
            </c:numRef>
          </c:val>
        </c:ser>
        <c:dLbls>
          <c:showLegendKey val="0"/>
          <c:showVal val="0"/>
          <c:showCatName val="0"/>
          <c:showSerName val="0"/>
          <c:showPercent val="0"/>
          <c:showBubbleSize val="0"/>
        </c:dLbls>
        <c:gapWidth val="182"/>
        <c:axId val="475395480"/>
        <c:axId val="475391952"/>
      </c:barChart>
      <c:catAx>
        <c:axId val="475395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391952"/>
        <c:crosses val="autoZero"/>
        <c:auto val="1"/>
        <c:lblAlgn val="ctr"/>
        <c:lblOffset val="100"/>
        <c:noMultiLvlLbl val="0"/>
      </c:catAx>
      <c:valAx>
        <c:axId val="475391952"/>
        <c:scaling>
          <c:orientation val="minMax"/>
        </c:scaling>
        <c:delete val="0"/>
        <c:axPos val="b"/>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395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FY 2020 tCO2e per operation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Graphs!$A$287</c:f>
              <c:strCache>
                <c:ptCount val="1"/>
                <c:pt idx="0">
                  <c:v>CDM</c:v>
                </c:pt>
              </c:strCache>
            </c:strRef>
          </c:tx>
          <c:spPr>
            <a:solidFill>
              <a:srgbClr val="C8CACB"/>
            </a:solidFill>
            <a:ln>
              <a:noFill/>
            </a:ln>
            <a:effectLst/>
          </c:spPr>
          <c:invertIfNegative val="0"/>
          <c:cat>
            <c:strRef>
              <c:f>Graphs!$B$286:$D$286</c:f>
              <c:strCache>
                <c:ptCount val="3"/>
                <c:pt idx="0">
                  <c:v>Q1</c:v>
                </c:pt>
                <c:pt idx="1">
                  <c:v>Q2</c:v>
                </c:pt>
                <c:pt idx="2">
                  <c:v>Q3</c:v>
                </c:pt>
              </c:strCache>
            </c:strRef>
          </c:cat>
          <c:val>
            <c:numRef>
              <c:f>Graphs!$B$287:$D$287</c:f>
              <c:numCache>
                <c:formatCode>#,##0</c:formatCode>
                <c:ptCount val="3"/>
                <c:pt idx="0">
                  <c:v>62096.010147554654</c:v>
                </c:pt>
                <c:pt idx="1">
                  <c:v>59877.492668802173</c:v>
                </c:pt>
                <c:pt idx="2">
                  <c:v>53677.127093248317</c:v>
                </c:pt>
              </c:numCache>
            </c:numRef>
          </c:val>
        </c:ser>
        <c:ser>
          <c:idx val="1"/>
          <c:order val="1"/>
          <c:tx>
            <c:strRef>
              <c:f>Graphs!$A$288</c:f>
              <c:strCache>
                <c:ptCount val="1"/>
                <c:pt idx="0">
                  <c:v>FDM</c:v>
                </c:pt>
              </c:strCache>
            </c:strRef>
          </c:tx>
          <c:spPr>
            <a:solidFill>
              <a:srgbClr val="1C5083"/>
            </a:solidFill>
            <a:ln>
              <a:noFill/>
            </a:ln>
            <a:effectLst/>
          </c:spPr>
          <c:invertIfNegative val="0"/>
          <c:cat>
            <c:strRef>
              <c:f>Graphs!$B$286:$D$286</c:f>
              <c:strCache>
                <c:ptCount val="3"/>
                <c:pt idx="0">
                  <c:v>Q1</c:v>
                </c:pt>
                <c:pt idx="1">
                  <c:v>Q2</c:v>
                </c:pt>
                <c:pt idx="2">
                  <c:v>Q3</c:v>
                </c:pt>
              </c:strCache>
            </c:strRef>
          </c:cat>
          <c:val>
            <c:numRef>
              <c:f>Graphs!$B$288:$D$288</c:f>
              <c:numCache>
                <c:formatCode>#,##0</c:formatCode>
                <c:ptCount val="3"/>
                <c:pt idx="0">
                  <c:v>51944.618612513717</c:v>
                </c:pt>
                <c:pt idx="1">
                  <c:v>47347.982731173732</c:v>
                </c:pt>
                <c:pt idx="2">
                  <c:v>44128.247562545555</c:v>
                </c:pt>
              </c:numCache>
            </c:numRef>
          </c:val>
        </c:ser>
        <c:ser>
          <c:idx val="2"/>
          <c:order val="2"/>
          <c:tx>
            <c:strRef>
              <c:f>Graphs!$A$289</c:f>
              <c:strCache>
                <c:ptCount val="1"/>
                <c:pt idx="0">
                  <c:v>KDM</c:v>
                </c:pt>
              </c:strCache>
            </c:strRef>
          </c:tx>
          <c:spPr>
            <a:solidFill>
              <a:srgbClr val="70CFF2"/>
            </a:solidFill>
            <a:ln>
              <a:noFill/>
            </a:ln>
            <a:effectLst/>
          </c:spPr>
          <c:invertIfNegative val="0"/>
          <c:cat>
            <c:strRef>
              <c:f>Graphs!$B$286:$D$286</c:f>
              <c:strCache>
                <c:ptCount val="3"/>
                <c:pt idx="0">
                  <c:v>Q1</c:v>
                </c:pt>
                <c:pt idx="1">
                  <c:v>Q2</c:v>
                </c:pt>
                <c:pt idx="2">
                  <c:v>Q3</c:v>
                </c:pt>
              </c:strCache>
            </c:strRef>
          </c:cat>
          <c:val>
            <c:numRef>
              <c:f>Graphs!$B$289:$D$289</c:f>
              <c:numCache>
                <c:formatCode>#,##0</c:formatCode>
                <c:ptCount val="3"/>
                <c:pt idx="0">
                  <c:v>14033.378172142793</c:v>
                </c:pt>
                <c:pt idx="1">
                  <c:v>13525.405765858453</c:v>
                </c:pt>
                <c:pt idx="2">
                  <c:v>7968</c:v>
                </c:pt>
              </c:numCache>
            </c:numRef>
          </c:val>
        </c:ser>
        <c:ser>
          <c:idx val="3"/>
          <c:order val="3"/>
          <c:tx>
            <c:strRef>
              <c:f>Graphs!$A$290</c:f>
              <c:strCache>
                <c:ptCount val="1"/>
                <c:pt idx="0">
                  <c:v>WDL</c:v>
                </c:pt>
              </c:strCache>
            </c:strRef>
          </c:tx>
          <c:spPr>
            <a:solidFill>
              <a:srgbClr val="7D8186"/>
            </a:solidFill>
            <a:ln>
              <a:noFill/>
            </a:ln>
            <a:effectLst/>
          </c:spPr>
          <c:invertIfNegative val="0"/>
          <c:cat>
            <c:strRef>
              <c:f>Graphs!$B$286:$D$286</c:f>
              <c:strCache>
                <c:ptCount val="3"/>
                <c:pt idx="0">
                  <c:v>Q1</c:v>
                </c:pt>
                <c:pt idx="1">
                  <c:v>Q2</c:v>
                </c:pt>
                <c:pt idx="2">
                  <c:v>Q3</c:v>
                </c:pt>
              </c:strCache>
            </c:strRef>
          </c:cat>
          <c:val>
            <c:numRef>
              <c:f>Graphs!$B$290:$D$290</c:f>
              <c:numCache>
                <c:formatCode>#,##0</c:formatCode>
                <c:ptCount val="3"/>
                <c:pt idx="0">
                  <c:v>12157.992257575872</c:v>
                </c:pt>
                <c:pt idx="1">
                  <c:v>11879.32829589997</c:v>
                </c:pt>
                <c:pt idx="2">
                  <c:v>11981.034293091599</c:v>
                </c:pt>
              </c:numCache>
            </c:numRef>
          </c:val>
        </c:ser>
        <c:dLbls>
          <c:showLegendKey val="0"/>
          <c:showVal val="0"/>
          <c:showCatName val="0"/>
          <c:showSerName val="0"/>
          <c:showPercent val="0"/>
          <c:showBubbleSize val="0"/>
        </c:dLbls>
        <c:gapWidth val="219"/>
        <c:overlap val="-27"/>
        <c:axId val="475392736"/>
        <c:axId val="475395088"/>
      </c:barChart>
      <c:catAx>
        <c:axId val="475392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395088"/>
        <c:crosses val="autoZero"/>
        <c:auto val="1"/>
        <c:lblAlgn val="ctr"/>
        <c:lblOffset val="100"/>
        <c:noMultiLvlLbl val="0"/>
      </c:catAx>
      <c:valAx>
        <c:axId val="47539508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392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111111111111109E-2"/>
          <c:y val="5.5555555555555552E-2"/>
          <c:w val="0.93888888888888888"/>
          <c:h val="0.73577136191309422"/>
        </c:manualLayout>
      </c:layout>
      <c:barChart>
        <c:barDir val="col"/>
        <c:grouping val="clustered"/>
        <c:varyColors val="0"/>
        <c:ser>
          <c:idx val="0"/>
          <c:order val="0"/>
          <c:tx>
            <c:strRef>
              <c:f>Graphs!$G$208</c:f>
              <c:strCache>
                <c:ptCount val="1"/>
                <c:pt idx="0">
                  <c:v>FY 2020</c:v>
                </c:pt>
              </c:strCache>
            </c:strRef>
          </c:tx>
          <c:spPr>
            <a:solidFill>
              <a:srgbClr val="1C5083"/>
            </a:solidFill>
            <a:ln>
              <a:noFill/>
            </a:ln>
            <a:effectLst/>
          </c:spPr>
          <c:invertIfNegative val="0"/>
          <c:dLbls>
            <c:dLbl>
              <c:idx val="3"/>
              <c:layout>
                <c:manualLayout>
                  <c:x val="-2.7777777777777776E-2"/>
                  <c:y val="-8.4875562720133283E-17"/>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Graphs!$B$209:$B$213</c:f>
              <c:strCache>
                <c:ptCount val="5"/>
                <c:pt idx="0">
                  <c:v>CDM</c:v>
                </c:pt>
                <c:pt idx="1">
                  <c:v>FDM</c:v>
                </c:pt>
                <c:pt idx="2">
                  <c:v>KDM</c:v>
                </c:pt>
                <c:pt idx="3">
                  <c:v>WDL</c:v>
                </c:pt>
                <c:pt idx="4">
                  <c:v>GROUP</c:v>
                </c:pt>
              </c:strCache>
            </c:strRef>
          </c:cat>
          <c:val>
            <c:numRef>
              <c:f>Graphs!$G$209:$G$213</c:f>
              <c:numCache>
                <c:formatCode>#\ ##0_ ;\-#\ ##0\ </c:formatCode>
                <c:ptCount val="5"/>
                <c:pt idx="0">
                  <c:v>1531.2770999999998</c:v>
                </c:pt>
                <c:pt idx="1">
                  <c:v>984.77330000000006</c:v>
                </c:pt>
                <c:pt idx="2">
                  <c:v>546.70000000000005</c:v>
                </c:pt>
                <c:pt idx="3">
                  <c:v>2419.8360050000001</c:v>
                </c:pt>
                <c:pt idx="4">
                  <c:v>5514.9664050000001</c:v>
                </c:pt>
              </c:numCache>
            </c:numRef>
          </c:val>
        </c:ser>
        <c:ser>
          <c:idx val="1"/>
          <c:order val="1"/>
          <c:tx>
            <c:strRef>
              <c:f>Graphs!$H$208</c:f>
              <c:strCache>
                <c:ptCount val="1"/>
                <c:pt idx="0">
                  <c:v>FY 2019</c:v>
                </c:pt>
              </c:strCache>
            </c:strRef>
          </c:tx>
          <c:spPr>
            <a:solidFill>
              <a:srgbClr val="7D8186"/>
            </a:solidFill>
            <a:ln>
              <a:noFill/>
            </a:ln>
            <a:effectLst/>
          </c:spPr>
          <c:invertIfNegative val="0"/>
          <c:dLbls>
            <c:dLbl>
              <c:idx val="3"/>
              <c:layout>
                <c:manualLayout>
                  <c:x val="1.6666666666666566E-2"/>
                  <c:y val="9.2592592592592587E-3"/>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Graphs!$B$209:$B$213</c:f>
              <c:strCache>
                <c:ptCount val="5"/>
                <c:pt idx="0">
                  <c:v>CDM</c:v>
                </c:pt>
                <c:pt idx="1">
                  <c:v>FDM</c:v>
                </c:pt>
                <c:pt idx="2">
                  <c:v>KDM</c:v>
                </c:pt>
                <c:pt idx="3">
                  <c:v>WDL</c:v>
                </c:pt>
                <c:pt idx="4">
                  <c:v>GROUP</c:v>
                </c:pt>
              </c:strCache>
            </c:strRef>
          </c:cat>
          <c:val>
            <c:numRef>
              <c:f>Graphs!$H$209:$H$213</c:f>
              <c:numCache>
                <c:formatCode>General</c:formatCode>
                <c:ptCount val="5"/>
                <c:pt idx="0">
                  <c:v>4132</c:v>
                </c:pt>
                <c:pt idx="1">
                  <c:v>2786</c:v>
                </c:pt>
                <c:pt idx="2">
                  <c:v>432</c:v>
                </c:pt>
                <c:pt idx="3">
                  <c:v>2462</c:v>
                </c:pt>
                <c:pt idx="4">
                  <c:v>9812</c:v>
                </c:pt>
              </c:numCache>
            </c:numRef>
          </c:val>
        </c:ser>
        <c:dLbls>
          <c:showLegendKey val="0"/>
          <c:showVal val="0"/>
          <c:showCatName val="0"/>
          <c:showSerName val="0"/>
          <c:showPercent val="0"/>
          <c:showBubbleSize val="0"/>
        </c:dLbls>
        <c:gapWidth val="137"/>
        <c:axId val="475395872"/>
        <c:axId val="475393912"/>
      </c:barChart>
      <c:catAx>
        <c:axId val="475395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393912"/>
        <c:crosses val="autoZero"/>
        <c:auto val="1"/>
        <c:lblAlgn val="ctr"/>
        <c:lblOffset val="100"/>
        <c:noMultiLvlLbl val="0"/>
      </c:catAx>
      <c:valAx>
        <c:axId val="475393912"/>
        <c:scaling>
          <c:orientation val="minMax"/>
        </c:scaling>
        <c:delete val="1"/>
        <c:axPos val="l"/>
        <c:numFmt formatCode="#\ ##0_ ;\-#\ ##0\ " sourceLinked="1"/>
        <c:majorTickMark val="none"/>
        <c:minorTickMark val="none"/>
        <c:tickLblPos val="nextTo"/>
        <c:crossAx val="475395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Graphs!$C$222</c:f>
              <c:strCache>
                <c:ptCount val="1"/>
                <c:pt idx="0">
                  <c:v>Hazardous waste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Graphs!$B$223:$B$227</c:f>
              <c:strCache>
                <c:ptCount val="5"/>
                <c:pt idx="0">
                  <c:v>CDM</c:v>
                </c:pt>
                <c:pt idx="1">
                  <c:v>FDM</c:v>
                </c:pt>
                <c:pt idx="2">
                  <c:v>KDM</c:v>
                </c:pt>
                <c:pt idx="3">
                  <c:v>WDL</c:v>
                </c:pt>
                <c:pt idx="4">
                  <c:v>GROUP</c:v>
                </c:pt>
              </c:strCache>
            </c:strRef>
          </c:cat>
          <c:val>
            <c:numRef>
              <c:f>Graphs!$C$223:$C$227</c:f>
              <c:numCache>
                <c:formatCode>0%</c:formatCode>
                <c:ptCount val="5"/>
                <c:pt idx="0">
                  <c:v>2.2621640459457016E-2</c:v>
                </c:pt>
                <c:pt idx="1">
                  <c:v>7.65353812902929E-2</c:v>
                </c:pt>
                <c:pt idx="2">
                  <c:v>5.5423449789646972E-2</c:v>
                </c:pt>
                <c:pt idx="3">
                  <c:v>0</c:v>
                </c:pt>
                <c:pt idx="4">
                  <c:v>2.559193592864133E-2</c:v>
                </c:pt>
              </c:numCache>
            </c:numRef>
          </c:val>
        </c:ser>
        <c:ser>
          <c:idx val="1"/>
          <c:order val="1"/>
          <c:tx>
            <c:strRef>
              <c:f>Graphs!$D$222</c:f>
              <c:strCache>
                <c:ptCount val="1"/>
                <c:pt idx="0">
                  <c:v>Business waste</c:v>
                </c:pt>
              </c:strCache>
            </c:strRef>
          </c:tx>
          <c:spPr>
            <a:solidFill>
              <a:srgbClr val="7D818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Graphs!$B$223:$B$227</c:f>
              <c:strCache>
                <c:ptCount val="5"/>
                <c:pt idx="0">
                  <c:v>CDM</c:v>
                </c:pt>
                <c:pt idx="1">
                  <c:v>FDM</c:v>
                </c:pt>
                <c:pt idx="2">
                  <c:v>KDM</c:v>
                </c:pt>
                <c:pt idx="3">
                  <c:v>WDL</c:v>
                </c:pt>
                <c:pt idx="4">
                  <c:v>GROUP</c:v>
                </c:pt>
              </c:strCache>
            </c:strRef>
          </c:cat>
          <c:val>
            <c:numRef>
              <c:f>Graphs!$D$223:$D$227</c:f>
              <c:numCache>
                <c:formatCode>0%</c:formatCode>
                <c:ptCount val="5"/>
                <c:pt idx="0">
                  <c:v>0.19210108999866843</c:v>
                </c:pt>
                <c:pt idx="1">
                  <c:v>0.14629052188965724</c:v>
                </c:pt>
                <c:pt idx="2">
                  <c:v>0.2761295042985184</c:v>
                </c:pt>
                <c:pt idx="3">
                  <c:v>0.94218988199574272</c:v>
                </c:pt>
                <c:pt idx="4">
                  <c:v>0.52331651305730764</c:v>
                </c:pt>
              </c:numCache>
            </c:numRef>
          </c:val>
        </c:ser>
        <c:ser>
          <c:idx val="2"/>
          <c:order val="2"/>
          <c:tx>
            <c:strRef>
              <c:f>Graphs!$E$222</c:f>
              <c:strCache>
                <c:ptCount val="1"/>
                <c:pt idx="0">
                  <c:v>Recycled waste</c:v>
                </c:pt>
              </c:strCache>
            </c:strRef>
          </c:tx>
          <c:spPr>
            <a:solidFill>
              <a:srgbClr val="70CFF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Graphs!$B$223:$B$227</c:f>
              <c:strCache>
                <c:ptCount val="5"/>
                <c:pt idx="0">
                  <c:v>CDM</c:v>
                </c:pt>
                <c:pt idx="1">
                  <c:v>FDM</c:v>
                </c:pt>
                <c:pt idx="2">
                  <c:v>KDM</c:v>
                </c:pt>
                <c:pt idx="3">
                  <c:v>WDL</c:v>
                </c:pt>
                <c:pt idx="4">
                  <c:v>GROUP</c:v>
                </c:pt>
              </c:strCache>
            </c:strRef>
          </c:cat>
          <c:val>
            <c:numRef>
              <c:f>Graphs!$E$223:$E$227</c:f>
              <c:numCache>
                <c:formatCode>0%</c:formatCode>
                <c:ptCount val="5"/>
                <c:pt idx="0">
                  <c:v>0.78476782549677004</c:v>
                </c:pt>
                <c:pt idx="1">
                  <c:v>0.77488940855727917</c:v>
                </c:pt>
                <c:pt idx="2">
                  <c:v>0.66844704591183457</c:v>
                </c:pt>
                <c:pt idx="3">
                  <c:v>5.371154686988798E-2</c:v>
                </c:pt>
                <c:pt idx="4">
                  <c:v>0.44872991563914988</c:v>
                </c:pt>
              </c:numCache>
            </c:numRef>
          </c:val>
        </c:ser>
        <c:dLbls>
          <c:showLegendKey val="0"/>
          <c:showVal val="0"/>
          <c:showCatName val="0"/>
          <c:showSerName val="0"/>
          <c:showPercent val="0"/>
          <c:showBubbleSize val="0"/>
        </c:dLbls>
        <c:gapWidth val="90"/>
        <c:axId val="475396264"/>
        <c:axId val="475655400"/>
      </c:barChart>
      <c:catAx>
        <c:axId val="475396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655400"/>
        <c:crosses val="autoZero"/>
        <c:auto val="1"/>
        <c:lblAlgn val="ctr"/>
        <c:lblOffset val="100"/>
        <c:noMultiLvlLbl val="0"/>
      </c:catAx>
      <c:valAx>
        <c:axId val="475655400"/>
        <c:scaling>
          <c:orientation val="minMax"/>
        </c:scaling>
        <c:delete val="1"/>
        <c:axPos val="l"/>
        <c:numFmt formatCode="0%" sourceLinked="1"/>
        <c:majorTickMark val="none"/>
        <c:minorTickMark val="none"/>
        <c:tickLblPos val="nextTo"/>
        <c:crossAx val="475396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Total Waste Generated in Tonnes-2016fy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Waste!$C$128</c:f>
              <c:strCache>
                <c:ptCount val="1"/>
                <c:pt idx="0">
                  <c:v>Q1</c:v>
                </c:pt>
              </c:strCache>
            </c:strRef>
          </c:tx>
          <c:spPr>
            <a:solidFill>
              <a:schemeClr val="accent1"/>
            </a:solidFill>
            <a:ln>
              <a:noFill/>
            </a:ln>
            <a:effectLst/>
            <a:sp3d/>
          </c:spPr>
          <c:invertIfNegative val="0"/>
          <c:cat>
            <c:strRef>
              <c:f>Waste!$B$129:$B$134</c:f>
              <c:strCache>
                <c:ptCount val="6"/>
                <c:pt idx="0">
                  <c:v>CDM</c:v>
                </c:pt>
                <c:pt idx="1">
                  <c:v>FDM</c:v>
                </c:pt>
                <c:pt idx="2">
                  <c:v>KDM</c:v>
                </c:pt>
                <c:pt idx="3">
                  <c:v>KUM</c:v>
                </c:pt>
                <c:pt idx="4">
                  <c:v>WDL</c:v>
                </c:pt>
                <c:pt idx="5">
                  <c:v>GROUP</c:v>
                </c:pt>
              </c:strCache>
            </c:strRef>
          </c:cat>
          <c:val>
            <c:numRef>
              <c:f>Waste!$C$129:$C$134</c:f>
              <c:numCache>
                <c:formatCode>_(* #,##0.00_);_(* \(#,##0.00\);_(* "-"??_);_(@_)</c:formatCode>
                <c:ptCount val="6"/>
                <c:pt idx="0">
                  <c:v>497.50740000000002</c:v>
                </c:pt>
                <c:pt idx="1">
                  <c:v>380.40630000000004</c:v>
                </c:pt>
                <c:pt idx="2">
                  <c:v>0</c:v>
                </c:pt>
                <c:pt idx="3">
                  <c:v>0</c:v>
                </c:pt>
                <c:pt idx="4">
                  <c:v>0</c:v>
                </c:pt>
                <c:pt idx="5">
                  <c:v>1688.75225</c:v>
                </c:pt>
              </c:numCache>
            </c:numRef>
          </c:val>
          <c:extLst xmlns:c16r2="http://schemas.microsoft.com/office/drawing/2015/06/chart">
            <c:ext xmlns:c16="http://schemas.microsoft.com/office/drawing/2014/chart" uri="{C3380CC4-5D6E-409C-BE32-E72D297353CC}">
              <c16:uniqueId val="{00000000-945F-47EA-AB31-11796A6BF134}"/>
            </c:ext>
          </c:extLst>
        </c:ser>
        <c:ser>
          <c:idx val="1"/>
          <c:order val="1"/>
          <c:tx>
            <c:strRef>
              <c:f>Waste!$D$128</c:f>
              <c:strCache>
                <c:ptCount val="1"/>
                <c:pt idx="0">
                  <c:v>Q2</c:v>
                </c:pt>
              </c:strCache>
            </c:strRef>
          </c:tx>
          <c:spPr>
            <a:solidFill>
              <a:schemeClr val="accent2"/>
            </a:solidFill>
            <a:ln>
              <a:noFill/>
            </a:ln>
            <a:effectLst/>
            <a:sp3d/>
          </c:spPr>
          <c:invertIfNegative val="0"/>
          <c:cat>
            <c:strRef>
              <c:f>Waste!$B$129:$B$134</c:f>
              <c:strCache>
                <c:ptCount val="6"/>
                <c:pt idx="0">
                  <c:v>CDM</c:v>
                </c:pt>
                <c:pt idx="1">
                  <c:v>FDM</c:v>
                </c:pt>
                <c:pt idx="2">
                  <c:v>KDM</c:v>
                </c:pt>
                <c:pt idx="3">
                  <c:v>KUM</c:v>
                </c:pt>
                <c:pt idx="4">
                  <c:v>WDL</c:v>
                </c:pt>
                <c:pt idx="5">
                  <c:v>GROUP</c:v>
                </c:pt>
              </c:strCache>
            </c:strRef>
          </c:cat>
          <c:val>
            <c:numRef>
              <c:f>Waste!$D$129:$D$134</c:f>
              <c:numCache>
                <c:formatCode>General</c:formatCode>
                <c:ptCount val="6"/>
                <c:pt idx="0">
                  <c:v>541.51</c:v>
                </c:pt>
                <c:pt idx="1">
                  <c:v>4225.6000000000004</c:v>
                </c:pt>
                <c:pt idx="2">
                  <c:v>254.2</c:v>
                </c:pt>
                <c:pt idx="3">
                  <c:v>92.85</c:v>
                </c:pt>
                <c:pt idx="4">
                  <c:v>115.15</c:v>
                </c:pt>
                <c:pt idx="5" formatCode="_(* #,##0.00_);_(* \(#,##0.00\);_(* &quot;-&quot;??_);_(@_)">
                  <c:v>1474.5638049999998</c:v>
                </c:pt>
              </c:numCache>
            </c:numRef>
          </c:val>
          <c:extLst xmlns:c16r2="http://schemas.microsoft.com/office/drawing/2015/06/chart">
            <c:ext xmlns:c16="http://schemas.microsoft.com/office/drawing/2014/chart" uri="{C3380CC4-5D6E-409C-BE32-E72D297353CC}">
              <c16:uniqueId val="{00000001-945F-47EA-AB31-11796A6BF134}"/>
            </c:ext>
          </c:extLst>
        </c:ser>
        <c:ser>
          <c:idx val="2"/>
          <c:order val="2"/>
          <c:tx>
            <c:strRef>
              <c:f>Waste!$E$128</c:f>
              <c:strCache>
                <c:ptCount val="1"/>
                <c:pt idx="0">
                  <c:v>Q3</c:v>
                </c:pt>
              </c:strCache>
            </c:strRef>
          </c:tx>
          <c:spPr>
            <a:solidFill>
              <a:schemeClr val="accent3"/>
            </a:solidFill>
            <a:ln>
              <a:noFill/>
            </a:ln>
            <a:effectLst/>
            <a:sp3d/>
          </c:spPr>
          <c:invertIfNegative val="0"/>
          <c:cat>
            <c:strRef>
              <c:f>Waste!$B$129:$B$134</c:f>
              <c:strCache>
                <c:ptCount val="6"/>
                <c:pt idx="0">
                  <c:v>CDM</c:v>
                </c:pt>
                <c:pt idx="1">
                  <c:v>FDM</c:v>
                </c:pt>
                <c:pt idx="2">
                  <c:v>KDM</c:v>
                </c:pt>
                <c:pt idx="3">
                  <c:v>KUM</c:v>
                </c:pt>
                <c:pt idx="4">
                  <c:v>WDL</c:v>
                </c:pt>
                <c:pt idx="5">
                  <c:v>GROUP</c:v>
                </c:pt>
              </c:strCache>
            </c:strRef>
          </c:cat>
          <c:val>
            <c:numRef>
              <c:f>Waste!$E$129:$E$134</c:f>
              <c:numCache>
                <c:formatCode>_(* #,##0.00_);_(* \(#,##0.00\);_(* "-"??_);_(@_)</c:formatCode>
                <c:ptCount val="6"/>
                <c:pt idx="0">
                  <c:v>531.2978999999998</c:v>
                </c:pt>
                <c:pt idx="1">
                  <c:v>199.57399999999998</c:v>
                </c:pt>
                <c:pt idx="2">
                  <c:v>0</c:v>
                </c:pt>
                <c:pt idx="3">
                  <c:v>0</c:v>
                </c:pt>
                <c:pt idx="4" formatCode="General">
                  <c:v>99.85</c:v>
                </c:pt>
                <c:pt idx="5" formatCode="General">
                  <c:v>5698.25</c:v>
                </c:pt>
              </c:numCache>
            </c:numRef>
          </c:val>
          <c:extLst xmlns:c16r2="http://schemas.microsoft.com/office/drawing/2015/06/chart">
            <c:ext xmlns:c16="http://schemas.microsoft.com/office/drawing/2014/chart" uri="{C3380CC4-5D6E-409C-BE32-E72D297353CC}">
              <c16:uniqueId val="{00000002-945F-47EA-AB31-11796A6BF134}"/>
            </c:ext>
          </c:extLst>
        </c:ser>
        <c:ser>
          <c:idx val="3"/>
          <c:order val="3"/>
          <c:tx>
            <c:strRef>
              <c:f>Waste!$F$128</c:f>
              <c:strCache>
                <c:ptCount val="1"/>
                <c:pt idx="0">
                  <c:v>Q4</c:v>
                </c:pt>
              </c:strCache>
            </c:strRef>
          </c:tx>
          <c:spPr>
            <a:solidFill>
              <a:schemeClr val="accent4"/>
            </a:solidFill>
            <a:ln>
              <a:noFill/>
            </a:ln>
            <a:effectLst/>
            <a:sp3d/>
          </c:spPr>
          <c:invertIfNegative val="0"/>
          <c:cat>
            <c:strRef>
              <c:f>Waste!$B$129:$B$134</c:f>
              <c:strCache>
                <c:ptCount val="6"/>
                <c:pt idx="0">
                  <c:v>CDM</c:v>
                </c:pt>
                <c:pt idx="1">
                  <c:v>FDM</c:v>
                </c:pt>
                <c:pt idx="2">
                  <c:v>KDM</c:v>
                </c:pt>
                <c:pt idx="3">
                  <c:v>KUM</c:v>
                </c:pt>
                <c:pt idx="4">
                  <c:v>WDL</c:v>
                </c:pt>
                <c:pt idx="5">
                  <c:v>GROUP</c:v>
                </c:pt>
              </c:strCache>
            </c:strRef>
          </c:cat>
          <c:val>
            <c:numRef>
              <c:f>Waste!$F$129:$F$134</c:f>
              <c:numCache>
                <c:formatCode>#,##0.00</c:formatCode>
                <c:ptCount val="6"/>
                <c:pt idx="0" formatCode="_(* #,##0.00_);_(* \(#,##0.00\);_(* &quot;-&quot;??_);_(@_)">
                  <c:v>653.12</c:v>
                </c:pt>
                <c:pt idx="1">
                  <c:v>6822.65</c:v>
                </c:pt>
                <c:pt idx="2">
                  <c:v>252.86</c:v>
                </c:pt>
                <c:pt idx="3" formatCode="General">
                  <c:v>230.32</c:v>
                </c:pt>
                <c:pt idx="4" formatCode="General">
                  <c:v>102.68</c:v>
                </c:pt>
                <c:pt idx="5" formatCode="_(* #,##0.00_);_(* \(#,##0.00\);_(* &quot;-&quot;??_);_(@_)">
                  <c:v>8061.6299999999992</c:v>
                </c:pt>
              </c:numCache>
            </c:numRef>
          </c:val>
          <c:extLst xmlns:c16r2="http://schemas.microsoft.com/office/drawing/2015/06/chart">
            <c:ext xmlns:c16="http://schemas.microsoft.com/office/drawing/2014/chart" uri="{C3380CC4-5D6E-409C-BE32-E72D297353CC}">
              <c16:uniqueId val="{00000003-945F-47EA-AB31-11796A6BF134}"/>
            </c:ext>
          </c:extLst>
        </c:ser>
        <c:ser>
          <c:idx val="4"/>
          <c:order val="4"/>
          <c:tx>
            <c:strRef>
              <c:f>Waste!$G$128</c:f>
              <c:strCache>
                <c:ptCount val="1"/>
                <c:pt idx="0">
                  <c:v>FY 2016</c:v>
                </c:pt>
              </c:strCache>
            </c:strRef>
          </c:tx>
          <c:spPr>
            <a:solidFill>
              <a:schemeClr val="accent5"/>
            </a:solidFill>
            <a:ln>
              <a:noFill/>
            </a:ln>
            <a:effectLst/>
            <a:sp3d/>
          </c:spPr>
          <c:invertIfNegative val="0"/>
          <c:dLbls>
            <c:numFmt formatCode="_ * #\ ##0_ ;_ * \-#\ ##0_ ;_ * &quot;-&quot;??_ ;_ @_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Waste!$B$129:$B$134</c:f>
              <c:strCache>
                <c:ptCount val="6"/>
                <c:pt idx="0">
                  <c:v>CDM</c:v>
                </c:pt>
                <c:pt idx="1">
                  <c:v>FDM</c:v>
                </c:pt>
                <c:pt idx="2">
                  <c:v>KDM</c:v>
                </c:pt>
                <c:pt idx="3">
                  <c:v>KUM</c:v>
                </c:pt>
                <c:pt idx="4">
                  <c:v>WDL</c:v>
                </c:pt>
                <c:pt idx="5">
                  <c:v>GROUP</c:v>
                </c:pt>
              </c:strCache>
            </c:strRef>
          </c:cat>
          <c:val>
            <c:numRef>
              <c:f>Waste!$G$129:$G$134</c:f>
              <c:numCache>
                <c:formatCode>_(* #,##0.00_);_(* \(#,##0.00\);_(* "-"??_);_(@_)</c:formatCode>
                <c:ptCount val="6"/>
                <c:pt idx="0">
                  <c:v>2223.4352999999996</c:v>
                </c:pt>
                <c:pt idx="1">
                  <c:v>11628.230299999999</c:v>
                </c:pt>
                <c:pt idx="2">
                  <c:v>0</c:v>
                </c:pt>
                <c:pt idx="3">
                  <c:v>0</c:v>
                </c:pt>
                <c:pt idx="4">
                  <c:v>317.68</c:v>
                </c:pt>
                <c:pt idx="5">
                  <c:v>16923.196055</c:v>
                </c:pt>
              </c:numCache>
            </c:numRef>
          </c:val>
          <c:extLst xmlns:c16r2="http://schemas.microsoft.com/office/drawing/2015/06/chart">
            <c:ext xmlns:c16="http://schemas.microsoft.com/office/drawing/2014/chart" uri="{C3380CC4-5D6E-409C-BE32-E72D297353CC}">
              <c16:uniqueId val="{00000004-945F-47EA-AB31-11796A6BF134}"/>
            </c:ext>
          </c:extLst>
        </c:ser>
        <c:dLbls>
          <c:showLegendKey val="0"/>
          <c:showVal val="0"/>
          <c:showCatName val="0"/>
          <c:showSerName val="0"/>
          <c:showPercent val="0"/>
          <c:showBubbleSize val="0"/>
        </c:dLbls>
        <c:gapWidth val="150"/>
        <c:shape val="box"/>
        <c:axId val="453740936"/>
        <c:axId val="453741328"/>
        <c:axId val="0"/>
      </c:bar3DChart>
      <c:catAx>
        <c:axId val="4537409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741328"/>
        <c:crosses val="autoZero"/>
        <c:auto val="1"/>
        <c:lblAlgn val="ctr"/>
        <c:lblOffset val="100"/>
        <c:noMultiLvlLbl val="0"/>
      </c:catAx>
      <c:valAx>
        <c:axId val="453741328"/>
        <c:scaling>
          <c:orientation val="minMax"/>
        </c:scaling>
        <c:delete val="0"/>
        <c:axPos val="l"/>
        <c:majorGridlines>
          <c:spPr>
            <a:ln w="9525" cap="flat" cmpd="sng" algn="ctr">
              <a:solidFill>
                <a:schemeClr val="bg2">
                  <a:lumMod val="90000"/>
                </a:schemeClr>
              </a:solidFill>
              <a:round/>
            </a:ln>
            <a:effectLst/>
          </c:spPr>
        </c:majorGridlines>
        <c:numFmt formatCode="_(* #,##0_);_(* \(#,##0\);_(* &quot;-&quot;_);_(@_)" sourceLinked="0"/>
        <c:majorTickMark val="none"/>
        <c:minorTickMark val="none"/>
        <c:tickLblPos val="nextTo"/>
        <c:spPr>
          <a:noFill/>
          <a:ln>
            <a:solidFill>
              <a:schemeClr val="tx2"/>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74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Operational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spPr>
            <a:solidFill>
              <a:srgbClr val="0075BB"/>
            </a:solidFill>
          </c:spPr>
          <c:dPt>
            <c:idx val="0"/>
            <c:bubble3D val="0"/>
            <c:spPr>
              <a:solidFill>
                <a:srgbClr val="0075BB"/>
              </a:solidFill>
              <a:ln w="25400">
                <a:solidFill>
                  <a:schemeClr val="lt1"/>
                </a:solidFill>
              </a:ln>
              <a:effectLst/>
              <a:sp3d contourW="25400">
                <a:contourClr>
                  <a:schemeClr val="lt1"/>
                </a:contourClr>
              </a:sp3d>
            </c:spPr>
          </c:dPt>
          <c:dPt>
            <c:idx val="1"/>
            <c:bubble3D val="0"/>
            <c:spPr>
              <a:solidFill>
                <a:srgbClr val="70CFF2"/>
              </a:solidFill>
              <a:ln w="25400">
                <a:solidFill>
                  <a:schemeClr val="lt1"/>
                </a:solidFill>
              </a:ln>
              <a:effectLst/>
              <a:sp3d contourW="25400">
                <a:contourClr>
                  <a:schemeClr val="lt1"/>
                </a:contourClr>
              </a:sp3d>
            </c:spPr>
          </c:dPt>
          <c:dPt>
            <c:idx val="2"/>
            <c:bubble3D val="0"/>
            <c:spPr>
              <a:solidFill>
                <a:srgbClr val="C8CACB"/>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'GHG Report'!$A$4:$A$6</c:f>
              <c:strCache>
                <c:ptCount val="3"/>
                <c:pt idx="0">
                  <c:v>Scope 1:</c:v>
                </c:pt>
                <c:pt idx="1">
                  <c:v>Scope 2</c:v>
                </c:pt>
                <c:pt idx="2">
                  <c:v>Scope 3</c:v>
                </c:pt>
              </c:strCache>
            </c:strRef>
          </c:cat>
          <c:val>
            <c:numRef>
              <c:f>'GHG Report'!$B$4:$B$6</c:f>
              <c:numCache>
                <c:formatCode>0%</c:formatCode>
                <c:ptCount val="3"/>
                <c:pt idx="0">
                  <c:v>5.7498269311266718E-2</c:v>
                </c:pt>
                <c:pt idx="1">
                  <c:v>0.93456965644586065</c:v>
                </c:pt>
                <c:pt idx="2">
                  <c:v>7.9320742428726047E-3</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Organisational Boundaries</a:t>
            </a:r>
          </a:p>
        </c:rich>
      </c:tx>
      <c:layout>
        <c:manualLayout>
          <c:xMode val="edge"/>
          <c:yMode val="edge"/>
          <c:x val="0.3981596675415572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rgbClr val="0075BB"/>
              </a:solidFill>
              <a:ln w="25400">
                <a:solidFill>
                  <a:schemeClr val="lt1"/>
                </a:solidFill>
              </a:ln>
              <a:effectLst/>
              <a:sp3d contourW="25400">
                <a:contourClr>
                  <a:schemeClr val="lt1"/>
                </a:contourClr>
              </a:sp3d>
            </c:spPr>
          </c:dPt>
          <c:dPt>
            <c:idx val="1"/>
            <c:bubble3D val="0"/>
            <c:spPr>
              <a:solidFill>
                <a:srgbClr val="70CFF2"/>
              </a:solidFill>
              <a:ln w="25400">
                <a:solidFill>
                  <a:schemeClr val="lt1"/>
                </a:solidFill>
              </a:ln>
              <a:effectLst/>
              <a:sp3d contourW="25400">
                <a:contourClr>
                  <a:schemeClr val="lt1"/>
                </a:contourClr>
              </a:sp3d>
            </c:spPr>
          </c:dPt>
          <c:dPt>
            <c:idx val="2"/>
            <c:bubble3D val="0"/>
            <c:spPr>
              <a:solidFill>
                <a:srgbClr val="7D8186"/>
              </a:solidFill>
              <a:ln w="25400">
                <a:solidFill>
                  <a:schemeClr val="lt1"/>
                </a:solidFill>
              </a:ln>
              <a:effectLst/>
              <a:sp3d contourW="25400">
                <a:contourClr>
                  <a:schemeClr val="lt1"/>
                </a:contourClr>
              </a:sp3d>
            </c:spPr>
          </c:dPt>
          <c:dPt>
            <c:idx val="3"/>
            <c:bubble3D val="0"/>
            <c:spPr>
              <a:solidFill>
                <a:srgbClr val="C8CACB"/>
              </a:solidFill>
              <a:ln w="25400">
                <a:solidFill>
                  <a:schemeClr val="lt1"/>
                </a:solidFill>
              </a:ln>
              <a:effectLst/>
              <a:sp3d contourW="25400">
                <a:contourClr>
                  <a:schemeClr val="lt1"/>
                </a:contourClr>
              </a:sp3d>
            </c:spPr>
          </c:dPt>
          <c:dPt>
            <c:idx val="4"/>
            <c:bubble3D val="0"/>
            <c:spPr>
              <a:solidFill>
                <a:srgbClr val="FBB131"/>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'GHG Report'!$A$17:$A$21</c:f>
              <c:strCache>
                <c:ptCount val="5"/>
                <c:pt idx="0">
                  <c:v>Cullinan</c:v>
                </c:pt>
                <c:pt idx="1">
                  <c:v>Finsch</c:v>
                </c:pt>
                <c:pt idx="2">
                  <c:v>Koffiefontein</c:v>
                </c:pt>
                <c:pt idx="3">
                  <c:v>Williamson</c:v>
                </c:pt>
                <c:pt idx="4">
                  <c:v>Group offices</c:v>
                </c:pt>
              </c:strCache>
            </c:strRef>
          </c:cat>
          <c:val>
            <c:numRef>
              <c:f>'GHG Report'!$B$17:$B$21</c:f>
              <c:numCache>
                <c:formatCode>0.0%</c:formatCode>
                <c:ptCount val="5"/>
                <c:pt idx="0">
                  <c:v>0.44618843720794177</c:v>
                </c:pt>
                <c:pt idx="1">
                  <c:v>0.37318217496560019</c:v>
                </c:pt>
                <c:pt idx="2">
                  <c:v>9.8442731952532933E-2</c:v>
                </c:pt>
                <c:pt idx="3">
                  <c:v>8.0305259077809679E-2</c:v>
                </c:pt>
                <c:pt idx="4">
                  <c:v>1.8813884502872343E-3</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604761805829682"/>
          <c:y val="6.9444407684333576E-2"/>
          <c:w val="0.84654396325459313"/>
          <c:h val="0.73577136191309422"/>
        </c:manualLayout>
      </c:layout>
      <c:barChart>
        <c:barDir val="col"/>
        <c:grouping val="stacked"/>
        <c:varyColors val="0"/>
        <c:ser>
          <c:idx val="0"/>
          <c:order val="0"/>
          <c:tx>
            <c:strRef>
              <c:f>'GHG Report'!$B$25</c:f>
              <c:strCache>
                <c:ptCount val="1"/>
                <c:pt idx="0">
                  <c:v>Scope 1</c:v>
                </c:pt>
              </c:strCache>
            </c:strRef>
          </c:tx>
          <c:spPr>
            <a:solidFill>
              <a:schemeClr val="accent1"/>
            </a:solidFill>
            <a:ln>
              <a:noFill/>
            </a:ln>
            <a:effectLst/>
          </c:spPr>
          <c:invertIfNegative val="0"/>
          <c:dLbls>
            <c:dLbl>
              <c:idx val="0"/>
              <c:layout>
                <c:manualLayout>
                  <c:x val="8.2219405951564725E-2"/>
                  <c:y val="-1.8518714572443151E-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9.2773495661327227E-2"/>
                  <c:y val="-2.3148282935221334E-2"/>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8.1478957610509772E-2"/>
                  <c:y val="-1.3888705088334546E-2"/>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8.925546575807311E-2"/>
                  <c:y val="-9.2591367255563644E-3"/>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 Report'!$A$26:$A$29</c:f>
              <c:strCache>
                <c:ptCount val="4"/>
                <c:pt idx="0">
                  <c:v>Cullinan</c:v>
                </c:pt>
                <c:pt idx="1">
                  <c:v>Finsch</c:v>
                </c:pt>
                <c:pt idx="2">
                  <c:v>Koffiefontein</c:v>
                </c:pt>
                <c:pt idx="3">
                  <c:v>Williamson</c:v>
                </c:pt>
              </c:strCache>
            </c:strRef>
          </c:cat>
          <c:val>
            <c:numRef>
              <c:f>'GHG Report'!$B$26:$B$29</c:f>
              <c:numCache>
                <c:formatCode>#\,##0</c:formatCode>
                <c:ptCount val="4"/>
                <c:pt idx="0">
                  <c:v>6578.3609926839099</c:v>
                </c:pt>
                <c:pt idx="1">
                  <c:v>6026.5007256605631</c:v>
                </c:pt>
                <c:pt idx="2">
                  <c:v>1902.4859576822857</c:v>
                </c:pt>
                <c:pt idx="3">
                  <c:v>12997.668556735862</c:v>
                </c:pt>
              </c:numCache>
            </c:numRef>
          </c:val>
        </c:ser>
        <c:ser>
          <c:idx val="1"/>
          <c:order val="1"/>
          <c:tx>
            <c:strRef>
              <c:f>'GHG Report'!$C$25</c:f>
              <c:strCache>
                <c:ptCount val="1"/>
                <c:pt idx="0">
                  <c:v>Scope 2</c:v>
                </c:pt>
              </c:strCache>
            </c:strRef>
          </c:tx>
          <c:spPr>
            <a:solidFill>
              <a:srgbClr val="70CFF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 Report'!$A$26:$A$29</c:f>
              <c:strCache>
                <c:ptCount val="4"/>
                <c:pt idx="0">
                  <c:v>Cullinan</c:v>
                </c:pt>
                <c:pt idx="1">
                  <c:v>Finsch</c:v>
                </c:pt>
                <c:pt idx="2">
                  <c:v>Koffiefontein</c:v>
                </c:pt>
                <c:pt idx="3">
                  <c:v>Williamson</c:v>
                </c:pt>
              </c:strCache>
            </c:strRef>
          </c:cat>
          <c:val>
            <c:numRef>
              <c:f>'GHG Report'!$C$26:$C$29</c:f>
              <c:numCache>
                <c:formatCode>#\,##0</c:formatCode>
                <c:ptCount val="4"/>
                <c:pt idx="0">
                  <c:v>208652.62260960002</c:v>
                </c:pt>
                <c:pt idx="1">
                  <c:v>173719.28098107025</c:v>
                </c:pt>
                <c:pt idx="2">
                  <c:v>45431.630815999997</c:v>
                </c:pt>
                <c:pt idx="3">
                  <c:v>23644.038812775983</c:v>
                </c:pt>
              </c:numCache>
            </c:numRef>
          </c:val>
        </c:ser>
        <c:dLbls>
          <c:showLegendKey val="0"/>
          <c:showVal val="0"/>
          <c:showCatName val="0"/>
          <c:showSerName val="0"/>
          <c:showPercent val="0"/>
          <c:showBubbleSize val="0"/>
        </c:dLbls>
        <c:gapWidth val="150"/>
        <c:overlap val="100"/>
        <c:axId val="475654616"/>
        <c:axId val="475656184"/>
      </c:barChart>
      <c:catAx>
        <c:axId val="475654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656184"/>
        <c:crosses val="autoZero"/>
        <c:auto val="1"/>
        <c:lblAlgn val="ctr"/>
        <c:lblOffset val="100"/>
        <c:noMultiLvlLbl val="0"/>
      </c:catAx>
      <c:valAx>
        <c:axId val="475656184"/>
        <c:scaling>
          <c:orientation val="minMax"/>
        </c:scaling>
        <c:delete val="1"/>
        <c:axPos val="l"/>
        <c:numFmt formatCode="#\,##0" sourceLinked="1"/>
        <c:majorTickMark val="none"/>
        <c:minorTickMark val="none"/>
        <c:tickLblPos val="nextTo"/>
        <c:crossAx val="475654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221779934678065E-2"/>
          <c:y val="0"/>
          <c:w val="0.9420862185720833"/>
          <c:h val="0.85926638799779653"/>
        </c:manualLayout>
      </c:layout>
      <c:barChart>
        <c:barDir val="col"/>
        <c:grouping val="clustered"/>
        <c:varyColors val="0"/>
        <c:ser>
          <c:idx val="0"/>
          <c:order val="0"/>
          <c:spPr>
            <a:solidFill>
              <a:srgbClr val="0075B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 Report'!$A$34:$A$39</c:f>
              <c:strCache>
                <c:ptCount val="6"/>
                <c:pt idx="1">
                  <c:v>Cullinan</c:v>
                </c:pt>
                <c:pt idx="2">
                  <c:v>Finsch</c:v>
                </c:pt>
                <c:pt idx="3">
                  <c:v>Koffiefontein</c:v>
                </c:pt>
                <c:pt idx="4">
                  <c:v>Williamson</c:v>
                </c:pt>
                <c:pt idx="5">
                  <c:v>Petra Group</c:v>
                </c:pt>
              </c:strCache>
            </c:strRef>
          </c:cat>
          <c:val>
            <c:numRef>
              <c:f>'GHG Report'!$B$34:$B$39</c:f>
              <c:numCache>
                <c:formatCode>0.000</c:formatCode>
                <c:ptCount val="6"/>
                <c:pt idx="0" formatCode="General">
                  <c:v>0</c:v>
                </c:pt>
                <c:pt idx="1">
                  <c:v>0.13665823061464918</c:v>
                </c:pt>
                <c:pt idx="2">
                  <c:v>0.109765967853443</c:v>
                </c:pt>
                <c:pt idx="3">
                  <c:v>0.68894172049115776</c:v>
                </c:pt>
                <c:pt idx="4">
                  <c:v>0.13021857225317227</c:v>
                </c:pt>
                <c:pt idx="5">
                  <c:v>0.13469139653770559</c:v>
                </c:pt>
              </c:numCache>
            </c:numRef>
          </c:val>
        </c:ser>
        <c:dLbls>
          <c:showLegendKey val="0"/>
          <c:showVal val="0"/>
          <c:showCatName val="0"/>
          <c:showSerName val="0"/>
          <c:showPercent val="0"/>
          <c:showBubbleSize val="0"/>
        </c:dLbls>
        <c:gapWidth val="219"/>
        <c:overlap val="-27"/>
        <c:axId val="475645208"/>
        <c:axId val="475644424"/>
      </c:barChart>
      <c:catAx>
        <c:axId val="475645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644424"/>
        <c:crosses val="autoZero"/>
        <c:auto val="1"/>
        <c:lblAlgn val="ctr"/>
        <c:lblOffset val="100"/>
        <c:noMultiLvlLbl val="0"/>
      </c:catAx>
      <c:valAx>
        <c:axId val="475644424"/>
        <c:scaling>
          <c:orientation val="minMax"/>
        </c:scaling>
        <c:delete val="1"/>
        <c:axPos val="l"/>
        <c:numFmt formatCode="General" sourceLinked="1"/>
        <c:majorTickMark val="none"/>
        <c:minorTickMark val="none"/>
        <c:tickLblPos val="nextTo"/>
        <c:crossAx val="475645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Scope 1 (t CO</a:t>
            </a:r>
            <a:r>
              <a:rPr lang="en-US" sz="1100" baseline="-25000"/>
              <a:t>2</a:t>
            </a:r>
            <a:r>
              <a:rPr lang="en-US" sz="1100"/>
              <a:t>e)</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rgbClr val="00999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 Report'!$A$51:$A$57</c:f>
              <c:strCache>
                <c:ptCount val="7"/>
                <c:pt idx="0">
                  <c:v>Diesel use: Generators</c:v>
                </c:pt>
                <c:pt idx="1">
                  <c:v>LPG use</c:v>
                </c:pt>
                <c:pt idx="2">
                  <c:v>Petrol use: vehicles</c:v>
                </c:pt>
                <c:pt idx="3">
                  <c:v>Domestic water treatment</c:v>
                </c:pt>
                <c:pt idx="4">
                  <c:v>Jet fuel- A1 use</c:v>
                </c:pt>
                <c:pt idx="5">
                  <c:v>Fugitive emissions </c:v>
                </c:pt>
                <c:pt idx="6">
                  <c:v>Diesel use: vehicles</c:v>
                </c:pt>
              </c:strCache>
            </c:strRef>
          </c:cat>
          <c:val>
            <c:numRef>
              <c:f>'GHG Report'!$B$51:$B$57</c:f>
              <c:numCache>
                <c:formatCode>#,##0</c:formatCode>
                <c:ptCount val="7"/>
                <c:pt idx="0">
                  <c:v>163.2719702169</c:v>
                </c:pt>
                <c:pt idx="1">
                  <c:v>2.0787556292999998</c:v>
                </c:pt>
                <c:pt idx="2">
                  <c:v>156.91031551983801</c:v>
                </c:pt>
                <c:pt idx="3">
                  <c:v>412.85957999999994</c:v>
                </c:pt>
                <c:pt idx="4">
                  <c:v>345.49188539999994</c:v>
                </c:pt>
                <c:pt idx="5">
                  <c:v>478.28479999999996</c:v>
                </c:pt>
                <c:pt idx="6" formatCode="#\,##0">
                  <c:v>26237.556575736511</c:v>
                </c:pt>
              </c:numCache>
            </c:numRef>
          </c:val>
        </c:ser>
        <c:dLbls>
          <c:showLegendKey val="0"/>
          <c:showVal val="0"/>
          <c:showCatName val="0"/>
          <c:showSerName val="0"/>
          <c:showPercent val="0"/>
          <c:showBubbleSize val="0"/>
        </c:dLbls>
        <c:gapWidth val="100"/>
        <c:overlap val="80"/>
        <c:axId val="475646776"/>
        <c:axId val="475645600"/>
      </c:barChart>
      <c:catAx>
        <c:axId val="475646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645600"/>
        <c:crosses val="autoZero"/>
        <c:auto val="1"/>
        <c:lblAlgn val="ctr"/>
        <c:lblOffset val="100"/>
        <c:noMultiLvlLbl val="0"/>
      </c:catAx>
      <c:valAx>
        <c:axId val="475645600"/>
        <c:scaling>
          <c:orientation val="minMax"/>
        </c:scaling>
        <c:delete val="1"/>
        <c:axPos val="b"/>
        <c:numFmt formatCode="#,##0" sourceLinked="1"/>
        <c:majorTickMark val="none"/>
        <c:minorTickMark val="none"/>
        <c:tickLblPos val="nextTo"/>
        <c:crossAx val="47564677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a:t>Scope 3 (t CO</a:t>
            </a:r>
            <a:r>
              <a:rPr lang="en-US" sz="1050" baseline="-25000"/>
              <a:t>2</a:t>
            </a:r>
            <a:r>
              <a:rPr lang="en-US" sz="1050"/>
              <a:t>e)</a:t>
            </a:r>
          </a:p>
        </c:rich>
      </c:tx>
      <c:layout>
        <c:manualLayout>
          <c:xMode val="edge"/>
          <c:yMode val="edge"/>
          <c:x val="0.40143744531933512"/>
          <c:y val="3.7037037037037035E-2"/>
        </c:manualLayout>
      </c:layout>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rgbClr val="00999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 Report'!$A$62:$A$69</c:f>
              <c:strCache>
                <c:ptCount val="8"/>
                <c:pt idx="0">
                  <c:v>Business travel: car rentals</c:v>
                </c:pt>
                <c:pt idx="1">
                  <c:v>Paper use</c:v>
                </c:pt>
                <c:pt idx="2">
                  <c:v>Business travel : air (chartered jet)</c:v>
                </c:pt>
                <c:pt idx="3">
                  <c:v>Scrap metal: recycling</c:v>
                </c:pt>
                <c:pt idx="4">
                  <c:v>Business travel : air (air lines)</c:v>
                </c:pt>
                <c:pt idx="5">
                  <c:v>Business travel: employee commute</c:v>
                </c:pt>
                <c:pt idx="6">
                  <c:v>Waste disposal: landfill</c:v>
                </c:pt>
                <c:pt idx="7">
                  <c:v>Potable water: pumping</c:v>
                </c:pt>
              </c:strCache>
            </c:strRef>
          </c:cat>
          <c:val>
            <c:numRef>
              <c:f>'GHG Report'!$B$62:$B$69</c:f>
              <c:numCache>
                <c:formatCode>#,##0</c:formatCode>
                <c:ptCount val="8"/>
                <c:pt idx="0">
                  <c:v>18.606114014399999</c:v>
                </c:pt>
                <c:pt idx="1">
                  <c:v>24.415750805600002</c:v>
                </c:pt>
                <c:pt idx="2">
                  <c:v>23.671039199999999</c:v>
                </c:pt>
                <c:pt idx="3">
                  <c:v>45.339709667999998</c:v>
                </c:pt>
                <c:pt idx="4">
                  <c:v>415.98855771999996</c:v>
                </c:pt>
                <c:pt idx="5">
                  <c:v>532.82984783999996</c:v>
                </c:pt>
                <c:pt idx="6" formatCode="#\,##0">
                  <c:v>1772.9602672919998</c:v>
                </c:pt>
                <c:pt idx="7" formatCode="#\,##0">
                  <c:v>1000.8004074399998</c:v>
                </c:pt>
              </c:numCache>
            </c:numRef>
          </c:val>
        </c:ser>
        <c:dLbls>
          <c:showLegendKey val="0"/>
          <c:showVal val="0"/>
          <c:showCatName val="0"/>
          <c:showSerName val="0"/>
          <c:showPercent val="0"/>
          <c:showBubbleSize val="0"/>
        </c:dLbls>
        <c:gapWidth val="100"/>
        <c:overlap val="80"/>
        <c:axId val="475650696"/>
        <c:axId val="475645992"/>
      </c:barChart>
      <c:catAx>
        <c:axId val="475650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645992"/>
        <c:crosses val="autoZero"/>
        <c:auto val="1"/>
        <c:lblAlgn val="ctr"/>
        <c:lblOffset val="100"/>
        <c:noMultiLvlLbl val="0"/>
      </c:catAx>
      <c:valAx>
        <c:axId val="475645992"/>
        <c:scaling>
          <c:orientation val="minMax"/>
        </c:scaling>
        <c:delete val="1"/>
        <c:axPos val="b"/>
        <c:numFmt formatCode="#,##0" sourceLinked="1"/>
        <c:majorTickMark val="none"/>
        <c:minorTickMark val="none"/>
        <c:tickLblPos val="nextTo"/>
        <c:crossAx val="47565069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tCO</a:t>
            </a:r>
            <a:r>
              <a:rPr lang="en-US" baseline="-25000"/>
              <a:t>2</a:t>
            </a:r>
            <a:r>
              <a:rPr lang="en-US"/>
              <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1C508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rgbClr val="FBB131"/>
                </a:solidFill>
                <a:prstDash val="sysDot"/>
              </a:ln>
              <a:effectLst/>
            </c:spPr>
            <c:trendlineType val="linear"/>
            <c:dispRSqr val="0"/>
            <c:dispEq val="0"/>
          </c:trendline>
          <c:cat>
            <c:strRef>
              <c:f>'GHG Report'!$A$75:$A$77</c:f>
              <c:strCache>
                <c:ptCount val="3"/>
                <c:pt idx="0">
                  <c:v>FY 2018</c:v>
                </c:pt>
                <c:pt idx="1">
                  <c:v>FY 2019</c:v>
                </c:pt>
                <c:pt idx="2">
                  <c:v>FY 2020</c:v>
                </c:pt>
              </c:strCache>
            </c:strRef>
          </c:cat>
          <c:val>
            <c:numRef>
              <c:f>'GHG Report'!$B$75:$B$77</c:f>
              <c:numCache>
                <c:formatCode>#\,##0</c:formatCode>
                <c:ptCount val="3"/>
                <c:pt idx="0">
                  <c:v>644399.48062041134</c:v>
                </c:pt>
                <c:pt idx="1">
                  <c:v>480247.86045339348</c:v>
                </c:pt>
                <c:pt idx="2">
                  <c:v>483431.14002312883</c:v>
                </c:pt>
              </c:numCache>
            </c:numRef>
          </c:val>
        </c:ser>
        <c:dLbls>
          <c:showLegendKey val="0"/>
          <c:showVal val="0"/>
          <c:showCatName val="0"/>
          <c:showSerName val="0"/>
          <c:showPercent val="0"/>
          <c:showBubbleSize val="0"/>
        </c:dLbls>
        <c:gapWidth val="219"/>
        <c:overlap val="-27"/>
        <c:axId val="475646384"/>
        <c:axId val="475647168"/>
      </c:barChart>
      <c:catAx>
        <c:axId val="47564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647168"/>
        <c:crosses val="autoZero"/>
        <c:auto val="1"/>
        <c:lblAlgn val="ctr"/>
        <c:lblOffset val="100"/>
        <c:noMultiLvlLbl val="0"/>
      </c:catAx>
      <c:valAx>
        <c:axId val="475647168"/>
        <c:scaling>
          <c:orientation val="minMax"/>
        </c:scaling>
        <c:delete val="1"/>
        <c:axPos val="l"/>
        <c:numFmt formatCode="#\,##0" sourceLinked="1"/>
        <c:majorTickMark val="none"/>
        <c:minorTickMark val="none"/>
        <c:tickLblPos val="nextTo"/>
        <c:crossAx val="47564638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r>
              <a:rPr lang="en-US" sz="1050" b="1">
                <a:solidFill>
                  <a:srgbClr val="1C5083"/>
                </a:solidFill>
              </a:rPr>
              <a:t>tCO</a:t>
            </a:r>
            <a:r>
              <a:rPr lang="en-US" sz="1050" b="1" baseline="-25000">
                <a:solidFill>
                  <a:srgbClr val="1C5083"/>
                </a:solidFill>
              </a:rPr>
              <a:t>2</a:t>
            </a:r>
            <a:r>
              <a:rPr lang="en-US" sz="1050" b="1">
                <a:solidFill>
                  <a:srgbClr val="1C5083"/>
                </a:solidFill>
              </a:rPr>
              <a:t>e/ct</a:t>
            </a:r>
            <a:r>
              <a:rPr lang="en-US" sz="1050" b="1"/>
              <a:t>
</a:t>
            </a:r>
            <a:r>
              <a:rPr lang="en-US" sz="1050" b="1">
                <a:solidFill>
                  <a:srgbClr val="009999"/>
                </a:solidFill>
              </a:rPr>
              <a:t>tCO</a:t>
            </a:r>
            <a:r>
              <a:rPr lang="en-US" sz="1050" b="1" baseline="-25000">
                <a:solidFill>
                  <a:srgbClr val="009999"/>
                </a:solidFill>
              </a:rPr>
              <a:t>2</a:t>
            </a:r>
            <a:r>
              <a:rPr lang="en-US" sz="1050" b="1">
                <a:solidFill>
                  <a:srgbClr val="009999"/>
                </a:solidFill>
              </a:rPr>
              <a:t>e/t</a:t>
            </a:r>
            <a:r>
              <a:rPr lang="en-US" sz="1050" b="1"/>
              <a:t>
</a:t>
            </a:r>
            <a:r>
              <a:rPr lang="en-US" sz="1050" b="1">
                <a:solidFill>
                  <a:srgbClr val="0075BB"/>
                </a:solidFill>
              </a:rPr>
              <a:t>tCO</a:t>
            </a:r>
            <a:r>
              <a:rPr lang="en-US" sz="1050" b="1" baseline="-25000">
                <a:solidFill>
                  <a:srgbClr val="0075BB"/>
                </a:solidFill>
              </a:rPr>
              <a:t>2</a:t>
            </a:r>
            <a:r>
              <a:rPr lang="en-US" sz="1050" b="1">
                <a:solidFill>
                  <a:srgbClr val="0075BB"/>
                </a:solidFill>
              </a:rPr>
              <a:t>e/USD</a:t>
            </a:r>
          </a:p>
        </c:rich>
      </c:tx>
      <c:overlay val="0"/>
      <c:spPr>
        <a:noFill/>
        <a:ln>
          <a:noFill/>
        </a:ln>
        <a:effectLst/>
      </c:spPr>
      <c:txPr>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2777777777777778E-2"/>
          <c:y val="0.22272189349112426"/>
          <c:w val="0.93888888888888888"/>
          <c:h val="0.63454316731118665"/>
        </c:manualLayout>
      </c:layout>
      <c:barChart>
        <c:barDir val="col"/>
        <c:grouping val="clustered"/>
        <c:varyColors val="0"/>
        <c:ser>
          <c:idx val="0"/>
          <c:order val="0"/>
          <c:spPr>
            <a:solidFill>
              <a:srgbClr val="1C5083"/>
            </a:solidFill>
            <a:ln>
              <a:noFill/>
            </a:ln>
            <a:effectLst/>
          </c:spPr>
          <c:invertIfNegative val="0"/>
          <c:dPt>
            <c:idx val="2"/>
            <c:invertIfNegative val="0"/>
            <c:bubble3D val="0"/>
            <c:spPr>
              <a:solidFill>
                <a:srgbClr val="1C5083"/>
              </a:solidFill>
              <a:ln>
                <a:solidFill>
                  <a:srgbClr val="1C5083"/>
                </a:solidFill>
              </a:ln>
              <a:effectLst/>
            </c:spPr>
          </c:dPt>
          <c:dPt>
            <c:idx val="5"/>
            <c:invertIfNegative val="0"/>
            <c:bubble3D val="0"/>
            <c:spPr>
              <a:solidFill>
                <a:srgbClr val="009999"/>
              </a:solidFill>
              <a:ln>
                <a:noFill/>
              </a:ln>
              <a:effectLst/>
            </c:spPr>
          </c:dPt>
          <c:dPt>
            <c:idx val="6"/>
            <c:invertIfNegative val="0"/>
            <c:bubble3D val="0"/>
            <c:spPr>
              <a:solidFill>
                <a:srgbClr val="009999"/>
              </a:solidFill>
              <a:ln>
                <a:noFill/>
              </a:ln>
              <a:effectLst/>
            </c:spPr>
          </c:dPt>
          <c:dPt>
            <c:idx val="7"/>
            <c:invertIfNegative val="0"/>
            <c:bubble3D val="0"/>
            <c:spPr>
              <a:solidFill>
                <a:srgbClr val="009999"/>
              </a:solidFill>
              <a:ln>
                <a:noFill/>
              </a:ln>
              <a:effectLst/>
            </c:spPr>
          </c:dPt>
          <c:dLbls>
            <c:dLbl>
              <c:idx val="10"/>
              <c:layout>
                <c:manualLayout>
                  <c:x val="-2.2222222222222223E-2"/>
                  <c:y val="0"/>
                </c:manualLayout>
              </c:layout>
              <c:showLegendKey val="0"/>
              <c:showVal val="1"/>
              <c:showCatName val="0"/>
              <c:showSerName val="0"/>
              <c:showPercent val="0"/>
              <c:showBubbleSize val="0"/>
              <c:extLst>
                <c:ext xmlns:c15="http://schemas.microsoft.com/office/drawing/2012/chart" uri="{CE6537A1-D6FC-4f65-9D91-7224C49458BB}"/>
              </c:extLst>
            </c:dLbl>
            <c:dLbl>
              <c:idx val="11"/>
              <c:layout>
                <c:manualLayout>
                  <c:x val="0"/>
                  <c:y val="-9.7222222222222224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 Report'!$A$92:$A$104</c:f>
              <c:strCache>
                <c:ptCount val="13"/>
                <c:pt idx="0">
                  <c:v>FY 2018</c:v>
                </c:pt>
                <c:pt idx="1">
                  <c:v>FY 2019</c:v>
                </c:pt>
                <c:pt idx="2">
                  <c:v>FY 2020</c:v>
                </c:pt>
                <c:pt idx="4">
                  <c:v>tCO2e/t</c:v>
                </c:pt>
                <c:pt idx="5">
                  <c:v>FY 2018</c:v>
                </c:pt>
                <c:pt idx="6">
                  <c:v>FY 2019</c:v>
                </c:pt>
                <c:pt idx="7">
                  <c:v>FY 2020</c:v>
                </c:pt>
                <c:pt idx="9">
                  <c:v>tCO2e/million USD</c:v>
                </c:pt>
                <c:pt idx="10">
                  <c:v>FY 2018</c:v>
                </c:pt>
                <c:pt idx="11">
                  <c:v>FY 2019</c:v>
                </c:pt>
                <c:pt idx="12">
                  <c:v>FY 2020</c:v>
                </c:pt>
              </c:strCache>
            </c:strRef>
          </c:cat>
          <c:val>
            <c:numRef>
              <c:f>'GHG Report'!$B$92:$B$104</c:f>
              <c:numCache>
                <c:formatCode>0.000</c:formatCode>
                <c:ptCount val="13"/>
                <c:pt idx="0">
                  <c:v>0.13305086036480937</c:v>
                </c:pt>
                <c:pt idx="1">
                  <c:v>0.12393665053588934</c:v>
                </c:pt>
                <c:pt idx="2">
                  <c:v>0.13469139653770559</c:v>
                </c:pt>
                <c:pt idx="5">
                  <c:v>2.8428035906389669E-2</c:v>
                </c:pt>
                <c:pt idx="6">
                  <c:v>3.2299287189592525E-2</c:v>
                </c:pt>
                <c:pt idx="7">
                  <c:v>3.9189059225099555E-2</c:v>
                </c:pt>
                <c:pt idx="10" formatCode="#\,##0">
                  <c:v>1105.3735834383413</c:v>
                </c:pt>
                <c:pt idx="11" formatCode="#\,##0">
                  <c:v>1036.2965102441187</c:v>
                </c:pt>
                <c:pt idx="12" formatCode="#\,##0">
                  <c:v>1637.1195124677761</c:v>
                </c:pt>
              </c:numCache>
            </c:numRef>
          </c:val>
        </c:ser>
        <c:dLbls>
          <c:showLegendKey val="0"/>
          <c:showVal val="0"/>
          <c:showCatName val="0"/>
          <c:showSerName val="0"/>
          <c:showPercent val="0"/>
          <c:showBubbleSize val="0"/>
        </c:dLbls>
        <c:gapWidth val="84"/>
        <c:overlap val="36"/>
        <c:axId val="475652656"/>
        <c:axId val="475647560"/>
      </c:barChart>
      <c:catAx>
        <c:axId val="475652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647560"/>
        <c:crosses val="autoZero"/>
        <c:auto val="1"/>
        <c:lblAlgn val="ctr"/>
        <c:lblOffset val="100"/>
        <c:noMultiLvlLbl val="0"/>
      </c:catAx>
      <c:valAx>
        <c:axId val="475647560"/>
        <c:scaling>
          <c:orientation val="minMax"/>
        </c:scaling>
        <c:delete val="1"/>
        <c:axPos val="l"/>
        <c:numFmt formatCode="0.000" sourceLinked="1"/>
        <c:majorTickMark val="none"/>
        <c:minorTickMark val="none"/>
        <c:tickLblPos val="nextTo"/>
        <c:crossAx val="47565265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900"/>
              <a:t>tCO</a:t>
            </a:r>
            <a:r>
              <a:rPr lang="en-US" sz="900" baseline="-25000"/>
              <a:t>2</a:t>
            </a:r>
            <a:r>
              <a:rPr lang="en-US" sz="900"/>
              <a:t>e/ct</a:t>
            </a:r>
          </a:p>
        </c:rich>
      </c:tx>
      <c:layout>
        <c:manualLayout>
          <c:xMode val="edge"/>
          <c:yMode val="edge"/>
          <c:x val="0.47777077865266843"/>
          <c:y val="4.1666666666666664E-2"/>
        </c:manualLayout>
      </c:layout>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1.5439168471721307E-2"/>
          <c:y val="0.18097205186035165"/>
          <c:w val="0.93888888888888888"/>
          <c:h val="0.72088764946048411"/>
        </c:manualLayout>
      </c:layout>
      <c:barChart>
        <c:barDir val="col"/>
        <c:grouping val="clustered"/>
        <c:varyColors val="0"/>
        <c:ser>
          <c:idx val="0"/>
          <c:order val="0"/>
          <c:tx>
            <c:strRef>
              <c:f>'GHG Report'!$B$91</c:f>
              <c:strCache>
                <c:ptCount val="1"/>
              </c:strCache>
            </c:strRef>
          </c:tx>
          <c:spPr>
            <a:solidFill>
              <a:srgbClr val="1C508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rgbClr val="FBB131"/>
                </a:solidFill>
                <a:prstDash val="sysDot"/>
              </a:ln>
              <a:effectLst/>
            </c:spPr>
            <c:trendlineType val="linear"/>
            <c:dispRSqr val="0"/>
            <c:dispEq val="0"/>
          </c:trendline>
          <c:cat>
            <c:strRef>
              <c:f>'GHG Report'!$A$92:$A$94</c:f>
              <c:strCache>
                <c:ptCount val="3"/>
                <c:pt idx="0">
                  <c:v>FY 2018</c:v>
                </c:pt>
                <c:pt idx="1">
                  <c:v>FY 2019</c:v>
                </c:pt>
                <c:pt idx="2">
                  <c:v>FY 2020</c:v>
                </c:pt>
              </c:strCache>
            </c:strRef>
          </c:cat>
          <c:val>
            <c:numRef>
              <c:f>'GHG Report'!$B$92:$B$94</c:f>
              <c:numCache>
                <c:formatCode>0.000</c:formatCode>
                <c:ptCount val="3"/>
                <c:pt idx="0">
                  <c:v>0.13305086036480937</c:v>
                </c:pt>
                <c:pt idx="1">
                  <c:v>0.12393665053588934</c:v>
                </c:pt>
                <c:pt idx="2">
                  <c:v>0.13469139653770559</c:v>
                </c:pt>
              </c:numCache>
            </c:numRef>
          </c:val>
        </c:ser>
        <c:dLbls>
          <c:showLegendKey val="0"/>
          <c:showVal val="0"/>
          <c:showCatName val="0"/>
          <c:showSerName val="0"/>
          <c:showPercent val="0"/>
          <c:showBubbleSize val="0"/>
        </c:dLbls>
        <c:gapWidth val="219"/>
        <c:overlap val="-27"/>
        <c:axId val="475648736"/>
        <c:axId val="475649128"/>
      </c:barChart>
      <c:catAx>
        <c:axId val="47564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649128"/>
        <c:crosses val="autoZero"/>
        <c:auto val="1"/>
        <c:lblAlgn val="ctr"/>
        <c:lblOffset val="100"/>
        <c:noMultiLvlLbl val="0"/>
      </c:catAx>
      <c:valAx>
        <c:axId val="475649128"/>
        <c:scaling>
          <c:orientation val="minMax"/>
        </c:scaling>
        <c:delete val="1"/>
        <c:axPos val="l"/>
        <c:numFmt formatCode="0.000" sourceLinked="1"/>
        <c:majorTickMark val="none"/>
        <c:minorTickMark val="none"/>
        <c:tickLblPos val="nextTo"/>
        <c:crossAx val="475648736"/>
        <c:crosses val="autoZero"/>
        <c:crossBetween val="between"/>
      </c:valAx>
      <c:spPr>
        <a:noFill/>
        <a:ln>
          <a:noFill/>
        </a:ln>
        <a:effectLst/>
      </c:spPr>
    </c:plotArea>
    <c:plotVisOnly val="1"/>
    <c:dispBlanksAs val="gap"/>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a:t>tCO</a:t>
            </a:r>
            <a:r>
              <a:rPr lang="en-US" sz="900" baseline="-25000"/>
              <a:t>2</a:t>
            </a:r>
            <a:r>
              <a:rPr lang="en-US" sz="900"/>
              <a:t>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'GHG Report'!$B$96</c:f>
              <c:strCache>
                <c:ptCount val="1"/>
              </c:strCache>
            </c:strRef>
          </c:tx>
          <c:spPr>
            <a:solidFill>
              <a:srgbClr val="00999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rgbClr val="FBB131"/>
                </a:solidFill>
                <a:prstDash val="sysDot"/>
              </a:ln>
              <a:effectLst/>
            </c:spPr>
            <c:trendlineType val="linear"/>
            <c:dispRSqr val="0"/>
            <c:dispEq val="0"/>
          </c:trendline>
          <c:cat>
            <c:strRef>
              <c:f>'GHG Report'!$A$97:$A$99</c:f>
              <c:strCache>
                <c:ptCount val="3"/>
                <c:pt idx="0">
                  <c:v>FY 2018</c:v>
                </c:pt>
                <c:pt idx="1">
                  <c:v>FY 2019</c:v>
                </c:pt>
                <c:pt idx="2">
                  <c:v>FY 2020</c:v>
                </c:pt>
              </c:strCache>
            </c:strRef>
          </c:cat>
          <c:val>
            <c:numRef>
              <c:f>'GHG Report'!$B$97:$B$99</c:f>
              <c:numCache>
                <c:formatCode>0.000</c:formatCode>
                <c:ptCount val="3"/>
                <c:pt idx="0">
                  <c:v>2.8428035906389669E-2</c:v>
                </c:pt>
                <c:pt idx="1">
                  <c:v>3.2299287189592525E-2</c:v>
                </c:pt>
                <c:pt idx="2">
                  <c:v>3.9189059225099555E-2</c:v>
                </c:pt>
              </c:numCache>
            </c:numRef>
          </c:val>
        </c:ser>
        <c:dLbls>
          <c:showLegendKey val="0"/>
          <c:showVal val="0"/>
          <c:showCatName val="0"/>
          <c:showSerName val="0"/>
          <c:showPercent val="0"/>
          <c:showBubbleSize val="0"/>
        </c:dLbls>
        <c:gapWidth val="219"/>
        <c:overlap val="-27"/>
        <c:axId val="475649912"/>
        <c:axId val="475651088"/>
      </c:barChart>
      <c:catAx>
        <c:axId val="475649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651088"/>
        <c:crosses val="autoZero"/>
        <c:auto val="1"/>
        <c:lblAlgn val="ctr"/>
        <c:lblOffset val="100"/>
        <c:noMultiLvlLbl val="0"/>
      </c:catAx>
      <c:valAx>
        <c:axId val="475651088"/>
        <c:scaling>
          <c:orientation val="minMax"/>
        </c:scaling>
        <c:delete val="1"/>
        <c:axPos val="l"/>
        <c:numFmt formatCode="0.000" sourceLinked="1"/>
        <c:majorTickMark val="none"/>
        <c:minorTickMark val="none"/>
        <c:tickLblPos val="nextTo"/>
        <c:crossAx val="475649912"/>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lrMapOvr bg1="lt1" tx1="dk1" bg2="lt2" tx2="dk2" accent1="accent1" accent2="accent2" accent3="accent3" accent4="accent4" accent5="accent5" accent6="accent6" hlink="hlink" folHlink="folHlink"/>
  <c:chart>
    <c:title>
      <c:tx>
        <c:rich>
          <a:bodyPr/>
          <a:lstStyle/>
          <a:p>
            <a:pPr algn="ctr">
              <a:defRPr sz="1400">
                <a:solidFill>
                  <a:sysClr val="windowText" lastClr="000000"/>
                </a:solidFill>
              </a:defRPr>
            </a:pPr>
            <a:r>
              <a:rPr lang="en-ZA" sz="1400">
                <a:solidFill>
                  <a:sysClr val="windowText" lastClr="000000"/>
                </a:solidFill>
              </a:rPr>
              <a:t>Total waste generated per operation (t) </a:t>
            </a:r>
          </a:p>
        </c:rich>
      </c:tx>
      <c:layout>
        <c:manualLayout>
          <c:xMode val="edge"/>
          <c:yMode val="edge"/>
          <c:x val="0.21973892654836089"/>
          <c:y val="1.6454031940580996E-2"/>
        </c:manualLayout>
      </c:layout>
      <c:overlay val="0"/>
    </c:title>
    <c:autoTitleDeleted val="0"/>
    <c:plotArea>
      <c:layout>
        <c:manualLayout>
          <c:layoutTarget val="inner"/>
          <c:xMode val="edge"/>
          <c:yMode val="edge"/>
          <c:x val="9.6320472362500048E-2"/>
          <c:y val="0.16104081887328831"/>
          <c:w val="0.90367952763749992"/>
          <c:h val="0.75862927377798761"/>
        </c:manualLayout>
      </c:layout>
      <c:barChart>
        <c:barDir val="col"/>
        <c:grouping val="clustered"/>
        <c:varyColors val="0"/>
        <c:ser>
          <c:idx val="0"/>
          <c:order val="0"/>
          <c:tx>
            <c:strRef>
              <c:f>Waste!$B$137</c:f>
              <c:strCache>
                <c:ptCount val="1"/>
                <c:pt idx="0">
                  <c:v>Q3</c:v>
                </c:pt>
              </c:strCache>
            </c:strRef>
          </c:tx>
          <c:spPr>
            <a:solidFill>
              <a:srgbClr val="1F497D"/>
            </a:solidFill>
          </c:spPr>
          <c:invertIfNegative val="0"/>
          <c:dLbls>
            <c:numFmt formatCode="#,##0" sourceLinked="0"/>
            <c:spPr>
              <a:noFill/>
              <a:ln>
                <a:noFill/>
              </a:ln>
              <a:effectLst/>
            </c:sp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ext>
            </c:extLst>
          </c:dLbls>
          <c:cat>
            <c:strRef>
              <c:f>Waste!$A$138:$A$143</c:f>
              <c:strCache>
                <c:ptCount val="6"/>
                <c:pt idx="0">
                  <c:v>CDM</c:v>
                </c:pt>
                <c:pt idx="1">
                  <c:v>FDM</c:v>
                </c:pt>
                <c:pt idx="2">
                  <c:v>BDM</c:v>
                </c:pt>
                <c:pt idx="3">
                  <c:v>CR</c:v>
                </c:pt>
                <c:pt idx="4">
                  <c:v>KEM</c:v>
                </c:pt>
                <c:pt idx="5">
                  <c:v>WDL</c:v>
                </c:pt>
              </c:strCache>
            </c:strRef>
          </c:cat>
          <c:val>
            <c:numRef>
              <c:f>Waste!$B$138:$B$143</c:f>
              <c:numCache>
                <c:formatCode>General</c:formatCode>
                <c:ptCount val="6"/>
                <c:pt idx="0">
                  <c:v>705.59</c:v>
                </c:pt>
                <c:pt idx="1">
                  <c:v>917.89099999999996</c:v>
                </c:pt>
                <c:pt idx="2">
                  <c:v>167.16</c:v>
                </c:pt>
                <c:pt idx="3">
                  <c:v>197.83</c:v>
                </c:pt>
                <c:pt idx="4">
                  <c:v>306.8</c:v>
                </c:pt>
                <c:pt idx="5">
                  <c:v>124.3706</c:v>
                </c:pt>
              </c:numCache>
            </c:numRef>
          </c:val>
          <c:extLst xmlns:c16r2="http://schemas.microsoft.com/office/drawing/2015/06/chart">
            <c:ext xmlns:c16="http://schemas.microsoft.com/office/drawing/2014/chart" uri="{C3380CC4-5D6E-409C-BE32-E72D297353CC}">
              <c16:uniqueId val="{00000000-308A-4767-80C9-E628FE5B5E91}"/>
            </c:ext>
          </c:extLst>
        </c:ser>
        <c:dLbls>
          <c:dLblPos val="outEnd"/>
          <c:showLegendKey val="0"/>
          <c:showVal val="1"/>
          <c:showCatName val="0"/>
          <c:showSerName val="0"/>
          <c:showPercent val="0"/>
          <c:showBubbleSize val="0"/>
        </c:dLbls>
        <c:gapWidth val="75"/>
        <c:axId val="453742112"/>
        <c:axId val="453734664"/>
      </c:barChart>
      <c:catAx>
        <c:axId val="453742112"/>
        <c:scaling>
          <c:orientation val="minMax"/>
        </c:scaling>
        <c:delete val="0"/>
        <c:axPos val="b"/>
        <c:numFmt formatCode="General" sourceLinked="0"/>
        <c:majorTickMark val="none"/>
        <c:minorTickMark val="none"/>
        <c:tickLblPos val="nextTo"/>
        <c:crossAx val="453734664"/>
        <c:crosses val="autoZero"/>
        <c:auto val="1"/>
        <c:lblAlgn val="ctr"/>
        <c:lblOffset val="100"/>
        <c:noMultiLvlLbl val="0"/>
      </c:catAx>
      <c:valAx>
        <c:axId val="453734664"/>
        <c:scaling>
          <c:orientation val="minMax"/>
          <c:min val="0"/>
        </c:scaling>
        <c:delete val="0"/>
        <c:axPos val="l"/>
        <c:majorGridlines>
          <c:spPr>
            <a:ln>
              <a:solidFill>
                <a:sysClr val="window" lastClr="FFFFFF">
                  <a:lumMod val="85000"/>
                </a:sysClr>
              </a:solidFill>
            </a:ln>
          </c:spPr>
        </c:majorGridlines>
        <c:numFmt formatCode="_(* #,##0_);_(* \(#,##0\);_(* &quot;-&quot;_);_(@_)" sourceLinked="0"/>
        <c:majorTickMark val="none"/>
        <c:minorTickMark val="none"/>
        <c:tickLblPos val="nextTo"/>
        <c:crossAx val="453742112"/>
        <c:crosses val="autoZero"/>
        <c:crossBetween val="between"/>
      </c:valAx>
      <c:spPr>
        <a:ln>
          <a:noFill/>
        </a:ln>
      </c:spPr>
    </c:plotArea>
    <c:plotVisOnly val="1"/>
    <c:dispBlanksAs val="gap"/>
    <c:showDLblsOverMax val="0"/>
  </c:chart>
  <c:spPr>
    <a:ln>
      <a:solidFill>
        <a:srgbClr val="1F497D">
          <a:lumMod val="50000"/>
        </a:srgbClr>
      </a:solidFill>
    </a:ln>
  </c:sp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900"/>
              <a:t>tCO</a:t>
            </a:r>
            <a:r>
              <a:rPr lang="en-US" sz="900" baseline="-25000"/>
              <a:t>2</a:t>
            </a:r>
            <a:r>
              <a:rPr lang="en-US" sz="900"/>
              <a:t>e/million USD</a:t>
            </a: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7306516755251826E-2"/>
          <c:y val="9.8765221914828213E-2"/>
          <c:w val="0.93888888888888888"/>
          <c:h val="0.72088764946048411"/>
        </c:manualLayout>
      </c:layout>
      <c:barChart>
        <c:barDir val="col"/>
        <c:grouping val="clustered"/>
        <c:varyColors val="0"/>
        <c:ser>
          <c:idx val="0"/>
          <c:order val="0"/>
          <c:tx>
            <c:strRef>
              <c:f>'GHG Report'!$B$101</c:f>
              <c:strCache>
                <c:ptCount val="1"/>
              </c:strCache>
            </c:strRef>
          </c:tx>
          <c:spPr>
            <a:solidFill>
              <a:srgbClr val="0075B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rgbClr val="FBB131"/>
                </a:solidFill>
                <a:prstDash val="sysDot"/>
              </a:ln>
              <a:effectLst/>
            </c:spPr>
            <c:trendlineType val="linear"/>
            <c:dispRSqr val="0"/>
            <c:dispEq val="0"/>
          </c:trendline>
          <c:cat>
            <c:strRef>
              <c:f>'GHG Report'!$A$102:$A$104</c:f>
              <c:strCache>
                <c:ptCount val="3"/>
                <c:pt idx="0">
                  <c:v>FY 2018</c:v>
                </c:pt>
                <c:pt idx="1">
                  <c:v>FY 2019</c:v>
                </c:pt>
                <c:pt idx="2">
                  <c:v>FY 2020</c:v>
                </c:pt>
              </c:strCache>
            </c:strRef>
          </c:cat>
          <c:val>
            <c:numRef>
              <c:f>'GHG Report'!$B$102:$B$104</c:f>
              <c:numCache>
                <c:formatCode>#\,##0</c:formatCode>
                <c:ptCount val="3"/>
                <c:pt idx="0">
                  <c:v>1105.3735834383413</c:v>
                </c:pt>
                <c:pt idx="1">
                  <c:v>1036.2965102441187</c:v>
                </c:pt>
                <c:pt idx="2">
                  <c:v>1637.1195124677761</c:v>
                </c:pt>
              </c:numCache>
            </c:numRef>
          </c:val>
        </c:ser>
        <c:dLbls>
          <c:showLegendKey val="0"/>
          <c:showVal val="0"/>
          <c:showCatName val="0"/>
          <c:showSerName val="0"/>
          <c:showPercent val="0"/>
          <c:showBubbleSize val="0"/>
        </c:dLbls>
        <c:gapWidth val="219"/>
        <c:overlap val="-27"/>
        <c:axId val="475652264"/>
        <c:axId val="475653440"/>
      </c:barChart>
      <c:catAx>
        <c:axId val="475652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653440"/>
        <c:crosses val="autoZero"/>
        <c:auto val="1"/>
        <c:lblAlgn val="ctr"/>
        <c:lblOffset val="100"/>
        <c:noMultiLvlLbl val="0"/>
      </c:catAx>
      <c:valAx>
        <c:axId val="475653440"/>
        <c:scaling>
          <c:orientation val="minMax"/>
        </c:scaling>
        <c:delete val="1"/>
        <c:axPos val="l"/>
        <c:numFmt formatCode="#\,##0" sourceLinked="1"/>
        <c:majorTickMark val="none"/>
        <c:minorTickMark val="none"/>
        <c:tickLblPos val="nextTo"/>
        <c:crossAx val="475652264"/>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'GHG Report'!$B$34</c:f>
              <c:strCache>
                <c:ptCount val="1"/>
                <c:pt idx="0">
                  <c:v>FY 2020</c:v>
                </c:pt>
              </c:strCache>
            </c:strRef>
          </c:tx>
          <c:spPr>
            <a:solidFill>
              <a:srgbClr val="0075B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 Report'!$A$35:$A$39</c:f>
              <c:strCache>
                <c:ptCount val="5"/>
                <c:pt idx="0">
                  <c:v>Cullinan</c:v>
                </c:pt>
                <c:pt idx="1">
                  <c:v>Finsch</c:v>
                </c:pt>
                <c:pt idx="2">
                  <c:v>Koffiefontein</c:v>
                </c:pt>
                <c:pt idx="3">
                  <c:v>Williamson</c:v>
                </c:pt>
                <c:pt idx="4">
                  <c:v>Petra Group</c:v>
                </c:pt>
              </c:strCache>
            </c:strRef>
          </c:cat>
          <c:val>
            <c:numRef>
              <c:f>'GHG Report'!$B$35:$B$39</c:f>
              <c:numCache>
                <c:formatCode>0.000</c:formatCode>
                <c:ptCount val="5"/>
                <c:pt idx="0">
                  <c:v>0.13665823061464918</c:v>
                </c:pt>
                <c:pt idx="1">
                  <c:v>0.109765967853443</c:v>
                </c:pt>
                <c:pt idx="2">
                  <c:v>0.68894172049115776</c:v>
                </c:pt>
                <c:pt idx="3">
                  <c:v>0.13021857225317227</c:v>
                </c:pt>
                <c:pt idx="4">
                  <c:v>0.13469139653770559</c:v>
                </c:pt>
              </c:numCache>
            </c:numRef>
          </c:val>
        </c:ser>
        <c:ser>
          <c:idx val="1"/>
          <c:order val="1"/>
          <c:tx>
            <c:strRef>
              <c:f>'GHG Report'!$C$34</c:f>
              <c:strCache>
                <c:ptCount val="1"/>
                <c:pt idx="0">
                  <c:v>FY 2019</c:v>
                </c:pt>
              </c:strCache>
            </c:strRef>
          </c:tx>
          <c:spPr>
            <a:solidFill>
              <a:srgbClr val="C8CAC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 Report'!$A$35:$A$39</c:f>
              <c:strCache>
                <c:ptCount val="5"/>
                <c:pt idx="0">
                  <c:v>Cullinan</c:v>
                </c:pt>
                <c:pt idx="1">
                  <c:v>Finsch</c:v>
                </c:pt>
                <c:pt idx="2">
                  <c:v>Koffiefontein</c:v>
                </c:pt>
                <c:pt idx="3">
                  <c:v>Williamson</c:v>
                </c:pt>
                <c:pt idx="4">
                  <c:v>Petra Group</c:v>
                </c:pt>
              </c:strCache>
            </c:strRef>
          </c:cat>
          <c:val>
            <c:numRef>
              <c:f>'GHG Report'!$C$35:$C$39</c:f>
              <c:numCache>
                <c:formatCode>0.000</c:formatCode>
                <c:ptCount val="5"/>
                <c:pt idx="0">
                  <c:v>0.12775420658986411</c:v>
                </c:pt>
                <c:pt idx="1">
                  <c:v>0.10744091919116482</c:v>
                </c:pt>
                <c:pt idx="2">
                  <c:v>0.74220121507804504</c:v>
                </c:pt>
                <c:pt idx="3">
                  <c:v>7.9720386411286939E-2</c:v>
                </c:pt>
                <c:pt idx="4">
                  <c:v>0.12393665053759427</c:v>
                </c:pt>
              </c:numCache>
            </c:numRef>
          </c:val>
        </c:ser>
        <c:dLbls>
          <c:showLegendKey val="0"/>
          <c:showVal val="0"/>
          <c:showCatName val="0"/>
          <c:showSerName val="0"/>
          <c:showPercent val="0"/>
          <c:showBubbleSize val="0"/>
        </c:dLbls>
        <c:gapWidth val="122"/>
        <c:axId val="475654224"/>
        <c:axId val="475656968"/>
      </c:barChart>
      <c:catAx>
        <c:axId val="475654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656968"/>
        <c:crosses val="autoZero"/>
        <c:auto val="1"/>
        <c:lblAlgn val="ctr"/>
        <c:lblOffset val="100"/>
        <c:noMultiLvlLbl val="0"/>
      </c:catAx>
      <c:valAx>
        <c:axId val="475656968"/>
        <c:scaling>
          <c:orientation val="minMax"/>
        </c:scaling>
        <c:delete val="1"/>
        <c:axPos val="l"/>
        <c:numFmt formatCode="0.000" sourceLinked="1"/>
        <c:majorTickMark val="none"/>
        <c:minorTickMark val="none"/>
        <c:tickLblPos val="nextTo"/>
        <c:crossAx val="475654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'GHG Report'!$A$113:$A$117</c:f>
              <c:strCache>
                <c:ptCount val="5"/>
                <c:pt idx="0">
                  <c:v>CDM</c:v>
                </c:pt>
                <c:pt idx="1">
                  <c:v>FDM</c:v>
                </c:pt>
                <c:pt idx="2">
                  <c:v>KDM</c:v>
                </c:pt>
                <c:pt idx="3">
                  <c:v>WDL</c:v>
                </c:pt>
                <c:pt idx="4">
                  <c:v>HEAD OFFICE</c:v>
                </c:pt>
              </c:strCache>
            </c:strRef>
          </c:cat>
          <c:val>
            <c:numRef>
              <c:f>'GHG Report'!$B$113:$B$117</c:f>
              <c:numCache>
                <c:formatCode>#,##0.00</c:formatCode>
                <c:ptCount val="5"/>
                <c:pt idx="0">
                  <c:v>215230.98360228393</c:v>
                </c:pt>
                <c:pt idx="1">
                  <c:v>179745.78170673081</c:v>
                </c:pt>
                <c:pt idx="2">
                  <c:v>47334.11677368229</c:v>
                </c:pt>
                <c:pt idx="3">
                  <c:v>36641.707369511845</c:v>
                </c:pt>
                <c:pt idx="4">
                  <c:v>643.93484230670538</c:v>
                </c:pt>
              </c:numCache>
            </c:numRef>
          </c:val>
        </c:ser>
        <c:dLbls>
          <c:showLegendKey val="0"/>
          <c:showVal val="0"/>
          <c:showCatName val="0"/>
          <c:showSerName val="0"/>
          <c:showPercent val="0"/>
          <c:showBubbleSize val="0"/>
        </c:dLbls>
        <c:gapWidth val="219"/>
        <c:overlap val="-27"/>
        <c:axId val="475659712"/>
        <c:axId val="475656576"/>
      </c:barChart>
      <c:catAx>
        <c:axId val="47565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656576"/>
        <c:crosses val="autoZero"/>
        <c:auto val="1"/>
        <c:lblAlgn val="ctr"/>
        <c:lblOffset val="100"/>
        <c:noMultiLvlLbl val="0"/>
      </c:catAx>
      <c:valAx>
        <c:axId val="4756565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659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'GHG Report'!$A$122:$A$127</c:f>
              <c:strCache>
                <c:ptCount val="6"/>
                <c:pt idx="0">
                  <c:v>CDM</c:v>
                </c:pt>
                <c:pt idx="1">
                  <c:v>FDM</c:v>
                </c:pt>
                <c:pt idx="2">
                  <c:v>KDM</c:v>
                </c:pt>
                <c:pt idx="3">
                  <c:v>WDL</c:v>
                </c:pt>
                <c:pt idx="4">
                  <c:v>HEAD OFFICE</c:v>
                </c:pt>
                <c:pt idx="5">
                  <c:v>PETRA</c:v>
                </c:pt>
              </c:strCache>
            </c:strRef>
          </c:cat>
          <c:val>
            <c:numRef>
              <c:f>'GHG Report'!$B$122:$B$127</c:f>
              <c:numCache>
                <c:formatCode>#,##0.00</c:formatCode>
                <c:ptCount val="6"/>
                <c:pt idx="0">
                  <c:v>215701.38486457351</c:v>
                </c:pt>
                <c:pt idx="1">
                  <c:v>180407.88427993082</c:v>
                </c:pt>
                <c:pt idx="2">
                  <c:v>47590.282134804285</c:v>
                </c:pt>
                <c:pt idx="3">
                  <c:v>38822.062945838246</c:v>
                </c:pt>
                <c:pt idx="4">
                  <c:v>909.52176334870535</c:v>
                </c:pt>
                <c:pt idx="5">
                  <c:v>483431.14002312883</c:v>
                </c:pt>
              </c:numCache>
            </c:numRef>
          </c:val>
        </c:ser>
        <c:dLbls>
          <c:showLegendKey val="0"/>
          <c:showVal val="0"/>
          <c:showCatName val="0"/>
          <c:showSerName val="0"/>
          <c:showPercent val="0"/>
          <c:showBubbleSize val="0"/>
        </c:dLbls>
        <c:gapWidth val="219"/>
        <c:overlap val="-27"/>
        <c:axId val="475657752"/>
        <c:axId val="475658144"/>
      </c:barChart>
      <c:catAx>
        <c:axId val="475657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658144"/>
        <c:crosses val="autoZero"/>
        <c:auto val="1"/>
        <c:lblAlgn val="ctr"/>
        <c:lblOffset val="100"/>
        <c:noMultiLvlLbl val="0"/>
      </c:catAx>
      <c:valAx>
        <c:axId val="4756581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657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Waste Recycling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'[1]Raw data'!$C$20</c:f>
              <c:strCache>
                <c:ptCount val="1"/>
                <c:pt idx="0">
                  <c:v>Waste Recycling</c:v>
                </c:pt>
              </c:strCache>
            </c:strRef>
          </c:tx>
          <c:spPr>
            <a:ln w="38100" cap="rnd">
              <a:solidFill>
                <a:schemeClr val="accent1"/>
              </a:solidFill>
            </a:ln>
            <a:effectLst>
              <a:glow rad="139700">
                <a:schemeClr val="accent1">
                  <a:satMod val="175000"/>
                  <a:alpha val="14000"/>
                </a:schemeClr>
              </a:glow>
            </a:effectLst>
          </c:spPr>
          <c:marker>
            <c:symbol val="none"/>
          </c:marker>
          <c:trendline>
            <c:spPr>
              <a:ln w="19050" cap="rnd">
                <a:solidFill>
                  <a:srgbClr val="00B050"/>
                </a:solidFill>
                <a:prstDash val="sysDot"/>
              </a:ln>
              <a:effectLst>
                <a:glow rad="101600">
                  <a:schemeClr val="accent6">
                    <a:satMod val="175000"/>
                    <a:alpha val="40000"/>
                  </a:schemeClr>
                </a:glow>
              </a:effectLst>
            </c:spPr>
            <c:trendlineType val="linear"/>
            <c:dispRSqr val="0"/>
            <c:dispEq val="0"/>
          </c:trendline>
          <c:cat>
            <c:strRef>
              <c:f>'[1]Raw data'!$D$3:$O$3</c:f>
              <c:strCache>
                <c:ptCount val="12"/>
                <c:pt idx="0">
                  <c:v>July</c:v>
                </c:pt>
                <c:pt idx="1">
                  <c:v>August</c:v>
                </c:pt>
                <c:pt idx="2">
                  <c:v>September</c:v>
                </c:pt>
                <c:pt idx="3">
                  <c:v>October</c:v>
                </c:pt>
                <c:pt idx="4">
                  <c:v>November</c:v>
                </c:pt>
                <c:pt idx="5">
                  <c:v>December</c:v>
                </c:pt>
                <c:pt idx="6">
                  <c:v>January</c:v>
                </c:pt>
                <c:pt idx="7">
                  <c:v>February</c:v>
                </c:pt>
                <c:pt idx="8">
                  <c:v>March</c:v>
                </c:pt>
                <c:pt idx="9">
                  <c:v>April</c:v>
                </c:pt>
                <c:pt idx="10">
                  <c:v>May</c:v>
                </c:pt>
                <c:pt idx="11">
                  <c:v>June</c:v>
                </c:pt>
              </c:strCache>
            </c:strRef>
          </c:cat>
          <c:val>
            <c:numRef>
              <c:f>'[1]Raw data'!$D$20:$O$20</c:f>
              <c:numCache>
                <c:formatCode>General</c:formatCode>
                <c:ptCount val="12"/>
                <c:pt idx="0">
                  <c:v>22.02</c:v>
                </c:pt>
                <c:pt idx="1">
                  <c:v>22.02</c:v>
                </c:pt>
                <c:pt idx="2">
                  <c:v>22.02</c:v>
                </c:pt>
                <c:pt idx="3">
                  <c:v>25.22</c:v>
                </c:pt>
                <c:pt idx="4">
                  <c:v>25.22</c:v>
                </c:pt>
                <c:pt idx="5">
                  <c:v>25.22</c:v>
                </c:pt>
                <c:pt idx="6">
                  <c:v>40.56</c:v>
                </c:pt>
                <c:pt idx="7">
                  <c:v>40.56</c:v>
                </c:pt>
                <c:pt idx="8">
                  <c:v>40.56</c:v>
                </c:pt>
              </c:numCache>
            </c:numRef>
          </c:val>
          <c:smooth val="0"/>
          <c:extLst xmlns:c16r2="http://schemas.microsoft.com/office/drawing/2015/06/chart">
            <c:ext xmlns:c16="http://schemas.microsoft.com/office/drawing/2014/chart" uri="{C3380CC4-5D6E-409C-BE32-E72D297353CC}">
              <c16:uniqueId val="{00000000-A5EB-4EEE-A69D-85E23D44CBCA}"/>
            </c:ext>
          </c:extLst>
        </c:ser>
        <c:ser>
          <c:idx val="1"/>
          <c:order val="1"/>
          <c:tx>
            <c:strRef>
              <c:f>'[1]Raw data'!$C$21</c:f>
              <c:strCache>
                <c:ptCount val="1"/>
                <c:pt idx="0">
                  <c:v>Target </c:v>
                </c:pt>
              </c:strCache>
            </c:strRef>
          </c:tx>
          <c:spPr>
            <a:ln w="22225" cap="rnd">
              <a:solidFill>
                <a:srgbClr val="FF0000"/>
              </a:solidFill>
            </a:ln>
            <a:effectLst>
              <a:glow rad="139700">
                <a:schemeClr val="accent2">
                  <a:satMod val="175000"/>
                  <a:alpha val="14000"/>
                </a:schemeClr>
              </a:glow>
            </a:effectLst>
          </c:spPr>
          <c:marker>
            <c:symbol val="none"/>
          </c:marker>
          <c:cat>
            <c:strRef>
              <c:f>'[1]Raw data'!$D$3:$O$3</c:f>
              <c:strCache>
                <c:ptCount val="12"/>
                <c:pt idx="0">
                  <c:v>July</c:v>
                </c:pt>
                <c:pt idx="1">
                  <c:v>August</c:v>
                </c:pt>
                <c:pt idx="2">
                  <c:v>September</c:v>
                </c:pt>
                <c:pt idx="3">
                  <c:v>October</c:v>
                </c:pt>
                <c:pt idx="4">
                  <c:v>November</c:v>
                </c:pt>
                <c:pt idx="5">
                  <c:v>December</c:v>
                </c:pt>
                <c:pt idx="6">
                  <c:v>January</c:v>
                </c:pt>
                <c:pt idx="7">
                  <c:v>February</c:v>
                </c:pt>
                <c:pt idx="8">
                  <c:v>March</c:v>
                </c:pt>
                <c:pt idx="9">
                  <c:v>April</c:v>
                </c:pt>
                <c:pt idx="10">
                  <c:v>May</c:v>
                </c:pt>
                <c:pt idx="11">
                  <c:v>June</c:v>
                </c:pt>
              </c:strCache>
            </c:strRef>
          </c:cat>
          <c:val>
            <c:numRef>
              <c:f>'[1]Raw data'!$D$21:$O$21</c:f>
              <c:numCache>
                <c:formatCode>General</c:formatCode>
                <c:ptCount val="12"/>
                <c:pt idx="0">
                  <c:v>20.41</c:v>
                </c:pt>
                <c:pt idx="1">
                  <c:v>20.41</c:v>
                </c:pt>
                <c:pt idx="2">
                  <c:v>20.41</c:v>
                </c:pt>
                <c:pt idx="3">
                  <c:v>20.41</c:v>
                </c:pt>
                <c:pt idx="4">
                  <c:v>20.41</c:v>
                </c:pt>
                <c:pt idx="5">
                  <c:v>20.41</c:v>
                </c:pt>
                <c:pt idx="6">
                  <c:v>20.41</c:v>
                </c:pt>
                <c:pt idx="7">
                  <c:v>20.41</c:v>
                </c:pt>
                <c:pt idx="8">
                  <c:v>20.41</c:v>
                </c:pt>
                <c:pt idx="9">
                  <c:v>20.41</c:v>
                </c:pt>
                <c:pt idx="10">
                  <c:v>20.41</c:v>
                </c:pt>
                <c:pt idx="11">
                  <c:v>20.41</c:v>
                </c:pt>
              </c:numCache>
            </c:numRef>
          </c:val>
          <c:smooth val="0"/>
          <c:extLst xmlns:c16r2="http://schemas.microsoft.com/office/drawing/2015/06/chart">
            <c:ext xmlns:c16="http://schemas.microsoft.com/office/drawing/2014/chart" uri="{C3380CC4-5D6E-409C-BE32-E72D297353CC}">
              <c16:uniqueId val="{00000001-A5EB-4EEE-A69D-85E23D44CBCA}"/>
            </c:ext>
          </c:extLst>
        </c:ser>
        <c:dLbls>
          <c:showLegendKey val="0"/>
          <c:showVal val="0"/>
          <c:showCatName val="0"/>
          <c:showSerName val="0"/>
          <c:showPercent val="0"/>
          <c:showBubbleSize val="0"/>
        </c:dLbls>
        <c:smooth val="0"/>
        <c:axId val="453736232"/>
        <c:axId val="455566808"/>
      </c:lineChart>
      <c:catAx>
        <c:axId val="45373623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5566808"/>
        <c:crosses val="autoZero"/>
        <c:auto val="1"/>
        <c:lblAlgn val="ctr"/>
        <c:lblOffset val="100"/>
        <c:noMultiLvlLbl val="0"/>
      </c:catAx>
      <c:valAx>
        <c:axId val="4555668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3736232"/>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Petra Group Env Incidents - Moderated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Incidents!$A$57</c:f>
              <c:strCache>
                <c:ptCount val="1"/>
              </c:strCache>
            </c:strRef>
          </c:tx>
          <c:spPr>
            <a:solidFill>
              <a:schemeClr val="accent1"/>
            </a:solidFill>
            <a:ln>
              <a:noFill/>
            </a:ln>
            <a:effectLst/>
          </c:spPr>
          <c:invertIfNegative val="0"/>
          <c:cat>
            <c:numRef>
              <c:f>Incidents!$C$56:$F$56</c:f>
              <c:numCache>
                <c:formatCode>General</c:formatCode>
                <c:ptCount val="4"/>
              </c:numCache>
            </c:numRef>
          </c:cat>
          <c:val>
            <c:numRef>
              <c:f>Incidents!$C$57:$F$57</c:f>
              <c:numCache>
                <c:formatCode>General</c:formatCode>
                <c:ptCount val="4"/>
              </c:numCache>
            </c:numRef>
          </c:val>
          <c:extLst xmlns:c16r2="http://schemas.microsoft.com/office/drawing/2015/06/chart">
            <c:ext xmlns:c16="http://schemas.microsoft.com/office/drawing/2014/chart" uri="{C3380CC4-5D6E-409C-BE32-E72D297353CC}">
              <c16:uniqueId val="{00000000-81B3-4F25-90AD-FD2BAB2DBC3C}"/>
            </c:ext>
          </c:extLst>
        </c:ser>
        <c:ser>
          <c:idx val="1"/>
          <c:order val="1"/>
          <c:tx>
            <c:strRef>
              <c:f>Incidents!$A$58</c:f>
              <c:strCache>
                <c:ptCount val="1"/>
              </c:strCache>
            </c:strRef>
          </c:tx>
          <c:spPr>
            <a:solidFill>
              <a:schemeClr val="accent2"/>
            </a:solidFill>
            <a:ln>
              <a:noFill/>
            </a:ln>
            <a:effectLst/>
          </c:spPr>
          <c:invertIfNegative val="0"/>
          <c:cat>
            <c:numRef>
              <c:f>Incidents!$C$56:$F$56</c:f>
              <c:numCache>
                <c:formatCode>General</c:formatCode>
                <c:ptCount val="4"/>
              </c:numCache>
            </c:numRef>
          </c:cat>
          <c:val>
            <c:numRef>
              <c:f>Incidents!$C$58:$F$58</c:f>
              <c:numCache>
                <c:formatCode>General</c:formatCode>
                <c:ptCount val="4"/>
              </c:numCache>
            </c:numRef>
          </c:val>
          <c:extLst xmlns:c16r2="http://schemas.microsoft.com/office/drawing/2015/06/chart">
            <c:ext xmlns:c16="http://schemas.microsoft.com/office/drawing/2014/chart" uri="{C3380CC4-5D6E-409C-BE32-E72D297353CC}">
              <c16:uniqueId val="{00000001-81B3-4F25-90AD-FD2BAB2DBC3C}"/>
            </c:ext>
          </c:extLst>
        </c:ser>
        <c:ser>
          <c:idx val="2"/>
          <c:order val="2"/>
          <c:tx>
            <c:strRef>
              <c:f>Incidents!$A$59</c:f>
              <c:strCache>
                <c:ptCount val="1"/>
              </c:strCache>
            </c:strRef>
          </c:tx>
          <c:spPr>
            <a:solidFill>
              <a:schemeClr val="accent3"/>
            </a:solidFill>
            <a:ln>
              <a:noFill/>
            </a:ln>
            <a:effectLst/>
          </c:spPr>
          <c:invertIfNegative val="0"/>
          <c:cat>
            <c:numRef>
              <c:f>Incidents!$C$56:$F$56</c:f>
              <c:numCache>
                <c:formatCode>General</c:formatCode>
                <c:ptCount val="4"/>
              </c:numCache>
            </c:numRef>
          </c:cat>
          <c:val>
            <c:numRef>
              <c:f>Incidents!$C$59:$F$59</c:f>
              <c:numCache>
                <c:formatCode>General</c:formatCode>
                <c:ptCount val="4"/>
              </c:numCache>
            </c:numRef>
          </c:val>
          <c:extLst xmlns:c16r2="http://schemas.microsoft.com/office/drawing/2015/06/chart">
            <c:ext xmlns:c16="http://schemas.microsoft.com/office/drawing/2014/chart" uri="{C3380CC4-5D6E-409C-BE32-E72D297353CC}">
              <c16:uniqueId val="{00000002-81B3-4F25-90AD-FD2BAB2DBC3C}"/>
            </c:ext>
          </c:extLst>
        </c:ser>
        <c:ser>
          <c:idx val="3"/>
          <c:order val="3"/>
          <c:tx>
            <c:strRef>
              <c:f>Incidents!$A$60</c:f>
              <c:strCache>
                <c:ptCount val="1"/>
              </c:strCache>
            </c:strRef>
          </c:tx>
          <c:spPr>
            <a:solidFill>
              <a:schemeClr val="accent4"/>
            </a:solidFill>
            <a:ln>
              <a:noFill/>
            </a:ln>
            <a:effectLst/>
          </c:spPr>
          <c:invertIfNegative val="0"/>
          <c:cat>
            <c:numRef>
              <c:f>Incidents!$C$56:$F$56</c:f>
              <c:numCache>
                <c:formatCode>General</c:formatCode>
                <c:ptCount val="4"/>
              </c:numCache>
            </c:numRef>
          </c:cat>
          <c:val>
            <c:numRef>
              <c:f>Incidents!$C$60:$F$60</c:f>
              <c:numCache>
                <c:formatCode>General</c:formatCode>
                <c:ptCount val="4"/>
              </c:numCache>
            </c:numRef>
          </c:val>
          <c:extLst xmlns:c16r2="http://schemas.microsoft.com/office/drawing/2015/06/chart">
            <c:ext xmlns:c16="http://schemas.microsoft.com/office/drawing/2014/chart" uri="{C3380CC4-5D6E-409C-BE32-E72D297353CC}">
              <c16:uniqueId val="{00000003-81B3-4F25-90AD-FD2BAB2DBC3C}"/>
            </c:ext>
          </c:extLst>
        </c:ser>
        <c:ser>
          <c:idx val="4"/>
          <c:order val="4"/>
          <c:tx>
            <c:strRef>
              <c:f>Incidents!$A$61</c:f>
              <c:strCache>
                <c:ptCount val="1"/>
              </c:strCache>
            </c:strRef>
          </c:tx>
          <c:spPr>
            <a:solidFill>
              <a:schemeClr val="accent5"/>
            </a:solidFill>
            <a:ln>
              <a:noFill/>
            </a:ln>
            <a:effectLst/>
          </c:spPr>
          <c:invertIfNegative val="0"/>
          <c:cat>
            <c:numRef>
              <c:f>Incidents!$C$56:$F$56</c:f>
              <c:numCache>
                <c:formatCode>General</c:formatCode>
                <c:ptCount val="4"/>
              </c:numCache>
            </c:numRef>
          </c:cat>
          <c:val>
            <c:numRef>
              <c:f>Incidents!$C$61:$F$61</c:f>
              <c:numCache>
                <c:formatCode>General</c:formatCode>
                <c:ptCount val="4"/>
              </c:numCache>
            </c:numRef>
          </c:val>
          <c:extLst xmlns:c16r2="http://schemas.microsoft.com/office/drawing/2015/06/chart">
            <c:ext xmlns:c16="http://schemas.microsoft.com/office/drawing/2014/chart" uri="{C3380CC4-5D6E-409C-BE32-E72D297353CC}">
              <c16:uniqueId val="{00000004-81B3-4F25-90AD-FD2BAB2DBC3C}"/>
            </c:ext>
          </c:extLst>
        </c:ser>
        <c:dLbls>
          <c:showLegendKey val="0"/>
          <c:showVal val="0"/>
          <c:showCatName val="0"/>
          <c:showSerName val="0"/>
          <c:showPercent val="0"/>
          <c:showBubbleSize val="0"/>
        </c:dLbls>
        <c:gapWidth val="219"/>
        <c:overlap val="-27"/>
        <c:axId val="455567592"/>
        <c:axId val="455561320"/>
      </c:barChart>
      <c:catAx>
        <c:axId val="455567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561320"/>
        <c:crosses val="autoZero"/>
        <c:auto val="1"/>
        <c:lblAlgn val="ctr"/>
        <c:lblOffset val="100"/>
        <c:noMultiLvlLbl val="0"/>
      </c:catAx>
      <c:valAx>
        <c:axId val="455561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5675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Incidents!$C$55</c:f>
              <c:strCache>
                <c:ptCount val="1"/>
              </c:strCache>
            </c:strRef>
          </c:tx>
          <c:spPr>
            <a:solidFill>
              <a:schemeClr val="accent1"/>
            </a:solidFill>
            <a:ln>
              <a:noFill/>
            </a:ln>
            <a:effectLst/>
            <a:sp3d/>
          </c:spPr>
          <c:invertIfNegative val="0"/>
          <c:val>
            <c:numRef>
              <c:f>Incidents!$C$56:$C$62</c:f>
              <c:numCache>
                <c:formatCode>General</c:formatCode>
                <c:ptCount val="7"/>
              </c:numCache>
            </c:numRef>
          </c:val>
          <c:extLst xmlns:c16r2="http://schemas.microsoft.com/office/drawing/2015/06/chart">
            <c:ext xmlns:c16="http://schemas.microsoft.com/office/drawing/2014/chart" uri="{C3380CC4-5D6E-409C-BE32-E72D297353CC}">
              <c16:uniqueId val="{00000000-99A2-43CF-8E3E-543D98ABCE36}"/>
            </c:ext>
            <c:ext xmlns:c15="http://schemas.microsoft.com/office/drawing/2012/chart" uri="{02D57815-91ED-43cb-92C2-25804820EDAC}">
              <c15:filteredCategoryTitle>
                <c15:cat>
                  <c:multiLvlStrRef>
                    <c:extLst xmlns:c16="http://schemas.microsoft.com/office/drawing/2014/chart" xmlns:c16r2="http://schemas.microsoft.com/office/drawing/2015/06/chart">
                      <c:ext uri="{02D57815-91ED-43cb-92C2-25804820EDAC}">
                        <c15:formulaRef>
                          <c15:sqref>Incidents!$A$56:$B$62</c15:sqref>
                        </c15:formulaRef>
                      </c:ext>
                    </c:extLst>
                  </c:multiLvlStrRef>
                </c15:cat>
              </c15:filteredCategoryTitle>
            </c:ext>
          </c:extLst>
        </c:ser>
        <c:ser>
          <c:idx val="1"/>
          <c:order val="1"/>
          <c:tx>
            <c:strRef>
              <c:f>Incidents!$D$55</c:f>
              <c:strCache>
                <c:ptCount val="1"/>
              </c:strCache>
            </c:strRef>
          </c:tx>
          <c:spPr>
            <a:solidFill>
              <a:schemeClr val="accent2"/>
            </a:solidFill>
            <a:ln>
              <a:noFill/>
            </a:ln>
            <a:effectLst/>
            <a:sp3d/>
          </c:spPr>
          <c:invertIfNegative val="0"/>
          <c:val>
            <c:numRef>
              <c:f>Incidents!$D$56:$D$62</c:f>
              <c:numCache>
                <c:formatCode>General</c:formatCode>
                <c:ptCount val="7"/>
              </c:numCache>
            </c:numRef>
          </c:val>
          <c:extLst xmlns:c16r2="http://schemas.microsoft.com/office/drawing/2015/06/chart">
            <c:ext xmlns:c16="http://schemas.microsoft.com/office/drawing/2014/chart" uri="{C3380CC4-5D6E-409C-BE32-E72D297353CC}">
              <c16:uniqueId val="{00000001-99A2-43CF-8E3E-543D98ABCE36}"/>
            </c:ext>
            <c:ext xmlns:c15="http://schemas.microsoft.com/office/drawing/2012/chart" uri="{02D57815-91ED-43cb-92C2-25804820EDAC}">
              <c15:filteredCategoryTitle>
                <c15:cat>
                  <c:multiLvlStrRef>
                    <c:extLst xmlns:c16="http://schemas.microsoft.com/office/drawing/2014/chart" xmlns:c16r2="http://schemas.microsoft.com/office/drawing/2015/06/chart">
                      <c:ext uri="{02D57815-91ED-43cb-92C2-25804820EDAC}">
                        <c15:formulaRef>
                          <c15:sqref>Incidents!$A$56:$B$62</c15:sqref>
                        </c15:formulaRef>
                      </c:ext>
                    </c:extLst>
                  </c:multiLvlStrRef>
                </c15:cat>
              </c15:filteredCategoryTitle>
            </c:ext>
          </c:extLst>
        </c:ser>
        <c:ser>
          <c:idx val="2"/>
          <c:order val="2"/>
          <c:tx>
            <c:strRef>
              <c:f>Incidents!$E$55</c:f>
              <c:strCache>
                <c:ptCount val="1"/>
              </c:strCache>
            </c:strRef>
          </c:tx>
          <c:spPr>
            <a:solidFill>
              <a:schemeClr val="accent3"/>
            </a:solidFill>
            <a:ln>
              <a:noFill/>
            </a:ln>
            <a:effectLst/>
            <a:sp3d/>
          </c:spPr>
          <c:invertIfNegative val="0"/>
          <c:val>
            <c:numRef>
              <c:f>Incidents!$E$56:$E$62</c:f>
              <c:numCache>
                <c:formatCode>General</c:formatCode>
                <c:ptCount val="7"/>
              </c:numCache>
            </c:numRef>
          </c:val>
          <c:extLst xmlns:c16r2="http://schemas.microsoft.com/office/drawing/2015/06/chart">
            <c:ext xmlns:c16="http://schemas.microsoft.com/office/drawing/2014/chart" uri="{C3380CC4-5D6E-409C-BE32-E72D297353CC}">
              <c16:uniqueId val="{00000002-99A2-43CF-8E3E-543D98ABCE36}"/>
            </c:ext>
            <c:ext xmlns:c15="http://schemas.microsoft.com/office/drawing/2012/chart" uri="{02D57815-91ED-43cb-92C2-25804820EDAC}">
              <c15:filteredCategoryTitle>
                <c15:cat>
                  <c:multiLvlStrRef>
                    <c:extLst xmlns:c16="http://schemas.microsoft.com/office/drawing/2014/chart" xmlns:c16r2="http://schemas.microsoft.com/office/drawing/2015/06/chart">
                      <c:ext uri="{02D57815-91ED-43cb-92C2-25804820EDAC}">
                        <c15:formulaRef>
                          <c15:sqref>Incidents!$A$56:$B$62</c15:sqref>
                        </c15:formulaRef>
                      </c:ext>
                    </c:extLst>
                  </c:multiLvlStrRef>
                </c15:cat>
              </c15:filteredCategoryTitle>
            </c:ext>
          </c:extLst>
        </c:ser>
        <c:ser>
          <c:idx val="3"/>
          <c:order val="3"/>
          <c:tx>
            <c:strRef>
              <c:f>Incidents!$F$55</c:f>
              <c:strCache>
                <c:ptCount val="1"/>
              </c:strCache>
            </c:strRef>
          </c:tx>
          <c:spPr>
            <a:solidFill>
              <a:schemeClr val="accent4"/>
            </a:solidFill>
            <a:ln>
              <a:noFill/>
            </a:ln>
            <a:effectLst/>
            <a:sp3d/>
          </c:spPr>
          <c:invertIfNegative val="0"/>
          <c:val>
            <c:numRef>
              <c:f>Incidents!$F$56:$F$62</c:f>
              <c:numCache>
                <c:formatCode>General</c:formatCode>
                <c:ptCount val="7"/>
              </c:numCache>
            </c:numRef>
          </c:val>
          <c:extLst xmlns:c16r2="http://schemas.microsoft.com/office/drawing/2015/06/chart">
            <c:ext xmlns:c16="http://schemas.microsoft.com/office/drawing/2014/chart" uri="{C3380CC4-5D6E-409C-BE32-E72D297353CC}">
              <c16:uniqueId val="{00000003-99A2-43CF-8E3E-543D98ABCE36}"/>
            </c:ext>
            <c:ext xmlns:c15="http://schemas.microsoft.com/office/drawing/2012/chart" uri="{02D57815-91ED-43cb-92C2-25804820EDAC}">
              <c15:filteredCategoryTitle>
                <c15:cat>
                  <c:multiLvlStrRef>
                    <c:extLst xmlns:c16="http://schemas.microsoft.com/office/drawing/2014/chart" xmlns:c16r2="http://schemas.microsoft.com/office/drawing/2015/06/chart">
                      <c:ext uri="{02D57815-91ED-43cb-92C2-25804820EDAC}">
                        <c15:formulaRef>
                          <c15:sqref>Incidents!$A$56:$B$62</c15:sqref>
                        </c15:formulaRef>
                      </c:ext>
                    </c:extLst>
                  </c:multiLvlStrRef>
                </c15:cat>
              </c15:filteredCategoryTitle>
            </c:ext>
          </c:extLst>
        </c:ser>
        <c:ser>
          <c:idx val="4"/>
          <c:order val="4"/>
          <c:tx>
            <c:strRef>
              <c:f>Incidents!$G$55</c:f>
              <c:strCache>
                <c:ptCount val="1"/>
              </c:strCache>
            </c:strRef>
          </c:tx>
          <c:spPr>
            <a:solidFill>
              <a:schemeClr val="accent5"/>
            </a:solidFill>
            <a:ln>
              <a:noFill/>
            </a:ln>
            <a:effectLst/>
            <a:sp3d/>
          </c:spPr>
          <c:invertIfNegative val="0"/>
          <c:val>
            <c:numRef>
              <c:f>Incidents!$G$56:$G$62</c:f>
              <c:numCache>
                <c:formatCode>General</c:formatCode>
                <c:ptCount val="7"/>
              </c:numCache>
            </c:numRef>
          </c:val>
          <c:extLst xmlns:c16r2="http://schemas.microsoft.com/office/drawing/2015/06/chart">
            <c:ext xmlns:c16="http://schemas.microsoft.com/office/drawing/2014/chart" uri="{C3380CC4-5D6E-409C-BE32-E72D297353CC}">
              <c16:uniqueId val="{00000004-99A2-43CF-8E3E-543D98ABCE36}"/>
            </c:ext>
            <c:ext xmlns:c15="http://schemas.microsoft.com/office/drawing/2012/chart" uri="{02D57815-91ED-43cb-92C2-25804820EDAC}">
              <c15:filteredCategoryTitle>
                <c15:cat>
                  <c:multiLvlStrRef>
                    <c:extLst xmlns:c16="http://schemas.microsoft.com/office/drawing/2014/chart" xmlns:c16r2="http://schemas.microsoft.com/office/drawing/2015/06/chart">
                      <c:ext uri="{02D57815-91ED-43cb-92C2-25804820EDAC}">
                        <c15:formulaRef>
                          <c15:sqref>Incidents!$A$56:$B$62</c15:sqref>
                        </c15:formulaRef>
                      </c:ext>
                    </c:extLst>
                  </c:multiLvlStrRef>
                </c15:cat>
              </c15:filteredCategoryTitle>
            </c:ext>
          </c:extLst>
        </c:ser>
        <c:dLbls>
          <c:showLegendKey val="0"/>
          <c:showVal val="0"/>
          <c:showCatName val="0"/>
          <c:showSerName val="0"/>
          <c:showPercent val="0"/>
          <c:showBubbleSize val="0"/>
        </c:dLbls>
        <c:gapWidth val="150"/>
        <c:shape val="box"/>
        <c:axId val="455564064"/>
        <c:axId val="455561712"/>
        <c:axId val="0"/>
      </c:bar3DChart>
      <c:catAx>
        <c:axId val="4555640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561712"/>
        <c:crosses val="autoZero"/>
        <c:auto val="1"/>
        <c:lblAlgn val="ctr"/>
        <c:lblOffset val="100"/>
        <c:noMultiLvlLbl val="0"/>
      </c:catAx>
      <c:valAx>
        <c:axId val="455561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564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8" Type="http://schemas.openxmlformats.org/officeDocument/2006/relationships/chart" Target="../charts/chart21.xml"/><Relationship Id="rId13" Type="http://schemas.openxmlformats.org/officeDocument/2006/relationships/chart" Target="../charts/chart26.xml"/><Relationship Id="rId18" Type="http://schemas.openxmlformats.org/officeDocument/2006/relationships/chart" Target="../charts/chart31.xml"/><Relationship Id="rId26" Type="http://schemas.openxmlformats.org/officeDocument/2006/relationships/chart" Target="../charts/chart39.xml"/><Relationship Id="rId3" Type="http://schemas.openxmlformats.org/officeDocument/2006/relationships/chart" Target="../charts/chart16.xml"/><Relationship Id="rId21" Type="http://schemas.openxmlformats.org/officeDocument/2006/relationships/chart" Target="../charts/chart34.xml"/><Relationship Id="rId34" Type="http://schemas.openxmlformats.org/officeDocument/2006/relationships/chart" Target="../charts/chart46.xml"/><Relationship Id="rId7" Type="http://schemas.openxmlformats.org/officeDocument/2006/relationships/chart" Target="../charts/chart20.xml"/><Relationship Id="rId12" Type="http://schemas.openxmlformats.org/officeDocument/2006/relationships/chart" Target="../charts/chart25.xml"/><Relationship Id="rId17" Type="http://schemas.openxmlformats.org/officeDocument/2006/relationships/chart" Target="../charts/chart30.xml"/><Relationship Id="rId25" Type="http://schemas.openxmlformats.org/officeDocument/2006/relationships/chart" Target="../charts/chart38.xml"/><Relationship Id="rId33" Type="http://schemas.openxmlformats.org/officeDocument/2006/relationships/chart" Target="../charts/chart45.xml"/><Relationship Id="rId2" Type="http://schemas.openxmlformats.org/officeDocument/2006/relationships/chart" Target="../charts/chart15.xml"/><Relationship Id="rId16" Type="http://schemas.openxmlformats.org/officeDocument/2006/relationships/chart" Target="../charts/chart29.xml"/><Relationship Id="rId20" Type="http://schemas.openxmlformats.org/officeDocument/2006/relationships/chart" Target="../charts/chart33.xml"/><Relationship Id="rId29" Type="http://schemas.openxmlformats.org/officeDocument/2006/relationships/image" Target="../media/image2.png"/><Relationship Id="rId1" Type="http://schemas.openxmlformats.org/officeDocument/2006/relationships/chart" Target="../charts/chart14.xml"/><Relationship Id="rId6" Type="http://schemas.openxmlformats.org/officeDocument/2006/relationships/chart" Target="../charts/chart19.xml"/><Relationship Id="rId11" Type="http://schemas.openxmlformats.org/officeDocument/2006/relationships/chart" Target="../charts/chart24.xml"/><Relationship Id="rId24" Type="http://schemas.openxmlformats.org/officeDocument/2006/relationships/chart" Target="../charts/chart37.xml"/><Relationship Id="rId32" Type="http://schemas.openxmlformats.org/officeDocument/2006/relationships/chart" Target="../charts/chart44.xml"/><Relationship Id="rId37" Type="http://schemas.openxmlformats.org/officeDocument/2006/relationships/chart" Target="../charts/chart49.xml"/><Relationship Id="rId5" Type="http://schemas.openxmlformats.org/officeDocument/2006/relationships/chart" Target="../charts/chart18.xml"/><Relationship Id="rId15" Type="http://schemas.openxmlformats.org/officeDocument/2006/relationships/chart" Target="../charts/chart28.xml"/><Relationship Id="rId23" Type="http://schemas.openxmlformats.org/officeDocument/2006/relationships/chart" Target="../charts/chart36.xml"/><Relationship Id="rId28" Type="http://schemas.openxmlformats.org/officeDocument/2006/relationships/chart" Target="../charts/chart41.xml"/><Relationship Id="rId36" Type="http://schemas.openxmlformats.org/officeDocument/2006/relationships/chart" Target="../charts/chart48.xml"/><Relationship Id="rId10" Type="http://schemas.openxmlformats.org/officeDocument/2006/relationships/chart" Target="../charts/chart23.xml"/><Relationship Id="rId19" Type="http://schemas.openxmlformats.org/officeDocument/2006/relationships/chart" Target="../charts/chart32.xml"/><Relationship Id="rId31" Type="http://schemas.openxmlformats.org/officeDocument/2006/relationships/chart" Target="../charts/chart43.xml"/><Relationship Id="rId4" Type="http://schemas.openxmlformats.org/officeDocument/2006/relationships/chart" Target="../charts/chart17.xml"/><Relationship Id="rId9" Type="http://schemas.openxmlformats.org/officeDocument/2006/relationships/chart" Target="../charts/chart22.xml"/><Relationship Id="rId14" Type="http://schemas.openxmlformats.org/officeDocument/2006/relationships/chart" Target="../charts/chart27.xml"/><Relationship Id="rId22" Type="http://schemas.openxmlformats.org/officeDocument/2006/relationships/chart" Target="../charts/chart35.xml"/><Relationship Id="rId27" Type="http://schemas.openxmlformats.org/officeDocument/2006/relationships/chart" Target="../charts/chart40.xml"/><Relationship Id="rId30" Type="http://schemas.openxmlformats.org/officeDocument/2006/relationships/chart" Target="../charts/chart42.xml"/><Relationship Id="rId35" Type="http://schemas.openxmlformats.org/officeDocument/2006/relationships/chart" Target="../charts/chart47.xml"/></Relationships>
</file>

<file path=xl/drawings/_rels/drawing8.xml.rels><?xml version="1.0" encoding="UTF-8" standalone="yes"?>
<Relationships xmlns="http://schemas.openxmlformats.org/package/2006/relationships"><Relationship Id="rId8" Type="http://schemas.openxmlformats.org/officeDocument/2006/relationships/chart" Target="../charts/chart57.xml"/><Relationship Id="rId13" Type="http://schemas.openxmlformats.org/officeDocument/2006/relationships/chart" Target="../charts/chart62.xml"/><Relationship Id="rId3" Type="http://schemas.openxmlformats.org/officeDocument/2006/relationships/chart" Target="../charts/chart52.xml"/><Relationship Id="rId7" Type="http://schemas.openxmlformats.org/officeDocument/2006/relationships/chart" Target="../charts/chart56.xml"/><Relationship Id="rId12" Type="http://schemas.openxmlformats.org/officeDocument/2006/relationships/chart" Target="../charts/chart61.xml"/><Relationship Id="rId2" Type="http://schemas.openxmlformats.org/officeDocument/2006/relationships/chart" Target="../charts/chart51.xml"/><Relationship Id="rId1" Type="http://schemas.openxmlformats.org/officeDocument/2006/relationships/chart" Target="../charts/chart50.xml"/><Relationship Id="rId6" Type="http://schemas.openxmlformats.org/officeDocument/2006/relationships/chart" Target="../charts/chart55.xml"/><Relationship Id="rId11" Type="http://schemas.openxmlformats.org/officeDocument/2006/relationships/chart" Target="../charts/chart60.xml"/><Relationship Id="rId5" Type="http://schemas.openxmlformats.org/officeDocument/2006/relationships/chart" Target="../charts/chart54.xml"/><Relationship Id="rId10" Type="http://schemas.openxmlformats.org/officeDocument/2006/relationships/chart" Target="../charts/chart59.xml"/><Relationship Id="rId4" Type="http://schemas.openxmlformats.org/officeDocument/2006/relationships/chart" Target="../charts/chart53.xml"/><Relationship Id="rId9" Type="http://schemas.openxmlformats.org/officeDocument/2006/relationships/chart" Target="../charts/chart58.xml"/><Relationship Id="rId14" Type="http://schemas.openxmlformats.org/officeDocument/2006/relationships/chart" Target="../charts/chart63.xml"/></Relationships>
</file>

<file path=xl/drawings/drawing1.xml><?xml version="1.0" encoding="utf-8"?>
<xdr:wsDr xmlns:xdr="http://schemas.openxmlformats.org/drawingml/2006/spreadsheetDrawing" xmlns:a="http://schemas.openxmlformats.org/drawingml/2006/main">
  <xdr:twoCellAnchor editAs="oneCell">
    <xdr:from>
      <xdr:col>12</xdr:col>
      <xdr:colOff>15240</xdr:colOff>
      <xdr:row>0</xdr:row>
      <xdr:rowOff>114300</xdr:rowOff>
    </xdr:from>
    <xdr:to>
      <xdr:col>15</xdr:col>
      <xdr:colOff>236855</xdr:colOff>
      <xdr:row>0</xdr:row>
      <xdr:rowOff>1043940</xdr:rowOff>
    </xdr:to>
    <xdr:pic>
      <xdr:nvPicPr>
        <xdr:cNvPr id="2" name="Picture 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7200900" y="114300"/>
          <a:ext cx="2050415" cy="929640"/>
        </a:xfrm>
        <a:prstGeom prst="rect">
          <a:avLst/>
        </a:prstGeom>
        <a:noFill/>
        <a:ln>
          <a:noFill/>
        </a:ln>
      </xdr:spPr>
    </xdr:pic>
    <xdr:clientData/>
  </xdr:twoCellAnchor>
  <xdr:twoCellAnchor>
    <xdr:from>
      <xdr:col>13</xdr:col>
      <xdr:colOff>379095</xdr:colOff>
      <xdr:row>0</xdr:row>
      <xdr:rowOff>1147445</xdr:rowOff>
    </xdr:from>
    <xdr:to>
      <xdr:col>13</xdr:col>
      <xdr:colOff>379095</xdr:colOff>
      <xdr:row>0</xdr:row>
      <xdr:rowOff>1315720</xdr:rowOff>
    </xdr:to>
    <xdr:cxnSp macro="">
      <xdr:nvCxnSpPr>
        <xdr:cNvPr id="3" name="Line 5"/>
        <xdr:cNvCxnSpPr>
          <a:cxnSpLocks noChangeShapeType="1"/>
        </xdr:cNvCxnSpPr>
      </xdr:nvCxnSpPr>
      <xdr:spPr bwMode="auto">
        <a:xfrm>
          <a:off x="8608695" y="1147445"/>
          <a:ext cx="0" cy="168275"/>
        </a:xfrm>
        <a:prstGeom prst="line">
          <a:avLst/>
        </a:prstGeom>
        <a:noFill/>
        <a:ln w="12700">
          <a:solidFill>
            <a:srgbClr val="969696"/>
          </a:solidFill>
          <a:round/>
          <a:headEnd/>
          <a:tailEnd/>
        </a:ln>
        <a:extLst>
          <a:ext uri="{909E8E84-426E-40DD-AFC4-6F175D3DCCD1}">
            <a14:hiddenFill xmlns:a14="http://schemas.microsoft.com/office/drawing/2010/main">
              <a:noFill/>
            </a14:hiddenFill>
          </a:ext>
        </a:extLst>
      </xdr:spPr>
    </xdr:cxnSp>
    <xdr:clientData/>
  </xdr:twoCellAnchor>
  <xdr:twoCellAnchor>
    <xdr:from>
      <xdr:col>13</xdr:col>
      <xdr:colOff>379095</xdr:colOff>
      <xdr:row>0</xdr:row>
      <xdr:rowOff>1078865</xdr:rowOff>
    </xdr:from>
    <xdr:to>
      <xdr:col>15</xdr:col>
      <xdr:colOff>211455</xdr:colOff>
      <xdr:row>0</xdr:row>
      <xdr:rowOff>1337945</xdr:rowOff>
    </xdr:to>
    <xdr:sp macro="" textlink="">
      <xdr:nvSpPr>
        <xdr:cNvPr id="4" name="Text Box 3"/>
        <xdr:cNvSpPr txBox="1">
          <a:spLocks noChangeArrowheads="1"/>
        </xdr:cNvSpPr>
      </xdr:nvSpPr>
      <xdr:spPr bwMode="auto">
        <a:xfrm>
          <a:off x="8608695" y="1078865"/>
          <a:ext cx="1051560" cy="25908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algn="r">
            <a:lnSpc>
              <a:spcPct val="115000"/>
            </a:lnSpc>
            <a:spcAft>
              <a:spcPts val="1000"/>
            </a:spcAft>
          </a:pPr>
          <a:r>
            <a:rPr lang="en-ZA" sz="1000" b="1">
              <a:solidFill>
                <a:srgbClr val="808080"/>
              </a:solidFill>
              <a:effectLst/>
              <a:latin typeface="Arial" panose="020B0604020202020204" pitchFamily="34" charset="0"/>
              <a:ea typeface="Calibri" panose="020F0502020204030204" pitchFamily="34" charset="0"/>
              <a:cs typeface="Times New Roman" panose="02020603050405020304" pitchFamily="18" charset="0"/>
            </a:rPr>
            <a:t>GROUP HSEQ</a:t>
          </a:r>
          <a:endParaRPr lang="en-ZA"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0</xdr:col>
      <xdr:colOff>533400</xdr:colOff>
      <xdr:row>0</xdr:row>
      <xdr:rowOff>200026</xdr:rowOff>
    </xdr:from>
    <xdr:to>
      <xdr:col>5</xdr:col>
      <xdr:colOff>571500</xdr:colOff>
      <xdr:row>0</xdr:row>
      <xdr:rowOff>1362075</xdr:rowOff>
    </xdr:to>
    <xdr:sp macro="" textlink="">
      <xdr:nvSpPr>
        <xdr:cNvPr id="5" name="Text Box 2"/>
        <xdr:cNvSpPr txBox="1">
          <a:spLocks noChangeArrowheads="1"/>
        </xdr:cNvSpPr>
      </xdr:nvSpPr>
      <xdr:spPr bwMode="auto">
        <a:xfrm>
          <a:off x="533400" y="200026"/>
          <a:ext cx="3695700" cy="1162049"/>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gn="ctr">
            <a:lnSpc>
              <a:spcPct val="115000"/>
            </a:lnSpc>
            <a:spcAft>
              <a:spcPts val="0"/>
            </a:spcAft>
          </a:pPr>
          <a:r>
            <a:rPr lang="en-US" sz="1600" b="1">
              <a:solidFill>
                <a:srgbClr val="A6A6A6"/>
              </a:solidFill>
              <a:effectLst/>
              <a:latin typeface="Calibri" panose="020F0502020204030204" pitchFamily="34" charset="0"/>
              <a:ea typeface="Calibri" panose="020F0502020204030204" pitchFamily="34" charset="0"/>
              <a:cs typeface="Arial" panose="020B0604020202020204" pitchFamily="34" charset="0"/>
            </a:rPr>
            <a:t>ANNEXURE 08: GROUP</a:t>
          </a:r>
          <a:r>
            <a:rPr lang="en-US" sz="1600" b="1" baseline="0">
              <a:solidFill>
                <a:srgbClr val="A6A6A6"/>
              </a:solidFill>
              <a:effectLst/>
              <a:latin typeface="Calibri" panose="020F0502020204030204" pitchFamily="34" charset="0"/>
              <a:ea typeface="Calibri" panose="020F0502020204030204" pitchFamily="34" charset="0"/>
              <a:cs typeface="Arial" panose="020B0604020202020204" pitchFamily="34" charset="0"/>
            </a:rPr>
            <a:t> INTEGRATED DATA SHEET AND</a:t>
          </a:r>
        </a:p>
        <a:p>
          <a:pPr algn="ctr">
            <a:lnSpc>
              <a:spcPct val="115000"/>
            </a:lnSpc>
            <a:spcAft>
              <a:spcPts val="0"/>
            </a:spcAft>
          </a:pPr>
          <a:r>
            <a:rPr lang="en-US" sz="1600" b="1" baseline="0">
              <a:solidFill>
                <a:srgbClr val="A6A6A6"/>
              </a:solidFill>
              <a:effectLst/>
              <a:latin typeface="Calibri" panose="020F0502020204030204" pitchFamily="34" charset="0"/>
              <a:ea typeface="Calibri" panose="020F0502020204030204" pitchFamily="34" charset="0"/>
              <a:cs typeface="Arial" panose="020B0604020202020204" pitchFamily="34" charset="0"/>
            </a:rPr>
            <a:t>CARBON FOOTPRINT CALCULATION TOOL (July 2019 - June 2020)</a:t>
          </a:r>
        </a:p>
        <a:p>
          <a:pPr algn="ctr">
            <a:lnSpc>
              <a:spcPct val="115000"/>
            </a:lnSpc>
            <a:spcAft>
              <a:spcPts val="0"/>
            </a:spcAft>
          </a:pPr>
          <a:endParaRPr lang="en-US" sz="1600" b="1" baseline="0">
            <a:solidFill>
              <a:srgbClr val="A6A6A6"/>
            </a:solidFill>
            <a:effectLst/>
            <a:latin typeface="Calibri" panose="020F0502020204030204" pitchFamily="34" charset="0"/>
            <a:ea typeface="Calibri" panose="020F0502020204030204" pitchFamily="34" charset="0"/>
            <a:cs typeface="Arial" panose="020B0604020202020204" pitchFamily="34" charset="0"/>
          </a:endParaRPr>
        </a:p>
        <a:p>
          <a:pPr algn="ctr">
            <a:lnSpc>
              <a:spcPct val="115000"/>
            </a:lnSpc>
            <a:spcAft>
              <a:spcPts val="0"/>
            </a:spcAft>
          </a:pPr>
          <a:endParaRPr lang="en-ZA"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77</xdr:row>
      <xdr:rowOff>81054</xdr:rowOff>
    </xdr:from>
    <xdr:to>
      <xdr:col>2</xdr:col>
      <xdr:colOff>275605</xdr:colOff>
      <xdr:row>107</xdr:row>
      <xdr:rowOff>109193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22</xdr:col>
      <xdr:colOff>194401</xdr:colOff>
      <xdr:row>45</xdr:row>
      <xdr:rowOff>125314</xdr:rowOff>
    </xdr:from>
    <xdr:to>
      <xdr:col>27</xdr:col>
      <xdr:colOff>356377</xdr:colOff>
      <xdr:row>69</xdr:row>
      <xdr:rowOff>135111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26</xdr:col>
      <xdr:colOff>295273</xdr:colOff>
      <xdr:row>113</xdr:row>
      <xdr:rowOff>171445</xdr:rowOff>
    </xdr:from>
    <xdr:to>
      <xdr:col>33</xdr:col>
      <xdr:colOff>81396</xdr:colOff>
      <xdr:row>131</xdr:row>
      <xdr:rowOff>42667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261935</xdr:colOff>
      <xdr:row>132</xdr:row>
      <xdr:rowOff>164305</xdr:rowOff>
    </xdr:from>
    <xdr:to>
      <xdr:col>31</xdr:col>
      <xdr:colOff>869154</xdr:colOff>
      <xdr:row>147</xdr:row>
      <xdr:rowOff>50005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126</xdr:row>
      <xdr:rowOff>107156</xdr:rowOff>
    </xdr:from>
    <xdr:to>
      <xdr:col>23</xdr:col>
      <xdr:colOff>404812</xdr:colOff>
      <xdr:row>143</xdr:row>
      <xdr:rowOff>107157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702476</xdr:colOff>
      <xdr:row>127</xdr:row>
      <xdr:rowOff>176213</xdr:rowOff>
    </xdr:from>
    <xdr:to>
      <xdr:col>12</xdr:col>
      <xdr:colOff>0</xdr:colOff>
      <xdr:row>143</xdr:row>
      <xdr:rowOff>59531</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571499</xdr:colOff>
      <xdr:row>108</xdr:row>
      <xdr:rowOff>130967</xdr:rowOff>
    </xdr:from>
    <xdr:to>
      <xdr:col>7</xdr:col>
      <xdr:colOff>619124</xdr:colOff>
      <xdr:row>125</xdr:row>
      <xdr:rowOff>166686</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23</xdr:col>
      <xdr:colOff>125013</xdr:colOff>
      <xdr:row>51</xdr:row>
      <xdr:rowOff>128587</xdr:rowOff>
    </xdr:from>
    <xdr:to>
      <xdr:col>33</xdr:col>
      <xdr:colOff>309561</xdr:colOff>
      <xdr:row>71</xdr:row>
      <xdr:rowOff>83343</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297664</xdr:colOff>
      <xdr:row>72</xdr:row>
      <xdr:rowOff>128586</xdr:rowOff>
    </xdr:from>
    <xdr:to>
      <xdr:col>29</xdr:col>
      <xdr:colOff>95258</xdr:colOff>
      <xdr:row>88</xdr:row>
      <xdr:rowOff>38099</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53</xdr:row>
      <xdr:rowOff>35719</xdr:rowOff>
    </xdr:from>
    <xdr:to>
      <xdr:col>14</xdr:col>
      <xdr:colOff>583405</xdr:colOff>
      <xdr:row>72</xdr:row>
      <xdr:rowOff>23812</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63500</xdr:colOff>
      <xdr:row>54</xdr:row>
      <xdr:rowOff>87313</xdr:rowOff>
    </xdr:from>
    <xdr:to>
      <xdr:col>22</xdr:col>
      <xdr:colOff>301625</xdr:colOff>
      <xdr:row>70</xdr:row>
      <xdr:rowOff>122238</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40</xdr:col>
      <xdr:colOff>285749</xdr:colOff>
      <xdr:row>34</xdr:row>
      <xdr:rowOff>0</xdr:rowOff>
    </xdr:from>
    <xdr:to>
      <xdr:col>47</xdr:col>
      <xdr:colOff>590549</xdr:colOff>
      <xdr:row>47</xdr:row>
      <xdr:rowOff>31749</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46</xdr:col>
      <xdr:colOff>336549</xdr:colOff>
      <xdr:row>48</xdr:row>
      <xdr:rowOff>133349</xdr:rowOff>
    </xdr:from>
    <xdr:to>
      <xdr:col>54</xdr:col>
      <xdr:colOff>31749</xdr:colOff>
      <xdr:row>63</xdr:row>
      <xdr:rowOff>1073149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18</xdr:col>
      <xdr:colOff>603885</xdr:colOff>
      <xdr:row>3</xdr:row>
      <xdr:rowOff>169545</xdr:rowOff>
    </xdr:from>
    <xdr:to>
      <xdr:col>26</xdr:col>
      <xdr:colOff>299085</xdr:colOff>
      <xdr:row>15</xdr:row>
      <xdr:rowOff>169545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260985</xdr:colOff>
      <xdr:row>65</xdr:row>
      <xdr:rowOff>121920</xdr:rowOff>
    </xdr:from>
    <xdr:to>
      <xdr:col>25</xdr:col>
      <xdr:colOff>565785</xdr:colOff>
      <xdr:row>75</xdr:row>
      <xdr:rowOff>121920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512445</xdr:colOff>
      <xdr:row>50</xdr:row>
      <xdr:rowOff>379095</xdr:rowOff>
    </xdr:from>
    <xdr:to>
      <xdr:col>24</xdr:col>
      <xdr:colOff>207645</xdr:colOff>
      <xdr:row>63</xdr:row>
      <xdr:rowOff>150495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80962</xdr:colOff>
      <xdr:row>32</xdr:row>
      <xdr:rowOff>76200</xdr:rowOff>
    </xdr:from>
    <xdr:to>
      <xdr:col>17</xdr:col>
      <xdr:colOff>323850</xdr:colOff>
      <xdr:row>46</xdr:row>
      <xdr:rowOff>147637</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328612</xdr:colOff>
      <xdr:row>48</xdr:row>
      <xdr:rowOff>147637</xdr:rowOff>
    </xdr:from>
    <xdr:to>
      <xdr:col>14</xdr:col>
      <xdr:colOff>23812</xdr:colOff>
      <xdr:row>62</xdr:row>
      <xdr:rowOff>14287</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500062</xdr:colOff>
      <xdr:row>143</xdr:row>
      <xdr:rowOff>33337</xdr:rowOff>
    </xdr:from>
    <xdr:to>
      <xdr:col>14</xdr:col>
      <xdr:colOff>195262</xdr:colOff>
      <xdr:row>157</xdr:row>
      <xdr:rowOff>109537</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271462</xdr:colOff>
      <xdr:row>158</xdr:row>
      <xdr:rowOff>38100</xdr:rowOff>
    </xdr:from>
    <xdr:to>
      <xdr:col>23</xdr:col>
      <xdr:colOff>576262</xdr:colOff>
      <xdr:row>171</xdr:row>
      <xdr:rowOff>138112</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80962</xdr:colOff>
      <xdr:row>174</xdr:row>
      <xdr:rowOff>38100</xdr:rowOff>
    </xdr:from>
    <xdr:to>
      <xdr:col>12</xdr:col>
      <xdr:colOff>338137</xdr:colOff>
      <xdr:row>190</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366712</xdr:colOff>
      <xdr:row>207</xdr:row>
      <xdr:rowOff>4762</xdr:rowOff>
    </xdr:from>
    <xdr:to>
      <xdr:col>23</xdr:col>
      <xdr:colOff>61912</xdr:colOff>
      <xdr:row>220</xdr:row>
      <xdr:rowOff>104775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428625</xdr:colOff>
      <xdr:row>3</xdr:row>
      <xdr:rowOff>133350</xdr:rowOff>
    </xdr:from>
    <xdr:to>
      <xdr:col>16</xdr:col>
      <xdr:colOff>123825</xdr:colOff>
      <xdr:row>16</xdr:row>
      <xdr:rowOff>157162</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61912</xdr:colOff>
      <xdr:row>78</xdr:row>
      <xdr:rowOff>61912</xdr:rowOff>
    </xdr:from>
    <xdr:to>
      <xdr:col>18</xdr:col>
      <xdr:colOff>366712</xdr:colOff>
      <xdr:row>91</xdr:row>
      <xdr:rowOff>138112</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23812</xdr:colOff>
      <xdr:row>93</xdr:row>
      <xdr:rowOff>109537</xdr:rowOff>
    </xdr:from>
    <xdr:to>
      <xdr:col>17</xdr:col>
      <xdr:colOff>328612</xdr:colOff>
      <xdr:row>106</xdr:row>
      <xdr:rowOff>185737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42862</xdr:colOff>
      <xdr:row>106</xdr:row>
      <xdr:rowOff>80962</xdr:rowOff>
    </xdr:from>
    <xdr:to>
      <xdr:col>17</xdr:col>
      <xdr:colOff>347662</xdr:colOff>
      <xdr:row>107</xdr:row>
      <xdr:rowOff>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23812</xdr:colOff>
      <xdr:row>108</xdr:row>
      <xdr:rowOff>109537</xdr:rowOff>
    </xdr:from>
    <xdr:to>
      <xdr:col>17</xdr:col>
      <xdr:colOff>328612</xdr:colOff>
      <xdr:row>122</xdr:row>
      <xdr:rowOff>185737</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585787</xdr:colOff>
      <xdr:row>125</xdr:row>
      <xdr:rowOff>128587</xdr:rowOff>
    </xdr:from>
    <xdr:to>
      <xdr:col>18</xdr:col>
      <xdr:colOff>280987</xdr:colOff>
      <xdr:row>140</xdr:row>
      <xdr:rowOff>14287</xdr:rowOff>
    </xdr:to>
    <xdr:graphicFrame macro="">
      <xdr:nvGraphicFramePr>
        <xdr:cNvPr id="24"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xdr:col>
      <xdr:colOff>290512</xdr:colOff>
      <xdr:row>160</xdr:row>
      <xdr:rowOff>176212</xdr:rowOff>
    </xdr:from>
    <xdr:to>
      <xdr:col>15</xdr:col>
      <xdr:colOff>595312</xdr:colOff>
      <xdr:row>173</xdr:row>
      <xdr:rowOff>33337</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552450</xdr:colOff>
      <xdr:row>260</xdr:row>
      <xdr:rowOff>133350</xdr:rowOff>
    </xdr:from>
    <xdr:to>
      <xdr:col>21</xdr:col>
      <xdr:colOff>247650</xdr:colOff>
      <xdr:row>275</xdr:row>
      <xdr:rowOff>19050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21</xdr:col>
      <xdr:colOff>285749</xdr:colOff>
      <xdr:row>260</xdr:row>
      <xdr:rowOff>138112</xdr:rowOff>
    </xdr:from>
    <xdr:to>
      <xdr:col>29</xdr:col>
      <xdr:colOff>242886</xdr:colOff>
      <xdr:row>275</xdr:row>
      <xdr:rowOff>57150</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8</xdr:col>
      <xdr:colOff>57150</xdr:colOff>
      <xdr:row>16</xdr:row>
      <xdr:rowOff>161925</xdr:rowOff>
    </xdr:from>
    <xdr:to>
      <xdr:col>15</xdr:col>
      <xdr:colOff>361950</xdr:colOff>
      <xdr:row>31</xdr:row>
      <xdr:rowOff>47625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7</xdr:col>
      <xdr:colOff>247650</xdr:colOff>
      <xdr:row>64</xdr:row>
      <xdr:rowOff>76200</xdr:rowOff>
    </xdr:from>
    <xdr:to>
      <xdr:col>14</xdr:col>
      <xdr:colOff>552450</xdr:colOff>
      <xdr:row>76</xdr:row>
      <xdr:rowOff>152400</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8</xdr:col>
      <xdr:colOff>28575</xdr:colOff>
      <xdr:row>206</xdr:row>
      <xdr:rowOff>23812</xdr:rowOff>
    </xdr:from>
    <xdr:to>
      <xdr:col>15</xdr:col>
      <xdr:colOff>333375</xdr:colOff>
      <xdr:row>220</xdr:row>
      <xdr:rowOff>100012</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15</xdr:col>
      <xdr:colOff>376237</xdr:colOff>
      <xdr:row>222</xdr:row>
      <xdr:rowOff>42862</xdr:rowOff>
    </xdr:from>
    <xdr:to>
      <xdr:col>23</xdr:col>
      <xdr:colOff>71437</xdr:colOff>
      <xdr:row>235</xdr:row>
      <xdr:rowOff>42862</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3</xdr:col>
      <xdr:colOff>1447800</xdr:colOff>
      <xdr:row>294</xdr:row>
      <xdr:rowOff>166687</xdr:rowOff>
    </xdr:from>
    <xdr:to>
      <xdr:col>10</xdr:col>
      <xdr:colOff>323850</xdr:colOff>
      <xdr:row>309</xdr:row>
      <xdr:rowOff>14287</xdr:rowOff>
    </xdr:to>
    <xdr:graphicFrame macro="">
      <xdr:nvGraphicFramePr>
        <xdr:cNvPr id="31"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4</xdr:col>
      <xdr:colOff>495300</xdr:colOff>
      <xdr:row>310</xdr:row>
      <xdr:rowOff>147637</xdr:rowOff>
    </xdr:from>
    <xdr:to>
      <xdr:col>11</xdr:col>
      <xdr:colOff>485775</xdr:colOff>
      <xdr:row>325</xdr:row>
      <xdr:rowOff>33337</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21</xdr:col>
      <xdr:colOff>257175</xdr:colOff>
      <xdr:row>174</xdr:row>
      <xdr:rowOff>180975</xdr:rowOff>
    </xdr:from>
    <xdr:to>
      <xdr:col>28</xdr:col>
      <xdr:colOff>561975</xdr:colOff>
      <xdr:row>189</xdr:row>
      <xdr:rowOff>28575</xdr:rowOff>
    </xdr:to>
    <xdr:graphicFrame macro="">
      <xdr:nvGraphicFramePr>
        <xdr:cNvPr id="29" name="Chart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28</xdr:col>
      <xdr:colOff>447675</xdr:colOff>
      <xdr:row>182</xdr:row>
      <xdr:rowOff>180975</xdr:rowOff>
    </xdr:from>
    <xdr:to>
      <xdr:col>35</xdr:col>
      <xdr:colOff>504825</xdr:colOff>
      <xdr:row>197</xdr:row>
      <xdr:rowOff>9525</xdr:rowOff>
    </xdr:to>
    <xdr:graphicFrame macro="">
      <xdr:nvGraphicFramePr>
        <xdr:cNvPr id="32" name="Chart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33</xdr:col>
      <xdr:colOff>66675</xdr:colOff>
      <xdr:row>207</xdr:row>
      <xdr:rowOff>23812</xdr:rowOff>
    </xdr:from>
    <xdr:to>
      <xdr:col>40</xdr:col>
      <xdr:colOff>371475</xdr:colOff>
      <xdr:row>220</xdr:row>
      <xdr:rowOff>290512</xdr:rowOff>
    </xdr:to>
    <xdr:graphicFrame macro="">
      <xdr:nvGraphicFramePr>
        <xdr:cNvPr id="33" name="Chart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13</xdr:col>
      <xdr:colOff>114300</xdr:colOff>
      <xdr:row>179</xdr:row>
      <xdr:rowOff>176212</xdr:rowOff>
    </xdr:from>
    <xdr:to>
      <xdr:col>20</xdr:col>
      <xdr:colOff>419100</xdr:colOff>
      <xdr:row>194</xdr:row>
      <xdr:rowOff>52387</xdr:rowOff>
    </xdr:to>
    <xdr:graphicFrame macro="">
      <xdr:nvGraphicFramePr>
        <xdr:cNvPr id="34" name="Chart 3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editAs="oneCell">
    <xdr:from>
      <xdr:col>21</xdr:col>
      <xdr:colOff>0</xdr:colOff>
      <xdr:row>23</xdr:row>
      <xdr:rowOff>0</xdr:rowOff>
    </xdr:from>
    <xdr:to>
      <xdr:col>28</xdr:col>
      <xdr:colOff>317389</xdr:colOff>
      <xdr:row>40</xdr:row>
      <xdr:rowOff>145073</xdr:rowOff>
    </xdr:to>
    <xdr:pic>
      <xdr:nvPicPr>
        <xdr:cNvPr id="36" name="Picture 35"/>
        <xdr:cNvPicPr>
          <a:picLocks noChangeAspect="1"/>
        </xdr:cNvPicPr>
      </xdr:nvPicPr>
      <xdr:blipFill>
        <a:blip xmlns:r="http://schemas.openxmlformats.org/officeDocument/2006/relationships" r:embed="rId29"/>
        <a:stretch>
          <a:fillRect/>
        </a:stretch>
      </xdr:blipFill>
      <xdr:spPr>
        <a:xfrm>
          <a:off x="15506700" y="5191125"/>
          <a:ext cx="4584589" cy="3383573"/>
        </a:xfrm>
        <a:prstGeom prst="rect">
          <a:avLst/>
        </a:prstGeom>
      </xdr:spPr>
    </xdr:pic>
    <xdr:clientData/>
  </xdr:twoCellAnchor>
  <xdr:twoCellAnchor>
    <xdr:from>
      <xdr:col>0</xdr:col>
      <xdr:colOff>0</xdr:colOff>
      <xdr:row>235</xdr:row>
      <xdr:rowOff>66676</xdr:rowOff>
    </xdr:from>
    <xdr:to>
      <xdr:col>3</xdr:col>
      <xdr:colOff>1466850</xdr:colOff>
      <xdr:row>246</xdr:row>
      <xdr:rowOff>157162</xdr:rowOff>
    </xdr:to>
    <xdr:graphicFrame macro="">
      <xdr:nvGraphicFramePr>
        <xdr:cNvPr id="35" name="Chart 3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29</xdr:col>
      <xdr:colOff>271462</xdr:colOff>
      <xdr:row>260</xdr:row>
      <xdr:rowOff>157162</xdr:rowOff>
    </xdr:from>
    <xdr:to>
      <xdr:col>36</xdr:col>
      <xdr:colOff>214312</xdr:colOff>
      <xdr:row>275</xdr:row>
      <xdr:rowOff>42862</xdr:rowOff>
    </xdr:to>
    <xdr:graphicFrame macro="">
      <xdr:nvGraphicFramePr>
        <xdr:cNvPr id="37" name="Chart 3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6</xdr:col>
      <xdr:colOff>309562</xdr:colOff>
      <xdr:row>260</xdr:row>
      <xdr:rowOff>33337</xdr:rowOff>
    </xdr:from>
    <xdr:to>
      <xdr:col>13</xdr:col>
      <xdr:colOff>566737</xdr:colOff>
      <xdr:row>274</xdr:row>
      <xdr:rowOff>109537</xdr:rowOff>
    </xdr:to>
    <xdr:graphicFrame macro="">
      <xdr:nvGraphicFramePr>
        <xdr:cNvPr id="38" name="Chart 3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8</xdr:col>
      <xdr:colOff>128587</xdr:colOff>
      <xdr:row>192</xdr:row>
      <xdr:rowOff>85725</xdr:rowOff>
    </xdr:from>
    <xdr:to>
      <xdr:col>15</xdr:col>
      <xdr:colOff>433387</xdr:colOff>
      <xdr:row>206</xdr:row>
      <xdr:rowOff>76200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4</xdr:col>
      <xdr:colOff>233362</xdr:colOff>
      <xdr:row>244</xdr:row>
      <xdr:rowOff>133350</xdr:rowOff>
    </xdr:from>
    <xdr:to>
      <xdr:col>11</xdr:col>
      <xdr:colOff>90487</xdr:colOff>
      <xdr:row>258</xdr:row>
      <xdr:rowOff>161925</xdr:rowOff>
    </xdr:to>
    <xdr:graphicFrame macro="">
      <xdr:nvGraphicFramePr>
        <xdr:cNvPr id="39" name="Chart 3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6</xdr:col>
      <xdr:colOff>566737</xdr:colOff>
      <xdr:row>278</xdr:row>
      <xdr:rowOff>100012</xdr:rowOff>
    </xdr:from>
    <xdr:to>
      <xdr:col>14</xdr:col>
      <xdr:colOff>214312</xdr:colOff>
      <xdr:row>292</xdr:row>
      <xdr:rowOff>176212</xdr:rowOff>
    </xdr:to>
    <xdr:graphicFrame macro="">
      <xdr:nvGraphicFramePr>
        <xdr:cNvPr id="28"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8</xdr:col>
      <xdr:colOff>328612</xdr:colOff>
      <xdr:row>206</xdr:row>
      <xdr:rowOff>0</xdr:rowOff>
    </xdr:from>
    <xdr:to>
      <xdr:col>16</xdr:col>
      <xdr:colOff>23812</xdr:colOff>
      <xdr:row>220</xdr:row>
      <xdr:rowOff>57150</xdr:rowOff>
    </xdr:to>
    <xdr:graphicFrame macro="">
      <xdr:nvGraphicFramePr>
        <xdr:cNvPr id="30"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7</xdr:col>
      <xdr:colOff>71437</xdr:colOff>
      <xdr:row>222</xdr:row>
      <xdr:rowOff>161925</xdr:rowOff>
    </xdr:from>
    <xdr:to>
      <xdr:col>14</xdr:col>
      <xdr:colOff>376237</xdr:colOff>
      <xdr:row>237</xdr:row>
      <xdr:rowOff>38100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333375</xdr:colOff>
      <xdr:row>0</xdr:row>
      <xdr:rowOff>85725</xdr:rowOff>
    </xdr:from>
    <xdr:to>
      <xdr:col>11</xdr:col>
      <xdr:colOff>38100</xdr:colOff>
      <xdr:row>14</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252412</xdr:colOff>
      <xdr:row>0</xdr:row>
      <xdr:rowOff>57150</xdr:rowOff>
    </xdr:from>
    <xdr:to>
      <xdr:col>16</xdr:col>
      <xdr:colOff>323850</xdr:colOff>
      <xdr:row>14</xdr:row>
      <xdr:rowOff>133350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285750</xdr:colOff>
      <xdr:row>19</xdr:row>
      <xdr:rowOff>161925</xdr:rowOff>
    </xdr:from>
    <xdr:to>
      <xdr:col>13</xdr:col>
      <xdr:colOff>238125</xdr:colOff>
      <xdr:row>31</xdr:row>
      <xdr:rowOff>133350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452436</xdr:colOff>
      <xdr:row>32</xdr:row>
      <xdr:rowOff>142875</xdr:rowOff>
    </xdr:from>
    <xdr:to>
      <xdr:col>11</xdr:col>
      <xdr:colOff>400049</xdr:colOff>
      <xdr:row>48</xdr:row>
      <xdr:rowOff>180975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161925</xdr:colOff>
      <xdr:row>50</xdr:row>
      <xdr:rowOff>76200</xdr:rowOff>
    </xdr:from>
    <xdr:to>
      <xdr:col>10</xdr:col>
      <xdr:colOff>466725</xdr:colOff>
      <xdr:row>59</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19050</xdr:colOff>
      <xdr:row>61</xdr:row>
      <xdr:rowOff>38100</xdr:rowOff>
    </xdr:from>
    <xdr:to>
      <xdr:col>10</xdr:col>
      <xdr:colOff>323850</xdr:colOff>
      <xdr:row>69</xdr:row>
      <xdr:rowOff>57150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390525</xdr:colOff>
      <xdr:row>73</xdr:row>
      <xdr:rowOff>152400</xdr:rowOff>
    </xdr:from>
    <xdr:to>
      <xdr:col>9</xdr:col>
      <xdr:colOff>533400</xdr:colOff>
      <xdr:row>88</xdr:row>
      <xdr:rowOff>38100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242887</xdr:colOff>
      <xdr:row>91</xdr:row>
      <xdr:rowOff>114300</xdr:rowOff>
    </xdr:from>
    <xdr:to>
      <xdr:col>10</xdr:col>
      <xdr:colOff>547687</xdr:colOff>
      <xdr:row>108</xdr:row>
      <xdr:rowOff>95250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38099</xdr:colOff>
      <xdr:row>90</xdr:row>
      <xdr:rowOff>19050</xdr:rowOff>
    </xdr:from>
    <xdr:to>
      <xdr:col>15</xdr:col>
      <xdr:colOff>66675</xdr:colOff>
      <xdr:row>101</xdr:row>
      <xdr:rowOff>9526</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323850</xdr:colOff>
      <xdr:row>90</xdr:row>
      <xdr:rowOff>19050</xdr:rowOff>
    </xdr:from>
    <xdr:to>
      <xdr:col>19</xdr:col>
      <xdr:colOff>152400</xdr:colOff>
      <xdr:row>101</xdr:row>
      <xdr:rowOff>9525</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19</xdr:col>
      <xdr:colOff>423863</xdr:colOff>
      <xdr:row>90</xdr:row>
      <xdr:rowOff>19051</xdr:rowOff>
    </xdr:from>
    <xdr:to>
      <xdr:col>23</xdr:col>
      <xdr:colOff>466725</xdr:colOff>
      <xdr:row>101</xdr:row>
      <xdr:rowOff>19051</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323850</xdr:colOff>
      <xdr:row>32</xdr:row>
      <xdr:rowOff>133350</xdr:rowOff>
    </xdr:from>
    <xdr:to>
      <xdr:col>21</xdr:col>
      <xdr:colOff>19050</xdr:colOff>
      <xdr:row>47</xdr:row>
      <xdr:rowOff>19050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400049</xdr:colOff>
      <xdr:row>110</xdr:row>
      <xdr:rowOff>190499</xdr:rowOff>
    </xdr:from>
    <xdr:to>
      <xdr:col>13</xdr:col>
      <xdr:colOff>333374</xdr:colOff>
      <xdr:row>120</xdr:row>
      <xdr:rowOff>66674</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266699</xdr:colOff>
      <xdr:row>120</xdr:row>
      <xdr:rowOff>123824</xdr:rowOff>
    </xdr:from>
    <xdr:to>
      <xdr:col>13</xdr:col>
      <xdr:colOff>409574</xdr:colOff>
      <xdr:row>134</xdr:row>
      <xdr:rowOff>19049</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ROUP/REPORTING/ENVIRONMENTAL/Communication/Copy%20of%20Objectives%2020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ROUP/REPORTING/ENVIRONMENTAL/Group%20reports/data%20base/2017FY/Data%20Tables%20and%20Graphs%202017%20Q4%20%200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GROUP/REPORTING/ENVIRONMENTAL/Group%20reports/data%20base/2017FY/Data%20Tables%20and%20Graphs%202017%20Q4%20%2004%20audited.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magdalr\Documents\REPORTING\fy%202021\SR\Data%20Tables%20and%20Graphs%2003%20audited%20%20FY%202018%2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GROUP/REPORTING/ENVIRONMENTAL/Group%20reports/data%20base/2016fy/Copy%20of%20Data%20Tables%20and%20Graphs%202016%20NEW%20rev%209%2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GROUP/REPORTING/ENVIRONMENTAL/Group%20reports/data%20base/2015fy/Data%20Tables%20and%20Graphs%202015%20Q4%20rev%204%20(2)%20FOR%20USE%20IN%202017fy.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GROUP/REPORTING/HAND%20OVER%20FEB%202021/MINES/GHG%20emission%201%20June%202019%20to%2031%20Dec%202019%20for%20carbon%20taxlsx.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GROUP/REPORTING/ENVIRONMENTAL/Group%20reports/data%20base/2019%20FY/Data%20Tables%20and%20Graphs%20%20FY%202019%20audited%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Raw data"/>
    </sheetNames>
    <sheetDataSet>
      <sheetData sheetId="0"/>
      <sheetData sheetId="1">
        <row r="3">
          <cell r="D3" t="str">
            <v>July</v>
          </cell>
          <cell r="E3" t="str">
            <v>August</v>
          </cell>
          <cell r="F3" t="str">
            <v>September</v>
          </cell>
          <cell r="G3" t="str">
            <v>October</v>
          </cell>
          <cell r="H3" t="str">
            <v>November</v>
          </cell>
          <cell r="I3" t="str">
            <v>December</v>
          </cell>
          <cell r="J3" t="str">
            <v>January</v>
          </cell>
          <cell r="K3" t="str">
            <v>February</v>
          </cell>
          <cell r="L3" t="str">
            <v>March</v>
          </cell>
          <cell r="M3" t="str">
            <v>April</v>
          </cell>
          <cell r="N3" t="str">
            <v>May</v>
          </cell>
          <cell r="O3" t="str">
            <v>June</v>
          </cell>
        </row>
        <row r="7">
          <cell r="C7" t="str">
            <v xml:space="preserve"> Significant Environmental Incidents</v>
          </cell>
          <cell r="D7">
            <v>1</v>
          </cell>
          <cell r="E7">
            <v>1</v>
          </cell>
          <cell r="F7">
            <v>1</v>
          </cell>
          <cell r="G7">
            <v>1</v>
          </cell>
          <cell r="H7">
            <v>4</v>
          </cell>
          <cell r="I7">
            <v>5</v>
          </cell>
          <cell r="J7">
            <v>6</v>
          </cell>
          <cell r="K7">
            <v>8</v>
          </cell>
          <cell r="L7">
            <v>8</v>
          </cell>
          <cell r="M7"/>
          <cell r="N7"/>
          <cell r="O7"/>
        </row>
        <row r="8">
          <cell r="C8" t="str">
            <v xml:space="preserve">Target </v>
          </cell>
          <cell r="D8">
            <v>10</v>
          </cell>
          <cell r="E8">
            <v>10</v>
          </cell>
          <cell r="F8">
            <v>10</v>
          </cell>
          <cell r="G8">
            <v>10</v>
          </cell>
          <cell r="H8">
            <v>10</v>
          </cell>
          <cell r="I8">
            <v>10</v>
          </cell>
          <cell r="J8">
            <v>10</v>
          </cell>
          <cell r="K8">
            <v>10</v>
          </cell>
          <cell r="L8">
            <v>10</v>
          </cell>
          <cell r="M8">
            <v>10</v>
          </cell>
          <cell r="N8">
            <v>10</v>
          </cell>
          <cell r="O8">
            <v>10</v>
          </cell>
        </row>
        <row r="20">
          <cell r="C20" t="str">
            <v>Waste Recycling</v>
          </cell>
          <cell r="D20">
            <v>22.02</v>
          </cell>
          <cell r="E20">
            <v>22.02</v>
          </cell>
          <cell r="F20">
            <v>22.02</v>
          </cell>
          <cell r="G20">
            <v>25.22</v>
          </cell>
          <cell r="H20">
            <v>25.22</v>
          </cell>
          <cell r="I20">
            <v>25.22</v>
          </cell>
          <cell r="J20">
            <v>40.56</v>
          </cell>
          <cell r="K20">
            <v>40.56</v>
          </cell>
          <cell r="L20">
            <v>40.56</v>
          </cell>
        </row>
        <row r="21">
          <cell r="C21" t="str">
            <v xml:space="preserve">Target </v>
          </cell>
          <cell r="D21">
            <v>20.41</v>
          </cell>
          <cell r="E21">
            <v>20.41</v>
          </cell>
          <cell r="F21">
            <v>20.41</v>
          </cell>
          <cell r="G21">
            <v>20.41</v>
          </cell>
          <cell r="H21">
            <v>20.41</v>
          </cell>
          <cell r="I21">
            <v>20.41</v>
          </cell>
          <cell r="J21">
            <v>20.41</v>
          </cell>
          <cell r="K21">
            <v>20.41</v>
          </cell>
          <cell r="L21">
            <v>20.41</v>
          </cell>
          <cell r="M21">
            <v>20.41</v>
          </cell>
          <cell r="N21">
            <v>20.41</v>
          </cell>
          <cell r="O21">
            <v>20.41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ion"/>
      <sheetName val="Land Management"/>
      <sheetName val="Water Mangt"/>
      <sheetName val="Effluent"/>
      <sheetName val="Energy"/>
      <sheetName val="Materials"/>
      <sheetName val="Waste"/>
      <sheetName val="Incidents"/>
      <sheetName val="Biodiversity"/>
      <sheetName val="Ozone"/>
      <sheetName val="Carbon Footprint"/>
      <sheetName val="Company plane"/>
      <sheetName val="Product transport"/>
      <sheetName val="GHG"/>
      <sheetName val="Graphs"/>
      <sheetName val="targets"/>
      <sheetName val="Sheet3"/>
      <sheetName val="SR"/>
      <sheetName val="Sheet2"/>
      <sheetName val="Sheet1"/>
    </sheetNames>
    <sheetDataSet>
      <sheetData sheetId="0">
        <row r="7">
          <cell r="L7">
            <v>4863258.4940351006</v>
          </cell>
          <cell r="AF7">
            <v>667821</v>
          </cell>
          <cell r="AK7">
            <v>4071592</v>
          </cell>
        </row>
        <row r="9">
          <cell r="G9">
            <v>786509</v>
          </cell>
          <cell r="L9">
            <v>2149896.12</v>
          </cell>
          <cell r="AF9">
            <v>51172</v>
          </cell>
          <cell r="AK9">
            <v>225201</v>
          </cell>
        </row>
        <row r="15">
          <cell r="G15">
            <v>19867391.518035099</v>
          </cell>
        </row>
        <row r="16">
          <cell r="V16">
            <v>8107585</v>
          </cell>
        </row>
        <row r="17">
          <cell r="G17">
            <v>4149183.4120000005</v>
          </cell>
        </row>
        <row r="18">
          <cell r="V18">
            <v>938932.8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ion"/>
      <sheetName val="Land Management"/>
      <sheetName val="Water Mangt"/>
      <sheetName val="Effluent"/>
      <sheetName val="Energy"/>
      <sheetName val="Materials"/>
      <sheetName val="Waste"/>
      <sheetName val="Incidents"/>
      <sheetName val="Biodiversity"/>
      <sheetName val="Ozone"/>
      <sheetName val="Carbon Footprint"/>
      <sheetName val="Company plane"/>
      <sheetName val="Product transport"/>
      <sheetName val="GHG"/>
      <sheetName val="Graphs"/>
      <sheetName val="targets"/>
      <sheetName val="Sheet3"/>
      <sheetName val="SR"/>
      <sheetName val="Sheet2"/>
      <sheetName val="Sheet1"/>
    </sheetNames>
    <sheetDataSet>
      <sheetData sheetId="0">
        <row r="15">
          <cell r="G15">
            <v>19867391.518035099</v>
          </cell>
        </row>
        <row r="16">
          <cell r="AA16">
            <v>8894180</v>
          </cell>
        </row>
        <row r="17">
          <cell r="G17">
            <v>4149183.4120000005</v>
          </cell>
        </row>
        <row r="18">
          <cell r="AA18">
            <v>1054588.8</v>
          </cell>
        </row>
      </sheetData>
      <sheetData sheetId="1"/>
      <sheetData sheetId="2"/>
      <sheetData sheetId="3"/>
      <sheetData sheetId="4">
        <row r="22">
          <cell r="G22">
            <v>800454</v>
          </cell>
        </row>
        <row r="23">
          <cell r="G23">
            <v>603992783.45999992</v>
          </cell>
        </row>
        <row r="28">
          <cell r="G28">
            <v>30.441501941056753</v>
          </cell>
        </row>
      </sheetData>
      <sheetData sheetId="5"/>
      <sheetData sheetId="6"/>
      <sheetData sheetId="7"/>
      <sheetData sheetId="8"/>
      <sheetData sheetId="9"/>
      <sheetData sheetId="10"/>
      <sheetData sheetId="11"/>
      <sheetData sheetId="12"/>
      <sheetData sheetId="13">
        <row r="16">
          <cell r="X16">
            <v>52580222.650792845</v>
          </cell>
        </row>
        <row r="20">
          <cell r="X20">
            <v>576326953.31727993</v>
          </cell>
        </row>
        <row r="31">
          <cell r="X31">
            <v>8250536.798299999</v>
          </cell>
        </row>
        <row r="34">
          <cell r="X34">
            <v>0.15356219513546362</v>
          </cell>
        </row>
      </sheetData>
      <sheetData sheetId="14"/>
      <sheetData sheetId="15"/>
      <sheetData sheetId="16"/>
      <sheetData sheetId="17"/>
      <sheetData sheetId="18"/>
      <sheetData sheetId="1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ion"/>
      <sheetName val="Land Management"/>
      <sheetName val="Water Mangt"/>
      <sheetName val="Effluent"/>
      <sheetName val="Energy"/>
      <sheetName val="Materials"/>
      <sheetName val="Waste"/>
      <sheetName val="Incidents"/>
      <sheetName val="Biodiversity"/>
      <sheetName val="KPIs"/>
      <sheetName val="Ozone"/>
      <sheetName val="GHG "/>
      <sheetName val="company plane"/>
      <sheetName val="Product  transport"/>
      <sheetName val="Employee commute"/>
      <sheetName val="Business travel"/>
      <sheetName val="SR "/>
      <sheetName val="Graphs"/>
      <sheetName val="CDP"/>
    </sheetNames>
    <sheetDataSet>
      <sheetData sheetId="0"/>
      <sheetData sheetId="1"/>
      <sheetData sheetId="2"/>
      <sheetData sheetId="3"/>
      <sheetData sheetId="4"/>
      <sheetData sheetId="5"/>
      <sheetData sheetId="6"/>
      <sheetData sheetId="7"/>
      <sheetData sheetId="8"/>
      <sheetData sheetId="9"/>
      <sheetData sheetId="10"/>
      <sheetData sheetId="11">
        <row r="36">
          <cell r="X36">
            <v>644399.48062041134</v>
          </cell>
        </row>
        <row r="37">
          <cell r="X37">
            <v>2.8428035906389669E-2</v>
          </cell>
        </row>
        <row r="38">
          <cell r="X38">
            <v>0.13305086036480937</v>
          </cell>
        </row>
        <row r="139">
          <cell r="X139">
            <v>154664.94159951562</v>
          </cell>
        </row>
      </sheetData>
      <sheetData sheetId="12"/>
      <sheetData sheetId="13"/>
      <sheetData sheetId="14"/>
      <sheetData sheetId="15"/>
      <sheetData sheetId="16"/>
      <sheetData sheetId="17"/>
      <sheetData sheetId="1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ion"/>
      <sheetName val="Land Management"/>
      <sheetName val="Water Mangt"/>
      <sheetName val="Effluent"/>
      <sheetName val="Energy"/>
      <sheetName val="Materials"/>
      <sheetName val="Waste"/>
      <sheetName val="Incidents"/>
      <sheetName val="Biodiversity"/>
      <sheetName val="Ozone"/>
      <sheetName val="Carbon Footprint"/>
      <sheetName val="GHG"/>
      <sheetName val="Transportation"/>
      <sheetName val="Graphs"/>
      <sheetName val="Sheet2"/>
      <sheetName val="Sheet3"/>
      <sheetName val="Sheet1"/>
    </sheetNames>
    <sheetDataSet>
      <sheetData sheetId="0">
        <row r="15">
          <cell r="H15">
            <v>20362835</v>
          </cell>
        </row>
        <row r="17">
          <cell r="H17">
            <v>3841526</v>
          </cell>
        </row>
      </sheetData>
      <sheetData sheetId="1"/>
      <sheetData sheetId="2"/>
      <sheetData sheetId="3"/>
      <sheetData sheetId="4">
        <row r="24">
          <cell r="H24">
            <v>28.735785967425461</v>
          </cell>
        </row>
      </sheetData>
      <sheetData sheetId="5"/>
      <sheetData sheetId="6">
        <row r="34">
          <cell r="G34">
            <v>1185.098</v>
          </cell>
        </row>
      </sheetData>
      <sheetData sheetId="7"/>
      <sheetData sheetId="8"/>
      <sheetData sheetId="9"/>
      <sheetData sheetId="10"/>
      <sheetData sheetId="11"/>
      <sheetData sheetId="12"/>
      <sheetData sheetId="13"/>
      <sheetData sheetId="14"/>
      <sheetData sheetId="15"/>
      <sheetData sheetId="1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ion"/>
      <sheetName val="Land Management"/>
      <sheetName val="Water Mangt"/>
      <sheetName val="Effluent"/>
      <sheetName val="Energy"/>
      <sheetName val="Materials"/>
      <sheetName val="Waste"/>
      <sheetName val="Incidents"/>
      <sheetName val="Biodiversity"/>
      <sheetName val="Ozone"/>
      <sheetName val="Carbon Footprint"/>
      <sheetName val="Transportation"/>
      <sheetName val="Sheet1"/>
      <sheetName val="Sheet2"/>
      <sheetName val="Sheet3"/>
    </sheetNames>
    <sheetDataSet>
      <sheetData sheetId="0"/>
      <sheetData sheetId="1"/>
      <sheetData sheetId="2"/>
      <sheetData sheetId="3"/>
      <sheetData sheetId="4">
        <row r="26">
          <cell r="G26">
            <v>26.626979995357221</v>
          </cell>
        </row>
        <row r="27">
          <cell r="G27">
            <v>27.808522483168861</v>
          </cell>
        </row>
      </sheetData>
      <sheetData sheetId="5"/>
      <sheetData sheetId="6"/>
      <sheetData sheetId="7"/>
      <sheetData sheetId="8"/>
      <sheetData sheetId="9"/>
      <sheetData sheetId="10"/>
      <sheetData sheetId="11"/>
      <sheetData sheetId="12"/>
      <sheetData sheetId="13"/>
      <sheetData sheetId="1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timated carbon tax 2019"/>
      <sheetName val="final carbon tax June -Dec 2019"/>
      <sheetName val="data Deon"/>
    </sheetNames>
    <sheetDataSet>
      <sheetData sheetId="0">
        <row r="5">
          <cell r="S5">
            <v>7.2967916649600006</v>
          </cell>
        </row>
        <row r="6">
          <cell r="S6">
            <v>0.27948814655999998</v>
          </cell>
        </row>
        <row r="15">
          <cell r="S15">
            <v>1.17836387136</v>
          </cell>
        </row>
        <row r="16">
          <cell r="S16">
            <v>0.27948814655999998</v>
          </cell>
        </row>
        <row r="25">
          <cell r="Q25">
            <v>0</v>
          </cell>
        </row>
        <row r="26">
          <cell r="Q26">
            <v>0</v>
          </cell>
        </row>
        <row r="35">
          <cell r="S35">
            <v>256.360389075</v>
          </cell>
        </row>
      </sheetData>
      <sheetData sheetId="1"/>
      <sheetData sheetId="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ion"/>
      <sheetName val="Land Management"/>
      <sheetName val="Water Mangt"/>
      <sheetName val="Effluent"/>
      <sheetName val="Energy"/>
      <sheetName val="Materials"/>
      <sheetName val="Waste"/>
      <sheetName val="Incidents"/>
      <sheetName val="Biodiversity"/>
      <sheetName val="KPIs"/>
      <sheetName val="Ozone"/>
      <sheetName val="GHG "/>
      <sheetName val="company plane"/>
      <sheetName val="Product  transport"/>
      <sheetName val="Employee commute"/>
      <sheetName val="Business travel"/>
      <sheetName val="SR "/>
      <sheetName val="Graphs"/>
      <sheetName val="SAGERS"/>
      <sheetName val="carbon tax 1 June 2019"/>
    </sheetNames>
    <sheetDataSet>
      <sheetData sheetId="0"/>
      <sheetData sheetId="1"/>
      <sheetData sheetId="2"/>
      <sheetData sheetId="3">
        <row r="3">
          <cell r="E3">
            <v>0</v>
          </cell>
        </row>
      </sheetData>
      <sheetData sheetId="4">
        <row r="4">
          <cell r="E4" t="str">
            <v>Quarter 3</v>
          </cell>
        </row>
      </sheetData>
      <sheetData sheetId="5"/>
      <sheetData sheetId="6">
        <row r="5">
          <cell r="E5">
            <v>0</v>
          </cell>
        </row>
      </sheetData>
      <sheetData sheetId="7"/>
      <sheetData sheetId="8"/>
      <sheetData sheetId="9"/>
      <sheetData sheetId="10"/>
      <sheetData sheetId="11">
        <row r="37">
          <cell r="X37">
            <v>480247.86045339348</v>
          </cell>
        </row>
        <row r="39">
          <cell r="X39">
            <v>0.12393665053588934</v>
          </cell>
        </row>
      </sheetData>
      <sheetData sheetId="12">
        <row r="2">
          <cell r="N2">
            <v>0</v>
          </cell>
        </row>
      </sheetData>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6.xml"/><Relationship Id="rId1" Type="http://schemas.openxmlformats.org/officeDocument/2006/relationships/printerSettings" Target="../printerSettings/printerSettings12.bin"/><Relationship Id="rId4" Type="http://schemas.openxmlformats.org/officeDocument/2006/relationships/comments" Target="../comments1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printerSettings" Target="../printerSettings/printerSettings16.bin"/><Relationship Id="rId1" Type="http://schemas.openxmlformats.org/officeDocument/2006/relationships/hyperlink" Target="https://www.greatcirclemapper.net/en/great-circle-mapper.html?route=HTDA-HKJK&amp;aircraft=&amp;speed=" TargetMode="External"/><Relationship Id="rId4" Type="http://schemas.openxmlformats.org/officeDocument/2006/relationships/comments" Target="../comments1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8.xml"/><Relationship Id="rId1" Type="http://schemas.openxmlformats.org/officeDocument/2006/relationships/printerSettings" Target="../printerSettings/printerSettings22.bin"/><Relationship Id="rId4" Type="http://schemas.openxmlformats.org/officeDocument/2006/relationships/comments" Target="../comments20.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5.x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
  <sheetViews>
    <sheetView workbookViewId="0">
      <selection sqref="A1:P1"/>
    </sheetView>
  </sheetViews>
  <sheetFormatPr defaultRowHeight="15" x14ac:dyDescent="0.25"/>
  <cols>
    <col min="1" max="1" width="13.140625" customWidth="1"/>
    <col min="2" max="2" width="14.28515625" style="9" customWidth="1"/>
    <col min="9" max="9" width="3.7109375" customWidth="1"/>
    <col min="12" max="12" width="9.85546875" bestFit="1" customWidth="1"/>
  </cols>
  <sheetData>
    <row r="1" spans="1:21" ht="113.45" customHeight="1" thickBot="1" x14ac:dyDescent="0.3">
      <c r="A1" s="4951"/>
      <c r="B1" s="4951"/>
      <c r="C1" s="4951"/>
      <c r="D1" s="4951"/>
      <c r="E1" s="4951"/>
      <c r="F1" s="4951"/>
      <c r="G1" s="4951"/>
      <c r="H1" s="4951"/>
      <c r="I1" s="4951"/>
      <c r="J1" s="4951"/>
      <c r="K1" s="4951"/>
      <c r="L1" s="4951"/>
      <c r="M1" s="4951"/>
      <c r="N1" s="4951"/>
      <c r="O1" s="4951"/>
      <c r="P1" s="4951"/>
    </row>
    <row r="2" spans="1:21" ht="24" customHeight="1" x14ac:dyDescent="0.25">
      <c r="A2" s="4935" t="s">
        <v>1011</v>
      </c>
      <c r="B2" s="4935"/>
      <c r="C2" s="4954" t="s">
        <v>1012</v>
      </c>
      <c r="D2" s="4955"/>
      <c r="E2" s="4955"/>
      <c r="F2" s="4955"/>
      <c r="G2" s="4955"/>
      <c r="H2" s="4955"/>
      <c r="I2" s="4955"/>
      <c r="J2" s="4955"/>
      <c r="K2" s="4955"/>
      <c r="L2" s="4955"/>
      <c r="M2" s="4955"/>
      <c r="N2" s="4955"/>
      <c r="O2" s="4955"/>
      <c r="P2" s="4955"/>
    </row>
    <row r="3" spans="1:21" ht="24" customHeight="1" x14ac:dyDescent="0.25">
      <c r="A3" s="4934" t="s">
        <v>1013</v>
      </c>
      <c r="B3" s="4935"/>
      <c r="C3" s="4956" t="s">
        <v>1036</v>
      </c>
      <c r="D3" s="4957"/>
      <c r="E3" s="4957"/>
      <c r="F3" s="4957"/>
      <c r="G3" s="4957"/>
      <c r="H3" s="4957"/>
      <c r="I3" s="4957"/>
      <c r="J3" s="4957"/>
      <c r="K3" s="4957"/>
      <c r="L3" s="4957"/>
      <c r="M3" s="4957"/>
      <c r="N3" s="4957"/>
      <c r="O3" s="4957"/>
      <c r="P3" s="4957"/>
    </row>
    <row r="4" spans="1:21" ht="24" customHeight="1" x14ac:dyDescent="0.25">
      <c r="A4" s="4934" t="s">
        <v>1014</v>
      </c>
      <c r="B4" s="4935"/>
      <c r="C4" s="4958" t="s">
        <v>1030</v>
      </c>
      <c r="D4" s="4959"/>
      <c r="E4" s="4959"/>
      <c r="F4" s="4959"/>
      <c r="G4" s="4959"/>
      <c r="H4" s="4959"/>
      <c r="I4" s="4959"/>
      <c r="J4" s="4959"/>
      <c r="K4" s="4959"/>
      <c r="L4" s="4959"/>
      <c r="M4" s="4959"/>
      <c r="N4" s="4959"/>
      <c r="O4" s="4959"/>
      <c r="P4" s="4959"/>
    </row>
    <row r="5" spans="1:21" ht="24" customHeight="1" x14ac:dyDescent="0.25">
      <c r="A5" s="4934" t="s">
        <v>1015</v>
      </c>
      <c r="B5" s="4935"/>
      <c r="C5" s="4958" t="s">
        <v>1031</v>
      </c>
      <c r="D5" s="4959"/>
      <c r="E5" s="4959"/>
      <c r="F5" s="4959"/>
      <c r="G5" s="4959"/>
      <c r="H5" s="4959"/>
      <c r="I5" s="4959"/>
      <c r="J5" s="4959"/>
      <c r="K5" s="4959"/>
      <c r="L5" s="4959"/>
      <c r="M5" s="4959"/>
      <c r="N5" s="4959"/>
      <c r="O5" s="4959"/>
      <c r="P5" s="4959"/>
    </row>
    <row r="6" spans="1:21" ht="24" customHeight="1" x14ac:dyDescent="0.25">
      <c r="A6" s="4934" t="s">
        <v>1016</v>
      </c>
      <c r="B6" s="4935"/>
      <c r="C6" s="4958" t="s">
        <v>1032</v>
      </c>
      <c r="D6" s="4959"/>
      <c r="E6" s="4959"/>
      <c r="F6" s="4959"/>
      <c r="G6" s="4959"/>
      <c r="H6" s="4959"/>
      <c r="I6" s="4959"/>
      <c r="J6" s="4959"/>
      <c r="K6" s="4959"/>
      <c r="L6" s="4959"/>
      <c r="M6" s="4959"/>
      <c r="N6" s="4959"/>
      <c r="O6" s="4959"/>
      <c r="P6" s="4959"/>
    </row>
    <row r="7" spans="1:21" ht="24" customHeight="1" x14ac:dyDescent="0.25">
      <c r="A7" s="4934" t="s">
        <v>1017</v>
      </c>
      <c r="B7" s="4935"/>
      <c r="C7" s="4958" t="s">
        <v>1033</v>
      </c>
      <c r="D7" s="4959"/>
      <c r="E7" s="4959"/>
      <c r="F7" s="4959"/>
      <c r="G7" s="4959"/>
      <c r="H7" s="4959"/>
      <c r="I7" s="4959"/>
      <c r="J7" s="4959"/>
      <c r="K7" s="4959"/>
      <c r="L7" s="4959"/>
      <c r="M7" s="4959"/>
      <c r="N7" s="4959"/>
      <c r="O7" s="4959"/>
      <c r="P7" s="4959"/>
      <c r="T7" s="1"/>
    </row>
    <row r="8" spans="1:21" ht="24" customHeight="1" x14ac:dyDescent="0.25">
      <c r="A8" s="4934" t="s">
        <v>1018</v>
      </c>
      <c r="B8" s="4935"/>
      <c r="C8" s="4958" t="s">
        <v>1034</v>
      </c>
      <c r="D8" s="4959"/>
      <c r="E8" s="4959"/>
      <c r="F8" s="4959"/>
      <c r="G8" s="4959"/>
      <c r="H8" s="4959"/>
      <c r="I8" s="4959"/>
      <c r="J8" s="4959"/>
      <c r="K8" s="4959"/>
      <c r="L8" s="4959"/>
      <c r="M8" s="4959"/>
      <c r="N8" s="4959"/>
      <c r="O8" s="4959"/>
      <c r="P8" s="4959"/>
      <c r="R8" s="1"/>
      <c r="T8" s="1"/>
    </row>
    <row r="9" spans="1:21" ht="24" customHeight="1" thickBot="1" x14ac:dyDescent="0.3">
      <c r="A9" s="4934" t="s">
        <v>1019</v>
      </c>
      <c r="B9" s="4935"/>
      <c r="C9" s="4960" t="s">
        <v>1035</v>
      </c>
      <c r="D9" s="4961"/>
      <c r="E9" s="4961"/>
      <c r="F9" s="4961"/>
      <c r="G9" s="4961"/>
      <c r="H9" s="4961"/>
      <c r="I9" s="4961"/>
      <c r="J9" s="4961"/>
      <c r="K9" s="4961"/>
      <c r="L9" s="4961"/>
      <c r="M9" s="4961"/>
      <c r="N9" s="4961"/>
      <c r="O9" s="4961"/>
      <c r="P9" s="4961"/>
      <c r="T9" s="1"/>
    </row>
    <row r="10" spans="1:21" ht="9" customHeight="1" thickBot="1" x14ac:dyDescent="0.3">
      <c r="A10" s="4952"/>
      <c r="B10" s="4952"/>
      <c r="C10" s="4953"/>
      <c r="D10" s="2851"/>
      <c r="K10" s="2852"/>
      <c r="L10" s="2852"/>
      <c r="M10" s="2852"/>
      <c r="P10" s="2852"/>
      <c r="T10" s="1"/>
    </row>
    <row r="11" spans="1:21" ht="24" customHeight="1" x14ac:dyDescent="0.25">
      <c r="A11" s="4940" t="s">
        <v>1020</v>
      </c>
      <c r="B11" s="4940"/>
      <c r="C11" s="4946">
        <v>41876</v>
      </c>
      <c r="D11" s="4947"/>
      <c r="E11" s="4947"/>
      <c r="F11" s="4947"/>
      <c r="G11" s="4947"/>
      <c r="H11" s="4947"/>
      <c r="I11" s="4939" t="s">
        <v>1021</v>
      </c>
      <c r="J11" s="4940"/>
      <c r="K11" s="4941"/>
      <c r="L11" s="2855">
        <v>43691</v>
      </c>
      <c r="M11" s="2853"/>
      <c r="N11" s="2853"/>
      <c r="O11" s="2853"/>
      <c r="P11" s="2853"/>
      <c r="T11" s="1"/>
    </row>
    <row r="12" spans="1:21" ht="24" customHeight="1" thickBot="1" x14ac:dyDescent="0.3">
      <c r="A12" s="4937" t="s">
        <v>1022</v>
      </c>
      <c r="B12" s="4937"/>
      <c r="C12" s="4948">
        <v>5</v>
      </c>
      <c r="D12" s="4932"/>
      <c r="E12" s="4932"/>
      <c r="F12" s="4932"/>
      <c r="G12" s="4932"/>
      <c r="H12" s="4949"/>
      <c r="I12" s="4936" t="s">
        <v>1023</v>
      </c>
      <c r="J12" s="4937"/>
      <c r="K12" s="4938"/>
      <c r="L12" s="2856">
        <v>44044</v>
      </c>
      <c r="M12" s="2854"/>
      <c r="N12" s="2854"/>
      <c r="O12" s="2854"/>
      <c r="P12" s="2854"/>
      <c r="T12" s="1"/>
    </row>
    <row r="13" spans="1:21" ht="9" customHeight="1" thickBot="1" x14ac:dyDescent="0.3">
      <c r="A13" s="4944"/>
      <c r="B13" s="4944"/>
      <c r="C13" s="4944"/>
      <c r="D13" s="4944"/>
      <c r="P13" s="1"/>
      <c r="S13" s="1"/>
      <c r="T13" s="1"/>
      <c r="U13" s="1"/>
    </row>
    <row r="14" spans="1:21" ht="60" customHeight="1" x14ac:dyDescent="0.25">
      <c r="A14" s="4940" t="s">
        <v>1024</v>
      </c>
      <c r="B14" s="4941"/>
      <c r="C14" s="4942"/>
      <c r="D14" s="4943"/>
      <c r="E14" s="4943"/>
      <c r="F14" s="4943"/>
      <c r="G14" s="4943"/>
      <c r="H14" s="4945"/>
      <c r="I14" s="4939" t="s">
        <v>1025</v>
      </c>
      <c r="J14" s="4940"/>
      <c r="K14" s="4941"/>
      <c r="L14" s="4942"/>
      <c r="M14" s="4943"/>
      <c r="N14" s="4943"/>
      <c r="O14" s="4943"/>
      <c r="P14" s="4943"/>
      <c r="S14" s="1"/>
      <c r="T14" s="1"/>
      <c r="U14" s="1"/>
    </row>
    <row r="15" spans="1:21" ht="24" customHeight="1" x14ac:dyDescent="0.25">
      <c r="A15" s="4934" t="s">
        <v>1026</v>
      </c>
      <c r="B15" s="4934"/>
      <c r="C15" s="4929" t="s">
        <v>1037</v>
      </c>
      <c r="D15" s="4930"/>
      <c r="E15" s="4930"/>
      <c r="F15" s="4930"/>
      <c r="G15" s="4930"/>
      <c r="H15" s="4950"/>
      <c r="I15" s="4933" t="s">
        <v>1026</v>
      </c>
      <c r="J15" s="4934"/>
      <c r="K15" s="4935"/>
      <c r="L15" s="4929" t="s">
        <v>1039</v>
      </c>
      <c r="M15" s="4930"/>
      <c r="N15" s="4930"/>
      <c r="O15" s="4930"/>
      <c r="P15" s="4930"/>
    </row>
    <row r="16" spans="1:21" ht="24" customHeight="1" x14ac:dyDescent="0.25">
      <c r="A16" s="4934" t="s">
        <v>1027</v>
      </c>
      <c r="B16" s="4934"/>
      <c r="C16" s="4929" t="s">
        <v>1038</v>
      </c>
      <c r="D16" s="4930"/>
      <c r="E16" s="4930"/>
      <c r="F16" s="4930"/>
      <c r="G16" s="4930"/>
      <c r="H16" s="4950"/>
      <c r="I16" s="4933" t="s">
        <v>1027</v>
      </c>
      <c r="J16" s="4934"/>
      <c r="K16" s="4935"/>
      <c r="L16" s="4929" t="s">
        <v>1040</v>
      </c>
      <c r="M16" s="4930"/>
      <c r="N16" s="4930"/>
      <c r="O16" s="4930"/>
      <c r="P16" s="4930"/>
    </row>
    <row r="17" spans="1:16" ht="24" customHeight="1" thickBot="1" x14ac:dyDescent="0.3">
      <c r="A17" s="4937" t="s">
        <v>1028</v>
      </c>
      <c r="B17" s="4938"/>
      <c r="C17" s="4931">
        <v>43707</v>
      </c>
      <c r="D17" s="4932"/>
      <c r="E17" s="4932"/>
      <c r="F17" s="4932"/>
      <c r="G17" s="4932"/>
      <c r="H17" s="4949"/>
      <c r="I17" s="4936" t="s">
        <v>1029</v>
      </c>
      <c r="J17" s="4937"/>
      <c r="K17" s="4938"/>
      <c r="L17" s="4931">
        <v>43712</v>
      </c>
      <c r="M17" s="4932"/>
      <c r="N17" s="4932"/>
      <c r="O17" s="4932"/>
      <c r="P17" s="4932"/>
    </row>
    <row r="18" spans="1:16" x14ac:dyDescent="0.25">
      <c r="A18" s="4944"/>
      <c r="B18" s="4944"/>
      <c r="C18" s="4944"/>
      <c r="D18" s="4944"/>
      <c r="E18" s="1"/>
      <c r="F18" s="1"/>
    </row>
  </sheetData>
  <mergeCells count="44">
    <mergeCell ref="A10:C10"/>
    <mergeCell ref="A2:B2"/>
    <mergeCell ref="C2:P2"/>
    <mergeCell ref="C3:P3"/>
    <mergeCell ref="C4:P4"/>
    <mergeCell ref="C5:P5"/>
    <mergeCell ref="C6:P6"/>
    <mergeCell ref="C7:P7"/>
    <mergeCell ref="C8:P8"/>
    <mergeCell ref="C9:P9"/>
    <mergeCell ref="A7:B7"/>
    <mergeCell ref="A8:B8"/>
    <mergeCell ref="A9:B9"/>
    <mergeCell ref="A1:P1"/>
    <mergeCell ref="A3:B3"/>
    <mergeCell ref="A4:B4"/>
    <mergeCell ref="A5:B5"/>
    <mergeCell ref="A6:B6"/>
    <mergeCell ref="A15:B15"/>
    <mergeCell ref="A16:B16"/>
    <mergeCell ref="A17:B17"/>
    <mergeCell ref="A18:B18"/>
    <mergeCell ref="C18:D18"/>
    <mergeCell ref="C15:H15"/>
    <mergeCell ref="C16:H16"/>
    <mergeCell ref="C17:H17"/>
    <mergeCell ref="I11:K11"/>
    <mergeCell ref="I12:K12"/>
    <mergeCell ref="I14:K14"/>
    <mergeCell ref="L14:P14"/>
    <mergeCell ref="A14:B14"/>
    <mergeCell ref="A13:B13"/>
    <mergeCell ref="C13:D13"/>
    <mergeCell ref="A11:B11"/>
    <mergeCell ref="A12:B12"/>
    <mergeCell ref="C14:H14"/>
    <mergeCell ref="C11:H11"/>
    <mergeCell ref="C12:H12"/>
    <mergeCell ref="L15:P15"/>
    <mergeCell ref="L16:P16"/>
    <mergeCell ref="L17:P17"/>
    <mergeCell ref="I15:K15"/>
    <mergeCell ref="I16:K16"/>
    <mergeCell ref="I17:K17"/>
  </mergeCells>
  <pageMargins left="0.70866141732283472" right="0.70866141732283472" top="0.74803149606299213" bottom="0.74803149606299213" header="0.31496062992125984" footer="0.31496062992125984"/>
  <pageSetup paperSize="9" scale="85" orientation="landscape"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rgb="FF97F961"/>
  </sheetPr>
  <dimension ref="A1:AF30"/>
  <sheetViews>
    <sheetView workbookViewId="0">
      <selection activeCell="K18" sqref="K18"/>
    </sheetView>
  </sheetViews>
  <sheetFormatPr defaultRowHeight="15" x14ac:dyDescent="0.25"/>
  <cols>
    <col min="1" max="1" width="31" bestFit="1" customWidth="1"/>
    <col min="3" max="3" width="11.42578125" customWidth="1"/>
    <col min="4" max="4" width="10.140625" bestFit="1" customWidth="1"/>
    <col min="5" max="5" width="11.28515625" customWidth="1"/>
    <col min="6" max="6" width="11.5703125" customWidth="1"/>
    <col min="7" max="7" width="11.85546875" customWidth="1"/>
    <col min="9" max="10" width="10.140625" bestFit="1" customWidth="1"/>
    <col min="11" max="11" width="11" customWidth="1"/>
    <col min="12" max="12" width="12.85546875" customWidth="1"/>
    <col min="13" max="22" width="9.140625" style="9"/>
    <col min="23" max="26" width="10.140625" bestFit="1" customWidth="1"/>
    <col min="27" max="27" width="10.28515625" bestFit="1" customWidth="1"/>
    <col min="28" max="28" width="10" customWidth="1"/>
    <col min="29" max="30" width="10.42578125" customWidth="1"/>
    <col min="31" max="31" width="10.28515625" customWidth="1"/>
    <col min="32" max="32" width="10.28515625" bestFit="1" customWidth="1"/>
  </cols>
  <sheetData>
    <row r="1" spans="1:32" x14ac:dyDescent="0.25">
      <c r="A1" s="9" t="s">
        <v>70</v>
      </c>
    </row>
    <row r="2" spans="1:32" ht="15.75" thickBot="1" x14ac:dyDescent="0.3">
      <c r="W2" s="1"/>
      <c r="X2" s="1"/>
      <c r="Y2" s="1"/>
      <c r="Z2" s="1"/>
      <c r="AA2" s="1"/>
      <c r="AB2" s="1"/>
      <c r="AC2" s="1"/>
      <c r="AD2" s="1"/>
      <c r="AE2" s="1"/>
      <c r="AF2" s="1"/>
    </row>
    <row r="3" spans="1:32" ht="15.75" thickBot="1" x14ac:dyDescent="0.3">
      <c r="C3" s="4981" t="s">
        <v>2</v>
      </c>
      <c r="D3" s="4982"/>
      <c r="E3" s="4982"/>
      <c r="F3" s="4982"/>
      <c r="G3" s="4983"/>
      <c r="H3" s="4984" t="s">
        <v>8</v>
      </c>
      <c r="I3" s="4985"/>
      <c r="J3" s="4985"/>
      <c r="K3" s="4985"/>
      <c r="L3" s="4986"/>
      <c r="M3" s="4984" t="s">
        <v>9</v>
      </c>
      <c r="N3" s="4985"/>
      <c r="O3" s="4985"/>
      <c r="P3" s="4985"/>
      <c r="Q3" s="4986"/>
      <c r="R3" s="4984" t="s">
        <v>223</v>
      </c>
      <c r="S3" s="4985"/>
      <c r="T3" s="4985"/>
      <c r="U3" s="4985"/>
      <c r="V3" s="4986"/>
      <c r="W3" s="260"/>
      <c r="X3" s="260"/>
      <c r="Y3" s="260"/>
      <c r="Z3" s="260"/>
      <c r="AA3" s="260"/>
      <c r="AB3" s="260"/>
      <c r="AC3" s="260"/>
      <c r="AD3" s="260"/>
      <c r="AE3" s="260"/>
      <c r="AF3" s="260"/>
    </row>
    <row r="4" spans="1:32" ht="15.75" thickBot="1" x14ac:dyDescent="0.3">
      <c r="A4" s="17" t="s">
        <v>0</v>
      </c>
      <c r="B4" s="19" t="s">
        <v>1</v>
      </c>
      <c r="C4" s="10" t="s">
        <v>3</v>
      </c>
      <c r="D4" s="15" t="s">
        <v>4</v>
      </c>
      <c r="E4" s="15" t="s">
        <v>5</v>
      </c>
      <c r="F4" s="15" t="s">
        <v>6</v>
      </c>
      <c r="G4" s="11" t="s">
        <v>7</v>
      </c>
      <c r="H4" s="10" t="s">
        <v>3</v>
      </c>
      <c r="I4" s="15" t="s">
        <v>4</v>
      </c>
      <c r="J4" s="15" t="s">
        <v>5</v>
      </c>
      <c r="K4" s="15" t="s">
        <v>6</v>
      </c>
      <c r="L4" s="11" t="s">
        <v>7</v>
      </c>
      <c r="M4" s="153" t="s">
        <v>3</v>
      </c>
      <c r="N4" s="154" t="s">
        <v>4</v>
      </c>
      <c r="O4" s="154" t="s">
        <v>5</v>
      </c>
      <c r="P4" s="154" t="s">
        <v>6</v>
      </c>
      <c r="Q4" s="155" t="s">
        <v>7</v>
      </c>
      <c r="R4" s="10" t="s">
        <v>3</v>
      </c>
      <c r="S4" s="154" t="s">
        <v>4</v>
      </c>
      <c r="T4" s="154" t="s">
        <v>5</v>
      </c>
      <c r="U4" s="154" t="s">
        <v>6</v>
      </c>
      <c r="V4" s="155" t="s">
        <v>7</v>
      </c>
      <c r="W4" s="1"/>
      <c r="X4" s="1"/>
      <c r="Y4" s="1"/>
      <c r="Z4" s="1"/>
      <c r="AA4" s="1"/>
      <c r="AB4" s="1"/>
      <c r="AC4" s="1"/>
      <c r="AD4" s="1"/>
      <c r="AE4" s="1"/>
      <c r="AF4" s="1"/>
    </row>
    <row r="5" spans="1:32" x14ac:dyDescent="0.25">
      <c r="A5" s="10" t="s">
        <v>71</v>
      </c>
      <c r="B5" s="15" t="s">
        <v>72</v>
      </c>
      <c r="C5" s="1827">
        <v>2673.24</v>
      </c>
      <c r="D5" s="148">
        <v>2673.24</v>
      </c>
      <c r="E5" s="148">
        <v>2673.24</v>
      </c>
      <c r="F5" s="148">
        <v>2673.24</v>
      </c>
      <c r="G5" s="137">
        <v>2673.24</v>
      </c>
      <c r="H5" s="147">
        <v>1388</v>
      </c>
      <c r="I5" s="15">
        <v>1388</v>
      </c>
      <c r="J5" s="55">
        <v>1388</v>
      </c>
      <c r="K5" s="55">
        <v>1388</v>
      </c>
      <c r="L5" s="55">
        <v>1388</v>
      </c>
      <c r="M5" s="70">
        <v>2014</v>
      </c>
      <c r="N5" s="143">
        <v>2014</v>
      </c>
      <c r="O5" s="143">
        <v>2014</v>
      </c>
      <c r="P5" s="143">
        <v>2014</v>
      </c>
      <c r="Q5" s="137">
        <v>2014</v>
      </c>
      <c r="R5" s="70">
        <v>906</v>
      </c>
      <c r="S5" s="143">
        <v>906</v>
      </c>
      <c r="T5" s="143">
        <v>906</v>
      </c>
      <c r="U5" s="143">
        <v>906</v>
      </c>
      <c r="V5" s="143">
        <v>906</v>
      </c>
      <c r="W5" s="161"/>
      <c r="X5" s="1"/>
      <c r="Y5" s="1"/>
      <c r="Z5" s="1"/>
      <c r="AA5" s="39"/>
      <c r="AB5" s="36"/>
      <c r="AC5" s="36"/>
      <c r="AD5" s="31"/>
      <c r="AE5" s="31"/>
      <c r="AF5" s="34"/>
    </row>
    <row r="6" spans="1:32" x14ac:dyDescent="0.25">
      <c r="A6" s="12" t="s">
        <v>73</v>
      </c>
      <c r="B6" s="1" t="s">
        <v>74</v>
      </c>
      <c r="C6" s="12">
        <v>30</v>
      </c>
      <c r="D6" s="1">
        <v>30</v>
      </c>
      <c r="E6" s="1">
        <v>30</v>
      </c>
      <c r="F6" s="39">
        <v>30</v>
      </c>
      <c r="G6" s="22">
        <v>30</v>
      </c>
      <c r="H6" s="1">
        <v>10</v>
      </c>
      <c r="I6" s="39">
        <v>10</v>
      </c>
      <c r="J6" s="36">
        <v>10</v>
      </c>
      <c r="K6" s="36">
        <v>10</v>
      </c>
      <c r="L6" s="52">
        <v>10</v>
      </c>
      <c r="M6" s="21">
        <v>16</v>
      </c>
      <c r="N6" s="39">
        <v>16</v>
      </c>
      <c r="O6" s="39">
        <v>16</v>
      </c>
      <c r="P6" s="39">
        <v>16</v>
      </c>
      <c r="Q6" s="22">
        <v>16</v>
      </c>
      <c r="R6" s="21">
        <v>34</v>
      </c>
      <c r="S6" s="39">
        <v>34</v>
      </c>
      <c r="T6" s="39">
        <v>34</v>
      </c>
      <c r="U6" s="39">
        <v>34</v>
      </c>
      <c r="V6" s="39">
        <v>34</v>
      </c>
      <c r="W6" s="1"/>
      <c r="X6" s="1"/>
      <c r="Y6" s="1"/>
      <c r="Z6" s="1"/>
      <c r="AA6" s="39"/>
      <c r="AB6" s="36"/>
      <c r="AC6" s="36"/>
      <c r="AD6" s="36"/>
      <c r="AE6" s="36"/>
      <c r="AF6" s="34"/>
    </row>
    <row r="7" spans="1:32" x14ac:dyDescent="0.25">
      <c r="A7" s="12" t="s">
        <v>75</v>
      </c>
      <c r="B7" s="1" t="s">
        <v>74</v>
      </c>
      <c r="C7" s="12">
        <v>0</v>
      </c>
      <c r="D7" s="1">
        <v>0</v>
      </c>
      <c r="E7" s="1">
        <v>0</v>
      </c>
      <c r="F7" s="39">
        <v>0</v>
      </c>
      <c r="G7" s="22">
        <v>0</v>
      </c>
      <c r="H7" s="1">
        <v>2</v>
      </c>
      <c r="I7" s="39">
        <v>2</v>
      </c>
      <c r="J7" s="36">
        <v>2</v>
      </c>
      <c r="K7" s="36">
        <v>2</v>
      </c>
      <c r="L7" s="120">
        <v>2</v>
      </c>
      <c r="M7" s="21">
        <v>2</v>
      </c>
      <c r="N7" s="39">
        <v>2</v>
      </c>
      <c r="O7" s="39">
        <v>2</v>
      </c>
      <c r="P7" s="39">
        <v>2</v>
      </c>
      <c r="Q7" s="22">
        <v>2</v>
      </c>
      <c r="R7" s="21">
        <v>0</v>
      </c>
      <c r="S7" s="39">
        <v>0</v>
      </c>
      <c r="T7" s="39">
        <v>0</v>
      </c>
      <c r="U7" s="39">
        <v>0</v>
      </c>
      <c r="V7" s="39">
        <v>0</v>
      </c>
      <c r="W7" s="1"/>
      <c r="X7" s="1"/>
      <c r="Y7" s="1"/>
      <c r="Z7" s="1"/>
      <c r="AA7" s="39"/>
      <c r="AB7" s="31"/>
      <c r="AC7" s="31"/>
      <c r="AD7" s="31"/>
      <c r="AE7" s="31"/>
      <c r="AF7" s="31"/>
    </row>
    <row r="8" spans="1:32" ht="15.75" thickBot="1" x14ac:dyDescent="0.3">
      <c r="A8" s="14" t="s">
        <v>76</v>
      </c>
      <c r="B8" s="16" t="s">
        <v>74</v>
      </c>
      <c r="C8" s="14">
        <v>1</v>
      </c>
      <c r="D8" s="16">
        <v>1</v>
      </c>
      <c r="E8" s="16">
        <v>1</v>
      </c>
      <c r="F8" s="16">
        <v>1</v>
      </c>
      <c r="G8" s="24">
        <v>1</v>
      </c>
      <c r="H8" s="16">
        <v>0</v>
      </c>
      <c r="I8" s="16">
        <v>0</v>
      </c>
      <c r="J8" s="38">
        <v>0</v>
      </c>
      <c r="K8" s="38">
        <v>0</v>
      </c>
      <c r="L8" s="135">
        <v>0</v>
      </c>
      <c r="M8" s="23">
        <v>5</v>
      </c>
      <c r="N8" s="45">
        <v>5</v>
      </c>
      <c r="O8" s="45">
        <v>5</v>
      </c>
      <c r="P8" s="45">
        <v>5</v>
      </c>
      <c r="Q8" s="24">
        <v>5</v>
      </c>
      <c r="R8" s="23">
        <v>0</v>
      </c>
      <c r="S8" s="45">
        <v>0</v>
      </c>
      <c r="T8" s="45">
        <v>0</v>
      </c>
      <c r="U8" s="45">
        <v>0</v>
      </c>
      <c r="V8" s="45">
        <v>0</v>
      </c>
      <c r="W8" s="1"/>
      <c r="X8" s="1"/>
      <c r="Y8" s="1"/>
      <c r="Z8" s="1"/>
      <c r="AA8" s="39"/>
      <c r="AB8" s="31"/>
      <c r="AC8" s="31"/>
      <c r="AD8" s="31"/>
      <c r="AE8" s="31"/>
      <c r="AF8" s="31"/>
    </row>
    <row r="9" spans="1:32" x14ac:dyDescent="0.25">
      <c r="M9" s="1"/>
      <c r="N9" s="1"/>
      <c r="O9" s="1"/>
      <c r="P9" s="1"/>
      <c r="Q9" s="1"/>
      <c r="W9" s="1"/>
      <c r="X9" s="1"/>
      <c r="Y9" s="1"/>
      <c r="Z9" s="1"/>
      <c r="AA9" s="1"/>
      <c r="AB9" s="1"/>
      <c r="AC9" s="1"/>
      <c r="AD9" s="1"/>
      <c r="AE9" s="1"/>
      <c r="AF9" s="1"/>
    </row>
    <row r="10" spans="1:32" ht="15.75" thickBot="1" x14ac:dyDescent="0.3">
      <c r="M10" s="1"/>
      <c r="N10" s="1"/>
      <c r="O10" s="1"/>
      <c r="P10" s="1"/>
      <c r="Q10" s="1"/>
    </row>
    <row r="11" spans="1:32" ht="15.75" thickBot="1" x14ac:dyDescent="0.3">
      <c r="A11" s="9"/>
      <c r="B11" s="9"/>
      <c r="C11" s="4978" t="s">
        <v>91</v>
      </c>
      <c r="D11" s="4979"/>
      <c r="E11" s="4979"/>
      <c r="F11" s="4979"/>
      <c r="G11" s="4980"/>
      <c r="M11" s="5030"/>
      <c r="N11" s="5030"/>
      <c r="O11" s="5030"/>
      <c r="P11" s="5030"/>
      <c r="Q11" s="5030"/>
    </row>
    <row r="12" spans="1:32" ht="15.75" thickBot="1" x14ac:dyDescent="0.3">
      <c r="A12" s="17" t="s">
        <v>0</v>
      </c>
      <c r="B12" s="18" t="s">
        <v>1</v>
      </c>
      <c r="C12" s="318" t="s">
        <v>3</v>
      </c>
      <c r="D12" s="319" t="s">
        <v>4</v>
      </c>
      <c r="E12" s="319" t="s">
        <v>5</v>
      </c>
      <c r="F12" s="319" t="s">
        <v>6</v>
      </c>
      <c r="G12" s="320" t="s">
        <v>7</v>
      </c>
      <c r="M12" s="298"/>
      <c r="N12" s="298"/>
      <c r="O12" s="298"/>
      <c r="P12" s="298"/>
      <c r="Q12" s="298"/>
    </row>
    <row r="13" spans="1:32" x14ac:dyDescent="0.25">
      <c r="A13" s="10" t="s">
        <v>71</v>
      </c>
      <c r="B13" s="15" t="s">
        <v>72</v>
      </c>
      <c r="C13" s="46">
        <f>C5+H5+M5+R5</f>
        <v>6981.24</v>
      </c>
      <c r="D13" s="127">
        <f t="shared" ref="D13:G16" si="0">D5+I5+N5+S5</f>
        <v>6981.24</v>
      </c>
      <c r="E13" s="127">
        <f t="shared" si="0"/>
        <v>6981.24</v>
      </c>
      <c r="F13" s="44">
        <f t="shared" si="0"/>
        <v>6981.24</v>
      </c>
      <c r="G13" s="47">
        <f t="shared" si="0"/>
        <v>6981.24</v>
      </c>
      <c r="M13" s="1"/>
      <c r="N13" s="1"/>
      <c r="O13" s="1"/>
      <c r="P13" s="1"/>
      <c r="Q13" s="1"/>
    </row>
    <row r="14" spans="1:32" x14ac:dyDescent="0.25">
      <c r="A14" s="12" t="s">
        <v>73</v>
      </c>
      <c r="B14" s="1" t="s">
        <v>74</v>
      </c>
      <c r="C14" s="46">
        <f>C6+H6+M6+R6</f>
        <v>90</v>
      </c>
      <c r="D14" s="44">
        <f t="shared" si="0"/>
        <v>90</v>
      </c>
      <c r="E14" s="44">
        <f t="shared" si="0"/>
        <v>90</v>
      </c>
      <c r="F14" s="44">
        <f t="shared" si="0"/>
        <v>90</v>
      </c>
      <c r="G14" s="47">
        <f t="shared" si="0"/>
        <v>90</v>
      </c>
      <c r="M14" s="1"/>
      <c r="N14" s="1"/>
      <c r="O14" s="1"/>
      <c r="P14" s="1"/>
      <c r="Q14" s="1"/>
    </row>
    <row r="15" spans="1:32" x14ac:dyDescent="0.25">
      <c r="A15" s="12" t="s">
        <v>75</v>
      </c>
      <c r="B15" s="1" t="s">
        <v>74</v>
      </c>
      <c r="C15" s="46">
        <f>C7+H7+M7+R7</f>
        <v>4</v>
      </c>
      <c r="D15" s="44">
        <f t="shared" si="0"/>
        <v>4</v>
      </c>
      <c r="E15" s="44">
        <f t="shared" si="0"/>
        <v>4</v>
      </c>
      <c r="F15" s="44">
        <f t="shared" si="0"/>
        <v>4</v>
      </c>
      <c r="G15" s="47">
        <f t="shared" si="0"/>
        <v>4</v>
      </c>
      <c r="M15" s="1"/>
      <c r="N15" s="1"/>
      <c r="O15" s="1"/>
      <c r="P15" s="1"/>
      <c r="Q15" s="1"/>
    </row>
    <row r="16" spans="1:32" ht="15.75" thickBot="1" x14ac:dyDescent="0.3">
      <c r="A16" s="14" t="s">
        <v>76</v>
      </c>
      <c r="B16" s="16" t="s">
        <v>74</v>
      </c>
      <c r="C16" s="315">
        <f>C8+H8+M8+R8</f>
        <v>6</v>
      </c>
      <c r="D16" s="316">
        <f t="shared" si="0"/>
        <v>6</v>
      </c>
      <c r="E16" s="316">
        <f t="shared" si="0"/>
        <v>6</v>
      </c>
      <c r="F16" s="316">
        <f t="shared" si="0"/>
        <v>6</v>
      </c>
      <c r="G16" s="317">
        <f t="shared" si="0"/>
        <v>6</v>
      </c>
      <c r="M16" s="1"/>
      <c r="N16" s="1"/>
      <c r="O16" s="1"/>
      <c r="P16" s="1"/>
      <c r="Q16" s="1"/>
    </row>
    <row r="17" spans="1:17" x14ac:dyDescent="0.25">
      <c r="M17" s="1"/>
      <c r="N17" s="1"/>
      <c r="O17" s="1"/>
      <c r="P17" s="1"/>
      <c r="Q17" s="1"/>
    </row>
    <row r="18" spans="1:17" x14ac:dyDescent="0.25">
      <c r="M18" s="1"/>
      <c r="N18" s="1"/>
      <c r="O18" s="1"/>
      <c r="P18" s="1"/>
      <c r="Q18" s="1"/>
    </row>
    <row r="19" spans="1:17" x14ac:dyDescent="0.25">
      <c r="M19" s="1"/>
      <c r="N19" s="1"/>
      <c r="O19" s="1"/>
      <c r="P19" s="1"/>
      <c r="Q19" s="1"/>
    </row>
    <row r="20" spans="1:17" ht="15.75" thickBot="1" x14ac:dyDescent="0.3">
      <c r="J20" t="s">
        <v>1436</v>
      </c>
      <c r="M20" s="1"/>
      <c r="N20" s="1"/>
      <c r="O20" s="1"/>
      <c r="P20" s="1"/>
      <c r="Q20" s="1"/>
    </row>
    <row r="21" spans="1:17" ht="30.75" customHeight="1" thickBot="1" x14ac:dyDescent="0.3">
      <c r="A21" s="4649" t="s">
        <v>1482</v>
      </c>
      <c r="B21" s="5078" t="s">
        <v>1483</v>
      </c>
      <c r="C21" s="5078"/>
      <c r="D21" s="5078" t="s">
        <v>1484</v>
      </c>
      <c r="E21" s="5078"/>
      <c r="J21" s="4652" t="s">
        <v>1493</v>
      </c>
      <c r="K21" s="4653" t="s">
        <v>1494</v>
      </c>
    </row>
    <row r="22" spans="1:17" ht="30.75" customHeight="1" x14ac:dyDescent="0.25">
      <c r="A22" s="4650" t="s">
        <v>99</v>
      </c>
      <c r="B22" s="5071">
        <v>0</v>
      </c>
      <c r="C22" s="5071"/>
      <c r="D22" s="5072" t="s">
        <v>1485</v>
      </c>
      <c r="E22" s="5072"/>
      <c r="J22" s="4654" t="s">
        <v>1495</v>
      </c>
      <c r="K22" s="4655" t="s">
        <v>1500</v>
      </c>
    </row>
    <row r="23" spans="1:17" ht="39.75" customHeight="1" x14ac:dyDescent="0.25">
      <c r="A23" s="5080" t="s">
        <v>100</v>
      </c>
      <c r="B23" s="5071" t="s">
        <v>1490</v>
      </c>
      <c r="C23" s="5071"/>
      <c r="D23" s="5072">
        <v>0</v>
      </c>
      <c r="E23" s="5072"/>
      <c r="J23" s="4654" t="s">
        <v>1496</v>
      </c>
      <c r="K23" s="4655" t="s">
        <v>1501</v>
      </c>
    </row>
    <row r="24" spans="1:17" ht="33.75" customHeight="1" x14ac:dyDescent="0.25">
      <c r="A24" s="5080"/>
      <c r="B24" s="5071" t="s">
        <v>1491</v>
      </c>
      <c r="C24" s="5071"/>
      <c r="D24" s="5072"/>
      <c r="E24" s="5072"/>
      <c r="J24" s="4654" t="s">
        <v>1497</v>
      </c>
      <c r="K24" s="4655" t="s">
        <v>1502</v>
      </c>
    </row>
    <row r="25" spans="1:17" ht="39.75" customHeight="1" x14ac:dyDescent="0.25">
      <c r="A25" s="5072" t="s">
        <v>101</v>
      </c>
      <c r="B25" s="5079" t="s">
        <v>1505</v>
      </c>
      <c r="C25" s="5071"/>
      <c r="D25" s="5071" t="s">
        <v>1489</v>
      </c>
      <c r="E25" s="5071"/>
      <c r="J25" s="4654" t="s">
        <v>1498</v>
      </c>
      <c r="K25" s="4655" t="s">
        <v>1503</v>
      </c>
    </row>
    <row r="26" spans="1:17" ht="45" customHeight="1" thickBot="1" x14ac:dyDescent="0.3">
      <c r="A26" s="5072"/>
      <c r="B26" s="5079" t="s">
        <v>1504</v>
      </c>
      <c r="C26" s="5071"/>
      <c r="D26" s="5071" t="s">
        <v>1486</v>
      </c>
      <c r="E26" s="5071"/>
      <c r="J26" s="4656" t="s">
        <v>1499</v>
      </c>
      <c r="K26" s="4657"/>
    </row>
    <row r="27" spans="1:17" ht="42.75" customHeight="1" x14ac:dyDescent="0.25">
      <c r="A27" s="5072"/>
      <c r="B27" s="5079"/>
      <c r="C27" s="5071"/>
      <c r="D27" s="5071" t="s">
        <v>1487</v>
      </c>
      <c r="E27" s="5071"/>
    </row>
    <row r="28" spans="1:17" ht="60.75" customHeight="1" x14ac:dyDescent="0.25">
      <c r="A28" s="5072"/>
      <c r="B28" s="5073"/>
      <c r="C28" s="5074"/>
      <c r="D28" s="5075" t="s">
        <v>1488</v>
      </c>
      <c r="E28" s="5075"/>
    </row>
    <row r="29" spans="1:17" ht="28.5" customHeight="1" x14ac:dyDescent="0.25">
      <c r="A29" s="5072"/>
      <c r="B29" s="5076"/>
      <c r="C29" s="5076"/>
      <c r="D29" s="5077" t="s">
        <v>1492</v>
      </c>
      <c r="E29" s="5074"/>
    </row>
    <row r="30" spans="1:17" x14ac:dyDescent="0.25">
      <c r="A30" s="4650" t="s">
        <v>103</v>
      </c>
      <c r="B30" s="5072">
        <v>0</v>
      </c>
      <c r="C30" s="5072"/>
      <c r="D30" s="5072">
        <v>0</v>
      </c>
      <c r="E30" s="5072"/>
    </row>
  </sheetData>
  <mergeCells count="28">
    <mergeCell ref="R3:V3"/>
    <mergeCell ref="M11:Q11"/>
    <mergeCell ref="C11:G11"/>
    <mergeCell ref="C3:G3"/>
    <mergeCell ref="H3:L3"/>
    <mergeCell ref="M3:Q3"/>
    <mergeCell ref="A23:A24"/>
    <mergeCell ref="B21:C21"/>
    <mergeCell ref="B22:C22"/>
    <mergeCell ref="B23:C23"/>
    <mergeCell ref="B24:C24"/>
    <mergeCell ref="B25:C25"/>
    <mergeCell ref="B26:C26"/>
    <mergeCell ref="B27:C27"/>
    <mergeCell ref="A25:A29"/>
    <mergeCell ref="B30:C30"/>
    <mergeCell ref="D21:E21"/>
    <mergeCell ref="D22:E22"/>
    <mergeCell ref="D23:E23"/>
    <mergeCell ref="D24:E24"/>
    <mergeCell ref="D25:E25"/>
    <mergeCell ref="D26:E26"/>
    <mergeCell ref="D27:E27"/>
    <mergeCell ref="D30:E30"/>
    <mergeCell ref="B28:C28"/>
    <mergeCell ref="D28:E28"/>
    <mergeCell ref="B29:C29"/>
    <mergeCell ref="D29:E29"/>
  </mergeCell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tabColor rgb="FF97F961"/>
  </sheetPr>
  <dimension ref="A1:AF33"/>
  <sheetViews>
    <sheetView tabSelected="1" workbookViewId="0">
      <selection activeCell="K20" sqref="K20"/>
    </sheetView>
  </sheetViews>
  <sheetFormatPr defaultRowHeight="15" x14ac:dyDescent="0.25"/>
  <cols>
    <col min="1" max="1" width="35.7109375" bestFit="1" customWidth="1"/>
    <col min="13" max="22" width="9.140625" style="9"/>
  </cols>
  <sheetData>
    <row r="1" spans="1:32" x14ac:dyDescent="0.25">
      <c r="A1" s="40" t="s">
        <v>77</v>
      </c>
    </row>
    <row r="2" spans="1:32" ht="15.75" thickBot="1" x14ac:dyDescent="0.3">
      <c r="W2" s="1"/>
      <c r="X2" s="1"/>
      <c r="Y2" s="1"/>
      <c r="Z2" s="1"/>
      <c r="AA2" s="1"/>
      <c r="AB2" s="1"/>
      <c r="AC2" s="1"/>
      <c r="AD2" s="1"/>
      <c r="AE2" s="1"/>
      <c r="AF2" s="1"/>
    </row>
    <row r="3" spans="1:32" ht="15.75" thickBot="1" x14ac:dyDescent="0.3">
      <c r="C3" s="5087" t="s">
        <v>2</v>
      </c>
      <c r="D3" s="5088"/>
      <c r="E3" s="5088"/>
      <c r="F3" s="5088"/>
      <c r="G3" s="5089"/>
      <c r="H3" s="5081" t="s">
        <v>8</v>
      </c>
      <c r="I3" s="5082"/>
      <c r="J3" s="5082"/>
      <c r="K3" s="5082"/>
      <c r="L3" s="5083"/>
      <c r="M3" s="5081" t="s">
        <v>9</v>
      </c>
      <c r="N3" s="5082"/>
      <c r="O3" s="5082"/>
      <c r="P3" s="5082"/>
      <c r="Q3" s="5083"/>
      <c r="R3" s="5081" t="s">
        <v>223</v>
      </c>
      <c r="S3" s="5082"/>
      <c r="T3" s="5082"/>
      <c r="U3" s="5082"/>
      <c r="V3" s="5083"/>
      <c r="W3" s="5081" t="s">
        <v>638</v>
      </c>
      <c r="X3" s="5082"/>
      <c r="Y3" s="5082"/>
      <c r="Z3" s="5082"/>
      <c r="AA3" s="5083"/>
      <c r="AB3" s="260"/>
      <c r="AC3" s="260"/>
      <c r="AD3" s="260"/>
      <c r="AE3" s="260"/>
      <c r="AF3" s="260"/>
    </row>
    <row r="4" spans="1:32" ht="15.75" thickBot="1" x14ac:dyDescent="0.3">
      <c r="A4" s="323" t="s">
        <v>0</v>
      </c>
      <c r="B4" s="323" t="s">
        <v>1</v>
      </c>
      <c r="C4" s="188" t="s">
        <v>3</v>
      </c>
      <c r="D4" s="189" t="s">
        <v>4</v>
      </c>
      <c r="E4" s="189" t="s">
        <v>5</v>
      </c>
      <c r="F4" s="189" t="s">
        <v>6</v>
      </c>
      <c r="G4" s="190" t="s">
        <v>7</v>
      </c>
      <c r="H4" s="188" t="s">
        <v>3</v>
      </c>
      <c r="I4" s="189" t="s">
        <v>4</v>
      </c>
      <c r="J4" s="189" t="s">
        <v>5</v>
      </c>
      <c r="K4" s="189" t="s">
        <v>6</v>
      </c>
      <c r="L4" s="190" t="s">
        <v>7</v>
      </c>
      <c r="M4" s="188" t="s">
        <v>3</v>
      </c>
      <c r="N4" s="189" t="s">
        <v>4</v>
      </c>
      <c r="O4" s="189" t="s">
        <v>5</v>
      </c>
      <c r="P4" s="189" t="s">
        <v>6</v>
      </c>
      <c r="Q4" s="190" t="s">
        <v>7</v>
      </c>
      <c r="R4" s="188" t="s">
        <v>3</v>
      </c>
      <c r="S4" s="189" t="s">
        <v>4</v>
      </c>
      <c r="T4" s="189" t="s">
        <v>5</v>
      </c>
      <c r="U4" s="189" t="s">
        <v>6</v>
      </c>
      <c r="V4" s="190" t="s">
        <v>7</v>
      </c>
      <c r="W4" s="188" t="s">
        <v>3</v>
      </c>
      <c r="X4" s="189" t="s">
        <v>4</v>
      </c>
      <c r="Y4" s="189" t="s">
        <v>5</v>
      </c>
      <c r="Z4" s="189" t="s">
        <v>6</v>
      </c>
      <c r="AA4" s="190" t="s">
        <v>7</v>
      </c>
      <c r="AB4" s="1"/>
      <c r="AC4" s="1"/>
      <c r="AD4" s="1"/>
      <c r="AE4" s="1"/>
      <c r="AF4" s="1"/>
    </row>
    <row r="5" spans="1:32" x14ac:dyDescent="0.25">
      <c r="A5" s="153" t="s">
        <v>88</v>
      </c>
      <c r="B5" s="324" t="s">
        <v>32</v>
      </c>
      <c r="C5" s="325">
        <v>0</v>
      </c>
      <c r="D5" s="326">
        <v>0</v>
      </c>
      <c r="E5" s="326">
        <v>0</v>
      </c>
      <c r="F5" s="326">
        <v>0</v>
      </c>
      <c r="G5" s="327">
        <f t="shared" ref="G5:G14" si="0">SUM(C5:F5)</f>
        <v>0</v>
      </c>
      <c r="H5" s="325">
        <v>0</v>
      </c>
      <c r="I5" s="326">
        <v>0</v>
      </c>
      <c r="J5" s="326"/>
      <c r="K5" s="328">
        <v>0</v>
      </c>
      <c r="L5" s="327">
        <f t="shared" ref="L5:L14" si="1">SUM(H5:K5)</f>
        <v>0</v>
      </c>
      <c r="M5" s="329">
        <v>0</v>
      </c>
      <c r="N5" s="330">
        <v>0</v>
      </c>
      <c r="O5" s="330">
        <v>0</v>
      </c>
      <c r="P5" s="330">
        <v>0</v>
      </c>
      <c r="Q5" s="327">
        <f>SUM(M5:P5)</f>
        <v>0</v>
      </c>
      <c r="R5" s="329">
        <v>0</v>
      </c>
      <c r="S5" s="330">
        <v>0</v>
      </c>
      <c r="T5" s="330">
        <v>0</v>
      </c>
      <c r="U5" s="330">
        <v>0</v>
      </c>
      <c r="V5" s="327">
        <f>SUM(R5:U5)</f>
        <v>0</v>
      </c>
      <c r="W5" s="2818">
        <v>0</v>
      </c>
      <c r="X5" s="1634">
        <v>0</v>
      </c>
      <c r="Y5" s="1634">
        <v>0</v>
      </c>
      <c r="Z5" s="1634"/>
      <c r="AA5" s="1635">
        <f>SUM(W5:Z5)</f>
        <v>0</v>
      </c>
      <c r="AB5" s="48"/>
      <c r="AC5" s="48"/>
      <c r="AD5" s="48"/>
      <c r="AE5" s="48"/>
      <c r="AF5" s="49"/>
    </row>
    <row r="6" spans="1:32" x14ac:dyDescent="0.25">
      <c r="A6" s="2834" t="s">
        <v>86</v>
      </c>
      <c r="B6" s="331" t="s">
        <v>32</v>
      </c>
      <c r="C6" s="332">
        <v>0</v>
      </c>
      <c r="D6" s="333">
        <v>0</v>
      </c>
      <c r="E6" s="333">
        <v>0</v>
      </c>
      <c r="F6" s="333">
        <v>0</v>
      </c>
      <c r="G6" s="334">
        <f t="shared" si="0"/>
        <v>0</v>
      </c>
      <c r="H6" s="332">
        <v>0</v>
      </c>
      <c r="I6" s="333">
        <v>0</v>
      </c>
      <c r="J6" s="333"/>
      <c r="K6" s="335">
        <v>0</v>
      </c>
      <c r="L6" s="334">
        <f t="shared" si="1"/>
        <v>0</v>
      </c>
      <c r="M6" s="336">
        <v>0</v>
      </c>
      <c r="N6" s="337">
        <v>0</v>
      </c>
      <c r="O6" s="337">
        <v>0</v>
      </c>
      <c r="P6" s="337">
        <v>0</v>
      </c>
      <c r="Q6" s="334">
        <f t="shared" ref="Q6:Q14" si="2">SUM(M6:P6)</f>
        <v>0</v>
      </c>
      <c r="R6" s="336">
        <v>0</v>
      </c>
      <c r="S6" s="337">
        <v>0</v>
      </c>
      <c r="T6" s="337">
        <v>0</v>
      </c>
      <c r="U6" s="337">
        <v>0</v>
      </c>
      <c r="V6" s="334">
        <f t="shared" ref="V6:V14" si="3">SUM(R6:U6)</f>
        <v>0</v>
      </c>
      <c r="W6" s="35">
        <v>0</v>
      </c>
      <c r="X6" s="48">
        <v>0</v>
      </c>
      <c r="Y6" s="48">
        <v>0</v>
      </c>
      <c r="Z6" s="48">
        <v>0</v>
      </c>
      <c r="AA6" s="1633">
        <f t="shared" ref="AA6:AA14" si="4">SUM(W6:Z6)</f>
        <v>0</v>
      </c>
      <c r="AB6" s="48"/>
      <c r="AC6" s="48"/>
      <c r="AD6" s="48"/>
      <c r="AE6" s="48"/>
      <c r="AF6" s="49"/>
    </row>
    <row r="7" spans="1:32" x14ac:dyDescent="0.25">
      <c r="A7" s="2834" t="s">
        <v>87</v>
      </c>
      <c r="B7" s="331" t="s">
        <v>32</v>
      </c>
      <c r="C7" s="332">
        <v>0</v>
      </c>
      <c r="D7" s="333">
        <v>0</v>
      </c>
      <c r="E7" s="333">
        <v>0</v>
      </c>
      <c r="F7" s="333">
        <v>0</v>
      </c>
      <c r="G7" s="334">
        <f t="shared" si="0"/>
        <v>0</v>
      </c>
      <c r="H7" s="332">
        <v>0</v>
      </c>
      <c r="I7" s="333">
        <v>0</v>
      </c>
      <c r="J7" s="333"/>
      <c r="K7" s="338">
        <v>0</v>
      </c>
      <c r="L7" s="334">
        <f t="shared" si="1"/>
        <v>0</v>
      </c>
      <c r="M7" s="336">
        <v>0</v>
      </c>
      <c r="N7" s="337">
        <v>0</v>
      </c>
      <c r="O7" s="337">
        <v>0</v>
      </c>
      <c r="P7" s="337">
        <v>0</v>
      </c>
      <c r="Q7" s="334">
        <f t="shared" si="2"/>
        <v>0</v>
      </c>
      <c r="R7" s="336">
        <v>0</v>
      </c>
      <c r="S7" s="337">
        <v>0</v>
      </c>
      <c r="T7" s="337">
        <v>0</v>
      </c>
      <c r="U7" s="337">
        <v>0</v>
      </c>
      <c r="V7" s="334">
        <f t="shared" si="3"/>
        <v>0</v>
      </c>
      <c r="W7" s="35">
        <v>0</v>
      </c>
      <c r="X7" s="48">
        <v>0</v>
      </c>
      <c r="Y7" s="48">
        <v>0</v>
      </c>
      <c r="Z7" s="48">
        <v>0</v>
      </c>
      <c r="AA7" s="1633">
        <f t="shared" si="4"/>
        <v>0</v>
      </c>
      <c r="AB7" s="48"/>
      <c r="AC7" s="48"/>
      <c r="AD7" s="48"/>
      <c r="AE7" s="48"/>
      <c r="AF7" s="49"/>
    </row>
    <row r="8" spans="1:32" x14ac:dyDescent="0.25">
      <c r="A8" s="2834" t="s">
        <v>89</v>
      </c>
      <c r="B8" s="331" t="s">
        <v>32</v>
      </c>
      <c r="C8" s="332">
        <v>0</v>
      </c>
      <c r="D8" s="333">
        <v>0</v>
      </c>
      <c r="E8" s="333">
        <v>0</v>
      </c>
      <c r="F8" s="337">
        <v>0</v>
      </c>
      <c r="G8" s="334">
        <f t="shared" si="0"/>
        <v>0</v>
      </c>
      <c r="H8" s="332"/>
      <c r="I8" s="333">
        <v>0</v>
      </c>
      <c r="J8" s="333"/>
      <c r="K8" s="335">
        <v>0</v>
      </c>
      <c r="L8" s="334">
        <f t="shared" si="1"/>
        <v>0</v>
      </c>
      <c r="M8" s="336">
        <v>0</v>
      </c>
      <c r="N8" s="337">
        <v>0</v>
      </c>
      <c r="O8" s="337">
        <v>0</v>
      </c>
      <c r="P8" s="337">
        <v>0</v>
      </c>
      <c r="Q8" s="334">
        <f t="shared" si="2"/>
        <v>0</v>
      </c>
      <c r="R8" s="336">
        <v>0</v>
      </c>
      <c r="S8" s="337">
        <v>0</v>
      </c>
      <c r="T8" s="337">
        <v>0</v>
      </c>
      <c r="U8" s="337">
        <v>0</v>
      </c>
      <c r="V8" s="334">
        <f t="shared" si="3"/>
        <v>0</v>
      </c>
      <c r="W8" s="35">
        <v>0</v>
      </c>
      <c r="X8" s="48">
        <v>0</v>
      </c>
      <c r="Y8" s="48">
        <v>0</v>
      </c>
      <c r="Z8" s="48">
        <v>0</v>
      </c>
      <c r="AA8" s="1633">
        <f t="shared" si="4"/>
        <v>0</v>
      </c>
      <c r="AB8" s="48"/>
      <c r="AC8" s="48"/>
      <c r="AD8" s="48"/>
      <c r="AE8" s="48"/>
      <c r="AF8" s="49"/>
    </row>
    <row r="9" spans="1:32" x14ac:dyDescent="0.25">
      <c r="A9" s="2834" t="s">
        <v>239</v>
      </c>
      <c r="B9" s="331" t="s">
        <v>32</v>
      </c>
      <c r="C9" s="332">
        <v>0.2</v>
      </c>
      <c r="D9" s="337">
        <v>0</v>
      </c>
      <c r="E9" s="337">
        <v>0</v>
      </c>
      <c r="F9" s="337">
        <v>0</v>
      </c>
      <c r="G9" s="334">
        <f t="shared" si="0"/>
        <v>0.2</v>
      </c>
      <c r="H9" s="332">
        <v>0</v>
      </c>
      <c r="I9" s="333">
        <v>1</v>
      </c>
      <c r="J9" s="333">
        <v>1</v>
      </c>
      <c r="K9" s="335">
        <v>0</v>
      </c>
      <c r="L9" s="334">
        <f t="shared" si="1"/>
        <v>2</v>
      </c>
      <c r="M9" s="336">
        <v>0</v>
      </c>
      <c r="N9" s="4894">
        <v>15.3</v>
      </c>
      <c r="O9" s="337">
        <v>0</v>
      </c>
      <c r="P9" s="337">
        <v>0</v>
      </c>
      <c r="Q9" s="4925">
        <v>15.3</v>
      </c>
      <c r="R9" s="336">
        <v>0</v>
      </c>
      <c r="S9" s="337">
        <v>0</v>
      </c>
      <c r="T9" s="337">
        <v>0</v>
      </c>
      <c r="U9" s="337">
        <v>0</v>
      </c>
      <c r="V9" s="334">
        <f t="shared" si="3"/>
        <v>0</v>
      </c>
      <c r="W9" s="35">
        <v>0</v>
      </c>
      <c r="X9" s="48">
        <v>0</v>
      </c>
      <c r="Y9" s="48">
        <v>0</v>
      </c>
      <c r="Z9" s="48">
        <v>0</v>
      </c>
      <c r="AA9" s="1633">
        <f t="shared" si="4"/>
        <v>0</v>
      </c>
      <c r="AB9" s="48"/>
      <c r="AC9" s="48"/>
      <c r="AD9" s="48"/>
      <c r="AE9" s="48"/>
      <c r="AF9" s="49"/>
    </row>
    <row r="10" spans="1:32" x14ac:dyDescent="0.25">
      <c r="A10" s="2836">
        <v>410</v>
      </c>
      <c r="B10" s="331" t="s">
        <v>32</v>
      </c>
      <c r="C10" s="332">
        <v>3.3</v>
      </c>
      <c r="D10" s="4894">
        <v>6.3</v>
      </c>
      <c r="E10" s="337">
        <v>10</v>
      </c>
      <c r="F10" s="337">
        <v>0</v>
      </c>
      <c r="G10" s="334">
        <f t="shared" si="0"/>
        <v>19.600000000000001</v>
      </c>
      <c r="H10" s="332">
        <v>18</v>
      </c>
      <c r="I10" s="333">
        <v>18</v>
      </c>
      <c r="J10" s="333">
        <v>19</v>
      </c>
      <c r="K10" s="335">
        <v>0</v>
      </c>
      <c r="L10" s="334">
        <f t="shared" si="1"/>
        <v>55</v>
      </c>
      <c r="M10" s="336">
        <v>0</v>
      </c>
      <c r="N10" s="337">
        <v>0</v>
      </c>
      <c r="O10" s="337">
        <v>0</v>
      </c>
      <c r="P10" s="337">
        <v>0</v>
      </c>
      <c r="Q10" s="334">
        <f t="shared" si="2"/>
        <v>0</v>
      </c>
      <c r="R10" s="336">
        <v>6</v>
      </c>
      <c r="S10" s="337">
        <v>0</v>
      </c>
      <c r="T10" s="337">
        <v>0</v>
      </c>
      <c r="U10" s="337">
        <v>0</v>
      </c>
      <c r="V10" s="334">
        <f t="shared" si="3"/>
        <v>6</v>
      </c>
      <c r="W10" s="35">
        <v>0</v>
      </c>
      <c r="X10" s="48">
        <v>0</v>
      </c>
      <c r="Y10" s="48">
        <v>0</v>
      </c>
      <c r="Z10" s="48">
        <v>0</v>
      </c>
      <c r="AA10" s="1633">
        <f t="shared" si="4"/>
        <v>0</v>
      </c>
      <c r="AB10" s="48"/>
      <c r="AC10" s="48"/>
      <c r="AD10" s="48"/>
      <c r="AE10" s="48"/>
      <c r="AF10" s="49"/>
    </row>
    <row r="11" spans="1:32" s="9" customFormat="1" x14ac:dyDescent="0.25">
      <c r="A11" s="2834" t="s">
        <v>337</v>
      </c>
      <c r="B11" s="331" t="s">
        <v>32</v>
      </c>
      <c r="C11" s="332">
        <v>0</v>
      </c>
      <c r="D11" s="337">
        <v>0</v>
      </c>
      <c r="E11" s="337">
        <v>0</v>
      </c>
      <c r="F11" s="337">
        <v>0</v>
      </c>
      <c r="G11" s="334">
        <f t="shared" si="0"/>
        <v>0</v>
      </c>
      <c r="H11" s="332">
        <v>26</v>
      </c>
      <c r="I11" s="333">
        <v>11</v>
      </c>
      <c r="J11" s="333">
        <v>4</v>
      </c>
      <c r="K11" s="335">
        <v>0</v>
      </c>
      <c r="L11" s="334">
        <f t="shared" si="1"/>
        <v>41</v>
      </c>
      <c r="M11" s="336">
        <v>0</v>
      </c>
      <c r="N11" s="337">
        <v>0</v>
      </c>
      <c r="O11" s="337">
        <v>0</v>
      </c>
      <c r="P11" s="337">
        <v>0</v>
      </c>
      <c r="Q11" s="334">
        <f t="shared" si="2"/>
        <v>0</v>
      </c>
      <c r="R11" s="336">
        <v>0</v>
      </c>
      <c r="S11" s="337">
        <v>0</v>
      </c>
      <c r="T11" s="337">
        <v>0</v>
      </c>
      <c r="U11" s="337">
        <v>0</v>
      </c>
      <c r="V11" s="334">
        <f t="shared" si="3"/>
        <v>0</v>
      </c>
      <c r="W11" s="35">
        <v>0</v>
      </c>
      <c r="X11" s="48">
        <v>0</v>
      </c>
      <c r="Y11" s="48">
        <v>0</v>
      </c>
      <c r="Z11" s="48">
        <v>0</v>
      </c>
      <c r="AA11" s="1633">
        <f t="shared" si="4"/>
        <v>0</v>
      </c>
      <c r="AB11" s="48"/>
      <c r="AC11" s="48"/>
      <c r="AD11" s="48"/>
      <c r="AE11" s="48"/>
      <c r="AF11" s="49"/>
    </row>
    <row r="12" spans="1:32" s="9" customFormat="1" x14ac:dyDescent="0.25">
      <c r="A12" s="3087">
        <v>404</v>
      </c>
      <c r="B12" s="331"/>
      <c r="C12" s="332"/>
      <c r="D12" s="337"/>
      <c r="E12" s="337"/>
      <c r="F12" s="337"/>
      <c r="G12" s="334"/>
      <c r="H12" s="4898">
        <v>8</v>
      </c>
      <c r="I12" s="333">
        <v>5</v>
      </c>
      <c r="J12" s="333">
        <v>18</v>
      </c>
      <c r="K12" s="335">
        <v>0</v>
      </c>
      <c r="L12" s="334">
        <f t="shared" si="1"/>
        <v>31</v>
      </c>
      <c r="M12" s="336"/>
      <c r="N12" s="337"/>
      <c r="O12" s="337"/>
      <c r="P12" s="337"/>
      <c r="Q12" s="334">
        <f t="shared" si="2"/>
        <v>0</v>
      </c>
      <c r="R12" s="336"/>
      <c r="S12" s="337"/>
      <c r="T12" s="337"/>
      <c r="U12" s="337"/>
      <c r="V12" s="334">
        <f t="shared" si="3"/>
        <v>0</v>
      </c>
      <c r="W12" s="35"/>
      <c r="X12" s="48"/>
      <c r="Y12" s="48"/>
      <c r="Z12" s="48"/>
      <c r="AA12" s="1633">
        <f t="shared" si="4"/>
        <v>0</v>
      </c>
      <c r="AB12" s="48"/>
      <c r="AC12" s="48"/>
      <c r="AD12" s="48"/>
      <c r="AE12" s="48"/>
      <c r="AF12" s="49"/>
    </row>
    <row r="13" spans="1:32" x14ac:dyDescent="0.25">
      <c r="A13" s="306" t="s">
        <v>90</v>
      </c>
      <c r="B13" s="2837" t="s">
        <v>32</v>
      </c>
      <c r="C13" s="2841">
        <f>SUM(C5:C11)</f>
        <v>3.5</v>
      </c>
      <c r="D13" s="2841">
        <f>SUM(D5:D11)</f>
        <v>6.3</v>
      </c>
      <c r="E13" s="2835">
        <f>SUM(E5:E11)</f>
        <v>10</v>
      </c>
      <c r="F13" s="2835">
        <f>SUM(F5:F11)</f>
        <v>0</v>
      </c>
      <c r="G13" s="2842">
        <f t="shared" si="0"/>
        <v>19.8</v>
      </c>
      <c r="H13" s="2841">
        <f>SUM(H5:H12)</f>
        <v>52</v>
      </c>
      <c r="I13" s="2841">
        <f>SUM(I5:I12)</f>
        <v>35</v>
      </c>
      <c r="J13" s="2841">
        <f>SUM(J5:J12)</f>
        <v>42</v>
      </c>
      <c r="K13" s="2841">
        <f>SUM(K5:K12)</f>
        <v>0</v>
      </c>
      <c r="L13" s="2842">
        <f t="shared" si="1"/>
        <v>129</v>
      </c>
      <c r="M13" s="2841">
        <f>SUM(M5:M12)</f>
        <v>0</v>
      </c>
      <c r="N13" s="2841">
        <f>SUM(N5:N12)</f>
        <v>15.3</v>
      </c>
      <c r="O13" s="2841">
        <f>SUM(O5:O12)</f>
        <v>0</v>
      </c>
      <c r="P13" s="2841">
        <f>SUM(P5:P12)</f>
        <v>0</v>
      </c>
      <c r="Q13" s="2842">
        <f t="shared" si="2"/>
        <v>15.3</v>
      </c>
      <c r="R13" s="2841">
        <f>SUM(R5:R12)</f>
        <v>6</v>
      </c>
      <c r="S13" s="2841">
        <f>SUM(S5:S12)</f>
        <v>0</v>
      </c>
      <c r="T13" s="2841">
        <f>SUM(T5:T12)</f>
        <v>0</v>
      </c>
      <c r="U13" s="2841">
        <f>SUM(U5:U12)</f>
        <v>0</v>
      </c>
      <c r="V13" s="2842">
        <f t="shared" si="3"/>
        <v>6</v>
      </c>
      <c r="W13" s="2849">
        <f>SUM(W5:W12)</f>
        <v>0</v>
      </c>
      <c r="X13" s="2849">
        <f>SUM(X5:X12)</f>
        <v>0</v>
      </c>
      <c r="Y13" s="2849">
        <f>SUM(Y5:Y12)</f>
        <v>0</v>
      </c>
      <c r="Z13" s="2849">
        <f>SUM(Z5:Z12)</f>
        <v>0</v>
      </c>
      <c r="AA13" s="2850">
        <f t="shared" si="4"/>
        <v>0</v>
      </c>
      <c r="AB13" s="48"/>
      <c r="AC13" s="48"/>
      <c r="AD13" s="48"/>
      <c r="AE13" s="48"/>
      <c r="AF13" s="49"/>
    </row>
    <row r="14" spans="1:32" ht="15.75" thickBot="1" x14ac:dyDescent="0.3">
      <c r="A14" s="2839" t="s">
        <v>298</v>
      </c>
      <c r="B14" s="2840" t="s">
        <v>32</v>
      </c>
      <c r="C14" s="866">
        <v>2.6</v>
      </c>
      <c r="D14" s="869">
        <v>7.4</v>
      </c>
      <c r="E14" s="869">
        <v>1.7</v>
      </c>
      <c r="F14" s="869">
        <v>2.2000000000000002</v>
      </c>
      <c r="G14" s="868">
        <f t="shared" si="0"/>
        <v>13.899999999999999</v>
      </c>
      <c r="H14" s="866">
        <v>29</v>
      </c>
      <c r="I14" s="867">
        <v>17</v>
      </c>
      <c r="J14" s="867">
        <v>17</v>
      </c>
      <c r="K14" s="870">
        <v>0</v>
      </c>
      <c r="L14" s="868">
        <f t="shared" si="1"/>
        <v>63</v>
      </c>
      <c r="M14" s="871">
        <v>0</v>
      </c>
      <c r="N14" s="869">
        <v>0</v>
      </c>
      <c r="O14" s="869">
        <v>0</v>
      </c>
      <c r="P14" s="869">
        <v>0</v>
      </c>
      <c r="Q14" s="868">
        <f t="shared" si="2"/>
        <v>0</v>
      </c>
      <c r="R14" s="871">
        <v>6</v>
      </c>
      <c r="S14" s="869">
        <v>7.5</v>
      </c>
      <c r="T14" s="869">
        <v>4.3</v>
      </c>
      <c r="U14" s="869">
        <v>0.3</v>
      </c>
      <c r="V14" s="868">
        <f t="shared" si="3"/>
        <v>18.100000000000001</v>
      </c>
      <c r="W14" s="2843">
        <v>0</v>
      </c>
      <c r="X14" s="2844">
        <v>0</v>
      </c>
      <c r="Y14" s="2844">
        <v>0</v>
      </c>
      <c r="Z14" s="2844">
        <v>0</v>
      </c>
      <c r="AA14" s="2845">
        <f t="shared" si="4"/>
        <v>0</v>
      </c>
      <c r="AB14" s="48"/>
      <c r="AC14" s="48"/>
      <c r="AD14" s="48"/>
      <c r="AE14" s="48"/>
      <c r="AF14" s="49"/>
    </row>
    <row r="15" spans="1:32" s="9" customFormat="1" x14ac:dyDescent="0.25">
      <c r="A15" s="2833"/>
      <c r="B15" s="298"/>
      <c r="C15" s="333"/>
      <c r="D15" s="337"/>
      <c r="E15" s="337"/>
      <c r="F15" s="337"/>
      <c r="G15" s="337"/>
      <c r="H15" s="333"/>
      <c r="I15" s="333"/>
      <c r="J15" s="333"/>
      <c r="K15" s="335"/>
      <c r="L15" s="337"/>
      <c r="M15" s="337"/>
      <c r="N15" s="337"/>
      <c r="O15" s="337"/>
      <c r="P15" s="337"/>
      <c r="Q15" s="337"/>
      <c r="R15" s="337"/>
      <c r="S15" s="337"/>
      <c r="T15" s="337"/>
      <c r="U15" s="337"/>
      <c r="V15" s="337"/>
      <c r="W15" s="36"/>
      <c r="X15" s="48"/>
      <c r="Y15" s="48"/>
      <c r="Z15" s="48"/>
      <c r="AA15" s="49"/>
      <c r="AB15" s="48"/>
      <c r="AC15" s="48"/>
      <c r="AD15" s="48"/>
      <c r="AE15" s="48"/>
      <c r="AF15" s="49"/>
    </row>
    <row r="16" spans="1:32" ht="15.75" thickBot="1" x14ac:dyDescent="0.3">
      <c r="A16" s="340"/>
      <c r="B16" s="340"/>
      <c r="C16" s="340"/>
      <c r="D16" s="340"/>
      <c r="E16" s="340"/>
      <c r="F16" s="340"/>
      <c r="G16" s="340"/>
      <c r="H16" s="340"/>
      <c r="I16" s="340"/>
      <c r="J16" s="340"/>
      <c r="K16" s="340"/>
      <c r="L16" s="340"/>
      <c r="M16" s="340"/>
      <c r="N16" s="340"/>
      <c r="O16" s="340"/>
      <c r="P16" s="340"/>
      <c r="Q16" s="340"/>
      <c r="R16" s="340"/>
      <c r="S16" s="340"/>
      <c r="T16" s="340"/>
      <c r="U16" s="340"/>
      <c r="V16" s="340"/>
    </row>
    <row r="17" spans="1:22" ht="15.75" thickBot="1" x14ac:dyDescent="0.3">
      <c r="A17" s="340"/>
      <c r="B17" s="340"/>
      <c r="C17" s="5084" t="s">
        <v>91</v>
      </c>
      <c r="D17" s="5085"/>
      <c r="E17" s="5085"/>
      <c r="F17" s="5085"/>
      <c r="G17" s="5086"/>
      <c r="H17" s="340"/>
      <c r="I17" s="340"/>
      <c r="J17" s="298"/>
      <c r="K17" s="298"/>
      <c r="L17" s="298"/>
      <c r="M17" s="298"/>
      <c r="N17" s="298"/>
      <c r="O17" s="340"/>
      <c r="P17" s="340"/>
      <c r="Q17" s="340"/>
      <c r="R17" s="340"/>
      <c r="S17" s="340"/>
      <c r="T17" s="340"/>
      <c r="U17" s="340"/>
      <c r="V17" s="340"/>
    </row>
    <row r="18" spans="1:22" ht="15.75" thickBot="1" x14ac:dyDescent="0.3">
      <c r="A18" s="323" t="s">
        <v>0</v>
      </c>
      <c r="B18" s="155" t="s">
        <v>1</v>
      </c>
      <c r="C18" s="341" t="s">
        <v>3</v>
      </c>
      <c r="D18" s="342" t="s">
        <v>4</v>
      </c>
      <c r="E18" s="342" t="s">
        <v>5</v>
      </c>
      <c r="F18" s="343" t="s">
        <v>6</v>
      </c>
      <c r="G18" s="348" t="s">
        <v>7</v>
      </c>
      <c r="H18" s="340"/>
      <c r="I18" s="340"/>
      <c r="J18" s="298"/>
      <c r="K18" s="298"/>
      <c r="L18" s="298"/>
      <c r="M18" s="298"/>
      <c r="N18" s="298"/>
      <c r="O18" s="340"/>
      <c r="P18" s="340"/>
      <c r="Q18" s="340"/>
      <c r="R18" s="340"/>
      <c r="S18" s="340"/>
      <c r="T18" s="340"/>
      <c r="U18" s="340"/>
      <c r="V18" s="340"/>
    </row>
    <row r="19" spans="1:22" x14ac:dyDescent="0.25">
      <c r="A19" s="324" t="s">
        <v>88</v>
      </c>
      <c r="B19" s="324" t="s">
        <v>32</v>
      </c>
      <c r="C19" s="344">
        <f t="shared" ref="C19:G26" si="5">C5+H5+M5+R5+W5</f>
        <v>0</v>
      </c>
      <c r="D19" s="345">
        <f t="shared" si="5"/>
        <v>0</v>
      </c>
      <c r="E19" s="345">
        <f t="shared" si="5"/>
        <v>0</v>
      </c>
      <c r="F19" s="345">
        <f t="shared" si="5"/>
        <v>0</v>
      </c>
      <c r="G19" s="346">
        <f t="shared" si="5"/>
        <v>0</v>
      </c>
      <c r="H19" s="340"/>
      <c r="I19" s="340"/>
      <c r="J19" s="298"/>
      <c r="K19" s="298"/>
      <c r="L19" s="298"/>
      <c r="M19" s="298"/>
      <c r="N19" s="298"/>
      <c r="O19" s="340"/>
      <c r="P19" s="340"/>
      <c r="Q19" s="340"/>
      <c r="R19" s="340"/>
      <c r="S19" s="340"/>
      <c r="T19" s="340"/>
      <c r="U19" s="2361"/>
      <c r="V19" s="340"/>
    </row>
    <row r="20" spans="1:22" x14ac:dyDescent="0.25">
      <c r="A20" s="331" t="s">
        <v>86</v>
      </c>
      <c r="B20" s="331" t="s">
        <v>32</v>
      </c>
      <c r="C20" s="2479">
        <f t="shared" si="5"/>
        <v>0</v>
      </c>
      <c r="D20" s="2478">
        <f t="shared" si="5"/>
        <v>0</v>
      </c>
      <c r="E20" s="2478">
        <f t="shared" si="5"/>
        <v>0</v>
      </c>
      <c r="F20" s="2478">
        <f t="shared" si="5"/>
        <v>0</v>
      </c>
      <c r="G20" s="2480">
        <f t="shared" si="5"/>
        <v>0</v>
      </c>
      <c r="H20" s="340"/>
      <c r="I20" s="347"/>
      <c r="J20" s="298"/>
      <c r="K20" s="298"/>
      <c r="L20" s="298"/>
      <c r="M20" s="298"/>
      <c r="N20" s="298"/>
      <c r="O20" s="340"/>
      <c r="P20" s="340"/>
      <c r="Q20" s="340"/>
      <c r="R20" s="340"/>
      <c r="S20" s="340"/>
      <c r="T20" s="340"/>
      <c r="U20" s="340"/>
      <c r="V20" s="340"/>
    </row>
    <row r="21" spans="1:22" x14ac:dyDescent="0.25">
      <c r="A21" s="331" t="s">
        <v>299</v>
      </c>
      <c r="B21" s="331" t="s">
        <v>32</v>
      </c>
      <c r="C21" s="2479">
        <f t="shared" si="5"/>
        <v>0</v>
      </c>
      <c r="D21" s="2478">
        <f t="shared" si="5"/>
        <v>0</v>
      </c>
      <c r="E21" s="2478">
        <f t="shared" si="5"/>
        <v>0</v>
      </c>
      <c r="F21" s="2478">
        <f t="shared" si="5"/>
        <v>0</v>
      </c>
      <c r="G21" s="2480">
        <f t="shared" si="5"/>
        <v>0</v>
      </c>
      <c r="H21" s="340"/>
      <c r="I21" s="340"/>
      <c r="J21" s="298"/>
      <c r="K21" s="298"/>
      <c r="L21" s="298"/>
      <c r="M21" s="298"/>
      <c r="N21" s="298"/>
      <c r="O21" s="340"/>
      <c r="P21" s="340"/>
      <c r="Q21" s="340"/>
      <c r="R21" s="340"/>
      <c r="S21" s="340"/>
      <c r="T21" s="340"/>
      <c r="U21" s="340"/>
      <c r="V21" s="340"/>
    </row>
    <row r="22" spans="1:22" x14ac:dyDescent="0.25">
      <c r="A22" s="331" t="s">
        <v>89</v>
      </c>
      <c r="B22" s="331" t="s">
        <v>32</v>
      </c>
      <c r="C22" s="2479">
        <f t="shared" si="5"/>
        <v>0</v>
      </c>
      <c r="D22" s="2478">
        <f t="shared" si="5"/>
        <v>0</v>
      </c>
      <c r="E22" s="2478">
        <f t="shared" si="5"/>
        <v>0</v>
      </c>
      <c r="F22" s="2478">
        <f t="shared" si="5"/>
        <v>0</v>
      </c>
      <c r="G22" s="2480">
        <f t="shared" si="5"/>
        <v>0</v>
      </c>
      <c r="H22" s="340"/>
      <c r="I22" s="340"/>
      <c r="J22" s="298"/>
      <c r="K22" s="298"/>
      <c r="L22" s="298"/>
      <c r="M22" s="298"/>
      <c r="N22" s="298"/>
      <c r="O22" s="340"/>
      <c r="P22" s="340"/>
      <c r="Q22" s="340"/>
      <c r="R22" s="340"/>
      <c r="S22" s="340"/>
      <c r="T22" s="340"/>
      <c r="U22" s="340"/>
      <c r="V22" s="340"/>
    </row>
    <row r="23" spans="1:22" x14ac:dyDescent="0.25">
      <c r="A23" s="331" t="s">
        <v>239</v>
      </c>
      <c r="B23" s="331" t="s">
        <v>32</v>
      </c>
      <c r="C23" s="2479">
        <f t="shared" si="5"/>
        <v>0.2</v>
      </c>
      <c r="D23" s="2478">
        <f t="shared" si="5"/>
        <v>16.3</v>
      </c>
      <c r="E23" s="2478">
        <f t="shared" si="5"/>
        <v>1</v>
      </c>
      <c r="F23" s="2478">
        <f t="shared" si="5"/>
        <v>0</v>
      </c>
      <c r="G23" s="2480">
        <f t="shared" si="5"/>
        <v>17.5</v>
      </c>
      <c r="H23" s="340"/>
      <c r="I23" s="340"/>
      <c r="J23" s="298"/>
      <c r="K23" s="298"/>
      <c r="L23" s="298"/>
      <c r="M23" s="298"/>
      <c r="N23" s="298"/>
      <c r="O23" s="340"/>
      <c r="P23" s="340"/>
      <c r="Q23" s="340"/>
      <c r="R23" s="340"/>
      <c r="S23" s="340"/>
      <c r="T23" s="340"/>
      <c r="U23" s="340"/>
      <c r="V23" s="340"/>
    </row>
    <row r="24" spans="1:22" x14ac:dyDescent="0.25">
      <c r="A24" s="339">
        <v>410</v>
      </c>
      <c r="B24" s="331" t="s">
        <v>32</v>
      </c>
      <c r="C24" s="2479">
        <f t="shared" si="5"/>
        <v>27.3</v>
      </c>
      <c r="D24" s="2478">
        <f t="shared" si="5"/>
        <v>24.3</v>
      </c>
      <c r="E24" s="2478">
        <f t="shared" si="5"/>
        <v>29</v>
      </c>
      <c r="F24" s="2478">
        <f t="shared" si="5"/>
        <v>0</v>
      </c>
      <c r="G24" s="2480">
        <f t="shared" si="5"/>
        <v>80.599999999999994</v>
      </c>
      <c r="H24" s="340"/>
      <c r="I24" s="340"/>
      <c r="J24" s="298"/>
      <c r="K24" s="298"/>
      <c r="L24" s="298"/>
      <c r="M24" s="298"/>
      <c r="N24" s="298"/>
      <c r="O24" s="340"/>
      <c r="P24" s="340"/>
      <c r="Q24" s="340"/>
      <c r="R24" s="340"/>
      <c r="S24" s="340"/>
      <c r="T24" s="340"/>
      <c r="U24" s="340"/>
      <c r="V24" s="340"/>
    </row>
    <row r="25" spans="1:22" s="9" customFormat="1" x14ac:dyDescent="0.25">
      <c r="A25" s="331" t="s">
        <v>345</v>
      </c>
      <c r="B25" s="331" t="s">
        <v>32</v>
      </c>
      <c r="C25" s="2479">
        <f t="shared" si="5"/>
        <v>26</v>
      </c>
      <c r="D25" s="2478">
        <f t="shared" si="5"/>
        <v>11</v>
      </c>
      <c r="E25" s="2478">
        <f t="shared" si="5"/>
        <v>4</v>
      </c>
      <c r="F25" s="2478">
        <f t="shared" si="5"/>
        <v>0</v>
      </c>
      <c r="G25" s="2480">
        <f t="shared" si="5"/>
        <v>41</v>
      </c>
      <c r="H25" s="340"/>
      <c r="I25" s="340"/>
      <c r="J25" s="340"/>
      <c r="K25" s="340"/>
      <c r="L25" s="340"/>
      <c r="M25" s="340"/>
      <c r="N25" s="340"/>
      <c r="O25" s="340"/>
      <c r="P25" s="340"/>
      <c r="Q25" s="340"/>
      <c r="R25" s="340"/>
      <c r="S25" s="340"/>
      <c r="T25" s="340"/>
      <c r="U25" s="340"/>
      <c r="V25" s="340"/>
    </row>
    <row r="26" spans="1:22" s="9" customFormat="1" x14ac:dyDescent="0.25">
      <c r="A26" s="3088">
        <v>404</v>
      </c>
      <c r="B26" s="331"/>
      <c r="C26" s="2479">
        <f t="shared" si="5"/>
        <v>8</v>
      </c>
      <c r="D26" s="2478">
        <f t="shared" si="5"/>
        <v>5</v>
      </c>
      <c r="E26" s="2478">
        <f t="shared" si="5"/>
        <v>18</v>
      </c>
      <c r="F26" s="2478">
        <f t="shared" si="5"/>
        <v>0</v>
      </c>
      <c r="G26" s="2480">
        <f t="shared" si="5"/>
        <v>31</v>
      </c>
      <c r="H26" s="340"/>
      <c r="I26" s="340"/>
      <c r="J26" s="340"/>
      <c r="K26" s="340"/>
      <c r="L26" s="340"/>
      <c r="M26" s="340"/>
      <c r="N26" s="340"/>
      <c r="O26" s="340"/>
      <c r="P26" s="340"/>
      <c r="Q26" s="340"/>
      <c r="R26" s="340"/>
      <c r="S26" s="340"/>
      <c r="T26" s="340"/>
      <c r="U26" s="340"/>
      <c r="V26" s="340"/>
    </row>
    <row r="27" spans="1:22" x14ac:dyDescent="0.25">
      <c r="A27" s="2837" t="s">
        <v>90</v>
      </c>
      <c r="B27" s="2837" t="s">
        <v>32</v>
      </c>
      <c r="C27" s="2846">
        <f t="shared" ref="C27:G28" si="6">C13+H13+M13+R13+W13</f>
        <v>61.5</v>
      </c>
      <c r="D27" s="2847">
        <f t="shared" si="6"/>
        <v>56.599999999999994</v>
      </c>
      <c r="E27" s="2847">
        <f t="shared" si="6"/>
        <v>52</v>
      </c>
      <c r="F27" s="2847">
        <f t="shared" si="6"/>
        <v>0</v>
      </c>
      <c r="G27" s="2848">
        <f t="shared" si="6"/>
        <v>170.10000000000002</v>
      </c>
      <c r="H27" s="340"/>
      <c r="I27" s="340"/>
      <c r="J27" s="340"/>
      <c r="K27" s="340"/>
      <c r="L27" s="340"/>
      <c r="M27" s="340"/>
      <c r="N27" s="340"/>
      <c r="O27" s="340"/>
      <c r="P27" s="340"/>
      <c r="Q27" s="340"/>
      <c r="R27" s="340"/>
      <c r="S27" s="340"/>
      <c r="T27" s="340"/>
      <c r="U27" s="340"/>
      <c r="V27" s="340"/>
    </row>
    <row r="28" spans="1:22" ht="15.75" thickBot="1" x14ac:dyDescent="0.3">
      <c r="A28" s="2838" t="s">
        <v>298</v>
      </c>
      <c r="B28" s="2840" t="s">
        <v>32</v>
      </c>
      <c r="C28" s="2481">
        <f t="shared" si="6"/>
        <v>37.6</v>
      </c>
      <c r="D28" s="2482">
        <f t="shared" si="6"/>
        <v>31.9</v>
      </c>
      <c r="E28" s="2482">
        <f t="shared" si="6"/>
        <v>23</v>
      </c>
      <c r="F28" s="2482">
        <f t="shared" si="6"/>
        <v>2.5</v>
      </c>
      <c r="G28" s="2483">
        <f t="shared" si="6"/>
        <v>95</v>
      </c>
    </row>
    <row r="29" spans="1:22" x14ac:dyDescent="0.25">
      <c r="J29" s="594"/>
    </row>
    <row r="31" spans="1:22" ht="15.75" thickBot="1" x14ac:dyDescent="0.3"/>
    <row r="32" spans="1:22" ht="16.5" thickTop="1" thickBot="1" x14ac:dyDescent="0.3">
      <c r="S32" s="1661"/>
    </row>
    <row r="33" ht="15.75" thickTop="1" x14ac:dyDescent="0.25"/>
  </sheetData>
  <sortState ref="A6:B13">
    <sortCondition ref="A6"/>
  </sortState>
  <mergeCells count="6">
    <mergeCell ref="W3:AA3"/>
    <mergeCell ref="R3:V3"/>
    <mergeCell ref="C17:G17"/>
    <mergeCell ref="C3:G3"/>
    <mergeCell ref="H3:L3"/>
    <mergeCell ref="M3:Q3"/>
  </mergeCells>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rgb="FFFF0000"/>
  </sheetPr>
  <dimension ref="A1:DG393"/>
  <sheetViews>
    <sheetView zoomScale="75" zoomScaleNormal="75" workbookViewId="0">
      <pane xSplit="1" topLeftCell="B1" activePane="topRight" state="frozen"/>
      <selection pane="topRight" activeCell="K60" sqref="K60"/>
    </sheetView>
  </sheetViews>
  <sheetFormatPr defaultRowHeight="15" x14ac:dyDescent="0.25"/>
  <cols>
    <col min="1" max="1" width="54" customWidth="1"/>
    <col min="2" max="2" width="12.28515625" customWidth="1"/>
    <col min="3" max="3" width="15.5703125" bestFit="1" customWidth="1"/>
    <col min="4" max="4" width="15.28515625" customWidth="1"/>
    <col min="5" max="5" width="17.42578125" customWidth="1"/>
    <col min="6" max="6" width="14.7109375" bestFit="1" customWidth="1"/>
    <col min="7" max="7" width="15.5703125" customWidth="1"/>
    <col min="8" max="8" width="15.85546875" customWidth="1"/>
    <col min="9" max="9" width="13.7109375" bestFit="1" customWidth="1"/>
    <col min="10" max="10" width="14.140625" customWidth="1"/>
    <col min="11" max="11" width="13.28515625" bestFit="1" customWidth="1"/>
    <col min="12" max="12" width="16.5703125" customWidth="1"/>
    <col min="13" max="13" width="16.7109375" customWidth="1"/>
    <col min="14" max="14" width="11" customWidth="1"/>
    <col min="15" max="15" width="11.85546875" customWidth="1"/>
    <col min="16" max="16" width="16.42578125" customWidth="1"/>
    <col min="17" max="17" width="13.28515625" customWidth="1"/>
    <col min="18" max="22" width="13.28515625" style="9" customWidth="1"/>
    <col min="23" max="23" width="13" customWidth="1"/>
    <col min="24" max="24" width="15.42578125" customWidth="1"/>
    <col min="25" max="25" width="15.42578125" style="9" customWidth="1"/>
    <col min="26" max="26" width="17.85546875" customWidth="1"/>
    <col min="27" max="27" width="13.42578125" customWidth="1"/>
    <col min="28" max="28" width="14.85546875" customWidth="1"/>
    <col min="29" max="29" width="15.42578125" customWidth="1"/>
    <col min="30" max="30" width="12.85546875" bestFit="1" customWidth="1"/>
    <col min="31" max="31" width="16.42578125" customWidth="1"/>
    <col min="32" max="32" width="12.5703125" customWidth="1"/>
    <col min="33" max="34" width="12.85546875" bestFit="1" customWidth="1"/>
    <col min="35" max="35" width="12.7109375" customWidth="1"/>
    <col min="37" max="37" width="20.42578125" customWidth="1"/>
    <col min="38" max="38" width="19.5703125" customWidth="1"/>
    <col min="41" max="41" width="10.5703125" bestFit="1" customWidth="1"/>
    <col min="42" max="47" width="9.7109375" bestFit="1" customWidth="1"/>
  </cols>
  <sheetData>
    <row r="1" spans="1:111" ht="15.75" thickBot="1" x14ac:dyDescent="0.3">
      <c r="A1" s="349" t="s">
        <v>1516</v>
      </c>
      <c r="B1" s="9"/>
      <c r="C1" s="9"/>
      <c r="D1" s="9"/>
      <c r="E1" s="9"/>
      <c r="F1" s="9"/>
      <c r="G1" s="9"/>
      <c r="H1" s="1611">
        <f>H51+H87+H123</f>
        <v>78368.0625</v>
      </c>
      <c r="I1" s="1612">
        <f>I51+I87+I123</f>
        <v>0.55977187499999992</v>
      </c>
      <c r="J1" s="1612">
        <f>J51+J87+J123</f>
        <v>2.2390874999999997</v>
      </c>
      <c r="K1" s="1612">
        <f>K51+K87+K123</f>
        <v>78977.094299999997</v>
      </c>
      <c r="L1" s="1612">
        <f>L51+L87+L123</f>
        <v>83100.9375</v>
      </c>
      <c r="M1" s="1612">
        <v>0.55486874999999991</v>
      </c>
      <c r="N1" s="1612">
        <v>2.2194749999999996</v>
      </c>
      <c r="O1" s="1612">
        <f>O51+O87+O123</f>
        <v>83746.750499999995</v>
      </c>
      <c r="P1" s="1612">
        <f>P51+P87+P123</f>
        <v>79811.15625</v>
      </c>
      <c r="Q1" s="1612">
        <v>0.6085124999999999</v>
      </c>
      <c r="R1" s="1612">
        <v>2.4340499999999996</v>
      </c>
      <c r="S1" s="1612">
        <f>S51+S87+S123</f>
        <v>80431.402949999989</v>
      </c>
      <c r="T1" s="1612">
        <f>T51+T87+T123</f>
        <v>15840.5625</v>
      </c>
      <c r="U1" s="1612">
        <v>0</v>
      </c>
      <c r="V1" s="1612">
        <v>0</v>
      </c>
      <c r="W1" s="1612">
        <f>W51+W87+W123</f>
        <v>15963.666300000001</v>
      </c>
      <c r="X1" s="1613">
        <f>X51+X87+X123</f>
        <v>259118.91404999996</v>
      </c>
      <c r="Y1" s="2880"/>
      <c r="Z1" s="39"/>
      <c r="AA1" s="39"/>
      <c r="AB1" s="39"/>
      <c r="AC1" s="39"/>
      <c r="AD1" s="39"/>
      <c r="AE1" s="39"/>
      <c r="AF1" s="39"/>
      <c r="AG1" s="39"/>
      <c r="AH1" s="39"/>
      <c r="AI1" s="39"/>
      <c r="AJ1" s="39"/>
    </row>
    <row r="2" spans="1:111" ht="30.75" thickBot="1" x14ac:dyDescent="0.3">
      <c r="A2" s="350" t="s">
        <v>198</v>
      </c>
      <c r="B2" s="351"/>
      <c r="C2" s="351"/>
      <c r="D2" s="351"/>
      <c r="E2" s="351"/>
      <c r="F2" s="351"/>
      <c r="G2" s="351"/>
      <c r="H2" s="5132" t="s">
        <v>198</v>
      </c>
      <c r="I2" s="5132"/>
      <c r="J2" s="5132"/>
      <c r="K2" s="5132"/>
      <c r="L2" s="5132"/>
      <c r="M2" s="5132"/>
      <c r="N2" s="5132"/>
      <c r="O2" s="5132"/>
      <c r="P2" s="5132"/>
      <c r="Q2" s="5132"/>
      <c r="R2" s="5132"/>
      <c r="S2" s="5132"/>
      <c r="T2" s="5132"/>
      <c r="U2" s="5132"/>
      <c r="V2" s="5132"/>
      <c r="W2" s="5132"/>
      <c r="X2" s="5132"/>
      <c r="Y2" s="4682"/>
      <c r="Z2" s="4682"/>
      <c r="AE2">
        <v>0.99</v>
      </c>
      <c r="AM2" s="352"/>
      <c r="AN2" s="353" t="s">
        <v>240</v>
      </c>
      <c r="AO2" s="354" t="s">
        <v>143</v>
      </c>
      <c r="AP2" s="354" t="s">
        <v>99</v>
      </c>
      <c r="AQ2" s="354" t="s">
        <v>100</v>
      </c>
      <c r="AR2" s="354" t="s">
        <v>101</v>
      </c>
      <c r="AS2" s="354" t="s">
        <v>353</v>
      </c>
      <c r="AT2" s="354" t="s">
        <v>103</v>
      </c>
      <c r="AU2" s="354" t="s">
        <v>154</v>
      </c>
      <c r="AV2" s="4736" t="s">
        <v>242</v>
      </c>
    </row>
    <row r="3" spans="1:111" ht="15.75" thickBot="1" x14ac:dyDescent="0.3">
      <c r="A3" s="5123" t="s">
        <v>1042</v>
      </c>
      <c r="B3" s="5122"/>
      <c r="C3" s="5122"/>
      <c r="D3" s="5122"/>
      <c r="E3" s="5122"/>
      <c r="F3" s="5122"/>
      <c r="G3" s="5122"/>
      <c r="H3" s="5115" t="s">
        <v>3</v>
      </c>
      <c r="I3" s="5124"/>
      <c r="J3" s="5124"/>
      <c r="K3" s="5125"/>
      <c r="L3" s="5122" t="s">
        <v>4</v>
      </c>
      <c r="M3" s="5122"/>
      <c r="N3" s="5122"/>
      <c r="O3" s="5126"/>
      <c r="P3" s="5123" t="s">
        <v>5</v>
      </c>
      <c r="Q3" s="5122"/>
      <c r="R3" s="5122"/>
      <c r="S3" s="5126"/>
      <c r="T3" s="5123" t="s">
        <v>6</v>
      </c>
      <c r="U3" s="5122"/>
      <c r="V3" s="5122"/>
      <c r="W3" s="5122"/>
      <c r="X3" s="4658" t="s">
        <v>194</v>
      </c>
      <c r="Y3" s="355" t="s">
        <v>1041</v>
      </c>
      <c r="Z3" s="355" t="s">
        <v>1041</v>
      </c>
      <c r="AC3" s="5091" t="s">
        <v>1061</v>
      </c>
      <c r="AD3" s="5091"/>
      <c r="AM3" s="5113"/>
      <c r="AN3" s="5105"/>
      <c r="AO3" s="5105"/>
      <c r="AP3" s="5105"/>
      <c r="AQ3" s="5105"/>
      <c r="AR3" s="5105"/>
      <c r="AS3" s="5105"/>
      <c r="AT3" s="5105"/>
      <c r="AU3" s="5105"/>
      <c r="AV3" s="5106"/>
    </row>
    <row r="4" spans="1:111" ht="23.25" thickBot="1" x14ac:dyDescent="0.3">
      <c r="A4" s="356" t="s">
        <v>170</v>
      </c>
      <c r="B4" s="357" t="s">
        <v>243</v>
      </c>
      <c r="C4" s="358" t="s">
        <v>151</v>
      </c>
      <c r="D4" s="358" t="s">
        <v>244</v>
      </c>
      <c r="E4" s="358" t="s">
        <v>179</v>
      </c>
      <c r="F4" s="359" t="s">
        <v>245</v>
      </c>
      <c r="G4" s="360" t="s">
        <v>246</v>
      </c>
      <c r="H4" s="365" t="s">
        <v>191</v>
      </c>
      <c r="I4" s="362" t="s">
        <v>247</v>
      </c>
      <c r="J4" s="363" t="s">
        <v>192</v>
      </c>
      <c r="K4" s="365" t="s">
        <v>193</v>
      </c>
      <c r="L4" s="361" t="s">
        <v>191</v>
      </c>
      <c r="M4" s="365" t="s">
        <v>247</v>
      </c>
      <c r="N4" s="365" t="s">
        <v>192</v>
      </c>
      <c r="O4" s="364" t="s">
        <v>193</v>
      </c>
      <c r="P4" s="366" t="s">
        <v>191</v>
      </c>
      <c r="Q4" s="363" t="s">
        <v>247</v>
      </c>
      <c r="R4" s="363" t="s">
        <v>192</v>
      </c>
      <c r="S4" s="364" t="s">
        <v>193</v>
      </c>
      <c r="T4" s="366" t="s">
        <v>191</v>
      </c>
      <c r="U4" s="363" t="s">
        <v>247</v>
      </c>
      <c r="V4" s="363" t="s">
        <v>192</v>
      </c>
      <c r="W4" s="367" t="s">
        <v>193</v>
      </c>
      <c r="X4" s="361" t="s">
        <v>193</v>
      </c>
      <c r="Y4" s="4683" t="s">
        <v>193</v>
      </c>
      <c r="Z4" s="4683" t="s">
        <v>193</v>
      </c>
      <c r="AC4" s="5092"/>
      <c r="AD4" s="5093"/>
      <c r="AE4" s="525" t="s">
        <v>99</v>
      </c>
      <c r="AF4" s="525" t="s">
        <v>100</v>
      </c>
      <c r="AG4" s="525" t="s">
        <v>101</v>
      </c>
      <c r="AH4" s="525" t="s">
        <v>103</v>
      </c>
      <c r="AI4" s="525" t="s">
        <v>143</v>
      </c>
      <c r="AJ4" s="525" t="s">
        <v>830</v>
      </c>
      <c r="AM4" s="373" t="s">
        <v>145</v>
      </c>
      <c r="AN4" s="204" t="s">
        <v>107</v>
      </c>
      <c r="AO4" s="3083">
        <v>19535714</v>
      </c>
      <c r="AP4" s="2003">
        <v>7632406</v>
      </c>
      <c r="AQ4" s="2003">
        <v>5791031</v>
      </c>
      <c r="AR4" s="2003">
        <v>813507</v>
      </c>
      <c r="AS4" s="2003">
        <v>1039349</v>
      </c>
      <c r="AT4" s="2003">
        <v>4259421</v>
      </c>
      <c r="AU4" s="2003"/>
      <c r="AV4" s="4030"/>
    </row>
    <row r="5" spans="1:111" x14ac:dyDescent="0.25">
      <c r="A5" s="370" t="s">
        <v>167</v>
      </c>
      <c r="B5" s="371"/>
      <c r="C5" s="304"/>
      <c r="D5" s="304"/>
      <c r="E5" s="304"/>
      <c r="F5" s="304"/>
      <c r="G5" s="372"/>
      <c r="H5" s="304"/>
      <c r="I5" s="304"/>
      <c r="J5" s="304"/>
      <c r="K5" s="304"/>
      <c r="L5" s="371"/>
      <c r="M5" s="304"/>
      <c r="N5" s="304"/>
      <c r="O5" s="372"/>
      <c r="P5" s="304"/>
      <c r="Q5" s="304"/>
      <c r="R5" s="304"/>
      <c r="S5" s="372"/>
      <c r="T5" s="304"/>
      <c r="U5" s="304"/>
      <c r="V5" s="304"/>
      <c r="W5" s="304"/>
      <c r="X5" s="304"/>
      <c r="Y5" s="4684"/>
      <c r="Z5" s="4684"/>
      <c r="AC5" s="5095" t="s">
        <v>1059</v>
      </c>
      <c r="AD5" s="5096"/>
      <c r="AE5" s="3019">
        <v>0.12785214808337808</v>
      </c>
      <c r="AF5" s="3019">
        <v>0.10697509294327361</v>
      </c>
      <c r="AG5" s="3019">
        <v>0.74220121507804515</v>
      </c>
      <c r="AH5" s="3019">
        <v>8.0062738398495925E-2</v>
      </c>
      <c r="AI5" s="3019">
        <v>0.12396931124602356</v>
      </c>
      <c r="AJ5" s="3019">
        <v>0</v>
      </c>
      <c r="AM5" s="373"/>
      <c r="AN5" s="204" t="s">
        <v>248</v>
      </c>
      <c r="AO5" s="4722">
        <v>3841526</v>
      </c>
      <c r="AP5" s="389">
        <v>717386.2</v>
      </c>
      <c r="AQ5" s="4722">
        <v>2017344.13</v>
      </c>
      <c r="AR5" s="389">
        <v>45068</v>
      </c>
      <c r="AS5" s="389">
        <v>138050</v>
      </c>
      <c r="AT5" s="389">
        <v>203311</v>
      </c>
      <c r="AU5" s="389"/>
      <c r="AV5" s="375"/>
    </row>
    <row r="6" spans="1:111" x14ac:dyDescent="0.25">
      <c r="A6" s="376" t="s">
        <v>166</v>
      </c>
      <c r="B6" s="282"/>
      <c r="C6" s="199"/>
      <c r="D6" s="199"/>
      <c r="E6" s="199"/>
      <c r="F6" s="199"/>
      <c r="G6" s="377"/>
      <c r="H6" s="199"/>
      <c r="I6" s="199"/>
      <c r="J6" s="199"/>
      <c r="K6" s="199"/>
      <c r="L6" s="379"/>
      <c r="M6" s="378"/>
      <c r="N6" s="378"/>
      <c r="O6" s="380"/>
      <c r="P6" s="378"/>
      <c r="Q6" s="378"/>
      <c r="R6" s="378"/>
      <c r="S6" s="380"/>
      <c r="T6" s="378"/>
      <c r="U6" s="378"/>
      <c r="V6" s="378"/>
      <c r="W6" s="380"/>
      <c r="X6" s="379"/>
      <c r="Y6" s="381"/>
      <c r="Z6" s="381"/>
      <c r="AC6" s="5095" t="s">
        <v>1060</v>
      </c>
      <c r="AD6" s="5096"/>
      <c r="AE6" s="3020">
        <f t="shared" ref="AE6:AJ6" si="0">AE5*$AE$2</f>
        <v>0.12657362660254429</v>
      </c>
      <c r="AF6" s="3020">
        <f t="shared" si="0"/>
        <v>0.10590534201384087</v>
      </c>
      <c r="AG6" s="3020">
        <f t="shared" si="0"/>
        <v>0.73477920292726473</v>
      </c>
      <c r="AH6" s="3020">
        <f t="shared" si="0"/>
        <v>7.9262111014510972E-2</v>
      </c>
      <c r="AI6" s="3020">
        <f t="shared" si="0"/>
        <v>0.12272961813356333</v>
      </c>
      <c r="AJ6" s="3020">
        <f t="shared" si="0"/>
        <v>0</v>
      </c>
      <c r="AM6" s="373"/>
      <c r="AN6" s="200" t="s">
        <v>249</v>
      </c>
      <c r="AO6" s="415">
        <v>603435.886522179</v>
      </c>
      <c r="AP6" s="415">
        <v>209894.43099033</v>
      </c>
      <c r="AQ6" s="274">
        <v>227194.40372144</v>
      </c>
      <c r="AR6" s="415">
        <v>57879.780345620005</v>
      </c>
      <c r="AS6" s="415">
        <v>59869.791613900001</v>
      </c>
      <c r="AT6" s="415">
        <v>59961.136437000008</v>
      </c>
      <c r="AU6" s="415"/>
      <c r="AV6" s="383"/>
    </row>
    <row r="7" spans="1:111" ht="23.25" x14ac:dyDescent="0.25">
      <c r="A7" s="237" t="s">
        <v>250</v>
      </c>
      <c r="B7" s="384" t="s">
        <v>27</v>
      </c>
      <c r="C7" s="299">
        <v>38.1</v>
      </c>
      <c r="D7" s="385">
        <v>74100</v>
      </c>
      <c r="E7" s="299" t="s">
        <v>185</v>
      </c>
      <c r="F7" s="299">
        <v>3</v>
      </c>
      <c r="G7" s="322">
        <v>0.6</v>
      </c>
      <c r="H7" s="387">
        <f>(C7*D7/1000000)*Energy!C32</f>
        <v>542.05632000000003</v>
      </c>
      <c r="I7" s="387">
        <f>(C7*F7/1000000)*Energy!C32</f>
        <v>2.1945600000000003E-2</v>
      </c>
      <c r="J7" s="387">
        <f>(C7*G7/1000000)*Energy!C32</f>
        <v>4.3891199999999998E-3</v>
      </c>
      <c r="K7" s="387">
        <f>(H7*1)+(I7*28)+(J7*265)</f>
        <v>543.83391360000007</v>
      </c>
      <c r="L7" s="390">
        <f>(C7*D7/1000000)*Energy!D32</f>
        <v>40916.782529999997</v>
      </c>
      <c r="M7" s="389">
        <f>(C7*F7/1000000)*Energy!D32</f>
        <v>1.6565499000000001</v>
      </c>
      <c r="N7" s="389">
        <f>(C7*G7/1000000)*Energy!D32</f>
        <v>0.33130997999999995</v>
      </c>
      <c r="O7" s="391">
        <f>(L7*1)+(M7*28)+(N7*265)</f>
        <v>41050.963071899998</v>
      </c>
      <c r="P7" s="389">
        <f>(C7*D7/1000000)*Energy!E32</f>
        <v>66605.170320000005</v>
      </c>
      <c r="Q7" s="389">
        <f>(C7*F7/1000000)*Energy!E32</f>
        <v>2.6965656000000005</v>
      </c>
      <c r="R7" s="389">
        <f>(C7*G7/1000000)*Energy!E32</f>
        <v>0.53931311999999998</v>
      </c>
      <c r="S7" s="391">
        <f>(P7*1)+(Q7*28)+(R7*265)</f>
        <v>66823.592133600003</v>
      </c>
      <c r="T7" s="389">
        <f>(C7*D7/1000000)*Energy!F32</f>
        <v>54674.28486</v>
      </c>
      <c r="U7" s="392">
        <f>(C7*F7/1000000)*Energy!F32</f>
        <v>2.2135338000000004</v>
      </c>
      <c r="V7" s="389">
        <f>(C7*G7/1000000)*Energy!F32</f>
        <v>0.44270675999999998</v>
      </c>
      <c r="W7" s="391">
        <f>(T7*1)+(U7*28)+(V7*265)</f>
        <v>54853.581097800001</v>
      </c>
      <c r="X7" s="4677">
        <f>K7+O7+S7+W7</f>
        <v>163271.97021689999</v>
      </c>
      <c r="Y7" s="406">
        <f>X46+X82+X118+X154+X190</f>
        <v>163267.94429657998</v>
      </c>
      <c r="Z7" s="586">
        <f>K7+O7+S7+W7</f>
        <v>163271.97021689999</v>
      </c>
      <c r="AC7" s="5095" t="s">
        <v>1062</v>
      </c>
      <c r="AD7" s="5096"/>
      <c r="AE7" s="3019">
        <f>K75</f>
        <v>0.13414149880413237</v>
      </c>
      <c r="AF7" s="3019">
        <f>K111</f>
        <v>0.10767513431179662</v>
      </c>
      <c r="AG7" s="3019">
        <f>K147</f>
        <v>0.68724451070168113</v>
      </c>
      <c r="AH7" s="3019">
        <f>K183</f>
        <v>0.10347084166133715</v>
      </c>
      <c r="AI7" s="3019">
        <f>X39</f>
        <v>0.13469139653770559</v>
      </c>
      <c r="AJ7" s="3019"/>
      <c r="AL7">
        <v>53601051.633004211</v>
      </c>
      <c r="AM7" s="373"/>
      <c r="AN7" s="394" t="s">
        <v>251</v>
      </c>
      <c r="AO7" s="415">
        <f t="shared" ref="AO7:AT7" si="1">AO6/AO4</f>
        <v>3.0888857531502507E-2</v>
      </c>
      <c r="AP7" s="415">
        <f t="shared" si="1"/>
        <v>2.7500427910979841E-2</v>
      </c>
      <c r="AQ7" s="415">
        <f t="shared" si="1"/>
        <v>3.9232116650979768E-2</v>
      </c>
      <c r="AR7" s="415">
        <f t="shared" si="1"/>
        <v>7.1148472410956523E-2</v>
      </c>
      <c r="AS7" s="415">
        <f t="shared" si="1"/>
        <v>5.7603164686645197E-2</v>
      </c>
      <c r="AT7" s="415">
        <f t="shared" si="1"/>
        <v>1.4077297462965039E-2</v>
      </c>
      <c r="AU7" s="415"/>
      <c r="AV7" s="383"/>
    </row>
    <row r="8" spans="1:111" x14ac:dyDescent="0.25">
      <c r="A8" s="237" t="s">
        <v>252</v>
      </c>
      <c r="B8" s="384" t="s">
        <v>32</v>
      </c>
      <c r="C8" s="299">
        <v>46.1</v>
      </c>
      <c r="D8" s="385">
        <v>63100</v>
      </c>
      <c r="E8" s="299" t="s">
        <v>185</v>
      </c>
      <c r="F8" s="299">
        <v>1</v>
      </c>
      <c r="G8" s="322">
        <v>0.1</v>
      </c>
      <c r="H8" s="387">
        <f>(C8*D8/1000000)*Energy!C38</f>
        <v>689.41167000000007</v>
      </c>
      <c r="I8" s="387">
        <f>(C8*F8/1000000)*Energy!C38</f>
        <v>1.09257E-2</v>
      </c>
      <c r="J8" s="387">
        <f>(C8*G8/1000000)*Energy!C38</f>
        <v>1.09257E-3</v>
      </c>
      <c r="K8" s="387">
        <f>(H8*1)+(I8*28)+(J8*265)</f>
        <v>690.00712065000016</v>
      </c>
      <c r="L8" s="390">
        <f>(C8*D8/1000000)*Energy!D38</f>
        <v>349.06920000000002</v>
      </c>
      <c r="M8" s="389">
        <f>(C8*F8/1000000)*Energy!D38</f>
        <v>5.5320000000000005E-3</v>
      </c>
      <c r="N8" s="389">
        <f>(C8*G8/1000000)*Energy!D38</f>
        <v>5.532E-4</v>
      </c>
      <c r="O8" s="391">
        <f>(L8*1)+(M8*28)+(N8*265)</f>
        <v>349.37069400000001</v>
      </c>
      <c r="P8" s="389">
        <f>(C8*D8/1000000)*Energy!E38</f>
        <v>401.42957999999999</v>
      </c>
      <c r="Q8" s="389">
        <f>(C8*F8/1000000)*Energy!E38</f>
        <v>6.3617999999999999E-3</v>
      </c>
      <c r="R8" s="389">
        <f>(C8*G8/1000000)*Energy!E38</f>
        <v>6.3617999999999997E-4</v>
      </c>
      <c r="S8" s="391">
        <f>(P8*1)+(Q8*28)+(R8*265)</f>
        <v>401.77629809999996</v>
      </c>
      <c r="T8" s="389">
        <f>(C8*D8/1000000)*Energy!F38</f>
        <v>637.05128999999999</v>
      </c>
      <c r="U8" s="392">
        <f>(C8*F8/1000000)*Energy!F38</f>
        <v>1.0095900000000001E-2</v>
      </c>
      <c r="V8" s="389">
        <f>(C8*G8/1000000)*Energy!F38</f>
        <v>1.0095899999999999E-3</v>
      </c>
      <c r="W8" s="391">
        <f>(T8*1)+(U8*28)+(V8*265)</f>
        <v>637.60151654999993</v>
      </c>
      <c r="X8" s="390">
        <f>K8+O8+S8+W8</f>
        <v>2078.7556292999998</v>
      </c>
      <c r="Y8" s="393">
        <f>X47+X83+X119+X155+X191</f>
        <v>2078.7469163999999</v>
      </c>
      <c r="Z8" s="393">
        <f>K8+O8+S8+W8</f>
        <v>2078.7556292999998</v>
      </c>
      <c r="AC8" s="5076" t="s">
        <v>1064</v>
      </c>
      <c r="AD8" s="5076"/>
      <c r="AE8" s="3021">
        <f t="shared" ref="AE8:AJ8" si="2">((AE7-AE6)/AE6)*100</f>
        <v>5.9790277048409699</v>
      </c>
      <c r="AF8" s="3021">
        <f t="shared" si="2"/>
        <v>1.6711076743649567</v>
      </c>
      <c r="AG8" s="3021">
        <f t="shared" si="2"/>
        <v>-6.4692484539861175</v>
      </c>
      <c r="AH8" s="3021">
        <f t="shared" si="2"/>
        <v>30.54262665599979</v>
      </c>
      <c r="AI8" s="3021">
        <f t="shared" si="2"/>
        <v>9.7464479936086708</v>
      </c>
      <c r="AJ8" s="3021" t="e">
        <f t="shared" si="2"/>
        <v>#DIV/0!</v>
      </c>
      <c r="AL8" s="506">
        <v>619702922.12999749</v>
      </c>
      <c r="AM8" s="395"/>
      <c r="AN8" s="396" t="s">
        <v>253</v>
      </c>
      <c r="AO8" s="4339">
        <f t="shared" ref="AO8:AT8" si="3">AO6/AO5</f>
        <v>0.15708233824844059</v>
      </c>
      <c r="AP8" s="415">
        <f t="shared" si="3"/>
        <v>0.29258219769258176</v>
      </c>
      <c r="AQ8" s="3090">
        <f t="shared" si="3"/>
        <v>0.11262054913825735</v>
      </c>
      <c r="AR8" s="4722">
        <f t="shared" si="3"/>
        <v>1.2842766562887193</v>
      </c>
      <c r="AS8" s="4722">
        <f t="shared" si="3"/>
        <v>0.43368193852879394</v>
      </c>
      <c r="AT8" s="4722">
        <f t="shared" si="3"/>
        <v>0.29492322814309119</v>
      </c>
      <c r="AU8" s="4722"/>
      <c r="AV8" s="398"/>
    </row>
    <row r="9" spans="1:111" x14ac:dyDescent="0.25">
      <c r="A9" s="399" t="s">
        <v>168</v>
      </c>
      <c r="B9" s="379"/>
      <c r="C9" s="378"/>
      <c r="D9" s="378"/>
      <c r="E9" s="378"/>
      <c r="F9" s="378"/>
      <c r="G9" s="380"/>
      <c r="H9" s="401"/>
      <c r="I9" s="401"/>
      <c r="J9" s="401"/>
      <c r="K9" s="401"/>
      <c r="L9" s="404"/>
      <c r="M9" s="403"/>
      <c r="N9" s="403"/>
      <c r="O9" s="405"/>
      <c r="P9" s="403"/>
      <c r="Q9" s="403"/>
      <c r="R9" s="403"/>
      <c r="S9" s="405"/>
      <c r="T9" s="403"/>
      <c r="U9" s="403"/>
      <c r="V9" s="403"/>
      <c r="W9" s="405"/>
      <c r="X9" s="404"/>
      <c r="Y9" s="393"/>
      <c r="Z9" s="393"/>
      <c r="AC9" s="5094" t="s">
        <v>1063</v>
      </c>
      <c r="AD9" s="5094"/>
      <c r="AE9" s="3019"/>
      <c r="AF9" s="3019"/>
      <c r="AG9" s="3019"/>
      <c r="AH9" s="3019"/>
      <c r="AI9" s="3019"/>
      <c r="AJ9" s="3019"/>
      <c r="AL9">
        <f>SUM(AL7:AL8)</f>
        <v>673303973.76300168</v>
      </c>
      <c r="AM9" s="368"/>
      <c r="AN9" s="220" t="s">
        <v>107</v>
      </c>
      <c r="AO9" s="4721">
        <v>20362835</v>
      </c>
      <c r="AP9" s="4723">
        <v>3403906</v>
      </c>
      <c r="AQ9" s="4723">
        <v>5564520</v>
      </c>
      <c r="AR9" s="4723">
        <v>1128198</v>
      </c>
      <c r="AS9" s="4723">
        <v>1632519</v>
      </c>
      <c r="AT9" s="4723">
        <v>4204361</v>
      </c>
      <c r="AU9" s="4724"/>
      <c r="AV9" s="407"/>
    </row>
    <row r="10" spans="1:111" ht="23.25" x14ac:dyDescent="0.25">
      <c r="A10" s="237" t="s">
        <v>1705</v>
      </c>
      <c r="B10" s="384" t="s">
        <v>27</v>
      </c>
      <c r="C10" s="299">
        <v>38.1</v>
      </c>
      <c r="D10" s="408">
        <v>74100</v>
      </c>
      <c r="E10" s="409" t="s">
        <v>185</v>
      </c>
      <c r="F10" s="410">
        <v>3.9</v>
      </c>
      <c r="G10" s="411">
        <v>3.9</v>
      </c>
      <c r="H10" s="491">
        <f>(C10*D10/1000000)*Energy!H27</f>
        <v>8804071.6460874304</v>
      </c>
      <c r="I10" s="491">
        <f>(C10*F10/1000000)*Energy!H27</f>
        <v>463.37219189933847</v>
      </c>
      <c r="J10" s="491">
        <f>(C10*G10/1000000)*Energy!H27</f>
        <v>463.37219189933847</v>
      </c>
      <c r="K10" s="387">
        <f>(H10*1)+(I10*28)+(J10*265)</f>
        <v>8939839.6983139366</v>
      </c>
      <c r="L10" s="416">
        <f>(C10*D10/1000000)*Energy!I27</f>
        <v>7089501.7508519329</v>
      </c>
      <c r="M10" s="415">
        <f>(C10*F10/1000000)*Energy!I27</f>
        <v>373.13167109747019</v>
      </c>
      <c r="N10" s="415">
        <f>(C10*G10/1000000)*Energy!I27</f>
        <v>373.13167109747019</v>
      </c>
      <c r="O10" s="391">
        <f>(L10*1)+(M10*28)+(N10*265)</f>
        <v>7198829.3304834915</v>
      </c>
      <c r="P10" s="415">
        <f>(C10*D10/1000000)*Energy!J27</f>
        <v>7032885.0363036124</v>
      </c>
      <c r="Q10" s="415">
        <f>(C10*F10/1000000)*Energy!J27</f>
        <v>370.15184401597963</v>
      </c>
      <c r="R10" s="415">
        <f>(C10*G10/1000000)*Energy!J27</f>
        <v>370.15184401597963</v>
      </c>
      <c r="S10" s="417">
        <f>(P10*1)+(Q10*28)+(R10*265)</f>
        <v>7141339.5266002947</v>
      </c>
      <c r="T10" s="418">
        <f>(C10*D10/1000000)*Energy!K27</f>
        <v>2912632.1664042403</v>
      </c>
      <c r="U10" s="418">
        <f>(C10*F10/1000000)*Energy!K27</f>
        <v>153.29642981074949</v>
      </c>
      <c r="V10" s="418">
        <f>(C10*G10/1000000)*Energy!K27</f>
        <v>153.29642981074949</v>
      </c>
      <c r="W10" s="391">
        <f>(T10*1)+(U10*28)+(V10*265)</f>
        <v>2957548.02033879</v>
      </c>
      <c r="X10" s="4677">
        <f>K10+O10+S10+W10</f>
        <v>26237556.575736511</v>
      </c>
      <c r="Y10" s="393">
        <f>X49+X85+X121+X157+X193</f>
        <v>26237556.575736511</v>
      </c>
      <c r="Z10" s="393">
        <f>+K10+O10+S10+W10</f>
        <v>26237556.575736511</v>
      </c>
      <c r="AC10" s="5076" t="s">
        <v>1064</v>
      </c>
      <c r="AD10" s="5076"/>
      <c r="AE10" s="3021"/>
      <c r="AF10" s="3021"/>
      <c r="AG10" s="3021"/>
      <c r="AH10" s="3021"/>
      <c r="AI10" s="3021"/>
      <c r="AJ10" s="76"/>
      <c r="AM10" s="420"/>
      <c r="AN10" s="204" t="s">
        <v>248</v>
      </c>
      <c r="AO10" s="415">
        <v>3119777.3600000003</v>
      </c>
      <c r="AP10" s="415">
        <v>688864.4</v>
      </c>
      <c r="AQ10" s="415">
        <v>2025381.09</v>
      </c>
      <c r="AR10" s="415">
        <v>62191</v>
      </c>
      <c r="AS10" s="3991">
        <v>127737</v>
      </c>
      <c r="AT10" s="415">
        <v>215603.87</v>
      </c>
      <c r="AU10" s="415"/>
      <c r="AV10" s="383"/>
    </row>
    <row r="11" spans="1:111" ht="22.5" x14ac:dyDescent="0.25">
      <c r="A11" s="236" t="s">
        <v>1702</v>
      </c>
      <c r="B11" s="384" t="s">
        <v>27</v>
      </c>
      <c r="C11" s="299">
        <v>34.200000000000003</v>
      </c>
      <c r="D11" s="408">
        <v>69300</v>
      </c>
      <c r="E11" s="409" t="s">
        <v>185</v>
      </c>
      <c r="F11" s="421">
        <v>3.8</v>
      </c>
      <c r="G11" s="422">
        <v>5.7</v>
      </c>
      <c r="H11" s="491">
        <f>(C11*D11/1000000)*Energy!H37</f>
        <v>44664.737485506244</v>
      </c>
      <c r="I11" s="491">
        <f>(C11*F11/1000000)*Energy!H37</f>
        <v>2.4491486644289138</v>
      </c>
      <c r="J11" s="491">
        <f>(C11*G11/1000000)*Energy!H37</f>
        <v>3.6737229966433711</v>
      </c>
      <c r="K11" s="846">
        <f>(H11*1)+(I11*28)+(J11*265)</f>
        <v>45706.850242220746</v>
      </c>
      <c r="L11" s="416">
        <f>(C11*D11/1000000)*Energy!I37</f>
        <v>43796.870875062537</v>
      </c>
      <c r="M11" s="415">
        <f>(C11*F11/1000000)*Energy!I37</f>
        <v>2.4015600191231985</v>
      </c>
      <c r="N11" s="415">
        <f>(C11*G11/1000000)*Energy!I37</f>
        <v>3.602340028684798</v>
      </c>
      <c r="O11" s="1625">
        <f>(L11*1)+(M11*28)+(N11*265)</f>
        <v>44818.734663199459</v>
      </c>
      <c r="P11" s="415">
        <f>(C11*D11/1000000)*Energy!J37</f>
        <v>38168.886629051769</v>
      </c>
      <c r="Q11" s="415">
        <f>(C11*F11/1000000)*Energy!J37</f>
        <v>2.0929548223722474</v>
      </c>
      <c r="R11" s="415">
        <f>(C11*G11/1000000)*Energy!J37</f>
        <v>3.1394322335583711</v>
      </c>
      <c r="S11" s="1625">
        <f>(P11*1)+(Q11*28)+(R11*265)</f>
        <v>39059.438905971154</v>
      </c>
      <c r="T11" s="415">
        <f>(C11*D11/1000000)*Energy!K37</f>
        <v>26702.277107365866</v>
      </c>
      <c r="U11" s="415">
        <f>(C11*F11/1000000)*Energy!K37</f>
        <v>1.464194127099427</v>
      </c>
      <c r="V11" s="415">
        <f>(C11*G11/1000000)*Energy!K37</f>
        <v>2.1962911906491405</v>
      </c>
      <c r="W11" s="2475">
        <f>(T11*1)+(U11*28)+(V11*265)</f>
        <v>27325.291708446672</v>
      </c>
      <c r="X11" s="4677">
        <f>K11+O11+S11+W11</f>
        <v>156910.31551983801</v>
      </c>
      <c r="Y11" s="393">
        <f>X50+X86+X122+X158+X194</f>
        <v>156910.31551983804</v>
      </c>
      <c r="Z11" s="393">
        <f>X50+X86+X122+X158+X194</f>
        <v>156910.31551983804</v>
      </c>
      <c r="AC11" s="5094" t="s">
        <v>1230</v>
      </c>
      <c r="AD11" s="5094"/>
      <c r="AE11" s="3019">
        <f>X75</f>
        <v>0.13665823061464918</v>
      </c>
      <c r="AF11" s="3019">
        <f>X111</f>
        <v>0.109765967853443</v>
      </c>
      <c r="AG11" s="3019">
        <f>X147</f>
        <v>0.68894172049115776</v>
      </c>
      <c r="AH11" s="3019">
        <f>X183</f>
        <v>0.13021857225317227</v>
      </c>
      <c r="AI11" s="3019">
        <f>X39</f>
        <v>0.13469139653770559</v>
      </c>
      <c r="AJ11" s="3019"/>
      <c r="AM11" s="426" t="s">
        <v>146</v>
      </c>
      <c r="AN11" s="200" t="s">
        <v>249</v>
      </c>
      <c r="AO11" s="2003">
        <v>561904.07831726666</v>
      </c>
      <c r="AP11" s="2003">
        <v>196981.71443346801</v>
      </c>
      <c r="AQ11" s="2003">
        <v>230950.46163876</v>
      </c>
      <c r="AR11" s="2003">
        <v>59431.272599299999</v>
      </c>
      <c r="AS11" s="2003">
        <v>51823.671965971102</v>
      </c>
      <c r="AT11" s="2003">
        <v>22716.957679767998</v>
      </c>
      <c r="AU11" s="2003">
        <v>41531.89</v>
      </c>
      <c r="AV11" s="428"/>
    </row>
    <row r="12" spans="1:111" s="841" customFormat="1" ht="23.25" x14ac:dyDescent="0.25">
      <c r="A12" s="1622" t="s">
        <v>254</v>
      </c>
      <c r="B12" s="1623" t="s">
        <v>27</v>
      </c>
      <c r="C12" s="842">
        <v>37.5</v>
      </c>
      <c r="D12" s="843">
        <v>70000</v>
      </c>
      <c r="E12" s="394" t="s">
        <v>185</v>
      </c>
      <c r="F12" s="410">
        <v>0.5</v>
      </c>
      <c r="G12" s="429">
        <v>2</v>
      </c>
      <c r="H12" s="491">
        <f>(C12*D12/1000000)*'company plane'!F4</f>
        <v>104490.75</v>
      </c>
      <c r="I12" s="491">
        <f>(C12*F12/1000000)*'company plane'!F4</f>
        <v>0.74636249999999993</v>
      </c>
      <c r="J12" s="491">
        <f>(C12*G12/1000000)*'company plane'!F4</f>
        <v>2.9854499999999997</v>
      </c>
      <c r="K12" s="846">
        <f>(H12*1)+(I12*28)+(J12*265)</f>
        <v>105302.79239999999</v>
      </c>
      <c r="L12" s="416">
        <f>(C12*D12/1000000)*'company plane'!J4</f>
        <v>110801.25</v>
      </c>
      <c r="M12" s="415">
        <f>(C12*F12/1000000)*'company plane'!J4</f>
        <v>0.7914374999999999</v>
      </c>
      <c r="N12" s="415">
        <f>(C12*G12/1000000)*'company plane'!J4</f>
        <v>3.1657499999999996</v>
      </c>
      <c r="O12" s="2475">
        <f>(L12*1)+(M12*28)+(N12*265)</f>
        <v>111662.334</v>
      </c>
      <c r="P12" s="415">
        <f>(C12*D12/1000000)*'company plane'!N4</f>
        <v>106414.875</v>
      </c>
      <c r="Q12" s="415">
        <f>(C12*F12/1000000)*'company plane'!N4</f>
        <v>0.76010624999999998</v>
      </c>
      <c r="R12" s="415">
        <f>(C12*G12/1000000)*'company plane'!N4</f>
        <v>3.0404249999999999</v>
      </c>
      <c r="S12" s="1625">
        <f>(P12*1)+(Q12*28)+(R12*265)</f>
        <v>107241.87059999999</v>
      </c>
      <c r="T12" s="415">
        <f>(C12*D12/1000000)*'company plane'!R4</f>
        <v>21120.75</v>
      </c>
      <c r="U12" s="415">
        <f>(C12*F12/1000000)*'company plane'!R4</f>
        <v>0.15086249999999998</v>
      </c>
      <c r="V12" s="415">
        <f>(C12*G12/1000000)*'company plane'!R4</f>
        <v>0.60344999999999993</v>
      </c>
      <c r="W12" s="1625">
        <f>(T12*1)+(U12*28)+(V12*265)</f>
        <v>21284.8884</v>
      </c>
      <c r="X12" s="4677">
        <f>K12+O12+S12+W12</f>
        <v>345491.88539999997</v>
      </c>
      <c r="Y12" s="393">
        <f>X51+X87+X123+X159+X195</f>
        <v>345491.88539999997</v>
      </c>
      <c r="Z12" s="393">
        <f>X51+X87+X123+X159</f>
        <v>259118.91404999996</v>
      </c>
      <c r="AA12" s="116"/>
      <c r="AB12" s="116"/>
      <c r="AC12" s="5090" t="s">
        <v>1064</v>
      </c>
      <c r="AD12" s="5090"/>
      <c r="AE12" s="3396">
        <f>(AE11-AE6)/AE6</f>
        <v>7.9673817388291407E-2</v>
      </c>
      <c r="AF12" s="3396">
        <f>(AF11-AF6)/AF6</f>
        <v>3.6453551503545317E-2</v>
      </c>
      <c r="AG12" s="3396">
        <f>(AG11-AG6)/AG6</f>
        <v>-6.2382661694147579E-2</v>
      </c>
      <c r="AH12" s="3396">
        <f>(AH11-AH6)/AH6</f>
        <v>0.64288549202698375</v>
      </c>
      <c r="AI12" s="3396">
        <f>(AI11-AI6)/AI6</f>
        <v>9.7464479936086715E-2</v>
      </c>
      <c r="AJ12" s="109"/>
      <c r="AK12" s="116"/>
      <c r="AL12" s="116"/>
      <c r="AM12" s="1620"/>
      <c r="AN12" s="1619" t="s">
        <v>251</v>
      </c>
      <c r="AO12" s="4725">
        <f t="shared" ref="AO12:AT12" si="4">AO11/AO9</f>
        <v>2.759458976695861E-2</v>
      </c>
      <c r="AP12" s="4725">
        <f t="shared" si="4"/>
        <v>5.786931673009419E-2</v>
      </c>
      <c r="AQ12" s="4725">
        <f t="shared" si="4"/>
        <v>4.1504112059757174E-2</v>
      </c>
      <c r="AR12" s="4725">
        <f t="shared" si="4"/>
        <v>5.2678051724342714E-2</v>
      </c>
      <c r="AS12" s="4725">
        <f t="shared" si="4"/>
        <v>3.1744605708093503E-2</v>
      </c>
      <c r="AT12" s="4725">
        <f t="shared" si="4"/>
        <v>5.4031891361774114E-3</v>
      </c>
      <c r="AU12" s="4725"/>
      <c r="AV12" s="1621"/>
      <c r="AW12" s="116"/>
      <c r="AX12" s="116"/>
      <c r="AY12" s="116"/>
      <c r="AZ12" s="116"/>
      <c r="BA12" s="116"/>
      <c r="BB12" s="116"/>
      <c r="BC12" s="116"/>
      <c r="BD12" s="116"/>
      <c r="BE12" s="116"/>
      <c r="BF12" s="116"/>
      <c r="BG12" s="116"/>
      <c r="BH12" s="116"/>
      <c r="BI12" s="116"/>
      <c r="BJ12" s="116"/>
      <c r="BK12" s="116"/>
      <c r="BL12" s="116"/>
      <c r="BM12" s="116"/>
      <c r="BN12" s="116"/>
      <c r="BO12" s="116"/>
      <c r="BP12" s="116"/>
      <c r="BQ12" s="116"/>
      <c r="BR12" s="116"/>
      <c r="BS12" s="116"/>
      <c r="BT12" s="116"/>
      <c r="BU12" s="116"/>
      <c r="BV12" s="116"/>
      <c r="BW12" s="116"/>
      <c r="BX12" s="116"/>
      <c r="BY12" s="116"/>
      <c r="BZ12" s="116"/>
      <c r="CA12" s="116"/>
      <c r="CB12" s="116"/>
      <c r="CC12" s="116"/>
      <c r="CD12" s="116"/>
      <c r="CE12" s="116"/>
      <c r="CF12" s="116"/>
      <c r="CG12" s="116"/>
      <c r="CH12" s="116"/>
      <c r="CI12" s="116"/>
      <c r="CJ12" s="116"/>
      <c r="CK12" s="116"/>
      <c r="CL12" s="116"/>
      <c r="CM12" s="116"/>
      <c r="CN12" s="116"/>
      <c r="CO12" s="116"/>
      <c r="CP12" s="116"/>
      <c r="CQ12" s="116"/>
      <c r="CR12" s="116"/>
      <c r="CS12" s="116"/>
      <c r="CT12" s="116"/>
      <c r="CU12" s="116"/>
      <c r="CV12" s="116"/>
      <c r="CW12" s="116"/>
      <c r="CX12" s="116"/>
      <c r="CY12" s="116"/>
      <c r="CZ12" s="116"/>
      <c r="DA12" s="116"/>
      <c r="DB12" s="116"/>
      <c r="DC12" s="116"/>
      <c r="DD12" s="116"/>
      <c r="DE12" s="116"/>
      <c r="DF12" s="116"/>
      <c r="DG12" s="116"/>
    </row>
    <row r="13" spans="1:111" x14ac:dyDescent="0.25">
      <c r="A13" s="433" t="s">
        <v>255</v>
      </c>
      <c r="B13" s="379"/>
      <c r="C13" s="378"/>
      <c r="D13" s="434"/>
      <c r="E13" s="435"/>
      <c r="F13" s="436"/>
      <c r="G13" s="437"/>
      <c r="H13" s="439"/>
      <c r="I13" s="439"/>
      <c r="J13" s="439"/>
      <c r="K13" s="439"/>
      <c r="L13" s="4745"/>
      <c r="M13" s="441"/>
      <c r="N13" s="441"/>
      <c r="O13" s="443"/>
      <c r="P13" s="441"/>
      <c r="Q13" s="442"/>
      <c r="R13" s="441"/>
      <c r="S13" s="443"/>
      <c r="T13" s="439"/>
      <c r="U13" s="441"/>
      <c r="V13" s="441"/>
      <c r="W13" s="443"/>
      <c r="X13" s="404"/>
      <c r="Y13" s="393"/>
      <c r="Z13" s="393"/>
      <c r="AM13" s="444"/>
      <c r="AN13" s="396" t="s">
        <v>253</v>
      </c>
      <c r="AO13" s="3991">
        <f t="shared" ref="AO13:AT13" si="5">AO11/AO10</f>
        <v>0.18011031348636578</v>
      </c>
      <c r="AP13" s="3991">
        <f t="shared" si="5"/>
        <v>0.28595136348092309</v>
      </c>
      <c r="AQ13" s="3991">
        <f t="shared" si="5"/>
        <v>0.11402815143236081</v>
      </c>
      <c r="AR13" s="3991">
        <f t="shared" si="5"/>
        <v>0.95562497144763714</v>
      </c>
      <c r="AS13" s="4339">
        <f t="shared" si="5"/>
        <v>0.40570603635572389</v>
      </c>
      <c r="AT13" s="3991">
        <f t="shared" si="5"/>
        <v>0.10536433172450939</v>
      </c>
      <c r="AU13" s="3991"/>
      <c r="AV13" s="446"/>
    </row>
    <row r="14" spans="1:111" s="116" customFormat="1" x14ac:dyDescent="0.25">
      <c r="A14" s="1623" t="s">
        <v>1123</v>
      </c>
      <c r="B14" s="1623" t="s">
        <v>32</v>
      </c>
      <c r="C14" s="842"/>
      <c r="D14" s="843"/>
      <c r="E14" s="3137"/>
      <c r="F14" s="3138"/>
      <c r="G14" s="429"/>
      <c r="H14" s="491"/>
      <c r="I14" s="491"/>
      <c r="J14" s="491"/>
      <c r="K14" s="491">
        <f>3922*Ozone!H12</f>
        <v>31376</v>
      </c>
      <c r="L14" s="4746"/>
      <c r="M14" s="415"/>
      <c r="N14" s="415"/>
      <c r="O14" s="3140">
        <f>3922*Ozone!D26</f>
        <v>19610</v>
      </c>
      <c r="P14" s="415"/>
      <c r="Q14" s="3139"/>
      <c r="R14" s="415"/>
      <c r="S14" s="3140">
        <f>3922*Ozone!E26</f>
        <v>70596</v>
      </c>
      <c r="T14" s="491"/>
      <c r="U14" s="415"/>
      <c r="V14" s="415"/>
      <c r="W14" s="3140">
        <f>3922*Ozone!K12</f>
        <v>0</v>
      </c>
      <c r="X14" s="4677">
        <f t="shared" ref="X14:X24" si="6">K14+O14+S14+W14</f>
        <v>121582</v>
      </c>
      <c r="Y14" s="406">
        <f>3922*Ozone!G26</f>
        <v>121582</v>
      </c>
      <c r="Z14" s="393">
        <f>X53+X89+X125+X161+X197</f>
        <v>121582</v>
      </c>
      <c r="AM14" s="432"/>
      <c r="AN14" s="200"/>
      <c r="AO14" s="2003"/>
      <c r="AP14" s="2003"/>
      <c r="AQ14" s="2003"/>
      <c r="AR14" s="2003"/>
      <c r="AS14" s="4726"/>
      <c r="AT14" s="2003"/>
      <c r="AU14" s="2003"/>
      <c r="AV14" s="428"/>
    </row>
    <row r="15" spans="1:111" s="8" customFormat="1" x14ac:dyDescent="0.25">
      <c r="A15" s="237" t="s">
        <v>1044</v>
      </c>
      <c r="B15" s="384" t="s">
        <v>32</v>
      </c>
      <c r="C15" s="299"/>
      <c r="D15" s="408"/>
      <c r="E15" s="447"/>
      <c r="F15" s="448"/>
      <c r="G15" s="885"/>
      <c r="H15" s="450"/>
      <c r="I15" s="450"/>
      <c r="J15" s="450"/>
      <c r="K15" s="387">
        <f>1430*Ozone!C23</f>
        <v>286</v>
      </c>
      <c r="L15" s="453"/>
      <c r="M15" s="452"/>
      <c r="N15" s="419"/>
      <c r="O15" s="391">
        <f>1430*Ozone!D23</f>
        <v>23309</v>
      </c>
      <c r="P15" s="452"/>
      <c r="Q15" s="452"/>
      <c r="R15" s="452"/>
      <c r="S15" s="391">
        <f>1430*Ozone!E23</f>
        <v>1430</v>
      </c>
      <c r="T15" s="454"/>
      <c r="U15" s="452"/>
      <c r="V15" s="452"/>
      <c r="W15" s="391">
        <f>1430*Ozone!F23</f>
        <v>0</v>
      </c>
      <c r="X15" s="4677">
        <f t="shared" si="6"/>
        <v>25025</v>
      </c>
      <c r="Y15" s="393">
        <f>X54+X90+X126+X162+X198</f>
        <v>25025</v>
      </c>
      <c r="Z15" s="393">
        <f>1430*Ozone!G23</f>
        <v>25025</v>
      </c>
      <c r="AM15" s="455" t="s">
        <v>155</v>
      </c>
      <c r="AN15" s="294" t="s">
        <v>107</v>
      </c>
      <c r="AO15" s="4721">
        <f>[2]Production!G15</f>
        <v>19867391.518035099</v>
      </c>
      <c r="AP15" s="4721">
        <v>2389087</v>
      </c>
      <c r="AQ15" s="4721">
        <f>[2]Production!L7</f>
        <v>4863258.4940351006</v>
      </c>
      <c r="AR15" s="4721">
        <f>[2]Production!AF7</f>
        <v>667821</v>
      </c>
      <c r="AS15" s="4721">
        <f>[3]Production!$AA$16</f>
        <v>8894180</v>
      </c>
      <c r="AT15" s="4721">
        <f>[2]Production!AK7</f>
        <v>4071592</v>
      </c>
      <c r="AU15" s="4721">
        <f>[2]Production!V16</f>
        <v>8107585</v>
      </c>
      <c r="AV15" s="456"/>
    </row>
    <row r="16" spans="1:111" x14ac:dyDescent="0.25">
      <c r="A16" s="457" t="s">
        <v>257</v>
      </c>
      <c r="B16" s="384" t="s">
        <v>32</v>
      </c>
      <c r="C16" s="299"/>
      <c r="D16" s="408"/>
      <c r="E16" s="447"/>
      <c r="F16" s="448"/>
      <c r="G16" s="885"/>
      <c r="H16" s="450"/>
      <c r="I16" s="450"/>
      <c r="J16" s="651"/>
      <c r="K16" s="387">
        <f>2088*Ozone!C24</f>
        <v>57002.400000000001</v>
      </c>
      <c r="L16" s="453"/>
      <c r="M16" s="452"/>
      <c r="N16" s="425"/>
      <c r="O16" s="1625">
        <f>2088*Ozone!D24</f>
        <v>50738.400000000001</v>
      </c>
      <c r="P16" s="452"/>
      <c r="Q16" s="458"/>
      <c r="R16" s="452"/>
      <c r="S16" s="391">
        <f>2088*Ozone!E24</f>
        <v>60552</v>
      </c>
      <c r="T16" s="418"/>
      <c r="U16" s="459"/>
      <c r="V16" s="452"/>
      <c r="W16" s="391">
        <f>2088*Ozone!F24</f>
        <v>0</v>
      </c>
      <c r="X16" s="4677">
        <f t="shared" si="6"/>
        <v>168292.8</v>
      </c>
      <c r="Y16" s="393">
        <f>X55+X91+X127+X163+X199</f>
        <v>168292.8</v>
      </c>
      <c r="Z16" s="393">
        <f>X55+X91+X127+X163+X199</f>
        <v>168292.8</v>
      </c>
      <c r="AB16" s="1"/>
      <c r="AH16" s="39"/>
      <c r="AI16" s="39"/>
      <c r="AJ16" s="39"/>
      <c r="AK16" s="39"/>
      <c r="AL16" s="39"/>
      <c r="AM16" s="39"/>
      <c r="AN16" s="9" t="s">
        <v>248</v>
      </c>
      <c r="AO16" s="4339">
        <f>[2]Production!G17</f>
        <v>4149183.4120000005</v>
      </c>
      <c r="AP16" s="4339">
        <f>[2]Production!G9</f>
        <v>786509</v>
      </c>
      <c r="AQ16" s="4339">
        <f>[2]Production!L9</f>
        <v>2149896.12</v>
      </c>
      <c r="AR16" s="4339">
        <f>[2]Production!AF9</f>
        <v>51172</v>
      </c>
      <c r="AS16" s="4339">
        <f>[3]Production!$AA$18</f>
        <v>1054588.8</v>
      </c>
      <c r="AT16" s="4339">
        <f>[2]Production!AK9</f>
        <v>225201</v>
      </c>
      <c r="AU16" s="4339">
        <f>[2]Production!V18</f>
        <v>938932.8</v>
      </c>
      <c r="AV16" s="445"/>
    </row>
    <row r="17" spans="1:48" s="9" customFormat="1" x14ac:dyDescent="0.25">
      <c r="A17" s="457" t="s">
        <v>707</v>
      </c>
      <c r="B17" s="384" t="s">
        <v>32</v>
      </c>
      <c r="C17" s="299"/>
      <c r="D17" s="408"/>
      <c r="E17" s="447"/>
      <c r="F17" s="448"/>
      <c r="G17" s="885"/>
      <c r="H17" s="450"/>
      <c r="I17" s="450"/>
      <c r="J17" s="651"/>
      <c r="K17" s="387">
        <f>3985*Ozone!C25</f>
        <v>103610</v>
      </c>
      <c r="L17" s="453"/>
      <c r="M17" s="452"/>
      <c r="N17" s="1828"/>
      <c r="O17" s="391">
        <f>3985*Ozone!D25</f>
        <v>43835</v>
      </c>
      <c r="P17" s="452"/>
      <c r="Q17" s="458"/>
      <c r="R17" s="452"/>
      <c r="S17" s="391">
        <f>3985*Ozone!E25</f>
        <v>15940</v>
      </c>
      <c r="T17" s="418"/>
      <c r="U17" s="452"/>
      <c r="V17" s="452"/>
      <c r="W17" s="391">
        <f>3985*Ozone!F25</f>
        <v>0</v>
      </c>
      <c r="X17" s="4677">
        <f t="shared" si="6"/>
        <v>163385</v>
      </c>
      <c r="Y17" s="393">
        <f>X56+X92+X128+X164+X200</f>
        <v>163385</v>
      </c>
      <c r="Z17" s="393">
        <f>3985*Ozone!G25</f>
        <v>163385</v>
      </c>
      <c r="AB17" s="1"/>
      <c r="AH17" s="39"/>
      <c r="AI17" s="39"/>
      <c r="AJ17" s="39"/>
      <c r="AK17" s="39"/>
      <c r="AL17" s="39"/>
      <c r="AM17" s="39"/>
      <c r="AO17" s="4339"/>
      <c r="AP17" s="4339"/>
      <c r="AQ17" s="4339"/>
      <c r="AR17" s="4339"/>
      <c r="AS17" s="4339"/>
      <c r="AT17" s="4339"/>
      <c r="AU17" s="4339"/>
      <c r="AV17" s="445"/>
    </row>
    <row r="18" spans="1:48" s="116" customFormat="1" x14ac:dyDescent="0.25">
      <c r="A18" s="3141" t="s">
        <v>1124</v>
      </c>
      <c r="B18" s="1623" t="s">
        <v>181</v>
      </c>
      <c r="C18" s="842"/>
      <c r="D18" s="539">
        <v>0.70799999999999996</v>
      </c>
      <c r="E18" s="394" t="s">
        <v>188</v>
      </c>
      <c r="F18" s="410"/>
      <c r="G18" s="429"/>
      <c r="H18" s="491"/>
      <c r="I18" s="494"/>
      <c r="J18" s="520"/>
      <c r="K18" s="491">
        <f>D18*(Effluent!C11+Effluent!C12)</f>
        <v>121397.21999999999</v>
      </c>
      <c r="L18" s="412"/>
      <c r="M18" s="491"/>
      <c r="N18" s="660"/>
      <c r="O18" s="495">
        <f>D18*(Effluent!D11+Effluent!D12)</f>
        <v>103782.18</v>
      </c>
      <c r="P18" s="491"/>
      <c r="Q18" s="491"/>
      <c r="R18" s="491"/>
      <c r="S18" s="521">
        <f>D18*(Effluent!E11+Effluent!E12)</f>
        <v>97534.080000000002</v>
      </c>
      <c r="T18" s="657"/>
      <c r="U18" s="538"/>
      <c r="V18" s="491"/>
      <c r="W18" s="490">
        <f>D18*(Effluent!F11+Effluent!F12)</f>
        <v>90146.099999999991</v>
      </c>
      <c r="X18" s="845">
        <f>K18+O18+S18+W18</f>
        <v>412859.57999999996</v>
      </c>
      <c r="Y18" s="393">
        <f>X57+X93+X129+X165+X201</f>
        <v>412859.57999999996</v>
      </c>
      <c r="Z18" s="753">
        <f>X57+X93+X129+X165+X201</f>
        <v>412859.57999999996</v>
      </c>
      <c r="AA18" s="491"/>
      <c r="AB18" s="846"/>
      <c r="AH18" s="39"/>
      <c r="AI18" s="39"/>
      <c r="AJ18" s="39"/>
      <c r="AK18" s="39"/>
      <c r="AL18" s="39"/>
      <c r="AM18" s="39"/>
      <c r="AO18" s="4726"/>
      <c r="AP18" s="4726"/>
      <c r="AQ18" s="4726"/>
      <c r="AR18" s="4726"/>
      <c r="AS18" s="4726"/>
      <c r="AT18" s="4726"/>
      <c r="AU18" s="4726"/>
      <c r="AV18" s="534"/>
    </row>
    <row r="19" spans="1:48" x14ac:dyDescent="0.25">
      <c r="A19" s="460" t="s">
        <v>171</v>
      </c>
      <c r="B19" s="461" t="s">
        <v>193</v>
      </c>
      <c r="C19" s="462"/>
      <c r="D19" s="463"/>
      <c r="E19" s="464"/>
      <c r="F19" s="465"/>
      <c r="G19" s="4738"/>
      <c r="H19" s="468">
        <f>H7+H8+H10+H11+H12+H14+H15+H16+H17+H18</f>
        <v>8954458.6015629359</v>
      </c>
      <c r="I19" s="468">
        <f t="shared" ref="I19:W19" si="7">I7+I8+I10+I11+I12+I14+I15+I16+I17+I18</f>
        <v>466.60057436376735</v>
      </c>
      <c r="J19" s="468">
        <f t="shared" si="7"/>
        <v>470.03684658598189</v>
      </c>
      <c r="K19" s="468">
        <f t="shared" si="7"/>
        <v>9405754.8019904085</v>
      </c>
      <c r="L19" s="466">
        <f t="shared" si="7"/>
        <v>7285365.7234569956</v>
      </c>
      <c r="M19" s="468">
        <f t="shared" si="7"/>
        <v>377.98675051659336</v>
      </c>
      <c r="N19" s="468">
        <f t="shared" si="7"/>
        <v>380.23162430615503</v>
      </c>
      <c r="O19" s="471">
        <f t="shared" si="7"/>
        <v>7637985.3129125908</v>
      </c>
      <c r="P19" s="468">
        <f t="shared" si="7"/>
        <v>7244475.3978326637</v>
      </c>
      <c r="Q19" s="468">
        <f t="shared" si="7"/>
        <v>375.70783248835187</v>
      </c>
      <c r="R19" s="468">
        <f t="shared" si="7"/>
        <v>376.871650549538</v>
      </c>
      <c r="S19" s="468">
        <f>S7+S8+S10+S11+S12+S14+S15+S16+S17+S18</f>
        <v>7600918.2845379664</v>
      </c>
      <c r="T19" s="468">
        <f t="shared" si="7"/>
        <v>3015766.5296616061</v>
      </c>
      <c r="U19" s="468">
        <f t="shared" si="7"/>
        <v>157.13511613784891</v>
      </c>
      <c r="V19" s="468">
        <f t="shared" si="7"/>
        <v>156.53988735139862</v>
      </c>
      <c r="W19" s="468">
        <f t="shared" si="7"/>
        <v>3151795.483061587</v>
      </c>
      <c r="X19" s="3161">
        <f>K19+O19+S19+W19</f>
        <v>27796453.882502552</v>
      </c>
      <c r="Y19" s="586">
        <f>X58+X94+X130+X166+X202</f>
        <v>27796449.847869325</v>
      </c>
      <c r="Z19" s="586">
        <f>X58+X94+X130+X166+X202</f>
        <v>27796449.847869325</v>
      </c>
      <c r="AB19" s="1"/>
      <c r="AH19" s="39"/>
      <c r="AI19" s="39"/>
      <c r="AJ19" s="39"/>
      <c r="AK19" s="39"/>
      <c r="AL19" s="39"/>
      <c r="AM19" s="39"/>
      <c r="AN19" s="904" t="s">
        <v>349</v>
      </c>
      <c r="AO19" s="4727">
        <v>637157.71</v>
      </c>
      <c r="AP19" s="4728">
        <v>167976.5</v>
      </c>
      <c r="AQ19" s="4728">
        <v>234587.25</v>
      </c>
      <c r="AR19" s="4728">
        <v>50885.8</v>
      </c>
      <c r="AS19" s="4728">
        <v>159097</v>
      </c>
      <c r="AT19" s="4728">
        <v>24177.360000000001</v>
      </c>
      <c r="AU19" s="415">
        <f>X181</f>
        <v>38822.062945838246</v>
      </c>
      <c r="AV19" s="383">
        <f>X219</f>
        <v>909.52176334870535</v>
      </c>
    </row>
    <row r="20" spans="1:48" s="9" customFormat="1" ht="26.25" x14ac:dyDescent="0.25">
      <c r="A20" s="4739" t="s">
        <v>169</v>
      </c>
      <c r="B20" s="473"/>
      <c r="C20" s="474"/>
      <c r="D20" s="475"/>
      <c r="E20" s="476"/>
      <c r="F20" s="477"/>
      <c r="G20" s="478"/>
      <c r="H20" s="479"/>
      <c r="I20" s="479"/>
      <c r="J20" s="479"/>
      <c r="K20" s="479"/>
      <c r="L20" s="482"/>
      <c r="M20" s="480"/>
      <c r="N20" s="480"/>
      <c r="O20" s="621"/>
      <c r="P20" s="480"/>
      <c r="Q20" s="480"/>
      <c r="R20" s="480"/>
      <c r="S20" s="483"/>
      <c r="T20" s="480"/>
      <c r="U20" s="480"/>
      <c r="V20" s="480"/>
      <c r="W20" s="480"/>
      <c r="X20" s="484">
        <f t="shared" si="6"/>
        <v>0</v>
      </c>
      <c r="Y20" s="393"/>
      <c r="Z20" s="393"/>
      <c r="AH20" s="39"/>
      <c r="AI20" s="39"/>
      <c r="AJ20" s="39"/>
      <c r="AK20" s="39"/>
      <c r="AL20" s="39"/>
      <c r="AM20" s="39"/>
      <c r="AN20" s="905" t="s">
        <v>350</v>
      </c>
      <c r="AO20" s="4729">
        <f t="shared" ref="AO20:AU20" si="8">AO19/AO15</f>
        <v>3.2070526693028865E-2</v>
      </c>
      <c r="AP20" s="4729">
        <f t="shared" si="8"/>
        <v>7.030991336857971E-2</v>
      </c>
      <c r="AQ20" s="4729">
        <f t="shared" si="8"/>
        <v>4.8236640163735224E-2</v>
      </c>
      <c r="AR20" s="4729">
        <f t="shared" si="8"/>
        <v>7.6196765300881528E-2</v>
      </c>
      <c r="AS20" s="4729">
        <f t="shared" si="8"/>
        <v>1.788776480799804E-2</v>
      </c>
      <c r="AT20" s="4729">
        <f t="shared" si="8"/>
        <v>5.9380605915327466E-3</v>
      </c>
      <c r="AU20" s="2003">
        <f t="shared" si="8"/>
        <v>4.7883633592294434E-3</v>
      </c>
      <c r="AV20" s="428"/>
    </row>
    <row r="21" spans="1:48" s="8" customFormat="1" ht="15.75" thickBot="1" x14ac:dyDescent="0.3">
      <c r="A21" s="237" t="s">
        <v>258</v>
      </c>
      <c r="B21" s="485" t="s">
        <v>29</v>
      </c>
      <c r="C21" s="299"/>
      <c r="D21" s="408">
        <v>1.04</v>
      </c>
      <c r="E21" s="409" t="s">
        <v>259</v>
      </c>
      <c r="F21" s="408"/>
      <c r="G21" s="486"/>
      <c r="H21" s="488"/>
      <c r="I21" s="488"/>
      <c r="J21" s="489"/>
      <c r="K21" s="491">
        <f>D21*(Energy!C13+Energy!H13+Energy!M13+Energy!W13)</f>
        <v>122773213.68312624</v>
      </c>
      <c r="L21" s="412"/>
      <c r="M21" s="491"/>
      <c r="N21" s="492"/>
      <c r="O21" s="652">
        <f>D21*(Energy!D13+Energy!I13+Energy!N13+Energy!X13)</f>
        <v>117037046.99512801</v>
      </c>
      <c r="P21" s="626"/>
      <c r="Q21" s="494"/>
      <c r="R21" s="491"/>
      <c r="S21" s="495">
        <f>D21*(Energy!E13+Energy!J13+Energy!O13+Energy!Y13)</f>
        <v>105095695.11168002</v>
      </c>
      <c r="T21" s="496"/>
      <c r="U21" s="497"/>
      <c r="V21" s="491"/>
      <c r="W21" s="490">
        <f>D21*(Energy!Z13+Energy!P13+Energy!K13+Energy!F13)</f>
        <v>83242919.976735994</v>
      </c>
      <c r="X21" s="845">
        <f t="shared" si="6"/>
        <v>428148875.76667029</v>
      </c>
      <c r="Y21" s="393">
        <f>X60+X96+X132+X204</f>
        <v>428148875.76667023</v>
      </c>
      <c r="Z21" s="586">
        <f>X60+X96+X132+X204</f>
        <v>428148875.76667023</v>
      </c>
      <c r="AH21" s="39"/>
      <c r="AI21" s="39"/>
      <c r="AJ21" s="39"/>
      <c r="AK21" s="39"/>
      <c r="AL21" s="39"/>
      <c r="AM21" s="39"/>
      <c r="AN21" s="904" t="s">
        <v>351</v>
      </c>
      <c r="AO21" s="4730">
        <f t="shared" ref="AO21:AU21" si="9">AO19/AO16</f>
        <v>0.15356219446873656</v>
      </c>
      <c r="AP21" s="4730">
        <f t="shared" si="9"/>
        <v>0.21357225410008024</v>
      </c>
      <c r="AQ21" s="4730">
        <f t="shared" si="9"/>
        <v>0.10911562089799948</v>
      </c>
      <c r="AR21" s="4730">
        <f t="shared" si="9"/>
        <v>0.99440709763151724</v>
      </c>
      <c r="AS21" s="4730">
        <f t="shared" si="9"/>
        <v>0.1508616438938096</v>
      </c>
      <c r="AT21" s="4730">
        <f t="shared" si="9"/>
        <v>0.10735902593682976</v>
      </c>
      <c r="AU21" s="4731">
        <f t="shared" si="9"/>
        <v>4.1347009014743384E-2</v>
      </c>
      <c r="AV21" s="428"/>
    </row>
    <row r="22" spans="1:48" x14ac:dyDescent="0.25">
      <c r="A22" s="237" t="s">
        <v>260</v>
      </c>
      <c r="B22" s="485" t="s">
        <v>29</v>
      </c>
      <c r="C22" s="299"/>
      <c r="D22" s="498">
        <v>0.52900000000000003</v>
      </c>
      <c r="E22" s="409" t="s">
        <v>259</v>
      </c>
      <c r="F22" s="408"/>
      <c r="G22" s="486"/>
      <c r="H22" s="488"/>
      <c r="I22" s="488"/>
      <c r="J22" s="489"/>
      <c r="K22" s="491">
        <f>D22*Energy!R13</f>
        <v>7119745.4040000001</v>
      </c>
      <c r="L22" s="412"/>
      <c r="M22" s="491"/>
      <c r="N22" s="499"/>
      <c r="O22" s="4747">
        <f>D22*Energy!S13</f>
        <v>7142465.4250000007</v>
      </c>
      <c r="P22" s="491"/>
      <c r="Q22" s="494"/>
      <c r="R22" s="491"/>
      <c r="S22" s="495">
        <f>D22*Energy!T13</f>
        <v>7329640.4369999999</v>
      </c>
      <c r="T22" s="500"/>
      <c r="U22" s="497"/>
      <c r="V22" s="491"/>
      <c r="W22" s="490">
        <f>D22*Energy!U13</f>
        <v>2052187.5467759841</v>
      </c>
      <c r="X22" s="845">
        <f t="shared" si="6"/>
        <v>23644038.812775984</v>
      </c>
      <c r="Y22" s="393">
        <f>X168</f>
        <v>23644038.812775984</v>
      </c>
      <c r="Z22" s="393">
        <f>X168</f>
        <v>23644038.812775984</v>
      </c>
      <c r="AA22" s="445"/>
      <c r="AH22" s="39"/>
      <c r="AI22" s="39"/>
      <c r="AJ22" s="39"/>
      <c r="AK22" s="39"/>
      <c r="AL22" s="39"/>
      <c r="AM22" s="143" t="s">
        <v>322</v>
      </c>
      <c r="AN22" s="143" t="s">
        <v>346</v>
      </c>
      <c r="AO22" s="4732">
        <f>X37</f>
        <v>483431.14002312883</v>
      </c>
      <c r="AP22" s="4732">
        <f>X73</f>
        <v>215701.38486457351</v>
      </c>
      <c r="AQ22" s="4732">
        <f>X109</f>
        <v>180407.88427993082</v>
      </c>
      <c r="AR22" s="4732">
        <f>X145</f>
        <v>47590.282134804285</v>
      </c>
      <c r="AS22" s="4732" t="e">
        <f>#REF!</f>
        <v>#REF!</v>
      </c>
      <c r="AT22" s="4732">
        <f>X181</f>
        <v>38822.062945838246</v>
      </c>
      <c r="AU22" s="4733"/>
      <c r="AV22" s="137"/>
    </row>
    <row r="23" spans="1:48" s="9" customFormat="1" x14ac:dyDescent="0.25">
      <c r="A23" s="237" t="s">
        <v>622</v>
      </c>
      <c r="B23" s="485"/>
      <c r="C23" s="299"/>
      <c r="D23" s="299">
        <v>0.25559999999999999</v>
      </c>
      <c r="E23" s="409" t="s">
        <v>259</v>
      </c>
      <c r="F23" s="408"/>
      <c r="G23" s="486"/>
      <c r="H23" s="387"/>
      <c r="I23" s="387"/>
      <c r="J23" s="846"/>
      <c r="K23" s="491">
        <f>D23*Energy!AB13</f>
        <v>1867.4135999999999</v>
      </c>
      <c r="L23" s="412"/>
      <c r="M23" s="491"/>
      <c r="N23" s="651"/>
      <c r="O23" s="4748">
        <f>D23*Energy!AC13</f>
        <v>1712.52</v>
      </c>
      <c r="P23" s="491"/>
      <c r="Q23" s="491"/>
      <c r="R23" s="491"/>
      <c r="S23" s="490">
        <f>D23*Energy!AD13</f>
        <v>1789.9667999999999</v>
      </c>
      <c r="T23" s="2376"/>
      <c r="U23" s="497"/>
      <c r="V23" s="491"/>
      <c r="W23" s="490">
        <f>D23*Energy!AE13</f>
        <v>1789.9667999999999</v>
      </c>
      <c r="X23" s="845">
        <f t="shared" si="6"/>
        <v>7159.8671999999997</v>
      </c>
      <c r="Y23" s="393">
        <f>X205</f>
        <v>7159.8671999999997</v>
      </c>
      <c r="Z23" s="393">
        <f>X205</f>
        <v>7159.8671999999997</v>
      </c>
      <c r="AH23" s="39"/>
      <c r="AI23" s="39"/>
      <c r="AJ23" s="39"/>
      <c r="AK23" s="39"/>
      <c r="AL23" s="39"/>
      <c r="AM23" s="39"/>
      <c r="AN23" s="39"/>
      <c r="AO23" s="4729"/>
      <c r="AP23" s="4729"/>
      <c r="AQ23" s="4729"/>
      <c r="AR23" s="4729"/>
      <c r="AS23" s="4729"/>
      <c r="AT23" s="4729"/>
      <c r="AU23" s="842"/>
      <c r="AV23" s="22"/>
    </row>
    <row r="24" spans="1:48" x14ac:dyDescent="0.25">
      <c r="A24" s="460" t="s">
        <v>172</v>
      </c>
      <c r="B24" s="501" t="s">
        <v>193</v>
      </c>
      <c r="C24" s="462"/>
      <c r="D24" s="463"/>
      <c r="E24" s="502"/>
      <c r="F24" s="463"/>
      <c r="G24" s="503"/>
      <c r="H24" s="4737"/>
      <c r="I24" s="504"/>
      <c r="J24" s="504"/>
      <c r="K24" s="468">
        <f>SUM(K21:K23)</f>
        <v>129894826.50072624</v>
      </c>
      <c r="L24" s="466"/>
      <c r="M24" s="467"/>
      <c r="N24" s="467"/>
      <c r="O24" s="472">
        <f>SUM(O21:O23)</f>
        <v>124181224.940128</v>
      </c>
      <c r="P24" s="468"/>
      <c r="Q24" s="467"/>
      <c r="R24" s="467"/>
      <c r="S24" s="472">
        <f>SUM(S21:S23)</f>
        <v>112427125.51548003</v>
      </c>
      <c r="T24" s="505"/>
      <c r="U24" s="467"/>
      <c r="V24" s="470"/>
      <c r="W24" s="472">
        <f>SUM(W21:W23)</f>
        <v>85296897.49031198</v>
      </c>
      <c r="X24" s="4678">
        <f t="shared" si="6"/>
        <v>451800074.44664627</v>
      </c>
      <c r="Y24" s="393">
        <f>X60+X96+X132+X168+X206</f>
        <v>451800074.44664615</v>
      </c>
      <c r="Z24" s="393">
        <f>X61+X97+X133+X169+X206</f>
        <v>451800074.44664615</v>
      </c>
      <c r="AH24" s="39"/>
      <c r="AI24" s="39"/>
      <c r="AJ24" s="39"/>
      <c r="AK24" s="39"/>
      <c r="AL24" s="39"/>
      <c r="AM24" s="39"/>
      <c r="AN24" s="39" t="s">
        <v>347</v>
      </c>
      <c r="AO24" s="4729">
        <f>X38</f>
        <v>3.9189059225099555E-2</v>
      </c>
      <c r="AP24" s="4729">
        <f>X74</f>
        <v>5.099045441795285E-2</v>
      </c>
      <c r="AQ24" s="4729">
        <f>X110</f>
        <v>6.155313793365419E-2</v>
      </c>
      <c r="AR24" s="4729">
        <f>X146</f>
        <v>5.336998461913333E-2</v>
      </c>
      <c r="AS24" s="4729" t="e">
        <f>#REF!</f>
        <v>#REF!</v>
      </c>
      <c r="AT24" s="4729">
        <f>X182</f>
        <v>9.0642125045253263E-3</v>
      </c>
      <c r="AU24" s="842"/>
      <c r="AV24" s="22"/>
    </row>
    <row r="25" spans="1:48" x14ac:dyDescent="0.25">
      <c r="A25" s="4740" t="s">
        <v>173</v>
      </c>
      <c r="B25" s="507"/>
      <c r="C25" s="508"/>
      <c r="D25" s="509" t="s">
        <v>178</v>
      </c>
      <c r="E25" s="510"/>
      <c r="F25" s="509"/>
      <c r="G25" s="511"/>
      <c r="H25" s="512"/>
      <c r="I25" s="512"/>
      <c r="J25" s="512"/>
      <c r="K25" s="514"/>
      <c r="L25" s="515"/>
      <c r="M25" s="514"/>
      <c r="N25" s="514"/>
      <c r="O25" s="513"/>
      <c r="P25" s="514"/>
      <c r="Q25" s="514"/>
      <c r="R25" s="514"/>
      <c r="S25" s="513"/>
      <c r="T25" s="514"/>
      <c r="U25" s="514"/>
      <c r="V25" s="514"/>
      <c r="W25" s="514"/>
      <c r="X25" s="514"/>
      <c r="Y25" s="393"/>
      <c r="Z25" s="393"/>
      <c r="AH25" s="39"/>
      <c r="AI25" s="39"/>
      <c r="AJ25" s="39"/>
      <c r="AK25" s="39"/>
      <c r="AL25" s="39"/>
      <c r="AM25" s="39"/>
      <c r="AN25" s="906" t="s">
        <v>348</v>
      </c>
      <c r="AO25" s="4730">
        <f>X39</f>
        <v>0.13469139653770559</v>
      </c>
      <c r="AP25" s="4730">
        <f>X75</f>
        <v>0.13665823061464918</v>
      </c>
      <c r="AQ25" s="4730">
        <f>X111</f>
        <v>0.109765967853443</v>
      </c>
      <c r="AR25" s="4730">
        <f>X147</f>
        <v>0.68894172049115776</v>
      </c>
      <c r="AS25" s="4730" t="e">
        <f>#REF!</f>
        <v>#REF!</v>
      </c>
      <c r="AT25" s="4730">
        <f>X183</f>
        <v>0.13021857225317227</v>
      </c>
      <c r="AU25" s="842"/>
      <c r="AV25" s="22"/>
    </row>
    <row r="26" spans="1:48" s="116" customFormat="1" x14ac:dyDescent="0.25">
      <c r="A26" s="1622" t="s">
        <v>631</v>
      </c>
      <c r="B26" s="1623" t="s">
        <v>27</v>
      </c>
      <c r="C26" s="842">
        <v>37.5</v>
      </c>
      <c r="D26" s="843">
        <v>70000</v>
      </c>
      <c r="E26" s="394" t="s">
        <v>185</v>
      </c>
      <c r="F26" s="410">
        <v>0.5</v>
      </c>
      <c r="G26" s="429">
        <v>2</v>
      </c>
      <c r="H26" s="491">
        <f>(C26*D26/1000000*'company plane'!F51)</f>
        <v>0</v>
      </c>
      <c r="I26" s="516">
        <f>(C26*F26/1000000)*'company plane'!F51</f>
        <v>0</v>
      </c>
      <c r="J26" s="520">
        <f>(C26*G26/1000000)*'company plane'!F51</f>
        <v>0</v>
      </c>
      <c r="K26" s="491">
        <f>(H26*1)+(I26*28)+(J26*265)</f>
        <v>0</v>
      </c>
      <c r="L26" s="412">
        <f>(C26*D26/1000000)*'company plane'!J38</f>
        <v>23488.5</v>
      </c>
      <c r="M26" s="491">
        <f>(C26*F26/1000000)*'company plane'!J38</f>
        <v>0.16777499999999998</v>
      </c>
      <c r="N26" s="518">
        <f>(C26*G26/1000000)*'company plane'!J38</f>
        <v>0.67109999999999992</v>
      </c>
      <c r="O26" s="628">
        <f>(L26*1)+(M26*28)+(N26*265)</f>
        <v>23671.039199999999</v>
      </c>
      <c r="P26" s="491">
        <f>(C26*D26/1000000)*'company plane'!N38</f>
        <v>0</v>
      </c>
      <c r="Q26" s="491">
        <f>(C26*F26/1000000)*'company plane'!N38</f>
        <v>0</v>
      </c>
      <c r="R26" s="491">
        <f>(C26*G26/1000000)*'company plane'!N38</f>
        <v>0</v>
      </c>
      <c r="S26" s="490">
        <f>(P26*1)+(Q26*28)+(R26*265)</f>
        <v>0</v>
      </c>
      <c r="T26" s="519">
        <f>(C26*D26/1000000)*'company plane'!R38</f>
        <v>0</v>
      </c>
      <c r="U26" s="491">
        <f>(C26*F26/1000000)*'company plane'!R38</f>
        <v>0</v>
      </c>
      <c r="V26" s="491">
        <f>(C26*G26/1000000)*'company plane'!R38</f>
        <v>0</v>
      </c>
      <c r="W26" s="490">
        <f>(T26*1)+(U26*28)+(V26*265)</f>
        <v>0</v>
      </c>
      <c r="X26" s="845">
        <f>K26+O26+S26+W26</f>
        <v>23671.039199999999</v>
      </c>
      <c r="Y26" s="393">
        <f>X63+X99+X135+X171+X209</f>
        <v>23671.039199999999</v>
      </c>
      <c r="Z26" s="393">
        <f>X63+X99+X135+X171+X207</f>
        <v>17753.279399999999</v>
      </c>
      <c r="AH26" s="39"/>
      <c r="AI26" s="39"/>
      <c r="AJ26" s="39"/>
      <c r="AK26" s="39"/>
      <c r="AL26" s="39"/>
      <c r="AM26" s="39"/>
      <c r="AN26" s="906"/>
      <c r="AO26" s="4200"/>
      <c r="AP26" s="4200"/>
      <c r="AQ26" s="4200"/>
      <c r="AR26" s="4200"/>
      <c r="AS26" s="4200"/>
      <c r="AT26" s="4200"/>
      <c r="AU26" s="842"/>
      <c r="AV26" s="39"/>
    </row>
    <row r="27" spans="1:48" s="116" customFormat="1" ht="46.5" thickBot="1" x14ac:dyDescent="0.3">
      <c r="A27" s="4741" t="s">
        <v>1121</v>
      </c>
      <c r="B27" s="847" t="s">
        <v>175</v>
      </c>
      <c r="C27" s="842"/>
      <c r="D27" s="843"/>
      <c r="E27" s="844"/>
      <c r="F27" s="1626"/>
      <c r="G27" s="1627"/>
      <c r="H27" s="846"/>
      <c r="I27" s="846"/>
      <c r="J27" s="846"/>
      <c r="K27" s="491">
        <f>K64+K100+K136+K172+K208</f>
        <v>133207.46195999999</v>
      </c>
      <c r="L27" s="412"/>
      <c r="M27" s="491"/>
      <c r="N27" s="491"/>
      <c r="O27" s="490">
        <f>O64+O100+O136+O172+O208</f>
        <v>133207.46195999999</v>
      </c>
      <c r="P27" s="491"/>
      <c r="Q27" s="491"/>
      <c r="R27" s="491"/>
      <c r="S27" s="490">
        <f>S64+S100+S136+S172+S208</f>
        <v>133207.46195999999</v>
      </c>
      <c r="T27" s="491"/>
      <c r="U27" s="491"/>
      <c r="V27" s="491"/>
      <c r="W27" s="491">
        <f>W64+W100+W136+W172+W208</f>
        <v>133207.46195999999</v>
      </c>
      <c r="X27" s="845">
        <f>K27+O27+S27+W27</f>
        <v>532829.84783999994</v>
      </c>
      <c r="Y27" s="4906">
        <f>X64+X100+X136+X172+X209</f>
        <v>538747.60763999994</v>
      </c>
      <c r="Z27" s="393">
        <f>X64+X100+X136+X172+X208</f>
        <v>532829.84783999994</v>
      </c>
      <c r="AH27" s="39"/>
      <c r="AI27" s="39"/>
      <c r="AJ27" s="39"/>
      <c r="AK27" s="39"/>
      <c r="AL27" s="39"/>
      <c r="AM27" s="45" t="s">
        <v>352</v>
      </c>
      <c r="AN27" s="907"/>
      <c r="AO27" s="4734">
        <f t="shared" ref="AO27:AU27" si="10">(AO25-AO21)/AO21</f>
        <v>-0.12288700351226642</v>
      </c>
      <c r="AP27" s="4734">
        <f t="shared" si="10"/>
        <v>-0.36013115940326706</v>
      </c>
      <c r="AQ27" s="4734">
        <f t="shared" si="10"/>
        <v>5.9601636327713857E-3</v>
      </c>
      <c r="AR27" s="4734">
        <f t="shared" si="10"/>
        <v>-0.30718342404023274</v>
      </c>
      <c r="AS27" s="4734" t="e">
        <f t="shared" si="10"/>
        <v>#REF!</v>
      </c>
      <c r="AT27" s="4734">
        <f t="shared" si="10"/>
        <v>0.21292617101232922</v>
      </c>
      <c r="AU27" s="4735">
        <f t="shared" si="10"/>
        <v>-1</v>
      </c>
      <c r="AV27" s="45" t="e">
        <f>(AV25-AV21)/AV21</f>
        <v>#DIV/0!</v>
      </c>
    </row>
    <row r="28" spans="1:48" x14ac:dyDescent="0.25">
      <c r="A28" s="384" t="s">
        <v>1052</v>
      </c>
      <c r="B28" s="384" t="s">
        <v>175</v>
      </c>
      <c r="C28" s="299">
        <v>34.200000000000003</v>
      </c>
      <c r="D28" s="2963">
        <v>0.18084</v>
      </c>
      <c r="E28" s="409" t="s">
        <v>1053</v>
      </c>
      <c r="F28" s="421"/>
      <c r="G28" s="422"/>
      <c r="H28" s="491"/>
      <c r="I28" s="520"/>
      <c r="J28" s="520"/>
      <c r="K28" s="491">
        <f>0.18084*'Business travel'!E63</f>
        <v>5975.0114688000012</v>
      </c>
      <c r="L28" s="412"/>
      <c r="M28" s="491"/>
      <c r="N28" s="492"/>
      <c r="O28" s="490">
        <f>0.18084*'Business travel'!I63</f>
        <v>6569.034700799999</v>
      </c>
      <c r="P28" s="430"/>
      <c r="Q28" s="491"/>
      <c r="R28" s="491"/>
      <c r="S28" s="490">
        <f>0.18084*'Business travel'!M63</f>
        <v>6034.4427263999996</v>
      </c>
      <c r="T28" s="524"/>
      <c r="U28" s="430"/>
      <c r="V28" s="491"/>
      <c r="W28" s="491">
        <f>0.18084*'Business travel'!Q63</f>
        <v>27.625118399999998</v>
      </c>
      <c r="X28" s="845">
        <f>K28+O28+S28+W28</f>
        <v>18606.114014399998</v>
      </c>
      <c r="Y28" s="406">
        <f>X65+X101+X137+X173+X210</f>
        <v>18606.114014400002</v>
      </c>
      <c r="Z28" s="393">
        <f>X65+X101+X137+X173+X210</f>
        <v>18606.114014400002</v>
      </c>
      <c r="AH28" s="39"/>
      <c r="AI28" s="39"/>
      <c r="AJ28" s="39"/>
      <c r="AK28" s="5030"/>
      <c r="AL28" s="5030"/>
    </row>
    <row r="29" spans="1:48" x14ac:dyDescent="0.25">
      <c r="A29" s="2907" t="s">
        <v>310</v>
      </c>
      <c r="B29" s="3153" t="s">
        <v>27</v>
      </c>
      <c r="C29" s="2861">
        <v>37.5</v>
      </c>
      <c r="D29" s="2862">
        <v>70000</v>
      </c>
      <c r="E29" s="2863" t="s">
        <v>185</v>
      </c>
      <c r="F29" s="2862">
        <v>0.5</v>
      </c>
      <c r="G29" s="2864">
        <v>2</v>
      </c>
      <c r="H29" s="2869"/>
      <c r="I29" s="2866"/>
      <c r="J29" s="2867"/>
      <c r="K29" s="2886"/>
      <c r="L29" s="2865"/>
      <c r="M29" s="2869"/>
      <c r="N29" s="2870"/>
      <c r="O29" s="4749"/>
      <c r="P29" s="2866"/>
      <c r="Q29" s="2869"/>
      <c r="R29" s="2869"/>
      <c r="S29" s="2872"/>
      <c r="T29" s="2873"/>
      <c r="U29" s="2874"/>
      <c r="V29" s="2869"/>
      <c r="W29" s="2875"/>
      <c r="X29" s="4679">
        <f>K29+O29+S29+W29</f>
        <v>0</v>
      </c>
      <c r="Y29" s="406"/>
      <c r="Z29" s="393">
        <f>X66+X102+X138+X174+X211</f>
        <v>0</v>
      </c>
      <c r="AH29" s="39"/>
      <c r="AI29" s="39"/>
      <c r="AJ29" s="39"/>
      <c r="AK29" s="39"/>
      <c r="AL29" s="39"/>
    </row>
    <row r="30" spans="1:48" s="9" customFormat="1" x14ac:dyDescent="0.25">
      <c r="A30" s="2907" t="s">
        <v>311</v>
      </c>
      <c r="B30" s="3153" t="s">
        <v>27</v>
      </c>
      <c r="C30" s="2861">
        <v>33.9</v>
      </c>
      <c r="D30" s="2862">
        <v>70000</v>
      </c>
      <c r="E30" s="2863" t="s">
        <v>185</v>
      </c>
      <c r="F30" s="2862">
        <v>0.5</v>
      </c>
      <c r="G30" s="2864">
        <v>2</v>
      </c>
      <c r="H30" s="2869"/>
      <c r="I30" s="2866"/>
      <c r="J30" s="2877"/>
      <c r="K30" s="2869"/>
      <c r="L30" s="2865"/>
      <c r="M30" s="2869"/>
      <c r="N30" s="2870"/>
      <c r="O30" s="2872"/>
      <c r="P30" s="2866"/>
      <c r="Q30" s="2869"/>
      <c r="R30" s="2869"/>
      <c r="S30" s="2875"/>
      <c r="T30" s="2878"/>
      <c r="U30" s="2869"/>
      <c r="V30" s="2869"/>
      <c r="W30" s="2875"/>
      <c r="X30" s="4679"/>
      <c r="Y30" s="406"/>
      <c r="Z30" s="393"/>
      <c r="AB30" s="445"/>
      <c r="AH30" s="39"/>
      <c r="AI30" s="39"/>
      <c r="AJ30" s="39"/>
      <c r="AK30" s="4718"/>
      <c r="AL30" s="39"/>
    </row>
    <row r="31" spans="1:48" s="849" customFormat="1" x14ac:dyDescent="0.25">
      <c r="A31" s="1605" t="s">
        <v>674</v>
      </c>
      <c r="B31" s="1571" t="s">
        <v>175</v>
      </c>
      <c r="C31" s="1572">
        <v>0.25492999999999999</v>
      </c>
      <c r="D31" s="1715">
        <v>0.15831999999999999</v>
      </c>
      <c r="E31" s="1573">
        <v>0.19561999999999999</v>
      </c>
      <c r="F31" s="1716">
        <v>0.18078</v>
      </c>
      <c r="G31" s="1574"/>
      <c r="H31" s="1575"/>
      <c r="I31" s="1576"/>
      <c r="J31" s="1606"/>
      <c r="K31" s="1575">
        <f>(C31*'Business travel'!Z8)+(D31*'Business travel'!AA8)+(E31*'Business travel'!AB8)+(F31*'Business travel'!AC8)</f>
        <v>149513.72383999999</v>
      </c>
      <c r="L31" s="1578"/>
      <c r="M31" s="1575"/>
      <c r="N31" s="1577"/>
      <c r="O31" s="4750">
        <f>(C31*'Business travel'!Z12)+(D31*'Business travel'!AA12)+(E31*'Business travel'!AB12)+(F31*'Business travel'!AC12)</f>
        <v>149738.43445</v>
      </c>
      <c r="P31" s="1576"/>
      <c r="Q31" s="1575"/>
      <c r="R31" s="1575"/>
      <c r="S31" s="1583">
        <f>(C31*'Business travel'!Z16)+(D31*'Business travel'!AA16)+(E31*'Business travel'!AB16)+(F31*'Business travel'!AC16)</f>
        <v>115205.68484</v>
      </c>
      <c r="T31" s="1607"/>
      <c r="U31" s="1608"/>
      <c r="V31" s="1575"/>
      <c r="W31" s="1583">
        <f>(C31*'Business travel'!Z20)+(D31*'Business travel'!AA20)+(E31*'Business travel'!AB20)+(F31*'Business travel'!AC20)</f>
        <v>1530.71459</v>
      </c>
      <c r="X31" s="845">
        <f>K31+O31+S31+W31</f>
        <v>415988.55771999998</v>
      </c>
      <c r="Y31" s="406">
        <f>X67+X103+X139+X175+X212</f>
        <v>415988.55771999992</v>
      </c>
      <c r="Z31" s="393">
        <f>(C31*'Business travel'!Z21)+(D31*'Business travel'!AA21)+(E31*'Business travel'!AB21)+(F31*'Business travel'!AC21)</f>
        <v>415988.55771999998</v>
      </c>
      <c r="AH31" s="427"/>
      <c r="AI31" s="39"/>
      <c r="AJ31" s="39"/>
      <c r="AK31" s="4718"/>
      <c r="AL31" s="39"/>
    </row>
    <row r="32" spans="1:48" s="40" customFormat="1" x14ac:dyDescent="0.25">
      <c r="A32" s="384" t="s">
        <v>176</v>
      </c>
      <c r="B32" s="384" t="s">
        <v>32</v>
      </c>
      <c r="C32" s="299"/>
      <c r="D32" s="532">
        <v>0.87009999999999998</v>
      </c>
      <c r="E32" s="421" t="s">
        <v>186</v>
      </c>
      <c r="F32" s="410"/>
      <c r="G32" s="429"/>
      <c r="H32" s="491"/>
      <c r="I32" s="494"/>
      <c r="J32" s="529"/>
      <c r="K32" s="491">
        <f>D32*Materials!C31</f>
        <v>7352.7939715999992</v>
      </c>
      <c r="L32" s="412"/>
      <c r="M32" s="491"/>
      <c r="N32" s="499"/>
      <c r="O32" s="4747">
        <f>D32*Materials!D31</f>
        <v>6110.4129856</v>
      </c>
      <c r="P32" s="626"/>
      <c r="Q32" s="491"/>
      <c r="R32" s="491"/>
      <c r="S32" s="490">
        <f>D32*Materials!E31</f>
        <v>7413.0292543999985</v>
      </c>
      <c r="T32" s="530"/>
      <c r="U32" s="533"/>
      <c r="V32" s="491"/>
      <c r="W32" s="490">
        <f>D32*Materials!F31</f>
        <v>3539.5145939999998</v>
      </c>
      <c r="X32" s="845">
        <f>K32+O32+S32+W32</f>
        <v>24415.750805600001</v>
      </c>
      <c r="Y32" s="406">
        <f>X68+X104+X140+X176+X213</f>
        <v>24415.750805599997</v>
      </c>
      <c r="Z32" s="393">
        <f>X68+X104+X140+X176+X213</f>
        <v>24415.750805599997</v>
      </c>
      <c r="AH32" s="427"/>
      <c r="AI32" s="39"/>
      <c r="AJ32" s="39"/>
      <c r="AK32" s="4718"/>
      <c r="AL32" s="39"/>
    </row>
    <row r="33" spans="1:38" x14ac:dyDescent="0.25">
      <c r="A33" s="535" t="s">
        <v>261</v>
      </c>
      <c r="B33" s="384" t="s">
        <v>107</v>
      </c>
      <c r="C33" s="536"/>
      <c r="D33" s="2879">
        <v>586.51400000000001</v>
      </c>
      <c r="E33" s="421" t="s">
        <v>262</v>
      </c>
      <c r="F33" s="410"/>
      <c r="G33" s="429"/>
      <c r="H33" s="491"/>
      <c r="I33" s="494"/>
      <c r="J33" s="529"/>
      <c r="K33" s="423">
        <f>D33*Waste!C49</f>
        <v>474858.15679199999</v>
      </c>
      <c r="L33" s="412"/>
      <c r="M33" s="491"/>
      <c r="N33" s="499"/>
      <c r="O33" s="4747">
        <f>D33*Waste!D49</f>
        <v>473322.66314000002</v>
      </c>
      <c r="P33" s="494"/>
      <c r="Q33" s="491"/>
      <c r="R33" s="491"/>
      <c r="S33" s="490">
        <f>D33*Waste!E49</f>
        <v>458589.43145999993</v>
      </c>
      <c r="T33" s="530"/>
      <c r="U33" s="533"/>
      <c r="V33" s="491"/>
      <c r="W33" s="490">
        <f>D33*Waste!F49</f>
        <v>366190.0159</v>
      </c>
      <c r="X33" s="845">
        <f>K33+O33+S33+W33</f>
        <v>1772960.2672919999</v>
      </c>
      <c r="Y33" s="406">
        <f>X69+X105+X141+X177+X214</f>
        <v>1772960.2672919999</v>
      </c>
      <c r="Z33" s="393">
        <f>X69+X105+X141+X177</f>
        <v>1772960.2672919999</v>
      </c>
      <c r="AH33" s="39"/>
      <c r="AI33" s="39"/>
      <c r="AJ33" s="39"/>
      <c r="AK33" s="4719"/>
      <c r="AL33" s="99"/>
    </row>
    <row r="34" spans="1:38" x14ac:dyDescent="0.25">
      <c r="A34" s="535" t="s">
        <v>184</v>
      </c>
      <c r="B34" s="384" t="s">
        <v>107</v>
      </c>
      <c r="C34" s="299"/>
      <c r="D34" s="2879">
        <v>21.353999999999999</v>
      </c>
      <c r="E34" s="421" t="s">
        <v>262</v>
      </c>
      <c r="F34" s="410"/>
      <c r="G34" s="429"/>
      <c r="H34" s="491"/>
      <c r="I34" s="494"/>
      <c r="J34" s="517"/>
      <c r="K34" s="538">
        <f>D34*Waste!C60</f>
        <v>16330.898579999997</v>
      </c>
      <c r="L34" s="412"/>
      <c r="M34" s="491"/>
      <c r="N34" s="499"/>
      <c r="O34" s="654">
        <f>D34*Waste!D60</f>
        <v>11881.301537999998</v>
      </c>
      <c r="P34" s="626"/>
      <c r="Q34" s="491"/>
      <c r="R34" s="491"/>
      <c r="S34" s="490">
        <f>D34*Waste!E60</f>
        <v>13873.800569999998</v>
      </c>
      <c r="T34" s="537"/>
      <c r="U34" s="538"/>
      <c r="V34" s="491"/>
      <c r="W34" s="490">
        <f>D34*Waste!F60</f>
        <v>3253.7089799999999</v>
      </c>
      <c r="X34" s="845">
        <f>K34+O34+S34+W34</f>
        <v>45339.709667999996</v>
      </c>
      <c r="Y34" s="406">
        <f>X70+X106+X142+X178+X215</f>
        <v>45339.709667999996</v>
      </c>
      <c r="Z34" s="393">
        <f>X70+X106+X142+X178</f>
        <v>45339.709667999996</v>
      </c>
      <c r="AH34" s="39"/>
      <c r="AI34" s="39"/>
      <c r="AJ34" s="39"/>
      <c r="AK34" s="4718"/>
      <c r="AL34" s="4718"/>
    </row>
    <row r="35" spans="1:38" s="116" customFormat="1" x14ac:dyDescent="0.25">
      <c r="A35" s="1623" t="s">
        <v>183</v>
      </c>
      <c r="B35" s="1623" t="s">
        <v>181</v>
      </c>
      <c r="C35" s="842"/>
      <c r="D35" s="539">
        <v>0.34399999999999997</v>
      </c>
      <c r="E35" s="394" t="s">
        <v>188</v>
      </c>
      <c r="F35" s="410"/>
      <c r="G35" s="429"/>
      <c r="H35" s="491"/>
      <c r="I35" s="494"/>
      <c r="J35" s="520"/>
      <c r="K35" s="661">
        <f>D35*'Water Mangt'!H35</f>
        <v>365569.20247999992</v>
      </c>
      <c r="L35" s="412"/>
      <c r="M35" s="491"/>
      <c r="N35" s="629"/>
      <c r="O35" s="4751">
        <f>D35*'Water Mangt'!I35</f>
        <v>320488.32755999995</v>
      </c>
      <c r="P35" s="491"/>
      <c r="Q35" s="491"/>
      <c r="R35" s="491"/>
      <c r="S35" s="490">
        <f>D35*'Water Mangt'!J35</f>
        <v>208168.03701999996</v>
      </c>
      <c r="T35" s="494"/>
      <c r="U35" s="491"/>
      <c r="V35" s="491"/>
      <c r="W35" s="490">
        <f>D35*'Water Mangt'!K35</f>
        <v>106574.84037999999</v>
      </c>
      <c r="X35" s="4677">
        <f>'Water Mangt'!L35*'GHG '!D35</f>
        <v>1000800.4074399999</v>
      </c>
      <c r="Y35" s="406">
        <f>X71+X107+X143+X179+X217</f>
        <v>1000800.4074399999</v>
      </c>
      <c r="Z35" s="406">
        <f>X71+X107+X143+X179+X217</f>
        <v>1000800.4074399999</v>
      </c>
      <c r="AH35" s="39"/>
      <c r="AI35" s="39"/>
      <c r="AJ35" s="39"/>
      <c r="AK35" s="39"/>
      <c r="AL35" s="39"/>
    </row>
    <row r="36" spans="1:38" ht="15.75" thickBot="1" x14ac:dyDescent="0.3">
      <c r="A36" s="542" t="s">
        <v>190</v>
      </c>
      <c r="B36" s="543" t="s">
        <v>193</v>
      </c>
      <c r="C36" s="544"/>
      <c r="D36" s="545"/>
      <c r="E36" s="546"/>
      <c r="F36" s="545"/>
      <c r="G36" s="547"/>
      <c r="H36" s="552"/>
      <c r="I36" s="549"/>
      <c r="J36" s="549"/>
      <c r="K36" s="551">
        <f>SUM(K26:K35)</f>
        <v>1152807.2490924001</v>
      </c>
      <c r="L36" s="767"/>
      <c r="M36" s="551"/>
      <c r="N36" s="551"/>
      <c r="O36" s="550">
        <f>SUM(O26:O35)</f>
        <v>1124988.6755343999</v>
      </c>
      <c r="P36" s="552"/>
      <c r="Q36" s="552"/>
      <c r="R36" s="552"/>
      <c r="S36" s="553">
        <f>SUM(S26:S35)</f>
        <v>942491.88783079979</v>
      </c>
      <c r="T36" s="554"/>
      <c r="U36" s="551"/>
      <c r="V36" s="551"/>
      <c r="W36" s="550">
        <f>SUM(W26:W35)</f>
        <v>614323.88152239996</v>
      </c>
      <c r="X36" s="4680">
        <f>K36+O36+S36+W36</f>
        <v>3834611.69398</v>
      </c>
      <c r="Y36" s="4905">
        <f>X72+X108+X144+X180+X218</f>
        <v>3834611.69398</v>
      </c>
      <c r="Z36" s="2474">
        <f>X72+X108+X144+X180+X218</f>
        <v>3834611.69398</v>
      </c>
      <c r="AA36" s="445">
        <f>SUM(X26:X35)</f>
        <v>3834611.6939799995</v>
      </c>
      <c r="AH36" s="427"/>
      <c r="AI36" s="39"/>
      <c r="AJ36" s="39"/>
      <c r="AK36" s="39"/>
      <c r="AL36" s="39"/>
    </row>
    <row r="37" spans="1:38" ht="15.75" thickBot="1" x14ac:dyDescent="0.3">
      <c r="A37" s="556" t="s">
        <v>263</v>
      </c>
      <c r="B37" s="557"/>
      <c r="C37" s="557"/>
      <c r="D37" s="557"/>
      <c r="E37" s="558"/>
      <c r="F37" s="558"/>
      <c r="G37" s="4742"/>
      <c r="H37" s="560"/>
      <c r="I37" s="560"/>
      <c r="J37" s="560"/>
      <c r="K37" s="560">
        <f>(K19+K24+K36)/1000</f>
        <v>140453.38855180904</v>
      </c>
      <c r="L37" s="562"/>
      <c r="M37" s="563"/>
      <c r="N37" s="563"/>
      <c r="O37" s="564">
        <f>(O19+O24+O36)/1000</f>
        <v>132944.19892857497</v>
      </c>
      <c r="P37" s="560"/>
      <c r="Q37" s="560"/>
      <c r="R37" s="560"/>
      <c r="S37" s="561">
        <f>(S19+S24+S36)/1000</f>
        <v>120970.53568784879</v>
      </c>
      <c r="T37" s="559"/>
      <c r="U37" s="560"/>
      <c r="V37" s="560"/>
      <c r="W37" s="561">
        <f>(W19+W24+W36)/1000</f>
        <v>89063.016854895963</v>
      </c>
      <c r="X37" s="560">
        <f>(X19+X24+X36)/1000</f>
        <v>483431.14002312883</v>
      </c>
      <c r="Y37" s="406">
        <f>X73+X109+X145+X181+X219</f>
        <v>483431.1359884956</v>
      </c>
      <c r="Z37" s="393">
        <f>X73+X109+X145+X181+X219</f>
        <v>483431.1359884956</v>
      </c>
      <c r="AH37" s="39"/>
      <c r="AI37" s="39"/>
      <c r="AJ37" s="39"/>
      <c r="AK37" s="1660"/>
      <c r="AL37" s="1660"/>
    </row>
    <row r="38" spans="1:38" ht="15.75" thickBot="1" x14ac:dyDescent="0.3">
      <c r="A38" s="556" t="s">
        <v>264</v>
      </c>
      <c r="B38" s="565"/>
      <c r="C38" s="565"/>
      <c r="D38" s="565"/>
      <c r="E38" s="566"/>
      <c r="F38" s="566"/>
      <c r="G38" s="1597"/>
      <c r="H38" s="560"/>
      <c r="I38" s="560"/>
      <c r="J38" s="560"/>
      <c r="K38" s="3095">
        <f>K37/Production!C16</f>
        <v>3.5939310752582422E-2</v>
      </c>
      <c r="L38" s="3094"/>
      <c r="M38" s="3095"/>
      <c r="N38" s="3095"/>
      <c r="O38" s="2238">
        <f>O37/Production!D16</f>
        <v>3.6648365078195827E-2</v>
      </c>
      <c r="P38" s="560"/>
      <c r="Q38" s="560"/>
      <c r="R38" s="560"/>
      <c r="S38" s="2238">
        <f>S37/Production!E16</f>
        <v>3.5867490323899701E-2</v>
      </c>
      <c r="T38" s="559"/>
      <c r="U38" s="560"/>
      <c r="V38" s="560"/>
      <c r="W38" s="2238">
        <f>W37/Production!F16</f>
        <v>6.2389616035620564E-2</v>
      </c>
      <c r="X38" s="3095">
        <f>X37/Production!G16</f>
        <v>3.9189059225099555E-2</v>
      </c>
      <c r="Y38" s="4715"/>
      <c r="Z38" s="393"/>
      <c r="AA38" s="9"/>
      <c r="AB38" s="9"/>
      <c r="AC38" s="9"/>
      <c r="AD38" s="9"/>
      <c r="AE38" s="9"/>
      <c r="AF38" s="9"/>
      <c r="AG38" s="9"/>
      <c r="AH38" s="39"/>
      <c r="AI38" s="39"/>
      <c r="AJ38" s="39"/>
      <c r="AK38" s="1660"/>
      <c r="AL38" s="1660"/>
    </row>
    <row r="39" spans="1:38" ht="15.75" thickBot="1" x14ac:dyDescent="0.3">
      <c r="A39" s="556" t="s">
        <v>265</v>
      </c>
      <c r="B39" s="565"/>
      <c r="C39" s="565"/>
      <c r="D39" s="565"/>
      <c r="E39" s="566"/>
      <c r="F39" s="566"/>
      <c r="G39" s="1597"/>
      <c r="H39" s="560"/>
      <c r="I39" s="560"/>
      <c r="J39" s="560"/>
      <c r="K39" s="3095">
        <f>K37/Production!C19</f>
        <v>0.12971746235818776</v>
      </c>
      <c r="L39" s="3094"/>
      <c r="M39" s="3095"/>
      <c r="N39" s="3095"/>
      <c r="O39" s="2238">
        <f>O37/Production!D19</f>
        <v>0.13463028846678979</v>
      </c>
      <c r="P39" s="560"/>
      <c r="Q39" s="560"/>
      <c r="R39" s="560"/>
      <c r="S39" s="2238">
        <f>S37/Production!E19</f>
        <v>0.12973309834968133</v>
      </c>
      <c r="T39" s="559"/>
      <c r="U39" s="560"/>
      <c r="V39" s="560"/>
      <c r="W39" s="2238">
        <f>W37/Production!F19</f>
        <v>0.15188345373146037</v>
      </c>
      <c r="X39" s="3095">
        <f>X37/Production!G19</f>
        <v>0.13469139653770559</v>
      </c>
      <c r="Y39" s="4715"/>
      <c r="Z39" s="393"/>
      <c r="AA39" s="9"/>
      <c r="AB39" s="9"/>
      <c r="AC39" s="9"/>
      <c r="AD39" s="9"/>
      <c r="AE39" s="9"/>
      <c r="AF39" s="9"/>
      <c r="AG39" s="1"/>
      <c r="AH39" s="39"/>
      <c r="AI39" s="39"/>
      <c r="AJ39" s="39"/>
      <c r="AK39" s="1660"/>
      <c r="AL39" s="1660"/>
    </row>
    <row r="40" spans="1:38" s="9" customFormat="1" ht="15.75" thickBot="1" x14ac:dyDescent="0.3">
      <c r="A40" s="542" t="s">
        <v>1043</v>
      </c>
      <c r="B40" s="544" t="s">
        <v>32</v>
      </c>
      <c r="C40" s="544"/>
      <c r="D40" s="545"/>
      <c r="E40" s="546"/>
      <c r="F40" s="545"/>
      <c r="G40" s="547"/>
      <c r="H40" s="551"/>
      <c r="I40" s="551"/>
      <c r="J40" s="551"/>
      <c r="K40" s="468">
        <f>1810*Ozone!C28</f>
        <v>68056</v>
      </c>
      <c r="L40" s="767"/>
      <c r="M40" s="551"/>
      <c r="N40" s="551"/>
      <c r="O40" s="553">
        <f>1810*Ozone!D28</f>
        <v>57739</v>
      </c>
      <c r="P40" s="551"/>
      <c r="Q40" s="551"/>
      <c r="R40" s="551"/>
      <c r="S40" s="471">
        <f>1810*Ozone!E28</f>
        <v>41630</v>
      </c>
      <c r="T40" s="551"/>
      <c r="U40" s="551"/>
      <c r="V40" s="551"/>
      <c r="W40" s="471">
        <f>1810*Ozone!F28</f>
        <v>4525</v>
      </c>
      <c r="X40" s="4681">
        <f>K40+O40+S40+W40</f>
        <v>171950</v>
      </c>
      <c r="Y40" s="4716"/>
      <c r="Z40" s="393"/>
      <c r="AA40" s="9">
        <f>(X39-0.1239367)/0.1239367</f>
        <v>8.6775721297288028E-2</v>
      </c>
      <c r="AG40" s="1"/>
      <c r="AH40" s="39"/>
      <c r="AI40" s="39"/>
      <c r="AJ40" s="39"/>
      <c r="AK40" s="1660"/>
      <c r="AL40" s="1660"/>
    </row>
    <row r="41" spans="1:38" ht="19.5" thickBot="1" x14ac:dyDescent="0.3">
      <c r="A41" s="567" t="s">
        <v>195</v>
      </c>
      <c r="B41" s="4661"/>
      <c r="C41" s="4661"/>
      <c r="D41" s="4661"/>
      <c r="E41" s="4661"/>
      <c r="F41" s="4661"/>
      <c r="G41" s="4662"/>
      <c r="H41" s="5097" t="s">
        <v>195</v>
      </c>
      <c r="I41" s="5097"/>
      <c r="J41" s="5097"/>
      <c r="K41" s="5097"/>
      <c r="L41" s="5097"/>
      <c r="M41" s="5097"/>
      <c r="N41" s="5097"/>
      <c r="O41" s="5097"/>
      <c r="P41" s="5097"/>
      <c r="Q41" s="5097"/>
      <c r="R41" s="5097"/>
      <c r="S41" s="5097"/>
      <c r="T41" s="5097"/>
      <c r="U41" s="5097"/>
      <c r="V41" s="5097"/>
      <c r="W41" s="5097"/>
      <c r="X41" s="5114"/>
      <c r="Y41" s="4717"/>
      <c r="Z41" s="14"/>
      <c r="AA41" s="226"/>
      <c r="AB41" s="39"/>
      <c r="AC41" s="39"/>
      <c r="AD41" s="39"/>
      <c r="AE41" s="39"/>
      <c r="AF41" s="39"/>
      <c r="AG41" s="39"/>
      <c r="AH41" s="39"/>
      <c r="AI41" s="39"/>
      <c r="AJ41" s="39"/>
      <c r="AK41" s="4720"/>
      <c r="AL41" s="4720"/>
    </row>
    <row r="42" spans="1:38" ht="15.75" thickBot="1" x14ac:dyDescent="0.3">
      <c r="A42" s="5115" t="s">
        <v>189</v>
      </c>
      <c r="B42" s="5116"/>
      <c r="C42" s="5116"/>
      <c r="D42" s="5116"/>
      <c r="E42" s="5116"/>
      <c r="F42" s="5116"/>
      <c r="G42" s="5117"/>
      <c r="H42" s="5118" t="s">
        <v>3</v>
      </c>
      <c r="I42" s="5118"/>
      <c r="J42" s="5118"/>
      <c r="K42" s="5119"/>
      <c r="L42" s="5120" t="s">
        <v>4</v>
      </c>
      <c r="M42" s="5118"/>
      <c r="N42" s="5118"/>
      <c r="O42" s="5119"/>
      <c r="P42" s="5120" t="s">
        <v>5</v>
      </c>
      <c r="Q42" s="5118"/>
      <c r="R42" s="5118"/>
      <c r="S42" s="5119"/>
      <c r="T42" s="5120" t="s">
        <v>6</v>
      </c>
      <c r="U42" s="5118"/>
      <c r="V42" s="5118"/>
      <c r="W42" s="5119"/>
      <c r="X42" s="4660" t="s">
        <v>194</v>
      </c>
      <c r="Y42" s="771"/>
      <c r="Z42" s="577"/>
      <c r="AA42" s="39"/>
      <c r="AB42" s="427"/>
      <c r="AC42" s="427"/>
      <c r="AD42" s="427"/>
      <c r="AE42" s="427"/>
      <c r="AF42" s="427"/>
      <c r="AG42" s="427"/>
      <c r="AH42" s="39"/>
      <c r="AI42" s="39"/>
      <c r="AJ42" s="39"/>
      <c r="AK42" s="1660"/>
      <c r="AL42" s="1660"/>
    </row>
    <row r="43" spans="1:38" ht="15.75" thickBot="1" x14ac:dyDescent="0.3">
      <c r="A43" s="570" t="s">
        <v>170</v>
      </c>
      <c r="B43" s="571" t="s">
        <v>243</v>
      </c>
      <c r="C43" s="572" t="s">
        <v>151</v>
      </c>
      <c r="D43" s="573" t="s">
        <v>266</v>
      </c>
      <c r="E43" s="573" t="s">
        <v>179</v>
      </c>
      <c r="F43" s="573" t="s">
        <v>267</v>
      </c>
      <c r="G43" s="574" t="s">
        <v>268</v>
      </c>
      <c r="H43" s="575" t="s">
        <v>191</v>
      </c>
      <c r="I43" s="576" t="s">
        <v>269</v>
      </c>
      <c r="J43" s="575" t="s">
        <v>192</v>
      </c>
      <c r="K43" s="577" t="s">
        <v>193</v>
      </c>
      <c r="L43" s="578" t="s">
        <v>191</v>
      </c>
      <c r="M43" s="576" t="s">
        <v>269</v>
      </c>
      <c r="N43" s="575" t="s">
        <v>192</v>
      </c>
      <c r="O43" s="569" t="s">
        <v>193</v>
      </c>
      <c r="P43" s="575" t="s">
        <v>191</v>
      </c>
      <c r="Q43" s="576" t="s">
        <v>269</v>
      </c>
      <c r="R43" s="575" t="s">
        <v>192</v>
      </c>
      <c r="S43" s="577" t="s">
        <v>193</v>
      </c>
      <c r="T43" s="578" t="s">
        <v>191</v>
      </c>
      <c r="U43" s="576" t="s">
        <v>269</v>
      </c>
      <c r="V43" s="575" t="s">
        <v>192</v>
      </c>
      <c r="W43" s="577" t="s">
        <v>193</v>
      </c>
      <c r="X43" s="4686" t="s">
        <v>193</v>
      </c>
      <c r="Y43" s="4701"/>
      <c r="Z43" s="9"/>
      <c r="AA43" s="39"/>
      <c r="AB43" s="427"/>
      <c r="AC43" s="427"/>
      <c r="AD43" s="427"/>
      <c r="AE43" s="427"/>
      <c r="AF43" s="427"/>
      <c r="AG43" s="427"/>
      <c r="AH43" s="39"/>
      <c r="AI43" s="39"/>
      <c r="AJ43" s="39"/>
      <c r="AK43" s="1660"/>
      <c r="AL43" s="1660"/>
    </row>
    <row r="44" spans="1:38" x14ac:dyDescent="0.25">
      <c r="A44" s="579" t="s">
        <v>167</v>
      </c>
      <c r="B44" s="371"/>
      <c r="C44" s="304"/>
      <c r="D44" s="304"/>
      <c r="E44" s="304"/>
      <c r="F44" s="304"/>
      <c r="G44" s="372"/>
      <c r="H44" s="580"/>
      <c r="I44" s="580"/>
      <c r="J44" s="580"/>
      <c r="K44" s="580"/>
      <c r="L44" s="581"/>
      <c r="M44" s="580"/>
      <c r="N44" s="580"/>
      <c r="O44" s="582"/>
      <c r="P44" s="580"/>
      <c r="Q44" s="580"/>
      <c r="R44" s="580"/>
      <c r="S44" s="580"/>
      <c r="T44" s="581"/>
      <c r="U44" s="580"/>
      <c r="V44" s="580"/>
      <c r="W44" s="582"/>
      <c r="X44" s="581"/>
      <c r="Y44" s="583"/>
      <c r="Z44" s="9"/>
      <c r="AA44" s="39"/>
      <c r="AB44" s="427"/>
      <c r="AC44" s="427"/>
      <c r="AD44" s="427"/>
      <c r="AE44" s="427"/>
      <c r="AF44" s="427"/>
      <c r="AG44" s="39"/>
      <c r="AH44" s="39"/>
      <c r="AI44" s="39"/>
      <c r="AJ44" s="39"/>
      <c r="AK44" s="39"/>
      <c r="AL44" s="39"/>
    </row>
    <row r="45" spans="1:38" s="9" customFormat="1" x14ac:dyDescent="0.25">
      <c r="A45" s="376" t="s">
        <v>166</v>
      </c>
      <c r="B45" s="282"/>
      <c r="C45" s="199"/>
      <c r="D45" s="199"/>
      <c r="E45" s="199"/>
      <c r="F45" s="199"/>
      <c r="G45" s="377"/>
      <c r="H45" s="401"/>
      <c r="I45" s="401"/>
      <c r="J45" s="401"/>
      <c r="K45" s="401"/>
      <c r="L45" s="400"/>
      <c r="M45" s="401"/>
      <c r="N45" s="401"/>
      <c r="O45" s="402"/>
      <c r="P45" s="401"/>
      <c r="Q45" s="401"/>
      <c r="R45" s="401"/>
      <c r="S45" s="401"/>
      <c r="T45" s="400"/>
      <c r="U45" s="401"/>
      <c r="V45" s="401"/>
      <c r="W45" s="402"/>
      <c r="X45" s="400"/>
      <c r="Y45" s="584"/>
      <c r="AA45" s="39"/>
      <c r="AB45" s="427"/>
      <c r="AC45" s="427"/>
      <c r="AD45" s="427"/>
      <c r="AE45" s="427"/>
      <c r="AF45" s="427"/>
      <c r="AG45" s="39"/>
      <c r="AH45" s="39"/>
      <c r="AI45" s="39"/>
      <c r="AJ45" s="39"/>
      <c r="AK45" s="39"/>
      <c r="AL45" s="39"/>
    </row>
    <row r="46" spans="1:38" s="9" customFormat="1" x14ac:dyDescent="0.25">
      <c r="A46" s="535" t="s">
        <v>250</v>
      </c>
      <c r="B46" s="384" t="s">
        <v>27</v>
      </c>
      <c r="C46" s="299">
        <v>38.1</v>
      </c>
      <c r="D46" s="385">
        <v>74100</v>
      </c>
      <c r="E46" s="299" t="s">
        <v>185</v>
      </c>
      <c r="F46" s="299">
        <v>3</v>
      </c>
      <c r="G46" s="322">
        <v>0.6</v>
      </c>
      <c r="H46" s="387">
        <f>(C46*D46/1000000)*Energy!C10</f>
        <v>0</v>
      </c>
      <c r="I46" s="822">
        <f>(C46*F46/1000000)*Energy!C10</f>
        <v>0</v>
      </c>
      <c r="J46" s="822">
        <f>(C46*G46/1000000)*Energy!C10</f>
        <v>0</v>
      </c>
      <c r="K46" s="387">
        <f>(H46*1) +(I46*28)+(J46*265)</f>
        <v>0</v>
      </c>
      <c r="L46" s="386">
        <f>(C46*D46/1000000)*Energy!D10</f>
        <v>4548.1913100000002</v>
      </c>
      <c r="M46" s="488">
        <f>(C46*F46/1000000)*Energy!D10</f>
        <v>0.18413730000000003</v>
      </c>
      <c r="N46" s="387">
        <f>(C46*G46/1000000)*Energy!D10</f>
        <v>3.6827459999999999E-2</v>
      </c>
      <c r="O46" s="388">
        <f>(L46*1)+(M46*28)+(N46*265)</f>
        <v>4563.1064313000006</v>
      </c>
      <c r="P46" s="4907">
        <f>(C46*D46/1000000)*Energy!E10</f>
        <v>6843.4610400000001</v>
      </c>
      <c r="Q46" s="4907">
        <f>(C46*F46/1000000)*Energy!E10</f>
        <v>0.27706320000000001</v>
      </c>
      <c r="R46" s="4907">
        <f>(C46*G46/1000000)*Energy!E10</f>
        <v>5.5412639999999992E-2</v>
      </c>
      <c r="S46" s="4907">
        <f>(P46*1)+(Q46*28)+(R46*265)</f>
        <v>6865.9031592000001</v>
      </c>
      <c r="T46" s="585">
        <f>(C46*D46/1000000)*Energy!F10</f>
        <v>0</v>
      </c>
      <c r="U46" s="387">
        <f>(C46*F46/1000000)*Energy!F10</f>
        <v>0</v>
      </c>
      <c r="V46" s="387">
        <f>(C46*G46/1000000)*Energy!F10</f>
        <v>0</v>
      </c>
      <c r="W46" s="388">
        <f>(T46*1)+(U46*28)+(V46*265)</f>
        <v>0</v>
      </c>
      <c r="X46" s="386">
        <f>K46+O46+S46+W46</f>
        <v>11429.009590500002</v>
      </c>
      <c r="Y46" s="586"/>
      <c r="Z46" s="846"/>
      <c r="AA46" s="39"/>
      <c r="AB46" s="427"/>
      <c r="AC46" s="427"/>
      <c r="AD46" s="427"/>
      <c r="AE46" s="427"/>
      <c r="AF46" s="427"/>
      <c r="AG46" s="39"/>
      <c r="AH46" s="39"/>
      <c r="AI46" s="39"/>
      <c r="AJ46" s="39"/>
      <c r="AK46" s="39"/>
      <c r="AL46" s="39"/>
    </row>
    <row r="47" spans="1:38" ht="17.25" customHeight="1" x14ac:dyDescent="0.25">
      <c r="A47" s="535" t="s">
        <v>252</v>
      </c>
      <c r="B47" s="384" t="s">
        <v>32</v>
      </c>
      <c r="C47" s="299">
        <v>46.1</v>
      </c>
      <c r="D47" s="385">
        <v>63100</v>
      </c>
      <c r="E47" s="299" t="s">
        <v>185</v>
      </c>
      <c r="F47" s="299">
        <v>1</v>
      </c>
      <c r="G47" s="322">
        <v>0.1</v>
      </c>
      <c r="H47" s="387">
        <f>(C47*D47/1000000)*Energy!C16</f>
        <v>279.25536</v>
      </c>
      <c r="I47" s="822">
        <f>(C47*F47/1000000)*Energy!C16</f>
        <v>4.4256E-3</v>
      </c>
      <c r="J47" s="822">
        <f>(C47*G47/1000000)*Energy!C16</f>
        <v>4.4255999999999999E-4</v>
      </c>
      <c r="K47" s="387">
        <f>(H47*1)+(I47*28)+(J47*265)</f>
        <v>279.49655519999999</v>
      </c>
      <c r="L47" s="386">
        <f>(C47*D47/1000000)*Energy!D16</f>
        <v>0</v>
      </c>
      <c r="M47" s="488">
        <f>(C47*F47/1000000)*Energy!D16</f>
        <v>0</v>
      </c>
      <c r="N47" s="387">
        <f>(C47*G47/1000000)*Energy!D16</f>
        <v>0</v>
      </c>
      <c r="O47" s="388">
        <f>(L47*1)+(M47*28)+(N47*265)</f>
        <v>0</v>
      </c>
      <c r="P47" s="387">
        <f>(C47*D47/1000000)*Energy!E16</f>
        <v>0</v>
      </c>
      <c r="Q47" s="387">
        <f>(C47*F47/1000000)*Energy!E16</f>
        <v>0</v>
      </c>
      <c r="R47" s="387">
        <f>(C47*G47/1000000)*Energy!E16</f>
        <v>0</v>
      </c>
      <c r="S47" s="387">
        <f>(P47*1)+(Q47*28)+(R47*265)</f>
        <v>0</v>
      </c>
      <c r="T47" s="585">
        <f>(C47*D47/1000000)*Energy!F16</f>
        <v>0</v>
      </c>
      <c r="U47" s="387">
        <f>(C47*F47/1000000)*Energy!F16</f>
        <v>0</v>
      </c>
      <c r="V47" s="387">
        <f>(C47*G47/1000000)*Energy!F16</f>
        <v>0</v>
      </c>
      <c r="W47" s="388">
        <f>(T47*1)+(U47*28)+(V47*265)</f>
        <v>0</v>
      </c>
      <c r="X47" s="386">
        <f>K47+O47+S47+W47</f>
        <v>279.49655519999999</v>
      </c>
      <c r="Y47" s="586"/>
      <c r="Z47" s="846"/>
      <c r="AA47" s="39"/>
      <c r="AB47" s="427"/>
      <c r="AC47" s="427"/>
      <c r="AD47" s="427"/>
      <c r="AE47" s="427"/>
      <c r="AF47" s="427"/>
      <c r="AG47" s="427"/>
      <c r="AH47" s="39"/>
      <c r="AI47" s="39"/>
      <c r="AJ47" s="39"/>
      <c r="AK47" s="39"/>
      <c r="AL47" s="39"/>
    </row>
    <row r="48" spans="1:38" s="9" customFormat="1" ht="24.75" customHeight="1" x14ac:dyDescent="0.25">
      <c r="A48" s="376" t="s">
        <v>168</v>
      </c>
      <c r="B48" s="379"/>
      <c r="C48" s="378"/>
      <c r="D48" s="378"/>
      <c r="E48" s="378"/>
      <c r="F48" s="378"/>
      <c r="G48" s="380"/>
      <c r="H48" s="401"/>
      <c r="I48" s="401"/>
      <c r="J48" s="401"/>
      <c r="K48" s="401"/>
      <c r="L48" s="400"/>
      <c r="M48" s="401"/>
      <c r="N48" s="401"/>
      <c r="O48" s="402"/>
      <c r="P48" s="401"/>
      <c r="Q48" s="401"/>
      <c r="R48" s="401"/>
      <c r="S48" s="401"/>
      <c r="T48" s="587"/>
      <c r="U48" s="588"/>
      <c r="V48" s="588"/>
      <c r="W48" s="402"/>
      <c r="X48" s="4687"/>
      <c r="Y48" s="584"/>
      <c r="Z48" s="846">
        <f>Z47/X37</f>
        <v>0</v>
      </c>
      <c r="AA48" s="39"/>
      <c r="AB48" s="427"/>
      <c r="AC48" s="427"/>
      <c r="AD48" s="427"/>
      <c r="AE48" s="427"/>
      <c r="AF48" s="427"/>
      <c r="AG48" s="39"/>
      <c r="AH48" s="39"/>
      <c r="AI48" s="39"/>
      <c r="AJ48" s="39"/>
      <c r="AK48" s="39"/>
      <c r="AL48" s="39"/>
    </row>
    <row r="49" spans="1:38" s="9" customFormat="1" ht="22.5" x14ac:dyDescent="0.25">
      <c r="A49" s="535" t="s">
        <v>1704</v>
      </c>
      <c r="B49" s="384" t="s">
        <v>27</v>
      </c>
      <c r="C49" s="299">
        <v>38.1</v>
      </c>
      <c r="D49" s="408">
        <v>74100</v>
      </c>
      <c r="E49" s="409" t="s">
        <v>185</v>
      </c>
      <c r="F49" s="410">
        <v>3.9</v>
      </c>
      <c r="G49" s="411">
        <v>3.9</v>
      </c>
      <c r="H49" s="491">
        <f>(C49*D49/1000000)*Energy!C5</f>
        <v>2029563.32085</v>
      </c>
      <c r="I49" s="491">
        <f>(C49*F49/1000000)*Energy!C5</f>
        <v>106.81912215000001</v>
      </c>
      <c r="J49" s="589">
        <f>(C49*G49/1000000)*Energy!C5</f>
        <v>106.81912215000001</v>
      </c>
      <c r="K49" s="387">
        <f>(H49*1)+(I49*28)+(J49*265)</f>
        <v>2060861.32363995</v>
      </c>
      <c r="L49" s="590">
        <f>(C49*D49/1000000)*Energy!D5</f>
        <v>1312787.00358</v>
      </c>
      <c r="M49" s="590">
        <f>(C49*F49/1000000)*Energy!D5</f>
        <v>69.094052820000002</v>
      </c>
      <c r="N49" s="591">
        <f>(C49*G49/1000000)*Energy!D5</f>
        <v>69.094052820000002</v>
      </c>
      <c r="O49" s="388">
        <f>(L49*1)+(M49*28)+(N49*265)</f>
        <v>1333031.56105626</v>
      </c>
      <c r="P49" s="491">
        <f>(C49*D49/1000000)*Energy!E5</f>
        <v>1402313.81589</v>
      </c>
      <c r="Q49" s="491">
        <f>(C49*F49/1000000)*Energy!E5</f>
        <v>73.805990310000013</v>
      </c>
      <c r="R49" s="491">
        <f>(C49*G49/1000000)*Energy!E5</f>
        <v>73.805990310000013</v>
      </c>
      <c r="S49" s="387">
        <f>(P49*1)+(Q49*28)+(R49*265)</f>
        <v>1423938.9710508301</v>
      </c>
      <c r="T49" s="592">
        <f>(C49*D49/1000000)*Energy!F5</f>
        <v>1499550.8147100001</v>
      </c>
      <c r="U49" s="593">
        <f>(C49*F49/1000000)*Energy!F5</f>
        <v>78.92372709</v>
      </c>
      <c r="V49" s="4913">
        <f>(C49*G49/1000000)*Energy!F5</f>
        <v>78.92372709</v>
      </c>
      <c r="W49" s="1624">
        <f>(T49*1)+(U49*28)+(V49*265)</f>
        <v>1522675.4667473701</v>
      </c>
      <c r="X49" s="386">
        <f>K49+O49+S49+W49</f>
        <v>6340507.32249441</v>
      </c>
      <c r="Y49" s="586"/>
      <c r="Z49" s="846"/>
      <c r="AA49" s="39"/>
      <c r="AB49" s="427"/>
      <c r="AC49" s="427"/>
      <c r="AD49" s="427"/>
      <c r="AE49" s="427"/>
      <c r="AF49" s="427"/>
      <c r="AG49" s="39"/>
      <c r="AH49" s="39"/>
      <c r="AI49" s="39"/>
      <c r="AJ49" s="39"/>
      <c r="AK49" s="39"/>
      <c r="AL49" s="39"/>
    </row>
    <row r="50" spans="1:38" x14ac:dyDescent="0.25">
      <c r="A50" s="535" t="s">
        <v>1703</v>
      </c>
      <c r="B50" s="384" t="s">
        <v>27</v>
      </c>
      <c r="C50" s="299">
        <v>34.200000000000003</v>
      </c>
      <c r="D50" s="408">
        <v>69300</v>
      </c>
      <c r="E50" s="409" t="s">
        <v>185</v>
      </c>
      <c r="F50" s="410">
        <v>3.8</v>
      </c>
      <c r="G50" s="429">
        <v>5.7</v>
      </c>
      <c r="H50" s="491">
        <f>(C50*D50/1000000)*Energy!C15</f>
        <v>8544.0663000000004</v>
      </c>
      <c r="I50" s="491">
        <f>(C50*F50/1000000)*Energy!C15</f>
        <v>0.46850580000000003</v>
      </c>
      <c r="J50" s="589">
        <f>(C50*G50/1000000)*Energy!C15</f>
        <v>0.70275870000000007</v>
      </c>
      <c r="K50" s="387">
        <f>(H50*1)+(I50*28)+(J50*265)</f>
        <v>8743.4155179000009</v>
      </c>
      <c r="L50" s="590">
        <f>(C50*D50/1000000)*Energy!D15</f>
        <v>10428.264000000001</v>
      </c>
      <c r="M50" s="590">
        <f>(C50*F50/1000000)*Energy!D15</f>
        <v>0.571824</v>
      </c>
      <c r="N50" s="591">
        <f>(C50*G50/1000000)*Energy!D15</f>
        <v>0.85773600000000016</v>
      </c>
      <c r="O50" s="388">
        <f>(L50*1)+(M50*28)+(N50*265)</f>
        <v>10671.575112</v>
      </c>
      <c r="P50" s="491">
        <f>(C50*D50/1000000)*Energy!E15</f>
        <v>9751.6118700000006</v>
      </c>
      <c r="Q50" s="491">
        <f>(C50*F50/1000000)*Energy!E15</f>
        <v>0.53472042000000009</v>
      </c>
      <c r="R50" s="491">
        <f>(C50*G50/1000000)*Energy!E15</f>
        <v>0.80208063000000007</v>
      </c>
      <c r="S50" s="387">
        <f>(P50*1)+(Q50*28)+(R50*265)</f>
        <v>9979.1354087100008</v>
      </c>
      <c r="T50" s="592">
        <f>(C50*D50/1000000)*Energy!F15</f>
        <v>5191.61643</v>
      </c>
      <c r="U50" s="593">
        <f>(C50*F50/1000000)*Energy!F15</f>
        <v>0.28467738000000004</v>
      </c>
      <c r="V50" s="593">
        <f>(C50*G50/1000000)*Energy!F15</f>
        <v>0.42701607000000008</v>
      </c>
      <c r="W50" s="388">
        <f>(T50*1)+(U50*28)+(V50*265)</f>
        <v>5312.7466551900006</v>
      </c>
      <c r="X50" s="386">
        <f>K50+O50+S50+W50</f>
        <v>34706.872693800004</v>
      </c>
      <c r="Y50" s="586"/>
      <c r="Z50" s="846"/>
      <c r="AA50" s="39"/>
      <c r="AB50" s="39"/>
      <c r="AC50" s="39"/>
      <c r="AD50" s="39"/>
      <c r="AE50" s="39"/>
      <c r="AF50" s="39"/>
      <c r="AG50" s="39"/>
      <c r="AH50" s="39"/>
      <c r="AI50" s="39"/>
      <c r="AJ50" s="39"/>
      <c r="AK50" s="1660"/>
      <c r="AL50" s="1660"/>
    </row>
    <row r="51" spans="1:38" x14ac:dyDescent="0.25">
      <c r="A51" s="535" t="s">
        <v>254</v>
      </c>
      <c r="B51" s="384" t="s">
        <v>27</v>
      </c>
      <c r="C51" s="299">
        <v>37.5</v>
      </c>
      <c r="D51" s="408">
        <v>70000</v>
      </c>
      <c r="E51" s="409" t="s">
        <v>185</v>
      </c>
      <c r="F51" s="410">
        <v>0.5</v>
      </c>
      <c r="G51" s="596">
        <v>2</v>
      </c>
      <c r="H51" s="494">
        <f>(C51*D51/1000000)*'company plane'!F5</f>
        <v>26122.6875</v>
      </c>
      <c r="I51" s="494">
        <f>(C51*F51/1000000)*'company plane'!F5</f>
        <v>0.18659062499999998</v>
      </c>
      <c r="J51" s="494">
        <f>(C51*G51/1000000)*'company plane'!F5</f>
        <v>0.74636249999999993</v>
      </c>
      <c r="K51" s="490">
        <f>(H51*1)+(I51*28)+(J51*265)</f>
        <v>26325.698099999998</v>
      </c>
      <c r="L51" s="423">
        <f>(C51*D51)/1000000*'company plane'!J5</f>
        <v>27700.3125</v>
      </c>
      <c r="M51" s="653">
        <f>(C51*F51)/1000000*'company plane'!J5</f>
        <v>0.19785937499999998</v>
      </c>
      <c r="N51" s="430">
        <f>(C51*G51)/1000000*'company plane'!J5</f>
        <v>0.7914374999999999</v>
      </c>
      <c r="O51" s="423">
        <f>(L51*1)+(M51*28)+(N51*265)</f>
        <v>27915.583500000001</v>
      </c>
      <c r="P51" s="412">
        <f>(C51*D51)/1000000*'company plane'!N5</f>
        <v>26603.71875</v>
      </c>
      <c r="Q51" s="494">
        <f>(C51*F51)/1000000*'company plane'!N5</f>
        <v>0.1900265625</v>
      </c>
      <c r="R51" s="491">
        <f>(C51*G51)/1000000*'company plane'!N5</f>
        <v>0.76010624999999998</v>
      </c>
      <c r="S51" s="490">
        <f>(P51*1)+(Q51*28)+(R51*265)</f>
        <v>26810.467649999999</v>
      </c>
      <c r="T51" s="526">
        <f>(C51*D51)/1000000*'company plane'!R5</f>
        <v>5280.1875</v>
      </c>
      <c r="U51" s="491">
        <f>(C51*F51)/1000000*'company plane'!R5</f>
        <v>3.7715624999999996E-2</v>
      </c>
      <c r="V51" s="491">
        <f>(C51*G51)/1000000*'company plane'!R5</f>
        <v>0.15086249999999998</v>
      </c>
      <c r="W51" s="490">
        <f>(T51*1)+(U51*28)+(V51*265)</f>
        <v>5321.2221</v>
      </c>
      <c r="X51" s="412">
        <f>K51+O51+S51+W51</f>
        <v>86372.971349999993</v>
      </c>
      <c r="Y51" s="753"/>
      <c r="Z51" s="2881"/>
      <c r="AA51" s="39"/>
      <c r="AB51" s="39"/>
      <c r="AC51" s="39"/>
      <c r="AD51" s="39"/>
      <c r="AE51" s="39"/>
      <c r="AF51" s="39"/>
      <c r="AG51" s="39"/>
      <c r="AH51" s="39"/>
      <c r="AI51" s="39"/>
      <c r="AJ51" s="39"/>
      <c r="AK51" s="1660"/>
      <c r="AL51" s="1660"/>
    </row>
    <row r="52" spans="1:38" x14ac:dyDescent="0.25">
      <c r="A52" s="433" t="s">
        <v>255</v>
      </c>
      <c r="B52" s="282" t="s">
        <v>27</v>
      </c>
      <c r="C52" s="199"/>
      <c r="D52" s="208"/>
      <c r="E52" s="222"/>
      <c r="F52" s="209"/>
      <c r="G52" s="597"/>
      <c r="H52" s="5107"/>
      <c r="I52" s="5107"/>
      <c r="J52" s="5107"/>
      <c r="K52" s="5107"/>
      <c r="L52" s="5108"/>
      <c r="M52" s="5109"/>
      <c r="N52" s="5109"/>
      <c r="O52" s="5110"/>
      <c r="P52" s="5107"/>
      <c r="Q52" s="5107"/>
      <c r="R52" s="5107"/>
      <c r="S52" s="5107"/>
      <c r="T52" s="5111"/>
      <c r="U52" s="5107"/>
      <c r="V52" s="5107"/>
      <c r="W52" s="5112"/>
      <c r="X52" s="438"/>
      <c r="Y52" s="598"/>
      <c r="Z52" s="846"/>
      <c r="AA52" s="394"/>
      <c r="AB52" s="39"/>
      <c r="AC52" s="39"/>
      <c r="AD52" s="39"/>
      <c r="AE52" s="39"/>
      <c r="AF52" s="39"/>
      <c r="AG52" s="39"/>
      <c r="AH52" s="39"/>
      <c r="AI52" s="39"/>
      <c r="AJ52" s="39"/>
      <c r="AK52" s="1660"/>
      <c r="AL52" s="1660"/>
    </row>
    <row r="53" spans="1:38" s="116" customFormat="1" x14ac:dyDescent="0.25">
      <c r="A53" s="1623" t="s">
        <v>1123</v>
      </c>
      <c r="B53" s="1623" t="s">
        <v>32</v>
      </c>
      <c r="C53" s="200"/>
      <c r="D53" s="3142"/>
      <c r="E53" s="3143"/>
      <c r="F53" s="3144"/>
      <c r="G53" s="1596"/>
      <c r="H53" s="3145"/>
      <c r="I53" s="3145"/>
      <c r="J53" s="3145"/>
      <c r="K53" s="3145">
        <f>3922*Ozone!C12</f>
        <v>0</v>
      </c>
      <c r="L53" s="3146"/>
      <c r="M53" s="3147"/>
      <c r="N53" s="3147"/>
      <c r="O53" s="3148">
        <f>3922*Ozone!D12</f>
        <v>0</v>
      </c>
      <c r="P53" s="3145"/>
      <c r="Q53" s="3145"/>
      <c r="R53" s="3145"/>
      <c r="S53" s="3145">
        <f>3922*Ozone!E12</f>
        <v>0</v>
      </c>
      <c r="T53" s="3149"/>
      <c r="U53" s="3145"/>
      <c r="V53" s="3145"/>
      <c r="W53" s="3150">
        <f>3922*Ozone!F12</f>
        <v>0</v>
      </c>
      <c r="X53" s="386">
        <f t="shared" ref="X53:X60" si="11">K53+O53+S53+W53</f>
        <v>0</v>
      </c>
      <c r="Y53" s="753"/>
      <c r="Z53" s="846"/>
      <c r="AA53" s="394"/>
      <c r="AB53" s="39"/>
      <c r="AC53" s="39"/>
      <c r="AD53" s="39"/>
      <c r="AE53" s="39"/>
      <c r="AF53" s="39"/>
      <c r="AG53" s="39"/>
      <c r="AH53" s="39"/>
      <c r="AI53" s="39"/>
      <c r="AJ53" s="39"/>
      <c r="AK53" s="1660"/>
      <c r="AL53" s="1660"/>
    </row>
    <row r="54" spans="1:38" x14ac:dyDescent="0.25">
      <c r="A54" s="237" t="s">
        <v>1044</v>
      </c>
      <c r="B54" s="219" t="s">
        <v>32</v>
      </c>
      <c r="C54" s="204"/>
      <c r="D54" s="127"/>
      <c r="E54" s="223"/>
      <c r="F54" s="211"/>
      <c r="G54" s="599"/>
      <c r="H54" s="450"/>
      <c r="I54" s="600"/>
      <c r="J54" s="601"/>
      <c r="K54" s="602">
        <f>1430*Ozone!C9</f>
        <v>286</v>
      </c>
      <c r="L54" s="603"/>
      <c r="M54" s="604"/>
      <c r="N54" s="605"/>
      <c r="O54" s="606">
        <f>1430*Ozone!D9</f>
        <v>0</v>
      </c>
      <c r="P54" s="450"/>
      <c r="Q54" s="607"/>
      <c r="R54" s="450"/>
      <c r="S54" s="387">
        <f>1430*Ozone!E9</f>
        <v>0</v>
      </c>
      <c r="T54" s="608"/>
      <c r="U54" s="450"/>
      <c r="V54" s="450"/>
      <c r="W54" s="388">
        <f>1430*Ozone!F9</f>
        <v>0</v>
      </c>
      <c r="X54" s="386">
        <f t="shared" si="11"/>
        <v>286</v>
      </c>
      <c r="Y54" s="586"/>
      <c r="Z54" s="846"/>
      <c r="AA54" s="39"/>
      <c r="AB54" s="427"/>
      <c r="AC54" s="427"/>
      <c r="AD54" s="427"/>
      <c r="AE54" s="427"/>
      <c r="AF54" s="427"/>
      <c r="AG54" s="427"/>
      <c r="AH54" s="39"/>
      <c r="AI54" s="39"/>
      <c r="AJ54" s="39"/>
      <c r="AK54" s="4720"/>
      <c r="AL54" s="4720"/>
    </row>
    <row r="55" spans="1:38" x14ac:dyDescent="0.25">
      <c r="A55" s="457" t="s">
        <v>270</v>
      </c>
      <c r="B55" s="219" t="s">
        <v>32</v>
      </c>
      <c r="C55" s="204"/>
      <c r="D55" s="127"/>
      <c r="E55" s="223"/>
      <c r="F55" s="211"/>
      <c r="G55" s="599"/>
      <c r="H55" s="450"/>
      <c r="I55" s="609"/>
      <c r="J55" s="589"/>
      <c r="K55" s="602">
        <f>2088*Ozone!C10</f>
        <v>6890.4</v>
      </c>
      <c r="L55" s="449"/>
      <c r="M55" s="450"/>
      <c r="N55" s="589"/>
      <c r="O55" s="4922">
        <f>2088*Ozone!D10</f>
        <v>13154.4</v>
      </c>
      <c r="P55" s="450"/>
      <c r="Q55" s="607"/>
      <c r="R55" s="450"/>
      <c r="S55" s="387">
        <f>2088*Ozone!E10</f>
        <v>20880</v>
      </c>
      <c r="T55" s="610"/>
      <c r="U55" s="450"/>
      <c r="V55" s="450"/>
      <c r="W55" s="388">
        <f>2088*Ozone!F10</f>
        <v>0</v>
      </c>
      <c r="X55" s="386">
        <f t="shared" si="11"/>
        <v>40924.800000000003</v>
      </c>
      <c r="Y55" s="586"/>
      <c r="Z55" s="846"/>
      <c r="AA55" s="39"/>
      <c r="AB55" s="427"/>
      <c r="AC55" s="427"/>
      <c r="AD55" s="427"/>
      <c r="AE55" s="427"/>
      <c r="AF55" s="427"/>
      <c r="AG55" s="427"/>
      <c r="AH55" s="39"/>
      <c r="AI55" s="39"/>
      <c r="AJ55" s="39"/>
      <c r="AK55" s="1660"/>
      <c r="AL55" s="1660"/>
    </row>
    <row r="56" spans="1:38" s="9" customFormat="1" x14ac:dyDescent="0.25">
      <c r="A56" s="457" t="s">
        <v>707</v>
      </c>
      <c r="B56" s="219"/>
      <c r="C56" s="204"/>
      <c r="D56" s="127"/>
      <c r="E56" s="223"/>
      <c r="F56" s="211"/>
      <c r="G56" s="599"/>
      <c r="H56" s="450"/>
      <c r="I56" s="450"/>
      <c r="J56" s="651"/>
      <c r="K56" s="387">
        <f>3985*Ozone!C11</f>
        <v>0</v>
      </c>
      <c r="L56" s="449"/>
      <c r="M56" s="450"/>
      <c r="N56" s="1829"/>
      <c r="O56" s="388">
        <f>3985*Ozone!D11</f>
        <v>0</v>
      </c>
      <c r="P56" s="450"/>
      <c r="Q56" s="450"/>
      <c r="R56" s="450"/>
      <c r="S56" s="387">
        <f>3985*Ozone!E11</f>
        <v>0</v>
      </c>
      <c r="T56" s="821"/>
      <c r="U56" s="450"/>
      <c r="V56" s="450"/>
      <c r="W56" s="388">
        <f>3985*Ozone!F11</f>
        <v>0</v>
      </c>
      <c r="X56" s="386">
        <f t="shared" si="11"/>
        <v>0</v>
      </c>
      <c r="Y56" s="586"/>
      <c r="Z56" s="846"/>
      <c r="AA56" s="39"/>
      <c r="AB56" s="427"/>
      <c r="AC56" s="427"/>
      <c r="AD56" s="427"/>
      <c r="AE56" s="427"/>
      <c r="AF56" s="427"/>
      <c r="AG56" s="427"/>
      <c r="AH56" s="39"/>
      <c r="AI56" s="39"/>
      <c r="AJ56" s="39"/>
      <c r="AK56" s="1660"/>
      <c r="AL56" s="1660"/>
    </row>
    <row r="57" spans="1:38" s="9" customFormat="1" x14ac:dyDescent="0.25">
      <c r="A57" s="3141" t="s">
        <v>1124</v>
      </c>
      <c r="B57" s="1623" t="s">
        <v>181</v>
      </c>
      <c r="C57" s="842"/>
      <c r="D57" s="539">
        <v>0.70799999999999996</v>
      </c>
      <c r="E57" s="394" t="s">
        <v>188</v>
      </c>
      <c r="F57" s="410"/>
      <c r="G57" s="429"/>
      <c r="H57" s="450"/>
      <c r="I57" s="450"/>
      <c r="J57" s="651"/>
      <c r="K57" s="387">
        <f>D57*Effluent!C5</f>
        <v>27456.239999999998</v>
      </c>
      <c r="L57" s="450"/>
      <c r="M57" s="450"/>
      <c r="N57" s="651"/>
      <c r="O57" s="387">
        <f>D57*Effluent!D5</f>
        <v>19101.84</v>
      </c>
      <c r="P57" s="450"/>
      <c r="Q57" s="450"/>
      <c r="R57" s="450"/>
      <c r="S57" s="387">
        <f>D57*Effluent!E5</f>
        <v>10492.56</v>
      </c>
      <c r="T57" s="651"/>
      <c r="U57" s="450"/>
      <c r="V57" s="450"/>
      <c r="W57" s="387">
        <f>D57*Effluent!F5</f>
        <v>6803.8799999999992</v>
      </c>
      <c r="X57" s="386">
        <f t="shared" si="11"/>
        <v>63854.52</v>
      </c>
      <c r="Y57" s="586"/>
      <c r="Z57" s="846"/>
      <c r="AA57" s="39"/>
      <c r="AB57" s="427"/>
      <c r="AC57" s="427"/>
      <c r="AD57" s="427"/>
      <c r="AE57" s="427"/>
      <c r="AF57" s="427"/>
      <c r="AG57" s="427"/>
      <c r="AH57" s="39"/>
      <c r="AI57" s="39"/>
      <c r="AJ57" s="39"/>
      <c r="AK57" s="1660"/>
      <c r="AL57" s="1660"/>
    </row>
    <row r="58" spans="1:38" x14ac:dyDescent="0.25">
      <c r="A58" s="611" t="s">
        <v>171</v>
      </c>
      <c r="B58" s="612"/>
      <c r="C58" s="212"/>
      <c r="D58" s="613"/>
      <c r="E58" s="614"/>
      <c r="F58" s="213"/>
      <c r="G58" s="615"/>
      <c r="H58" s="468">
        <f>H46+H47+H49+H50+H51+H53+H54+H55+H56+H57</f>
        <v>2064509.3300100002</v>
      </c>
      <c r="I58" s="468">
        <f t="shared" ref="I58:V58" si="12">I46+I47+I49+I50+I51+I53+I54+I55+I56+I57</f>
        <v>107.47864417500001</v>
      </c>
      <c r="J58" s="468">
        <f t="shared" si="12"/>
        <v>108.26868591000002</v>
      </c>
      <c r="K58" s="468">
        <f t="shared" si="12"/>
        <v>2130842.5738130501</v>
      </c>
      <c r="L58" s="468">
        <f t="shared" si="12"/>
        <v>1355463.7713899999</v>
      </c>
      <c r="M58" s="468">
        <f t="shared" si="12"/>
        <v>70.047873495000005</v>
      </c>
      <c r="N58" s="468">
        <f t="shared" si="12"/>
        <v>70.780053780000003</v>
      </c>
      <c r="O58" s="468">
        <f>O46+O47+O49+O50+O51+O53+O54+O55+O56+O57</f>
        <v>1408438.0660995601</v>
      </c>
      <c r="P58" s="468">
        <f t="shared" si="12"/>
        <v>1445512.6075499998</v>
      </c>
      <c r="Q58" s="468">
        <f t="shared" si="12"/>
        <v>74.807800492500007</v>
      </c>
      <c r="R58" s="468">
        <f t="shared" si="12"/>
        <v>75.423589830000026</v>
      </c>
      <c r="S58" s="468">
        <f t="shared" si="12"/>
        <v>1498967.0372687401</v>
      </c>
      <c r="T58" s="468">
        <f t="shared" si="12"/>
        <v>1510022.61864</v>
      </c>
      <c r="U58" s="468">
        <f t="shared" si="12"/>
        <v>79.246120095000009</v>
      </c>
      <c r="V58" s="468">
        <f t="shared" si="12"/>
        <v>79.501605659999996</v>
      </c>
      <c r="W58" s="468">
        <f>W46+W47+W49+W50+W51+W53+W54+W55+W56+W57</f>
        <v>1540113.3155025598</v>
      </c>
      <c r="X58" s="710">
        <f>K58+O58+S58+W58</f>
        <v>6578360.9926839098</v>
      </c>
      <c r="Y58" s="506">
        <f>SUM(X46:X57)</f>
        <v>6578360.9926839098</v>
      </c>
      <c r="Z58" s="846"/>
      <c r="AA58" s="39"/>
      <c r="AB58" s="427"/>
      <c r="AC58" s="427"/>
      <c r="AD58" s="427"/>
      <c r="AE58" s="427"/>
      <c r="AF58" s="427"/>
      <c r="AG58" s="427"/>
      <c r="AH58" s="39"/>
      <c r="AI58" s="39"/>
      <c r="AJ58" s="39"/>
      <c r="AK58" s="1660"/>
      <c r="AL58" s="1660"/>
    </row>
    <row r="59" spans="1:38" x14ac:dyDescent="0.25">
      <c r="A59" s="4743" t="s">
        <v>169</v>
      </c>
      <c r="B59" s="371"/>
      <c r="C59" s="304"/>
      <c r="D59" s="214"/>
      <c r="E59" s="618"/>
      <c r="F59" s="215"/>
      <c r="G59" s="619"/>
      <c r="H59" s="481"/>
      <c r="I59" s="481"/>
      <c r="J59" s="481"/>
      <c r="K59" s="481"/>
      <c r="L59" s="620"/>
      <c r="M59" s="481"/>
      <c r="N59" s="481"/>
      <c r="O59" s="621"/>
      <c r="P59" s="481"/>
      <c r="Q59" s="481"/>
      <c r="R59" s="481"/>
      <c r="S59" s="481"/>
      <c r="T59" s="620"/>
      <c r="U59" s="481"/>
      <c r="V59" s="481"/>
      <c r="W59" s="621"/>
      <c r="X59" s="581">
        <f t="shared" si="11"/>
        <v>0</v>
      </c>
      <c r="Y59" s="583"/>
      <c r="Z59" s="846"/>
      <c r="AA59" s="39"/>
      <c r="AB59" s="427"/>
      <c r="AC59" s="427"/>
      <c r="AD59" s="427"/>
      <c r="AE59" s="427"/>
      <c r="AF59" s="427"/>
      <c r="AG59" s="427"/>
      <c r="AH59" s="39"/>
      <c r="AI59" s="39"/>
      <c r="AJ59" s="39"/>
      <c r="AK59" s="39"/>
      <c r="AL59" s="39"/>
    </row>
    <row r="60" spans="1:38" x14ac:dyDescent="0.25">
      <c r="A60" s="237" t="s">
        <v>271</v>
      </c>
      <c r="B60" s="485" t="s">
        <v>29</v>
      </c>
      <c r="C60" s="299"/>
      <c r="D60" s="408">
        <v>1.04</v>
      </c>
      <c r="E60" s="409" t="s">
        <v>259</v>
      </c>
      <c r="F60" s="127"/>
      <c r="G60" s="622"/>
      <c r="H60" s="387"/>
      <c r="I60" s="623"/>
      <c r="J60" s="624"/>
      <c r="K60" s="4911">
        <f>D60*Energy!C13</f>
        <v>59830975.786399998</v>
      </c>
      <c r="L60" s="625"/>
      <c r="M60" s="626"/>
      <c r="N60" s="627"/>
      <c r="O60" s="4917">
        <f>D60*Energy!D13</f>
        <v>58292497.993600003</v>
      </c>
      <c r="P60" s="626"/>
      <c r="Q60" s="494"/>
      <c r="R60" s="491"/>
      <c r="S60" s="4918">
        <f>D60*Energy!E13</f>
        <v>51481365.187200002</v>
      </c>
      <c r="T60" s="610"/>
      <c r="U60" s="491"/>
      <c r="V60" s="491"/>
      <c r="W60" s="4914">
        <f>D60*Energy!F13</f>
        <v>39047783.642400004</v>
      </c>
      <c r="X60" s="386">
        <f t="shared" si="11"/>
        <v>208652622.60960001</v>
      </c>
      <c r="Y60" s="586"/>
      <c r="Z60" s="9"/>
      <c r="AA60" s="39"/>
      <c r="AB60" s="427"/>
      <c r="AC60" s="427"/>
      <c r="AD60" s="427"/>
      <c r="AE60" s="427"/>
      <c r="AF60" s="427"/>
      <c r="AG60" s="427"/>
      <c r="AH60" s="39"/>
      <c r="AI60" s="39"/>
      <c r="AJ60" s="39"/>
      <c r="AK60" s="39"/>
      <c r="AL60" s="39"/>
    </row>
    <row r="61" spans="1:38" x14ac:dyDescent="0.25">
      <c r="A61" s="611" t="s">
        <v>172</v>
      </c>
      <c r="B61" s="630"/>
      <c r="C61" s="212"/>
      <c r="D61" s="613"/>
      <c r="E61" s="631"/>
      <c r="F61" s="613"/>
      <c r="G61" s="632"/>
      <c r="H61" s="633"/>
      <c r="I61" s="634"/>
      <c r="J61" s="634"/>
      <c r="K61" s="635">
        <f>K60</f>
        <v>59830975.786399998</v>
      </c>
      <c r="L61" s="636"/>
      <c r="M61" s="469"/>
      <c r="N61" s="469"/>
      <c r="O61" s="471">
        <f>O60</f>
        <v>58292497.993600003</v>
      </c>
      <c r="P61" s="468"/>
      <c r="Q61" s="637"/>
      <c r="R61" s="468"/>
      <c r="S61" s="638">
        <f>S60</f>
        <v>51481365.187200002</v>
      </c>
      <c r="T61" s="639"/>
      <c r="U61" s="468"/>
      <c r="V61" s="468"/>
      <c r="W61" s="471">
        <f>W60</f>
        <v>39047783.642400004</v>
      </c>
      <c r="X61" s="710">
        <f t="shared" ref="X61:X71" si="13">K61+O61+S61+W61</f>
        <v>208652622.60960001</v>
      </c>
      <c r="Y61" s="506">
        <f>X60</f>
        <v>208652622.60960001</v>
      </c>
      <c r="Z61" s="445"/>
      <c r="AA61" s="39"/>
      <c r="AB61" s="427"/>
      <c r="AC61" s="427"/>
      <c r="AD61" s="427"/>
      <c r="AE61" s="427"/>
      <c r="AF61" s="427"/>
      <c r="AG61" s="427"/>
      <c r="AH61" s="39"/>
      <c r="AI61" s="39"/>
      <c r="AJ61" s="39"/>
      <c r="AK61" s="39"/>
      <c r="AL61" s="39"/>
    </row>
    <row r="62" spans="1:38" x14ac:dyDescent="0.25">
      <c r="A62" s="4743" t="s">
        <v>173</v>
      </c>
      <c r="B62" s="640"/>
      <c r="C62" s="304"/>
      <c r="D62" s="214" t="s">
        <v>178</v>
      </c>
      <c r="E62" s="641"/>
      <c r="F62" s="214"/>
      <c r="G62" s="642"/>
      <c r="H62" s="580"/>
      <c r="I62" s="580"/>
      <c r="J62" s="580"/>
      <c r="K62" s="481"/>
      <c r="L62" s="620"/>
      <c r="M62" s="481"/>
      <c r="N62" s="481"/>
      <c r="O62" s="621"/>
      <c r="P62" s="481"/>
      <c r="Q62" s="481"/>
      <c r="R62" s="481"/>
      <c r="S62" s="481"/>
      <c r="T62" s="620"/>
      <c r="U62" s="481"/>
      <c r="V62" s="481"/>
      <c r="W62" s="621"/>
      <c r="X62" s="581">
        <f t="shared" si="13"/>
        <v>0</v>
      </c>
      <c r="Y62" s="583"/>
      <c r="Z62" s="9"/>
      <c r="AA62" s="39"/>
      <c r="AB62" s="427"/>
      <c r="AC62" s="427"/>
      <c r="AD62" s="427"/>
      <c r="AE62" s="427"/>
      <c r="AF62" s="427"/>
      <c r="AG62" s="427"/>
      <c r="AH62" s="39"/>
      <c r="AI62" s="39"/>
      <c r="AJ62" s="39"/>
      <c r="AK62" s="39"/>
      <c r="AL62" s="39"/>
    </row>
    <row r="63" spans="1:38" s="116" customFormat="1" x14ac:dyDescent="0.25">
      <c r="A63" s="1622" t="s">
        <v>631</v>
      </c>
      <c r="B63" s="1623" t="s">
        <v>27</v>
      </c>
      <c r="C63" s="842">
        <v>37.5</v>
      </c>
      <c r="D63" s="843">
        <v>70000</v>
      </c>
      <c r="E63" s="394" t="s">
        <v>185</v>
      </c>
      <c r="F63" s="410">
        <v>0.5</v>
      </c>
      <c r="G63" s="429">
        <v>2</v>
      </c>
      <c r="H63" s="491">
        <f>(C63*D63/1000000)*'company plane'!F39</f>
        <v>0</v>
      </c>
      <c r="I63" s="650">
        <f>(C63*F63/1000000)*'company plane'!F39</f>
        <v>0</v>
      </c>
      <c r="J63" s="657">
        <f>(C63*G63/1000000)*'company plane'!F39</f>
        <v>0</v>
      </c>
      <c r="K63" s="423">
        <f>(H63*1)+(I63*28)+(J63*265)</f>
        <v>0</v>
      </c>
      <c r="L63" s="491">
        <f>(C63*D63/1000000)*'company plane'!J39</f>
        <v>5872.125</v>
      </c>
      <c r="M63" s="650">
        <f>(C63*F63/1000000)*'company plane'!J39</f>
        <v>4.1943749999999995E-2</v>
      </c>
      <c r="N63" s="657">
        <f>(C63*G63/1000000)*'company plane'!J39</f>
        <v>0.16777499999999998</v>
      </c>
      <c r="O63" s="423">
        <f>(L63*1)+(M63*28)+(N63*265)</f>
        <v>5917.7597999999998</v>
      </c>
      <c r="P63" s="491">
        <f>(C63*D63/1000000)*'company plane'!N39</f>
        <v>0</v>
      </c>
      <c r="Q63" s="491">
        <f>(C63*F63/1000000)*'company plane'!N39</f>
        <v>0</v>
      </c>
      <c r="R63" s="491">
        <f>(C63*G63/1000000)*'company plane'!N39</f>
        <v>0</v>
      </c>
      <c r="S63" s="629">
        <f>(P63*1)+(Q63*28)+(R63*265)</f>
        <v>0</v>
      </c>
      <c r="T63" s="526">
        <f>(C63*D63/1000000)*'company plane'!R39</f>
        <v>0</v>
      </c>
      <c r="U63" s="491">
        <f>(C63*F63/1000000)*'company plane'!R39</f>
        <v>0</v>
      </c>
      <c r="V63" s="491">
        <f>(C63*G63/1000000)*'company plane'!R39</f>
        <v>0</v>
      </c>
      <c r="W63" s="490">
        <f>(T63*1)+(U63*28)+(V63*265)</f>
        <v>0</v>
      </c>
      <c r="X63" s="845">
        <f>K63+O63+S63+W63</f>
        <v>5917.7597999999998</v>
      </c>
      <c r="Y63" s="791"/>
      <c r="Z63" s="846"/>
      <c r="AA63" s="39"/>
      <c r="AB63" s="39"/>
      <c r="AC63" s="39"/>
      <c r="AD63" s="39"/>
      <c r="AE63" s="39"/>
      <c r="AF63" s="39"/>
      <c r="AG63" s="39"/>
      <c r="AH63" s="39"/>
      <c r="AI63" s="39"/>
      <c r="AJ63" s="39"/>
      <c r="AK63" s="1660"/>
      <c r="AL63" s="1660"/>
    </row>
    <row r="64" spans="1:38" ht="48.75" customHeight="1" x14ac:dyDescent="0.25">
      <c r="A64" s="4744" t="s">
        <v>1121</v>
      </c>
      <c r="B64" s="847" t="s">
        <v>175</v>
      </c>
      <c r="C64" s="842"/>
      <c r="D64" s="843"/>
      <c r="E64" s="844"/>
      <c r="F64" s="1626"/>
      <c r="G64" s="1627"/>
      <c r="H64" s="590"/>
      <c r="I64" s="590"/>
      <c r="J64" s="519"/>
      <c r="K64" s="491">
        <f>'Employee commute'!F34</f>
        <v>40907.877479999996</v>
      </c>
      <c r="L64" s="644"/>
      <c r="M64" s="645"/>
      <c r="N64" s="646"/>
      <c r="O64" s="647">
        <f>'Employee commute'!G34</f>
        <v>40907.877479999996</v>
      </c>
      <c r="P64" s="491"/>
      <c r="Q64" s="648"/>
      <c r="R64" s="491"/>
      <c r="S64" s="629">
        <f>'Employee commute'!H34</f>
        <v>40907.877479999996</v>
      </c>
      <c r="T64" s="649"/>
      <c r="U64" s="538"/>
      <c r="V64" s="491"/>
      <c r="W64" s="490">
        <f>'Employee commute'!I34</f>
        <v>40907.877479999996</v>
      </c>
      <c r="X64" s="386">
        <f t="shared" si="13"/>
        <v>163631.50991999998</v>
      </c>
      <c r="Y64" s="586"/>
      <c r="Z64" s="445"/>
      <c r="AA64" s="39"/>
      <c r="AB64" s="427"/>
      <c r="AC64" s="427"/>
      <c r="AD64" s="427"/>
      <c r="AE64" s="427"/>
      <c r="AF64" s="427"/>
      <c r="AG64" s="39"/>
      <c r="AH64" s="39"/>
      <c r="AI64" s="39"/>
      <c r="AJ64" s="39"/>
      <c r="AK64" s="39"/>
      <c r="AL64" s="39"/>
    </row>
    <row r="65" spans="1:38" x14ac:dyDescent="0.25">
      <c r="A65" s="643" t="s">
        <v>1052</v>
      </c>
      <c r="B65" s="384" t="s">
        <v>175</v>
      </c>
      <c r="C65" s="299">
        <v>34.200000000000003</v>
      </c>
      <c r="D65" s="2963">
        <v>0.18084</v>
      </c>
      <c r="E65" s="409" t="s">
        <v>1053</v>
      </c>
      <c r="F65" s="421"/>
      <c r="G65" s="422"/>
      <c r="H65" s="491"/>
      <c r="I65" s="520"/>
      <c r="J65" s="517"/>
      <c r="K65" s="538">
        <f>0.18084*'Business travel'!E58</f>
        <v>389.16768000000002</v>
      </c>
      <c r="L65" s="412"/>
      <c r="M65" s="653"/>
      <c r="N65" s="530"/>
      <c r="O65" s="654">
        <f>0.18084*'Business travel'!I58</f>
        <v>803.94230400000004</v>
      </c>
      <c r="P65" s="430"/>
      <c r="Q65" s="491"/>
      <c r="R65" s="491"/>
      <c r="S65" s="413">
        <f>0.18084*'Business travel'!M58</f>
        <v>596.55499200000008</v>
      </c>
      <c r="T65" s="655"/>
      <c r="U65" s="430"/>
      <c r="V65" s="491"/>
      <c r="W65" s="490">
        <f>0.18084*'Business travel'!Q58</f>
        <v>0</v>
      </c>
      <c r="X65" s="386">
        <f t="shared" si="13"/>
        <v>1789.6649760000003</v>
      </c>
      <c r="Y65" s="586"/>
      <c r="Z65" s="9"/>
      <c r="AA65" s="394"/>
      <c r="AB65" s="39"/>
      <c r="AC65" s="39"/>
      <c r="AD65" s="39"/>
      <c r="AE65" s="39"/>
      <c r="AF65" s="39"/>
      <c r="AG65" s="39"/>
      <c r="AH65" s="39"/>
      <c r="AI65" s="39"/>
      <c r="AJ65" s="39"/>
      <c r="AK65" s="39"/>
      <c r="AL65" s="39"/>
    </row>
    <row r="66" spans="1:38" x14ac:dyDescent="0.25">
      <c r="A66" s="2884" t="s">
        <v>177</v>
      </c>
      <c r="B66" s="2885" t="s">
        <v>175</v>
      </c>
      <c r="C66" s="2861">
        <v>37.5</v>
      </c>
      <c r="D66" s="2862">
        <v>70000</v>
      </c>
      <c r="E66" s="2863" t="s">
        <v>185</v>
      </c>
      <c r="F66" s="2862">
        <v>0.5</v>
      </c>
      <c r="G66" s="2864">
        <v>2</v>
      </c>
      <c r="H66" s="2869"/>
      <c r="I66" s="2866"/>
      <c r="J66" s="2867"/>
      <c r="K66" s="2886">
        <v>0</v>
      </c>
      <c r="L66" s="2865"/>
      <c r="M66" s="2877"/>
      <c r="N66" s="2887"/>
      <c r="O66" s="2888">
        <v>0</v>
      </c>
      <c r="P66" s="2866"/>
      <c r="Q66" s="2869"/>
      <c r="R66" s="2869"/>
      <c r="S66" s="2878">
        <v>0</v>
      </c>
      <c r="T66" s="2889"/>
      <c r="U66" s="2890"/>
      <c r="V66" s="2869"/>
      <c r="W66" s="2875">
        <v>0</v>
      </c>
      <c r="X66" s="4679">
        <f t="shared" si="13"/>
        <v>0</v>
      </c>
      <c r="Y66" s="2876"/>
      <c r="Z66" s="9"/>
      <c r="AA66" s="39"/>
      <c r="AB66" s="427"/>
      <c r="AC66" s="427"/>
      <c r="AD66" s="427"/>
      <c r="AE66" s="427"/>
      <c r="AF66" s="427"/>
      <c r="AG66" s="427"/>
      <c r="AH66" s="39"/>
      <c r="AI66" s="39"/>
      <c r="AJ66" s="39"/>
      <c r="AK66" s="39"/>
      <c r="AL66" s="39"/>
    </row>
    <row r="67" spans="1:38" s="849" customFormat="1" x14ac:dyDescent="0.25">
      <c r="A67" s="1605" t="s">
        <v>674</v>
      </c>
      <c r="B67" s="1571" t="s">
        <v>175</v>
      </c>
      <c r="C67" s="1572">
        <v>0.25492999999999999</v>
      </c>
      <c r="D67" s="1715">
        <v>0.15831999999999999</v>
      </c>
      <c r="E67" s="1573">
        <v>0.19561999999999999</v>
      </c>
      <c r="F67" s="1716">
        <v>0.18078</v>
      </c>
      <c r="G67" s="1574"/>
      <c r="H67" s="1575"/>
      <c r="I67" s="1576"/>
      <c r="J67" s="1577"/>
      <c r="K67" s="1575">
        <f>(C67*'Business travel'!F8)+('Business travel'!G8*'GHG '!D67)+('GHG '!E67*'Business travel'!H8)+('GHG '!F67*'Business travel'!I8)</f>
        <v>8417.7885999999999</v>
      </c>
      <c r="L67" s="1578"/>
      <c r="M67" s="1579"/>
      <c r="N67" s="1580"/>
      <c r="O67" s="1581">
        <f>(C67*'Business travel'!F12)+(D67*'Business travel'!G12 )+(E67*'Business travel'!H12 )+(F67*'Business travel'!I12 )</f>
        <v>6046.5971</v>
      </c>
      <c r="P67" s="1576"/>
      <c r="Q67" s="1575"/>
      <c r="R67" s="1575"/>
      <c r="S67" s="1575">
        <f>(C67*'Business travel'!F16 )+(D67* 'Business travel'!G16)+(E67*'Business travel'!H16 )+(F67*'Business travel'!I16 )</f>
        <v>1115.0638199999999</v>
      </c>
      <c r="T67" s="1582"/>
      <c r="U67" s="1575"/>
      <c r="V67" s="1575"/>
      <c r="W67" s="1583">
        <f>(C67* 'Business travel'!F20)+(D67*'Business travel'!G20 )+(E67*'Business travel'!H20 )+(F67* 'Business travel'!I20)</f>
        <v>0</v>
      </c>
      <c r="X67" s="4688">
        <f t="shared" si="13"/>
        <v>15579.449519999998</v>
      </c>
      <c r="Y67" s="1584"/>
      <c r="AA67" s="39"/>
      <c r="AB67" s="427"/>
      <c r="AC67" s="427"/>
      <c r="AD67" s="427"/>
      <c r="AE67" s="427"/>
      <c r="AF67" s="427"/>
      <c r="AG67" s="427"/>
      <c r="AH67" s="39"/>
      <c r="AI67" s="39"/>
      <c r="AJ67" s="39"/>
      <c r="AK67" s="39"/>
      <c r="AL67" s="39"/>
    </row>
    <row r="68" spans="1:38" x14ac:dyDescent="0.25">
      <c r="A68" s="643" t="s">
        <v>176</v>
      </c>
      <c r="B68" s="384" t="s">
        <v>32</v>
      </c>
      <c r="C68" s="299"/>
      <c r="D68" s="532">
        <v>0.87009999999999998</v>
      </c>
      <c r="E68" s="421" t="s">
        <v>186</v>
      </c>
      <c r="F68" s="410"/>
      <c r="G68" s="429"/>
      <c r="H68" s="491"/>
      <c r="I68" s="494"/>
      <c r="J68" s="451"/>
      <c r="K68" s="491">
        <f>D68*Materials!C11</f>
        <v>2412.8012216000002</v>
      </c>
      <c r="L68" s="412"/>
      <c r="M68" s="520"/>
      <c r="N68" s="627"/>
      <c r="O68" s="628">
        <f>D68*Materials!D11</f>
        <v>2251.5194855999998</v>
      </c>
      <c r="P68" s="626"/>
      <c r="Q68" s="491"/>
      <c r="R68" s="491"/>
      <c r="S68" s="491">
        <f>D68*Materials!E11</f>
        <v>3158.2402543999997</v>
      </c>
      <c r="T68" s="656"/>
      <c r="U68" s="491"/>
      <c r="V68" s="491"/>
      <c r="W68" s="4914">
        <f>D68*Materials!F11</f>
        <v>2217.3976440000001</v>
      </c>
      <c r="X68" s="386">
        <f t="shared" si="13"/>
        <v>10039.958605600001</v>
      </c>
      <c r="Y68" s="586"/>
      <c r="Z68" s="9"/>
      <c r="AA68" s="39"/>
      <c r="AB68" s="427"/>
      <c r="AC68" s="427"/>
      <c r="AD68" s="427"/>
      <c r="AE68" s="427"/>
      <c r="AF68" s="427"/>
      <c r="AG68" s="427"/>
      <c r="AH68" s="39"/>
      <c r="AI68" s="39"/>
      <c r="AJ68" s="39"/>
      <c r="AK68" s="39"/>
      <c r="AL68" s="39"/>
    </row>
    <row r="69" spans="1:38" x14ac:dyDescent="0.25">
      <c r="A69" s="236" t="s">
        <v>180</v>
      </c>
      <c r="B69" s="384" t="s">
        <v>107</v>
      </c>
      <c r="C69" s="659"/>
      <c r="D69" s="2879">
        <v>586.51400000000001</v>
      </c>
      <c r="E69" s="421" t="s">
        <v>187</v>
      </c>
      <c r="F69" s="410"/>
      <c r="G69" s="429"/>
      <c r="H69" s="491"/>
      <c r="I69" s="494"/>
      <c r="J69" s="529"/>
      <c r="K69" s="423">
        <f>D69*Waste!C8</f>
        <v>59425.598480000001</v>
      </c>
      <c r="L69" s="412"/>
      <c r="M69" s="660"/>
      <c r="N69" s="530"/>
      <c r="O69" s="654">
        <f>D69*Waste!D8</f>
        <v>54146.972479999997</v>
      </c>
      <c r="P69" s="494"/>
      <c r="Q69" s="491"/>
      <c r="R69" s="491"/>
      <c r="S69" s="491">
        <f>D69*Waste!E8</f>
        <v>53431.4254</v>
      </c>
      <c r="T69" s="656"/>
      <c r="U69" s="491"/>
      <c r="V69" s="491"/>
      <c r="W69" s="490">
        <f>D69*Waste!F8</f>
        <v>25841.806839999997</v>
      </c>
      <c r="X69" s="386">
        <f t="shared" si="13"/>
        <v>192845.80319999999</v>
      </c>
      <c r="Y69" s="586"/>
      <c r="Z69" s="9"/>
      <c r="AA69" s="39"/>
      <c r="AB69" s="427"/>
      <c r="AC69" s="427"/>
      <c r="AD69" s="427"/>
      <c r="AE69" s="427"/>
      <c r="AF69" s="427"/>
      <c r="AG69" s="427"/>
      <c r="AH69" s="39"/>
      <c r="AI69" s="39"/>
      <c r="AJ69" s="39"/>
      <c r="AK69" s="39"/>
      <c r="AL69" s="39"/>
    </row>
    <row r="70" spans="1:38" x14ac:dyDescent="0.25">
      <c r="A70" s="236" t="s">
        <v>184</v>
      </c>
      <c r="B70" s="384" t="s">
        <v>107</v>
      </c>
      <c r="C70" s="299"/>
      <c r="D70" s="2879">
        <v>21.353999999999999</v>
      </c>
      <c r="E70" s="421" t="s">
        <v>187</v>
      </c>
      <c r="F70" s="410"/>
      <c r="G70" s="429"/>
      <c r="H70" s="491"/>
      <c r="I70" s="494"/>
      <c r="J70" s="517"/>
      <c r="K70" s="538">
        <f>D70*Waste!C19</f>
        <v>6588.1360799999993</v>
      </c>
      <c r="L70" s="412"/>
      <c r="M70" s="520"/>
      <c r="N70" s="627"/>
      <c r="O70" s="652">
        <f>D70*Waste!D19</f>
        <v>4844.0908379999992</v>
      </c>
      <c r="P70" s="626"/>
      <c r="Q70" s="491"/>
      <c r="R70" s="491"/>
      <c r="S70" s="491">
        <f>D70*Waste!E19</f>
        <v>8102.4549899999984</v>
      </c>
      <c r="T70" s="649"/>
      <c r="U70" s="538"/>
      <c r="V70" s="491"/>
      <c r="W70" s="490">
        <f>D70*Waste!F19</f>
        <v>1694.2263599999997</v>
      </c>
      <c r="X70" s="386">
        <f t="shared" si="13"/>
        <v>21228.908267999999</v>
      </c>
      <c r="Y70" s="586"/>
      <c r="Z70" s="9"/>
      <c r="AA70" s="39"/>
      <c r="AB70" s="427"/>
      <c r="AC70" s="427"/>
      <c r="AD70" s="427"/>
      <c r="AE70" s="427"/>
      <c r="AF70" s="427"/>
      <c r="AG70" s="427"/>
      <c r="AH70" s="39"/>
      <c r="AI70" s="9"/>
      <c r="AJ70" s="9"/>
    </row>
    <row r="71" spans="1:38" x14ac:dyDescent="0.25">
      <c r="A71" s="4910" t="s">
        <v>183</v>
      </c>
      <c r="B71" s="384" t="s">
        <v>181</v>
      </c>
      <c r="C71" s="299"/>
      <c r="D71" s="539">
        <v>0.34399999999999997</v>
      </c>
      <c r="E71" s="409" t="s">
        <v>188</v>
      </c>
      <c r="F71" s="410"/>
      <c r="G71" s="429"/>
      <c r="H71" s="491"/>
      <c r="I71" s="494"/>
      <c r="J71" s="517"/>
      <c r="K71" s="661">
        <f>D71*'Water Mangt'!C6</f>
        <v>16746.435999999998</v>
      </c>
      <c r="L71" s="662"/>
      <c r="M71" s="626"/>
      <c r="N71" s="530"/>
      <c r="O71" s="654">
        <f>D71*'Water Mangt'!D6</f>
        <v>12221.46</v>
      </c>
      <c r="P71" s="491"/>
      <c r="Q71" s="491"/>
      <c r="R71" s="491"/>
      <c r="S71" s="491">
        <f>D71*'Water Mangt'!E6</f>
        <v>13283.387999999999</v>
      </c>
      <c r="T71" s="610"/>
      <c r="U71" s="491"/>
      <c r="V71" s="590"/>
      <c r="W71" s="490">
        <f>D71*'Water Mangt'!F6</f>
        <v>17116.923999999999</v>
      </c>
      <c r="X71" s="386">
        <f t="shared" si="13"/>
        <v>59368.207999999999</v>
      </c>
      <c r="Y71" s="586"/>
      <c r="Z71" s="9"/>
      <c r="AA71" s="39"/>
      <c r="AB71" s="427"/>
      <c r="AC71" s="427"/>
      <c r="AD71" s="427"/>
      <c r="AE71" s="427"/>
      <c r="AF71" s="427"/>
      <c r="AG71" s="427"/>
      <c r="AH71" s="39"/>
      <c r="AI71" s="9"/>
      <c r="AJ71" s="9"/>
    </row>
    <row r="72" spans="1:38" ht="15.75" thickBot="1" x14ac:dyDescent="0.3">
      <c r="A72" s="663" t="s">
        <v>190</v>
      </c>
      <c r="B72" s="664"/>
      <c r="C72" s="665"/>
      <c r="D72" s="666"/>
      <c r="E72" s="667"/>
      <c r="F72" s="666"/>
      <c r="G72" s="668"/>
      <c r="H72" s="669"/>
      <c r="I72" s="669"/>
      <c r="J72" s="669"/>
      <c r="K72" s="551">
        <f>SUM(K63:K71)</f>
        <v>134887.80554159998</v>
      </c>
      <c r="L72" s="670"/>
      <c r="M72" s="671"/>
      <c r="N72" s="671"/>
      <c r="O72" s="550">
        <f>SUM(O63:O71)</f>
        <v>127140.2194876</v>
      </c>
      <c r="P72" s="551"/>
      <c r="Q72" s="672"/>
      <c r="R72" s="672"/>
      <c r="S72" s="672">
        <f>SUM(S63:S71)</f>
        <v>120595.00493639999</v>
      </c>
      <c r="T72" s="673"/>
      <c r="U72" s="674"/>
      <c r="V72" s="675"/>
      <c r="W72" s="550">
        <f>SUM(W63:W71)</f>
        <v>87778.232323999982</v>
      </c>
      <c r="X72" s="766">
        <f>K72+O72+S72+W72</f>
        <v>470401.26228959998</v>
      </c>
      <c r="Y72" s="506">
        <f>SUM(X63:X71)</f>
        <v>470401.26228959998</v>
      </c>
      <c r="Z72" s="445"/>
      <c r="AA72" s="39"/>
      <c r="AB72" s="427"/>
      <c r="AC72" s="427"/>
      <c r="AD72" s="427"/>
      <c r="AE72" s="427"/>
      <c r="AF72" s="427"/>
      <c r="AG72" s="39"/>
      <c r="AH72" s="39"/>
      <c r="AI72" s="9"/>
      <c r="AJ72" s="9"/>
    </row>
    <row r="73" spans="1:38" ht="15.75" thickBot="1" x14ac:dyDescent="0.3">
      <c r="A73" s="556" t="s">
        <v>272</v>
      </c>
      <c r="B73" s="565"/>
      <c r="C73" s="565"/>
      <c r="D73" s="565"/>
      <c r="E73" s="566"/>
      <c r="F73" s="566"/>
      <c r="G73" s="1597"/>
      <c r="H73" s="560"/>
      <c r="I73" s="560"/>
      <c r="J73" s="560"/>
      <c r="K73" s="561">
        <f>(K58+K61+K72)/1000</f>
        <v>62096.706165754644</v>
      </c>
      <c r="L73" s="559"/>
      <c r="M73" s="560"/>
      <c r="N73" s="560"/>
      <c r="O73" s="561">
        <f>(O58+O61+O72)/1000</f>
        <v>59828.076279187168</v>
      </c>
      <c r="P73" s="559"/>
      <c r="Q73" s="560"/>
      <c r="R73" s="560"/>
      <c r="S73" s="561">
        <f>(S58+S61+S72)/1000</f>
        <v>53100.927229405141</v>
      </c>
      <c r="T73" s="559"/>
      <c r="U73" s="560"/>
      <c r="V73" s="560"/>
      <c r="W73" s="561">
        <f>(W58+W61+W72)/1000</f>
        <v>40675.675190226561</v>
      </c>
      <c r="X73" s="4689">
        <f>K73+O73+S73+W73</f>
        <v>215701.38486457351</v>
      </c>
      <c r="Y73" s="4702">
        <f>(X58+X61+X72)/1000</f>
        <v>215701.38486457354</v>
      </c>
      <c r="Z73" s="445"/>
      <c r="AA73" s="39"/>
      <c r="AB73" s="427"/>
      <c r="AC73" s="39"/>
      <c r="AD73" s="39"/>
      <c r="AE73" s="39"/>
      <c r="AF73" s="39"/>
      <c r="AG73" s="39"/>
      <c r="AH73" s="39"/>
      <c r="AI73" s="9"/>
      <c r="AJ73" s="9"/>
    </row>
    <row r="74" spans="1:38" ht="15.75" thickBot="1" x14ac:dyDescent="0.3">
      <c r="A74" s="556" t="s">
        <v>273</v>
      </c>
      <c r="B74" s="565"/>
      <c r="C74" s="565"/>
      <c r="D74" s="565"/>
      <c r="E74" s="566"/>
      <c r="F74" s="566"/>
      <c r="G74" s="1597"/>
      <c r="H74" s="560"/>
      <c r="I74" s="560"/>
      <c r="J74" s="560"/>
      <c r="K74" s="3096">
        <f>K73/Production!C7</f>
        <v>4.876879554601344E-2</v>
      </c>
      <c r="L74" s="3097"/>
      <c r="M74" s="3098"/>
      <c r="N74" s="3098"/>
      <c r="O74" s="3096">
        <f>O73/Production!D7</f>
        <v>5.2525852434453714E-2</v>
      </c>
      <c r="P74" s="3097"/>
      <c r="Q74" s="3098"/>
      <c r="R74" s="3098"/>
      <c r="S74" s="3096">
        <f>S73/Production!E7</f>
        <v>5.0377327400807866E-2</v>
      </c>
      <c r="T74" s="3097"/>
      <c r="U74" s="3098"/>
      <c r="V74" s="3098"/>
      <c r="W74" s="3096">
        <f>W73/Production!F7</f>
        <v>5.3250345309522704E-2</v>
      </c>
      <c r="X74" s="4690">
        <f>X73/Production!G7</f>
        <v>5.099045441795285E-2</v>
      </c>
      <c r="Y74" s="4703"/>
      <c r="Z74" s="9"/>
      <c r="AA74" s="39"/>
      <c r="AB74" s="39"/>
      <c r="AC74" s="39"/>
      <c r="AD74" s="39"/>
      <c r="AE74" s="39"/>
      <c r="AF74" s="39"/>
      <c r="AG74" s="39"/>
      <c r="AH74" s="39"/>
      <c r="AI74" s="9"/>
      <c r="AJ74" s="9"/>
    </row>
    <row r="75" spans="1:38" ht="15.75" thickBot="1" x14ac:dyDescent="0.3">
      <c r="A75" s="556" t="s">
        <v>265</v>
      </c>
      <c r="B75" s="565"/>
      <c r="C75" s="565"/>
      <c r="D75" s="565"/>
      <c r="E75" s="566"/>
      <c r="F75" s="566"/>
      <c r="G75" s="1597"/>
      <c r="H75" s="560"/>
      <c r="I75" s="560"/>
      <c r="J75" s="560"/>
      <c r="K75" s="3096">
        <f>K73/Production!C10</f>
        <v>0.13414149880413237</v>
      </c>
      <c r="L75" s="3097"/>
      <c r="M75" s="3098"/>
      <c r="N75" s="3098"/>
      <c r="O75" s="3096">
        <f>O73/Production!D10</f>
        <v>0.14015614425753795</v>
      </c>
      <c r="P75" s="3097"/>
      <c r="Q75" s="3098"/>
      <c r="R75" s="3098"/>
      <c r="S75" s="3096">
        <f>S73/Production!E10</f>
        <v>0.13257268208928188</v>
      </c>
      <c r="T75" s="3097"/>
      <c r="U75" s="3098"/>
      <c r="V75" s="3098"/>
      <c r="W75" s="3096">
        <f>W73/Production!F10</f>
        <v>0.14119992535555242</v>
      </c>
      <c r="X75" s="4690">
        <f>X73/Production!G10</f>
        <v>0.13665823061464918</v>
      </c>
      <c r="Y75" s="4703"/>
      <c r="Z75" s="9"/>
      <c r="AA75" s="39"/>
      <c r="AB75" s="39"/>
      <c r="AC75" s="39"/>
      <c r="AD75" s="39"/>
      <c r="AE75" s="39"/>
      <c r="AF75" s="39"/>
      <c r="AG75" s="39"/>
      <c r="AH75" s="39"/>
      <c r="AI75" s="9"/>
      <c r="AJ75" s="9"/>
    </row>
    <row r="76" spans="1:38" s="9" customFormat="1" ht="15.75" thickBot="1" x14ac:dyDescent="0.3">
      <c r="A76" s="779" t="s">
        <v>1043</v>
      </c>
      <c r="B76" s="755"/>
      <c r="C76" s="755"/>
      <c r="D76" s="758"/>
      <c r="E76" s="1585"/>
      <c r="F76" s="1586"/>
      <c r="G76" s="1587"/>
      <c r="H76" s="551"/>
      <c r="I76" s="551"/>
      <c r="J76" s="551"/>
      <c r="K76" s="468">
        <f>1810*Ozone!C14</f>
        <v>4706</v>
      </c>
      <c r="L76" s="767"/>
      <c r="M76" s="551"/>
      <c r="N76" s="551"/>
      <c r="O76" s="550">
        <f>1810*Ozone!D14</f>
        <v>13394</v>
      </c>
      <c r="P76" s="551"/>
      <c r="Q76" s="551"/>
      <c r="R76" s="551"/>
      <c r="S76" s="468">
        <f>1810*Ozone!E14</f>
        <v>3077</v>
      </c>
      <c r="T76" s="767"/>
      <c r="U76" s="551"/>
      <c r="V76" s="551"/>
      <c r="W76" s="4923">
        <f>1810*Ozone!F14</f>
        <v>3982.0000000000005</v>
      </c>
      <c r="X76" s="4681">
        <f>K76+O76+S76+W76</f>
        <v>25159</v>
      </c>
      <c r="Y76" s="506"/>
      <c r="AA76" s="39"/>
      <c r="AB76" s="39"/>
      <c r="AC76" s="39"/>
      <c r="AD76" s="39"/>
      <c r="AE76" s="39"/>
      <c r="AF76" s="39"/>
      <c r="AG76" s="39"/>
      <c r="AH76" s="39"/>
    </row>
    <row r="77" spans="1:38" ht="19.5" thickBot="1" x14ac:dyDescent="0.3">
      <c r="A77" s="350" t="s">
        <v>196</v>
      </c>
      <c r="B77" s="568"/>
      <c r="C77" s="568"/>
      <c r="D77" s="568"/>
      <c r="E77" s="568"/>
      <c r="F77" s="568"/>
      <c r="G77" s="568"/>
      <c r="H77" s="5097" t="s">
        <v>196</v>
      </c>
      <c r="I77" s="5097"/>
      <c r="J77" s="5097"/>
      <c r="K77" s="5097"/>
      <c r="L77" s="5097"/>
      <c r="M77" s="5097"/>
      <c r="N77" s="5097"/>
      <c r="O77" s="5097"/>
      <c r="P77" s="5097"/>
      <c r="Q77" s="5097"/>
      <c r="R77" s="5097"/>
      <c r="S77" s="5097"/>
      <c r="T77" s="5097"/>
      <c r="U77" s="5097"/>
      <c r="V77" s="5097"/>
      <c r="W77" s="5097"/>
      <c r="X77" s="5097"/>
      <c r="Y77" s="4704"/>
      <c r="Z77" s="9"/>
      <c r="AA77" s="39"/>
      <c r="AB77" s="39"/>
      <c r="AC77" s="39"/>
      <c r="AD77" s="39"/>
      <c r="AE77" s="39"/>
      <c r="AF77" s="39"/>
      <c r="AG77" s="39"/>
      <c r="AH77" s="39"/>
      <c r="AI77" s="9"/>
      <c r="AJ77" s="9"/>
    </row>
    <row r="78" spans="1:38" ht="15.75" thickBot="1" x14ac:dyDescent="0.3">
      <c r="A78" s="5121" t="s">
        <v>189</v>
      </c>
      <c r="B78" s="5122"/>
      <c r="C78" s="5122"/>
      <c r="D78" s="5122"/>
      <c r="E78" s="5122"/>
      <c r="F78" s="5122"/>
      <c r="G78" s="5122"/>
      <c r="H78" s="5127" t="s">
        <v>3</v>
      </c>
      <c r="I78" s="5128"/>
      <c r="J78" s="5128"/>
      <c r="K78" s="5129"/>
      <c r="L78" s="5130" t="s">
        <v>4</v>
      </c>
      <c r="M78" s="5130"/>
      <c r="N78" s="5130"/>
      <c r="O78" s="5130"/>
      <c r="P78" s="5127" t="s">
        <v>5</v>
      </c>
      <c r="Q78" s="5128"/>
      <c r="R78" s="5128"/>
      <c r="S78" s="5129"/>
      <c r="T78" s="5130" t="s">
        <v>6</v>
      </c>
      <c r="U78" s="5130"/>
      <c r="V78" s="5130"/>
      <c r="W78" s="5131"/>
      <c r="X78" s="4691" t="s">
        <v>194</v>
      </c>
      <c r="Y78" s="4705"/>
      <c r="Z78" s="9"/>
      <c r="AA78" s="39"/>
      <c r="AB78" s="39"/>
      <c r="AC78" s="39"/>
      <c r="AD78" s="39"/>
      <c r="AE78" s="39"/>
      <c r="AF78" s="39"/>
      <c r="AG78" s="39"/>
      <c r="AH78" s="39"/>
      <c r="AI78" s="9"/>
      <c r="AJ78" s="9"/>
    </row>
    <row r="79" spans="1:38" ht="24" x14ac:dyDescent="0.25">
      <c r="A79" s="676" t="s">
        <v>170</v>
      </c>
      <c r="B79" s="677" t="s">
        <v>243</v>
      </c>
      <c r="C79" s="678" t="s">
        <v>151</v>
      </c>
      <c r="D79" s="678" t="s">
        <v>274</v>
      </c>
      <c r="E79" s="678" t="s">
        <v>179</v>
      </c>
      <c r="F79" s="678" t="s">
        <v>267</v>
      </c>
      <c r="G79" s="678" t="s">
        <v>275</v>
      </c>
      <c r="H79" s="679" t="s">
        <v>191</v>
      </c>
      <c r="I79" s="680" t="s">
        <v>269</v>
      </c>
      <c r="J79" s="681" t="s">
        <v>192</v>
      </c>
      <c r="K79" s="682" t="s">
        <v>193</v>
      </c>
      <c r="L79" s="681" t="s">
        <v>191</v>
      </c>
      <c r="M79" s="680" t="s">
        <v>269</v>
      </c>
      <c r="N79" s="681" t="s">
        <v>192</v>
      </c>
      <c r="O79" s="683" t="s">
        <v>193</v>
      </c>
      <c r="P79" s="679" t="s">
        <v>191</v>
      </c>
      <c r="Q79" s="680" t="s">
        <v>269</v>
      </c>
      <c r="R79" s="681" t="s">
        <v>192</v>
      </c>
      <c r="S79" s="682" t="s">
        <v>193</v>
      </c>
      <c r="T79" s="681" t="s">
        <v>191</v>
      </c>
      <c r="U79" s="680" t="s">
        <v>269</v>
      </c>
      <c r="V79" s="681" t="s">
        <v>192</v>
      </c>
      <c r="W79" s="683" t="s">
        <v>193</v>
      </c>
      <c r="X79" s="4692" t="s">
        <v>193</v>
      </c>
      <c r="Y79" s="4706"/>
      <c r="Z79" s="9"/>
      <c r="AA79" s="39"/>
      <c r="AB79" s="39"/>
      <c r="AC79" s="39"/>
      <c r="AD79" s="39"/>
      <c r="AE79" s="39"/>
      <c r="AF79" s="39"/>
      <c r="AG79" s="39"/>
      <c r="AH79" s="39"/>
      <c r="AI79" s="9"/>
      <c r="AJ79" s="9"/>
    </row>
    <row r="80" spans="1:38" x14ac:dyDescent="0.25">
      <c r="A80" s="684" t="s">
        <v>167</v>
      </c>
      <c r="B80" s="371"/>
      <c r="C80" s="304"/>
      <c r="D80" s="304"/>
      <c r="E80" s="304"/>
      <c r="F80" s="304"/>
      <c r="G80" s="304"/>
      <c r="H80" s="581"/>
      <c r="I80" s="580"/>
      <c r="J80" s="580"/>
      <c r="K80" s="582"/>
      <c r="L80" s="580"/>
      <c r="M80" s="580"/>
      <c r="N80" s="580"/>
      <c r="O80" s="580"/>
      <c r="P80" s="581"/>
      <c r="Q80" s="580"/>
      <c r="R80" s="580"/>
      <c r="S80" s="582"/>
      <c r="T80" s="580"/>
      <c r="U80" s="580"/>
      <c r="V80" s="580"/>
      <c r="W80" s="580"/>
      <c r="X80" s="581"/>
      <c r="Y80" s="583"/>
      <c r="Z80" s="9"/>
      <c r="AA80" s="39"/>
      <c r="AB80" s="39"/>
      <c r="AC80" s="39"/>
      <c r="AD80" s="39"/>
      <c r="AE80" s="39"/>
      <c r="AF80" s="39"/>
      <c r="AG80" s="39"/>
      <c r="AH80" s="39"/>
      <c r="AI80" s="9"/>
      <c r="AJ80" s="9"/>
    </row>
    <row r="81" spans="1:36" x14ac:dyDescent="0.25">
      <c r="A81" s="685" t="s">
        <v>166</v>
      </c>
      <c r="B81" s="282"/>
      <c r="C81" s="199"/>
      <c r="D81" s="199"/>
      <c r="E81" s="199"/>
      <c r="F81" s="199"/>
      <c r="G81" s="199"/>
      <c r="H81" s="400"/>
      <c r="I81" s="401"/>
      <c r="J81" s="401"/>
      <c r="K81" s="402"/>
      <c r="L81" s="401"/>
      <c r="M81" s="401"/>
      <c r="N81" s="401"/>
      <c r="O81" s="401"/>
      <c r="P81" s="400"/>
      <c r="Q81" s="401"/>
      <c r="R81" s="401"/>
      <c r="S81" s="402"/>
      <c r="T81" s="401"/>
      <c r="U81" s="401"/>
      <c r="V81" s="401"/>
      <c r="W81" s="401"/>
      <c r="X81" s="400"/>
      <c r="Y81" s="584"/>
      <c r="Z81" s="9"/>
      <c r="AA81" s="39"/>
      <c r="AB81" s="39"/>
      <c r="AC81" s="39"/>
      <c r="AD81" s="39"/>
      <c r="AE81" s="39"/>
      <c r="AF81" s="39"/>
      <c r="AG81" s="39"/>
      <c r="AH81" s="39"/>
      <c r="AI81" s="9"/>
      <c r="AJ81" s="9"/>
    </row>
    <row r="82" spans="1:36" x14ac:dyDescent="0.25">
      <c r="A82" s="535" t="s">
        <v>250</v>
      </c>
      <c r="B82" s="219" t="s">
        <v>27</v>
      </c>
      <c r="C82" s="204">
        <v>38.1</v>
      </c>
      <c r="D82" s="385">
        <v>74100</v>
      </c>
      <c r="E82" s="204" t="s">
        <v>185</v>
      </c>
      <c r="F82" s="2883">
        <v>3</v>
      </c>
      <c r="G82" s="204">
        <v>0.6</v>
      </c>
      <c r="H82" s="386">
        <f>(C82*D82/1000000)*Energy!H10</f>
        <v>542.05632000000003</v>
      </c>
      <c r="I82" s="387">
        <f>(C82*F82/1000000)*Energy!H10</f>
        <v>2.1945600000000003E-2</v>
      </c>
      <c r="J82" s="387">
        <f>(C82*G82/1000000)*Energy!H10</f>
        <v>4.3891199999999998E-3</v>
      </c>
      <c r="K82" s="388">
        <f>(H82*1)+(I82*28)+(J82*265)</f>
        <v>543.83391360000007</v>
      </c>
      <c r="L82" s="387">
        <f>(C82*D82/1000000)*Energy!I10</f>
        <v>542.05632000000003</v>
      </c>
      <c r="M82" s="488">
        <f>(C82*F82/1000000)*Energy!I10</f>
        <v>2.1945600000000003E-2</v>
      </c>
      <c r="N82" s="387">
        <f>(C82*G82/1000000)*Energy!I10</f>
        <v>4.3891199999999998E-3</v>
      </c>
      <c r="O82" s="387">
        <f>(L82*1)+(M82*28)+(N82*265)</f>
        <v>543.83391360000007</v>
      </c>
      <c r="P82" s="386">
        <f>(C82*D82/1000000)*Energy!J10</f>
        <v>542.05632000000003</v>
      </c>
      <c r="Q82" s="387">
        <f>(C82*F82/1000000)*Energy!J10</f>
        <v>2.1945600000000003E-2</v>
      </c>
      <c r="R82" s="387">
        <f>(C82*G82/1000000)*Energy!J10</f>
        <v>4.3891199999999998E-3</v>
      </c>
      <c r="S82" s="388">
        <f>(P82*1)+(Q82*28)+(R82*265)</f>
        <v>543.83391360000007</v>
      </c>
      <c r="T82" s="387">
        <f>(C82*D82/1000000)*Energy!K10</f>
        <v>542.05632000000003</v>
      </c>
      <c r="U82" s="387">
        <f>(C82*F82/1000000)*Energy!K10</f>
        <v>2.1945600000000003E-2</v>
      </c>
      <c r="V82" s="387">
        <f>(C82*G82/1000000)*Energy!K10</f>
        <v>4.3891199999999998E-3</v>
      </c>
      <c r="W82" s="387">
        <f>(T82*1)+(U82*28)+(V82*265)</f>
        <v>543.83391360000007</v>
      </c>
      <c r="X82" s="386">
        <f>K82+O82+S82+W82</f>
        <v>2175.3356544000003</v>
      </c>
      <c r="Y82" s="586"/>
      <c r="Z82" s="9"/>
      <c r="AA82" s="39"/>
      <c r="AB82" s="39"/>
      <c r="AC82" s="39"/>
      <c r="AD82" s="39"/>
      <c r="AE82" s="39"/>
      <c r="AF82" s="39"/>
      <c r="AG82" s="39"/>
      <c r="AH82" s="39"/>
      <c r="AI82" s="9"/>
      <c r="AJ82" s="9"/>
    </row>
    <row r="83" spans="1:36" x14ac:dyDescent="0.25">
      <c r="A83" s="535" t="s">
        <v>252</v>
      </c>
      <c r="B83" s="219" t="s">
        <v>32</v>
      </c>
      <c r="C83" s="204">
        <v>46.1</v>
      </c>
      <c r="D83" s="385">
        <v>63100</v>
      </c>
      <c r="E83" s="204" t="s">
        <v>185</v>
      </c>
      <c r="F83" s="204">
        <v>1</v>
      </c>
      <c r="G83" s="204">
        <v>0.1</v>
      </c>
      <c r="H83" s="386">
        <f>(C83*D83/1000000)*Energy!H16</f>
        <v>279.25536</v>
      </c>
      <c r="I83" s="387">
        <f>(C83*F83/1000000)*Energy!H16</f>
        <v>4.4256E-3</v>
      </c>
      <c r="J83" s="387">
        <f>(C83*G83/1000000)*Energy!H16</f>
        <v>4.4255999999999999E-4</v>
      </c>
      <c r="K83" s="388">
        <f>(H83*1)+(I83*28)+(J83*265)</f>
        <v>279.49655519999999</v>
      </c>
      <c r="L83" s="387">
        <f>(C83*D83/1000000)*Energy!I16</f>
        <v>0</v>
      </c>
      <c r="M83" s="488">
        <f>(C83*F83/1000000)*Energy!I16</f>
        <v>0</v>
      </c>
      <c r="N83" s="387">
        <f>(C83*G83/1000000)*Energy!I16</f>
        <v>0</v>
      </c>
      <c r="O83" s="387">
        <f>(L83*1)+(M83*28)+(N83*265)</f>
        <v>0</v>
      </c>
      <c r="P83" s="386">
        <f>(C83*D83/1000000)*Energy!J16</f>
        <v>0</v>
      </c>
      <c r="Q83" s="387">
        <f>(C83*F83/1000000)*Energy!J16</f>
        <v>0</v>
      </c>
      <c r="R83" s="387">
        <f>(C83*G83/1000000)*Energy!J16</f>
        <v>0</v>
      </c>
      <c r="S83" s="388">
        <f>(P83*1)+(Q83*28)+(R83*265)</f>
        <v>0</v>
      </c>
      <c r="T83" s="387">
        <f>(C83*D83/1000000)*Energy!K16</f>
        <v>418.88303999999999</v>
      </c>
      <c r="U83" s="387">
        <f>(C83*F83/1000000)*Energy!K16</f>
        <v>6.6384E-3</v>
      </c>
      <c r="V83" s="387">
        <f>(C83*G83/1000000)*Energy!K16</f>
        <v>6.6383999999999996E-4</v>
      </c>
      <c r="W83" s="387">
        <f>(T83*1)+(U83*28)+(V83*265)</f>
        <v>419.24483279999998</v>
      </c>
      <c r="X83" s="386">
        <f t="shared" ref="X83:X109" si="14">K83+O83+S83+W83</f>
        <v>698.74138799999992</v>
      </c>
      <c r="Y83" s="586"/>
      <c r="Z83" s="9"/>
      <c r="AA83" s="39"/>
      <c r="AB83" s="39"/>
      <c r="AC83" s="39"/>
      <c r="AD83" s="39"/>
      <c r="AE83" s="39"/>
      <c r="AF83" s="39"/>
      <c r="AG83" s="39"/>
      <c r="AH83" s="39"/>
      <c r="AI83" s="9"/>
      <c r="AJ83" s="9"/>
    </row>
    <row r="84" spans="1:36" x14ac:dyDescent="0.25">
      <c r="A84" s="376" t="s">
        <v>168</v>
      </c>
      <c r="B84" s="282"/>
      <c r="C84" s="199"/>
      <c r="D84" s="378"/>
      <c r="E84" s="199"/>
      <c r="F84" s="199"/>
      <c r="G84" s="199"/>
      <c r="H84" s="400"/>
      <c r="I84" s="401"/>
      <c r="J84" s="401"/>
      <c r="K84" s="402"/>
      <c r="L84" s="401"/>
      <c r="M84" s="401"/>
      <c r="N84" s="401"/>
      <c r="O84" s="401"/>
      <c r="P84" s="400"/>
      <c r="Q84" s="401"/>
      <c r="R84" s="401"/>
      <c r="S84" s="402"/>
      <c r="T84" s="401"/>
      <c r="U84" s="401"/>
      <c r="V84" s="401"/>
      <c r="W84" s="401"/>
      <c r="X84" s="400">
        <f t="shared" si="14"/>
        <v>0</v>
      </c>
      <c r="Y84" s="584"/>
      <c r="Z84" s="9"/>
      <c r="AA84" s="39"/>
      <c r="AB84" s="39"/>
      <c r="AC84" s="39"/>
      <c r="AD84" s="39"/>
      <c r="AE84" s="39"/>
      <c r="AF84" s="39"/>
      <c r="AG84" s="39"/>
      <c r="AH84" s="39"/>
      <c r="AI84" s="9"/>
      <c r="AJ84" s="9"/>
    </row>
    <row r="85" spans="1:36" ht="22.5" x14ac:dyDescent="0.25">
      <c r="A85" s="535" t="s">
        <v>1701</v>
      </c>
      <c r="B85" s="219" t="s">
        <v>27</v>
      </c>
      <c r="C85" s="204">
        <v>38.1</v>
      </c>
      <c r="D85" s="408">
        <v>74100</v>
      </c>
      <c r="E85" s="217" t="s">
        <v>185</v>
      </c>
      <c r="F85" s="206">
        <v>3.9</v>
      </c>
      <c r="G85" s="207">
        <v>3.9</v>
      </c>
      <c r="H85" s="686">
        <f>(C85*D85/1000000)*Energy!H5</f>
        <v>1931842.2826755</v>
      </c>
      <c r="I85" s="648">
        <f>(C85*F85/1000000)*Energy!H5</f>
        <v>101.67590961450001</v>
      </c>
      <c r="J85" s="648">
        <f>(C85*G85/1000000)*Energy!H5</f>
        <v>101.67590961450001</v>
      </c>
      <c r="K85" s="4914">
        <f>(H85*1)+(I85*28)+(J85*265)</f>
        <v>1961633.3241925484</v>
      </c>
      <c r="L85" s="491">
        <f>(C85*D85/1000000)*Energy!I5</f>
        <v>1313159.7519963002</v>
      </c>
      <c r="M85" s="687">
        <f>(C85*F85/1000000)*Energy!I5</f>
        <v>69.113671157700011</v>
      </c>
      <c r="N85" s="648">
        <f>(C85*G85/1000000)*Energy!I5</f>
        <v>69.113671157700011</v>
      </c>
      <c r="O85" s="4915">
        <f>(L85*1)+(M85*28)+(N85*265)</f>
        <v>1333410.0576455062</v>
      </c>
      <c r="P85" s="644">
        <f>(C85*D85/1000000)*Energy!J5</f>
        <v>1328792.4586403999</v>
      </c>
      <c r="Q85" s="688">
        <f>(C85*F85/1000000)*Energy!J5</f>
        <v>69.936445191600001</v>
      </c>
      <c r="R85" s="491">
        <f>(C85*G85/1000000)*Energy!J5</f>
        <v>69.936445191600001</v>
      </c>
      <c r="S85" s="4914">
        <f>(P85*1)+(Q85*28)+(R85*265)</f>
        <v>1349283.8370815387</v>
      </c>
      <c r="T85" s="651">
        <f>(C85*D85/1000000)*Energy!K5</f>
        <v>654229.8501102</v>
      </c>
      <c r="U85" s="651">
        <f>(C85*F85/1000000)*Energy!K5</f>
        <v>34.433150005800002</v>
      </c>
      <c r="V85" s="651">
        <f>(C85*G85/1000000)*Energy!K5</f>
        <v>34.433150005800002</v>
      </c>
      <c r="W85" s="4907">
        <f>(T85*1)+(U85*28)+(V85*265)</f>
        <v>664318.76306189946</v>
      </c>
      <c r="X85" s="386">
        <f t="shared" si="14"/>
        <v>5308645.9819814926</v>
      </c>
      <c r="Y85" s="586"/>
      <c r="Z85" s="9"/>
      <c r="AA85" s="39"/>
      <c r="AB85" s="39"/>
      <c r="AC85" s="39"/>
      <c r="AD85" s="39"/>
      <c r="AE85" s="39"/>
      <c r="AF85" s="39"/>
      <c r="AG85" s="39"/>
      <c r="AH85" s="39"/>
      <c r="AI85" s="9"/>
      <c r="AJ85" s="9"/>
    </row>
    <row r="86" spans="1:36" x14ac:dyDescent="0.25">
      <c r="A86" s="535" t="s">
        <v>1703</v>
      </c>
      <c r="B86" s="219" t="s">
        <v>27</v>
      </c>
      <c r="C86" s="204">
        <v>34.200000000000003</v>
      </c>
      <c r="D86" s="408">
        <v>69300</v>
      </c>
      <c r="E86" s="217" t="s">
        <v>185</v>
      </c>
      <c r="F86" s="206">
        <v>3.8</v>
      </c>
      <c r="G86" s="206">
        <v>5.7</v>
      </c>
      <c r="H86" s="689">
        <f>(C86*D86/1000000)*Energy!H15</f>
        <v>16556.291136</v>
      </c>
      <c r="I86" s="648">
        <f>(C86*F86/1000000)*Energy!H15</f>
        <v>0.90784857600000013</v>
      </c>
      <c r="J86" s="648">
        <f>(C86*G86/1000000)*Energy!H15</f>
        <v>1.3617728640000002</v>
      </c>
      <c r="K86" s="527">
        <f>(H86*1)+(I86*28)+(J86*265)</f>
        <v>16942.580705087999</v>
      </c>
      <c r="L86" s="491">
        <f>(C86*D86/1000000)*Energy!I15</f>
        <v>15810.741361799997</v>
      </c>
      <c r="M86" s="687">
        <f>(C86*F86/1000000)*Energy!I15</f>
        <v>0.86696705879999991</v>
      </c>
      <c r="N86" s="648">
        <f>(C86*G86/1000000)*Energy!I15</f>
        <v>1.3004505881999999</v>
      </c>
      <c r="O86" s="627">
        <f>(L86*1)+(M86*28)+(N86*265)</f>
        <v>16179.635845319397</v>
      </c>
      <c r="P86" s="644">
        <f>(C86*D86/1000000)*Energy!J15</f>
        <v>12846.104409600001</v>
      </c>
      <c r="Q86" s="688">
        <f>(C86*F86/1000000)*Energy!J15</f>
        <v>0.70440399360000006</v>
      </c>
      <c r="R86" s="491">
        <f>(C86*G86/1000000)*Energy!J15</f>
        <v>1.0566059904</v>
      </c>
      <c r="S86" s="690">
        <f>(P86*1)+(Q86*28)+(R86*265)</f>
        <v>13145.8283088768</v>
      </c>
      <c r="T86" s="651">
        <f>(C86*D86/1000000)*Energy!K15</f>
        <v>7216.0268796</v>
      </c>
      <c r="U86" s="651">
        <f>(C86*F86/1000000)*Energy!K15</f>
        <v>0.3956840136</v>
      </c>
      <c r="V86" s="651">
        <f>(C86*G86/1000000)*Energy!K15</f>
        <v>0.59352602040000002</v>
      </c>
      <c r="W86" s="387">
        <f>(T86*1)+(U86*28)+(V86*265)</f>
        <v>7384.3904273868002</v>
      </c>
      <c r="X86" s="386">
        <f t="shared" si="14"/>
        <v>53652.435286670996</v>
      </c>
      <c r="Y86" s="586"/>
      <c r="Z86" s="9"/>
      <c r="AA86" s="39"/>
      <c r="AB86" s="39"/>
      <c r="AC86" s="39"/>
      <c r="AD86" s="39"/>
      <c r="AE86" s="39"/>
      <c r="AF86" s="39"/>
      <c r="AG86" s="39"/>
      <c r="AH86" s="39"/>
      <c r="AI86" s="9"/>
      <c r="AJ86" s="9"/>
    </row>
    <row r="87" spans="1:36" s="9" customFormat="1" x14ac:dyDescent="0.25">
      <c r="A87" s="535" t="s">
        <v>254</v>
      </c>
      <c r="B87" s="384" t="s">
        <v>27</v>
      </c>
      <c r="C87" s="299">
        <v>37.5</v>
      </c>
      <c r="D87" s="408">
        <v>70000</v>
      </c>
      <c r="E87" s="409" t="s">
        <v>185</v>
      </c>
      <c r="F87" s="410">
        <v>0.5</v>
      </c>
      <c r="G87" s="410">
        <v>2</v>
      </c>
      <c r="H87" s="526">
        <f>(C87*D87/1000000)*'company plane'!F5</f>
        <v>26122.6875</v>
      </c>
      <c r="I87" s="494">
        <f>(C87*F87/1000000)*'company plane'!F5</f>
        <v>0.18659062499999998</v>
      </c>
      <c r="J87" s="494">
        <f>(C87*G87/1000000)*'company plane'!F5</f>
        <v>0.74636249999999993</v>
      </c>
      <c r="K87" s="490">
        <f>(H87*1)+(I87*28)+(J87*265)</f>
        <v>26325.698099999998</v>
      </c>
      <c r="L87" s="423">
        <f>(C87*D87)/1000000*'company plane'!J5</f>
        <v>27700.3125</v>
      </c>
      <c r="M87" s="653">
        <f>(C87*F87)/1000000*'company plane'!J5</f>
        <v>0.19785937499999998</v>
      </c>
      <c r="N87" s="430">
        <f>(C87*G87)/1000000*'company plane'!J5</f>
        <v>0.7914374999999999</v>
      </c>
      <c r="O87" s="423">
        <f>(L87*1)+(M87*28)+(N87*265)</f>
        <v>27915.583500000001</v>
      </c>
      <c r="P87" s="412">
        <f>(C87*D87)/1000000*'company plane'!N5</f>
        <v>26603.71875</v>
      </c>
      <c r="Q87" s="494">
        <f>(C87*F87)/1000000*'company plane'!N5</f>
        <v>0.1900265625</v>
      </c>
      <c r="R87" s="491">
        <f>(C87*G87)/1000000*'company plane'!N5</f>
        <v>0.76010624999999998</v>
      </c>
      <c r="S87" s="490">
        <f>(P87*1)+(Q87*28)+(R87*265)</f>
        <v>26810.467649999999</v>
      </c>
      <c r="T87" s="526">
        <f>(C87*D87)/1000000*'company plane'!R5</f>
        <v>5280.1875</v>
      </c>
      <c r="U87" s="491">
        <f>(C87*F87)/1000000*'company plane'!R5</f>
        <v>3.7715624999999996E-2</v>
      </c>
      <c r="V87" s="491">
        <f>(C87*G87)/1000000*'company plane'!R5</f>
        <v>0.15086249999999998</v>
      </c>
      <c r="W87" s="490">
        <f>(T87*1)+(U87*28)+(V87*265)</f>
        <v>5321.2221</v>
      </c>
      <c r="X87" s="412">
        <f>K87+O87+S87+W87</f>
        <v>86372.971349999993</v>
      </c>
      <c r="Y87" s="753"/>
      <c r="AA87" s="39"/>
      <c r="AB87" s="39"/>
      <c r="AC87" s="39"/>
      <c r="AD87" s="39"/>
      <c r="AE87" s="39"/>
      <c r="AF87" s="39"/>
      <c r="AG87" s="39"/>
      <c r="AH87" s="39"/>
    </row>
    <row r="88" spans="1:36" x14ac:dyDescent="0.25">
      <c r="A88" s="433" t="s">
        <v>255</v>
      </c>
      <c r="B88" s="282" t="s">
        <v>27</v>
      </c>
      <c r="C88" s="199"/>
      <c r="D88" s="208"/>
      <c r="E88" s="222"/>
      <c r="F88" s="209"/>
      <c r="G88" s="210"/>
      <c r="H88" s="438"/>
      <c r="I88" s="439"/>
      <c r="J88" s="439"/>
      <c r="K88" s="402"/>
      <c r="L88" s="692"/>
      <c r="M88" s="439"/>
      <c r="N88" s="439"/>
      <c r="O88" s="439"/>
      <c r="P88" s="438"/>
      <c r="Q88" s="693"/>
      <c r="R88" s="439"/>
      <c r="S88" s="440"/>
      <c r="T88" s="439"/>
      <c r="U88" s="439"/>
      <c r="V88" s="439"/>
      <c r="W88" s="439"/>
      <c r="X88" s="400">
        <f t="shared" si="14"/>
        <v>0</v>
      </c>
      <c r="Y88" s="584"/>
      <c r="Z88" s="9"/>
      <c r="AA88" s="39"/>
      <c r="AB88" s="39"/>
      <c r="AC88" s="39"/>
      <c r="AD88" s="39"/>
      <c r="AE88" s="39"/>
      <c r="AF88" s="39"/>
      <c r="AG88" s="39"/>
      <c r="AH88" s="39"/>
      <c r="AI88" s="9"/>
      <c r="AJ88" s="9"/>
    </row>
    <row r="89" spans="1:36" s="116" customFormat="1" x14ac:dyDescent="0.25">
      <c r="A89" s="1623" t="s">
        <v>1123</v>
      </c>
      <c r="B89" s="1623" t="s">
        <v>32</v>
      </c>
      <c r="C89" s="200"/>
      <c r="D89" s="3142"/>
      <c r="E89" s="3143"/>
      <c r="F89" s="3144"/>
      <c r="G89" s="206"/>
      <c r="H89" s="412"/>
      <c r="I89" s="491"/>
      <c r="J89" s="491"/>
      <c r="K89" s="4924">
        <f>3922*Ozone!H12</f>
        <v>31376</v>
      </c>
      <c r="L89" s="3151"/>
      <c r="M89" s="491"/>
      <c r="N89" s="491"/>
      <c r="O89" s="491">
        <f>3922*Ozone!I12</f>
        <v>19610</v>
      </c>
      <c r="P89" s="412"/>
      <c r="Q89" s="3152"/>
      <c r="R89" s="491"/>
      <c r="S89" s="490">
        <f>3922*Ozone!J12</f>
        <v>70596</v>
      </c>
      <c r="T89" s="491"/>
      <c r="U89" s="491"/>
      <c r="V89" s="491"/>
      <c r="W89" s="491">
        <f>3922*Ozone!K12</f>
        <v>0</v>
      </c>
      <c r="X89" s="386">
        <f t="shared" si="14"/>
        <v>121582</v>
      </c>
      <c r="Y89" s="791">
        <f>3922*Ozone!L12</f>
        <v>121582</v>
      </c>
      <c r="AA89" s="39"/>
      <c r="AB89" s="39"/>
      <c r="AC89" s="39"/>
      <c r="AD89" s="39"/>
      <c r="AE89" s="39"/>
      <c r="AF89" s="39"/>
      <c r="AG89" s="39"/>
      <c r="AH89" s="39"/>
    </row>
    <row r="90" spans="1:36" x14ac:dyDescent="0.25">
      <c r="A90" s="237" t="s">
        <v>1044</v>
      </c>
      <c r="B90" s="219" t="s">
        <v>32</v>
      </c>
      <c r="C90" s="204"/>
      <c r="D90" s="127"/>
      <c r="E90" s="223"/>
      <c r="F90" s="211"/>
      <c r="G90" s="211"/>
      <c r="H90" s="694"/>
      <c r="I90" s="607"/>
      <c r="J90" s="518"/>
      <c r="K90" s="695">
        <f>1430*Ozone!H9</f>
        <v>0</v>
      </c>
      <c r="L90" s="696"/>
      <c r="M90" s="600"/>
      <c r="N90" s="601"/>
      <c r="O90" s="627">
        <f>1430*Ozone!I9</f>
        <v>1430</v>
      </c>
      <c r="P90" s="449"/>
      <c r="Q90" s="607"/>
      <c r="R90" s="450"/>
      <c r="S90" s="697">
        <f>1430*Ozone!J9</f>
        <v>1430</v>
      </c>
      <c r="T90" s="691"/>
      <c r="U90" s="600"/>
      <c r="V90" s="450"/>
      <c r="W90" s="450">
        <f>1430*Ozone!K9</f>
        <v>0</v>
      </c>
      <c r="X90" s="386">
        <f t="shared" si="14"/>
        <v>2860</v>
      </c>
      <c r="Y90" s="586"/>
      <c r="Z90" s="9"/>
      <c r="AA90" s="39"/>
      <c r="AB90" s="39"/>
      <c r="AC90" s="39"/>
      <c r="AD90" s="39"/>
      <c r="AE90" s="39"/>
      <c r="AF90" s="39"/>
      <c r="AG90" s="39"/>
      <c r="AH90" s="39"/>
      <c r="AI90" s="9"/>
      <c r="AJ90" s="9"/>
    </row>
    <row r="91" spans="1:36" x14ac:dyDescent="0.25">
      <c r="A91" s="457" t="s">
        <v>270</v>
      </c>
      <c r="B91" s="219" t="s">
        <v>32</v>
      </c>
      <c r="C91" s="204"/>
      <c r="D91" s="127"/>
      <c r="E91" s="223"/>
      <c r="F91" s="211"/>
      <c r="G91" s="211"/>
      <c r="H91" s="694"/>
      <c r="I91" s="607"/>
      <c r="J91" s="519"/>
      <c r="K91" s="695">
        <f>2088*Ozone!H10</f>
        <v>37584</v>
      </c>
      <c r="L91" s="450"/>
      <c r="M91" s="609"/>
      <c r="N91" s="589"/>
      <c r="O91" s="651">
        <f>2088*Ozone!I10</f>
        <v>37584</v>
      </c>
      <c r="P91" s="449"/>
      <c r="Q91" s="450"/>
      <c r="R91" s="450"/>
      <c r="S91" s="698">
        <f>2088*Ozone!J10</f>
        <v>39672</v>
      </c>
      <c r="T91" s="699"/>
      <c r="U91" s="609"/>
      <c r="V91" s="450"/>
      <c r="W91" s="450">
        <f>2088*Ozone!K10</f>
        <v>0</v>
      </c>
      <c r="X91" s="386">
        <f t="shared" si="14"/>
        <v>114840</v>
      </c>
      <c r="Y91" s="586"/>
      <c r="Z91" s="9"/>
      <c r="AA91" s="39"/>
      <c r="AB91" s="39"/>
      <c r="AC91" s="39"/>
      <c r="AD91" s="39"/>
      <c r="AE91" s="39"/>
      <c r="AF91" s="39"/>
      <c r="AG91" s="39"/>
      <c r="AH91" s="39"/>
      <c r="AI91" s="9"/>
      <c r="AJ91" s="9"/>
    </row>
    <row r="92" spans="1:36" s="9" customFormat="1" x14ac:dyDescent="0.25">
      <c r="A92" s="457" t="s">
        <v>707</v>
      </c>
      <c r="B92" s="219" t="s">
        <v>32</v>
      </c>
      <c r="C92" s="204"/>
      <c r="D92" s="127"/>
      <c r="E92" s="223"/>
      <c r="F92" s="211"/>
      <c r="G92" s="211"/>
      <c r="H92" s="449"/>
      <c r="I92" s="450"/>
      <c r="J92" s="651"/>
      <c r="K92" s="695">
        <f>3985*Ozone!H11</f>
        <v>103610</v>
      </c>
      <c r="L92" s="450"/>
      <c r="M92" s="1830"/>
      <c r="N92" s="1831"/>
      <c r="O92" s="651">
        <f>3985*Ozone!I11</f>
        <v>43835</v>
      </c>
      <c r="P92" s="449"/>
      <c r="Q92" s="450"/>
      <c r="R92" s="450"/>
      <c r="S92" s="695">
        <f>3985*Ozone!J11</f>
        <v>15940</v>
      </c>
      <c r="T92" s="651"/>
      <c r="U92" s="1832"/>
      <c r="V92" s="450"/>
      <c r="W92" s="450">
        <f>3985*Ozone!K11</f>
        <v>0</v>
      </c>
      <c r="X92" s="386">
        <f t="shared" si="14"/>
        <v>163385</v>
      </c>
      <c r="Y92" s="586"/>
      <c r="AA92" s="39"/>
      <c r="AB92" s="39"/>
      <c r="AC92" s="39"/>
      <c r="AD92" s="39"/>
      <c r="AE92" s="39"/>
      <c r="AF92" s="39"/>
      <c r="AG92" s="39"/>
      <c r="AH92" s="39"/>
    </row>
    <row r="93" spans="1:36" s="9" customFormat="1" x14ac:dyDescent="0.25">
      <c r="A93" s="3141" t="s">
        <v>1124</v>
      </c>
      <c r="B93" s="1623" t="s">
        <v>181</v>
      </c>
      <c r="C93" s="842"/>
      <c r="D93" s="539">
        <v>0.70799999999999996</v>
      </c>
      <c r="E93" s="394" t="s">
        <v>188</v>
      </c>
      <c r="F93" s="410"/>
      <c r="G93" s="429"/>
      <c r="H93" s="450"/>
      <c r="I93" s="450"/>
      <c r="J93" s="651"/>
      <c r="K93" s="450">
        <f>D93*Effluent!H6</f>
        <v>49761.78</v>
      </c>
      <c r="L93" s="450"/>
      <c r="M93" s="450"/>
      <c r="N93" s="651"/>
      <c r="O93" s="651">
        <f>D93*Effluent!I6</f>
        <v>40501.14</v>
      </c>
      <c r="P93" s="450"/>
      <c r="Q93" s="450"/>
      <c r="R93" s="450"/>
      <c r="S93" s="450">
        <f>D93*Effluent!J6</f>
        <v>42862.32</v>
      </c>
      <c r="T93" s="651"/>
      <c r="U93" s="450"/>
      <c r="V93" s="450"/>
      <c r="W93" s="450">
        <f>D93*Effluent!K6</f>
        <v>39163.019999999997</v>
      </c>
      <c r="X93" s="386">
        <f t="shared" si="14"/>
        <v>172288.25999999998</v>
      </c>
      <c r="Y93" s="586"/>
      <c r="AA93" s="39"/>
      <c r="AB93" s="39"/>
      <c r="AC93" s="39"/>
      <c r="AD93" s="39"/>
      <c r="AE93" s="39"/>
      <c r="AF93" s="39"/>
      <c r="AG93" s="39"/>
      <c r="AH93" s="39"/>
    </row>
    <row r="94" spans="1:36" ht="15.75" thickBot="1" x14ac:dyDescent="0.3">
      <c r="A94" s="700" t="s">
        <v>171</v>
      </c>
      <c r="B94" s="701"/>
      <c r="C94" s="702"/>
      <c r="D94" s="703"/>
      <c r="E94" s="614"/>
      <c r="F94" s="213"/>
      <c r="G94" s="704"/>
      <c r="H94" s="468">
        <f>H82+H83+H85+H86+H87+H89+H90+H91+H92+H93</f>
        <v>1975342.5729915001</v>
      </c>
      <c r="I94" s="468">
        <f t="shared" ref="I94:V94" si="15">I82+I83+I85+I86+I87+I89+I90+I91+I92+I93</f>
        <v>102.79672001550001</v>
      </c>
      <c r="J94" s="468">
        <f t="shared" si="15"/>
        <v>103.78887665850002</v>
      </c>
      <c r="K94" s="468">
        <f t="shared" si="15"/>
        <v>2228056.7134664361</v>
      </c>
      <c r="L94" s="468">
        <f t="shared" si="15"/>
        <v>1357212.8621781</v>
      </c>
      <c r="M94" s="468">
        <f t="shared" si="15"/>
        <v>70.2004431915</v>
      </c>
      <c r="N94" s="468">
        <f t="shared" si="15"/>
        <v>71.209948365900004</v>
      </c>
      <c r="O94" s="468">
        <f t="shared" si="15"/>
        <v>1521009.2509044255</v>
      </c>
      <c r="P94" s="468">
        <f t="shared" si="15"/>
        <v>1368784.3381199997</v>
      </c>
      <c r="Q94" s="468">
        <f t="shared" si="15"/>
        <v>70.852821347699987</v>
      </c>
      <c r="R94" s="468">
        <f t="shared" si="15"/>
        <v>71.757546552000008</v>
      </c>
      <c r="S94" s="468">
        <f t="shared" si="15"/>
        <v>1560284.2869540157</v>
      </c>
      <c r="T94" s="468">
        <f t="shared" si="15"/>
        <v>667687.00384979998</v>
      </c>
      <c r="U94" s="468">
        <f t="shared" si="15"/>
        <v>34.895133644399998</v>
      </c>
      <c r="V94" s="468">
        <f t="shared" si="15"/>
        <v>35.182591486200003</v>
      </c>
      <c r="W94" s="468">
        <f>W82+W83+W85+W86+W87+W89+W90+W91+W92+W93</f>
        <v>717150.4743356863</v>
      </c>
      <c r="X94" s="710">
        <f>K94+O94+S94+W94</f>
        <v>6026500.7256605634</v>
      </c>
      <c r="Y94" s="506">
        <f>SUM(X82:X93)</f>
        <v>6026500.7256605634</v>
      </c>
      <c r="Z94" s="445"/>
      <c r="AA94" s="39"/>
      <c r="AB94" s="39"/>
      <c r="AC94" s="39"/>
      <c r="AD94" s="39"/>
      <c r="AE94" s="39"/>
      <c r="AF94" s="39"/>
      <c r="AG94" s="39"/>
      <c r="AH94" s="39"/>
      <c r="AI94" s="9"/>
      <c r="AJ94" s="9"/>
    </row>
    <row r="95" spans="1:36" s="9" customFormat="1" x14ac:dyDescent="0.25">
      <c r="A95" s="705" t="s">
        <v>169</v>
      </c>
      <c r="B95" s="706"/>
      <c r="C95" s="304"/>
      <c r="D95" s="214"/>
      <c r="E95" s="618"/>
      <c r="F95" s="215"/>
      <c r="G95" s="215"/>
      <c r="H95" s="620"/>
      <c r="I95" s="481"/>
      <c r="J95" s="481"/>
      <c r="K95" s="621"/>
      <c r="L95" s="481"/>
      <c r="M95" s="481"/>
      <c r="N95" s="481"/>
      <c r="O95" s="481"/>
      <c r="P95" s="620"/>
      <c r="Q95" s="481"/>
      <c r="R95" s="481"/>
      <c r="S95" s="621"/>
      <c r="T95" s="481"/>
      <c r="U95" s="481"/>
      <c r="V95" s="481"/>
      <c r="W95" s="481"/>
      <c r="X95" s="581">
        <f t="shared" si="14"/>
        <v>0</v>
      </c>
      <c r="Y95" s="583"/>
      <c r="AA95" s="39"/>
      <c r="AB95" s="39"/>
      <c r="AC95" s="39"/>
      <c r="AD95" s="39"/>
      <c r="AE95" s="39"/>
      <c r="AF95" s="39"/>
      <c r="AG95" s="39"/>
      <c r="AH95" s="39"/>
    </row>
    <row r="96" spans="1:36" x14ac:dyDescent="0.25">
      <c r="A96" s="237" t="s">
        <v>271</v>
      </c>
      <c r="B96" s="485" t="s">
        <v>29</v>
      </c>
      <c r="C96" s="299"/>
      <c r="D96" s="408">
        <v>1.04</v>
      </c>
      <c r="E96" s="409" t="s">
        <v>259</v>
      </c>
      <c r="F96" s="127"/>
      <c r="G96" s="127"/>
      <c r="H96" s="487"/>
      <c r="I96" s="488"/>
      <c r="J96" s="489"/>
      <c r="K96" s="490">
        <f>D96*Energy!H13</f>
        <v>49489538.667926244</v>
      </c>
      <c r="L96" s="538"/>
      <c r="M96" s="626"/>
      <c r="N96" s="627"/>
      <c r="O96" s="414">
        <f>D96*Energy!I13</f>
        <v>45645862.735927999</v>
      </c>
      <c r="P96" s="493"/>
      <c r="Q96" s="494"/>
      <c r="R96" s="491"/>
      <c r="S96" s="495">
        <f>D96*Energy!J13</f>
        <v>42413931.40608</v>
      </c>
      <c r="T96" s="519"/>
      <c r="U96" s="491"/>
      <c r="V96" s="491"/>
      <c r="W96" s="491">
        <f>D96*Energy!K13</f>
        <v>36169948.171135999</v>
      </c>
      <c r="X96" s="386">
        <f t="shared" si="14"/>
        <v>173719280.98107025</v>
      </c>
      <c r="Y96" s="586"/>
      <c r="Z96" s="9"/>
      <c r="AA96" s="39"/>
      <c r="AB96" s="39"/>
      <c r="AC96" s="39"/>
      <c r="AD96" s="39"/>
      <c r="AE96" s="39"/>
      <c r="AF96" s="39"/>
      <c r="AG96" s="39"/>
      <c r="AH96" s="39"/>
      <c r="AI96" s="9"/>
      <c r="AJ96" s="9"/>
    </row>
    <row r="97" spans="1:36" ht="15.75" thickBot="1" x14ac:dyDescent="0.3">
      <c r="A97" s="700" t="s">
        <v>172</v>
      </c>
      <c r="B97" s="630"/>
      <c r="C97" s="707"/>
      <c r="D97" s="613"/>
      <c r="E97" s="708"/>
      <c r="F97" s="709"/>
      <c r="G97" s="709"/>
      <c r="H97" s="710"/>
      <c r="I97" s="711"/>
      <c r="J97" s="711"/>
      <c r="K97" s="472">
        <f>K96</f>
        <v>49489538.667926244</v>
      </c>
      <c r="L97" s="468"/>
      <c r="M97" s="712"/>
      <c r="N97" s="712"/>
      <c r="O97" s="712">
        <f>O96</f>
        <v>45645862.735927999</v>
      </c>
      <c r="P97" s="466"/>
      <c r="Q97" s="467"/>
      <c r="R97" s="467"/>
      <c r="S97" s="472">
        <f>S96</f>
        <v>42413931.40608</v>
      </c>
      <c r="T97" s="468"/>
      <c r="U97" s="467"/>
      <c r="V97" s="467"/>
      <c r="W97" s="467">
        <f>W96</f>
        <v>36169948.171135999</v>
      </c>
      <c r="X97" s="710">
        <f t="shared" si="14"/>
        <v>173719280.98107025</v>
      </c>
      <c r="Y97" s="506">
        <f>X96</f>
        <v>173719280.98107025</v>
      </c>
      <c r="Z97" s="445">
        <f>X97</f>
        <v>173719280.98107025</v>
      </c>
      <c r="AA97" s="39"/>
      <c r="AB97" s="39"/>
      <c r="AC97" s="39"/>
      <c r="AD97" s="39"/>
      <c r="AE97" s="39"/>
      <c r="AF97" s="39"/>
      <c r="AG97" s="39"/>
      <c r="AH97" s="39"/>
      <c r="AI97" s="9"/>
      <c r="AJ97" s="9"/>
    </row>
    <row r="98" spans="1:36" x14ac:dyDescent="0.25">
      <c r="A98" s="705" t="s">
        <v>173</v>
      </c>
      <c r="B98" s="640"/>
      <c r="C98" s="304"/>
      <c r="D98" s="214" t="s">
        <v>178</v>
      </c>
      <c r="E98" s="641"/>
      <c r="F98" s="214"/>
      <c r="G98" s="214"/>
      <c r="H98" s="581"/>
      <c r="I98" s="580"/>
      <c r="J98" s="580"/>
      <c r="K98" s="621"/>
      <c r="L98" s="481"/>
      <c r="M98" s="481"/>
      <c r="N98" s="481"/>
      <c r="O98" s="481"/>
      <c r="P98" s="620"/>
      <c r="Q98" s="481"/>
      <c r="R98" s="481"/>
      <c r="S98" s="621"/>
      <c r="T98" s="481"/>
      <c r="U98" s="481"/>
      <c r="V98" s="481"/>
      <c r="W98" s="481"/>
      <c r="X98" s="581">
        <f t="shared" si="14"/>
        <v>0</v>
      </c>
      <c r="Y98" s="583"/>
      <c r="Z98" s="9"/>
      <c r="AA98" s="39"/>
      <c r="AB98" s="39"/>
      <c r="AC98" s="39"/>
      <c r="AD98" s="39"/>
      <c r="AE98" s="39"/>
      <c r="AF98" s="39"/>
      <c r="AG98" s="39"/>
      <c r="AH98" s="39"/>
      <c r="AI98" s="9"/>
      <c r="AJ98" s="9"/>
    </row>
    <row r="99" spans="1:36" s="116" customFormat="1" x14ac:dyDescent="0.25">
      <c r="A99" s="1622" t="s">
        <v>631</v>
      </c>
      <c r="B99" s="1623" t="s">
        <v>27</v>
      </c>
      <c r="C99" s="842">
        <v>37.5</v>
      </c>
      <c r="D99" s="843">
        <v>70000</v>
      </c>
      <c r="E99" s="394" t="s">
        <v>185</v>
      </c>
      <c r="F99" s="410">
        <v>0.5</v>
      </c>
      <c r="G99" s="410">
        <v>2</v>
      </c>
      <c r="H99" s="412">
        <f>(C99*D99/1000000)*'company plane'!F39</f>
        <v>0</v>
      </c>
      <c r="I99" s="653">
        <f>(C99*F99/1000000)*'company plane'!F39</f>
        <v>0</v>
      </c>
      <c r="J99" s="653">
        <f>(C99*G99/1000000)*'company plane'!F39</f>
        <v>0</v>
      </c>
      <c r="K99" s="527">
        <f>(H99*1)+(I99*28)+(J99*265)</f>
        <v>0</v>
      </c>
      <c r="L99" s="491">
        <f>(C99*D99/1000000)*'company plane'!J39</f>
        <v>5872.125</v>
      </c>
      <c r="M99" s="494">
        <f>(C99*F99/1000000)*'company plane'!J39</f>
        <v>4.1943749999999995E-2</v>
      </c>
      <c r="N99" s="491">
        <f>(C99*G99/1000000)*'company plane'!J39</f>
        <v>0.16777499999999998</v>
      </c>
      <c r="O99" s="629">
        <f>(L99*1)+(M99*28)+(N99*265)</f>
        <v>5917.7597999999998</v>
      </c>
      <c r="P99" s="412">
        <f>(C99*D99/1000000)*'company plane'!N39</f>
        <v>0</v>
      </c>
      <c r="Q99" s="491">
        <f>(C99*F99/1000000)*'company plane'!N39</f>
        <v>0</v>
      </c>
      <c r="R99" s="491">
        <f>(C99*G99/1000000)*'company plane'!N39</f>
        <v>0</v>
      </c>
      <c r="S99" s="495">
        <f>(P99*1)+(Q99*28)+(R99*265)</f>
        <v>0</v>
      </c>
      <c r="T99" s="494">
        <f>(C99*D99/1000000)*'company plane'!R39</f>
        <v>0</v>
      </c>
      <c r="U99" s="491">
        <f>(C99*F99/1000000)*'company plane'!R39</f>
        <v>0</v>
      </c>
      <c r="V99" s="491">
        <f>(C99*G99/1000000)*'company plane'!R39</f>
        <v>0</v>
      </c>
      <c r="W99" s="491">
        <f>(T99*1)+(U99*28)+(V99*265)</f>
        <v>0</v>
      </c>
      <c r="X99" s="845">
        <f>K99+O99+S99+W99</f>
        <v>5917.7597999999998</v>
      </c>
      <c r="Y99" s="791"/>
      <c r="AA99" s="39"/>
      <c r="AB99" s="39"/>
      <c r="AC99" s="39"/>
      <c r="AD99" s="39"/>
      <c r="AE99" s="39"/>
      <c r="AF99" s="39"/>
      <c r="AG99" s="39"/>
      <c r="AH99" s="39"/>
    </row>
    <row r="100" spans="1:36" ht="45.75" x14ac:dyDescent="0.25">
      <c r="A100" s="3132" t="s">
        <v>1121</v>
      </c>
      <c r="B100" s="847" t="s">
        <v>175</v>
      </c>
      <c r="C100" s="842"/>
      <c r="D100" s="843"/>
      <c r="E100" s="844"/>
      <c r="F100" s="1626"/>
      <c r="G100" s="1627"/>
      <c r="H100" s="412"/>
      <c r="I100" s="494"/>
      <c r="J100" s="451"/>
      <c r="K100" s="490">
        <f>'Employee commute'!K34</f>
        <v>40907.877479999996</v>
      </c>
      <c r="L100" s="491"/>
      <c r="M100" s="626"/>
      <c r="N100" s="627"/>
      <c r="O100" s="414">
        <f>'Employee commute'!L34</f>
        <v>40907.877479999996</v>
      </c>
      <c r="P100" s="412"/>
      <c r="Q100" s="491"/>
      <c r="R100" s="491"/>
      <c r="S100" s="495">
        <f>'Employee commute'!M34</f>
        <v>40907.877479999996</v>
      </c>
      <c r="T100" s="537"/>
      <c r="U100" s="538"/>
      <c r="V100" s="491"/>
      <c r="W100" s="491">
        <f>'Employee commute'!N34</f>
        <v>40907.877479999996</v>
      </c>
      <c r="X100" s="386">
        <f t="shared" si="14"/>
        <v>163631.50991999998</v>
      </c>
      <c r="Y100" s="586"/>
      <c r="Z100" s="9"/>
      <c r="AA100" s="39"/>
      <c r="AB100" s="39"/>
      <c r="AC100" s="39"/>
      <c r="AD100" s="39"/>
      <c r="AE100" s="39"/>
      <c r="AF100" s="39"/>
      <c r="AG100" s="39"/>
      <c r="AH100" s="39"/>
      <c r="AI100" s="9"/>
      <c r="AJ100" s="9"/>
    </row>
    <row r="101" spans="1:36" x14ac:dyDescent="0.25">
      <c r="A101" s="384" t="s">
        <v>1052</v>
      </c>
      <c r="B101" s="384" t="s">
        <v>175</v>
      </c>
      <c r="C101" s="299">
        <v>34.200000000000003</v>
      </c>
      <c r="D101" s="2963">
        <v>0.18084</v>
      </c>
      <c r="E101" s="409" t="s">
        <v>1053</v>
      </c>
      <c r="F101" s="421"/>
      <c r="G101" s="421"/>
      <c r="H101" s="412"/>
      <c r="I101" s="520"/>
      <c r="J101" s="517"/>
      <c r="K101" s="521">
        <f>0.18084*'Business travel'!E59</f>
        <v>906.37008000000003</v>
      </c>
      <c r="L101" s="491"/>
      <c r="M101" s="653"/>
      <c r="N101" s="530"/>
      <c r="O101" s="424">
        <f>0.18084*'Business travel'!I59</f>
        <v>572.32243200000005</v>
      </c>
      <c r="P101" s="522"/>
      <c r="Q101" s="491"/>
      <c r="R101" s="491"/>
      <c r="S101" s="523">
        <f>0.18084*'Business travel'!M59</f>
        <v>739.34625600000004</v>
      </c>
      <c r="T101" s="524"/>
      <c r="U101" s="430"/>
      <c r="V101" s="491"/>
      <c r="W101" s="491">
        <f>0.18084*'Business travel'!Q59</f>
        <v>0</v>
      </c>
      <c r="X101" s="386">
        <f t="shared" si="14"/>
        <v>2218.0387680000003</v>
      </c>
      <c r="Y101" s="586"/>
      <c r="Z101" s="9"/>
      <c r="AA101" s="39"/>
      <c r="AB101" s="39"/>
      <c r="AC101" s="39"/>
      <c r="AD101" s="39"/>
      <c r="AE101" s="39"/>
      <c r="AF101" s="39"/>
      <c r="AG101" s="39"/>
      <c r="AH101" s="39"/>
      <c r="AI101" s="9"/>
      <c r="AJ101" s="9"/>
    </row>
    <row r="102" spans="1:36" x14ac:dyDescent="0.25">
      <c r="A102" s="2885" t="s">
        <v>177</v>
      </c>
      <c r="B102" s="2885" t="s">
        <v>175</v>
      </c>
      <c r="C102" s="2861">
        <v>37.5</v>
      </c>
      <c r="D102" s="2862">
        <v>70000</v>
      </c>
      <c r="E102" s="2863" t="s">
        <v>185</v>
      </c>
      <c r="F102" s="2862">
        <v>0.5</v>
      </c>
      <c r="G102" s="2862">
        <v>2</v>
      </c>
      <c r="H102" s="2865"/>
      <c r="I102" s="2866"/>
      <c r="J102" s="2867"/>
      <c r="K102" s="2868">
        <v>0</v>
      </c>
      <c r="L102" s="2869"/>
      <c r="M102" s="2877"/>
      <c r="N102" s="2887"/>
      <c r="O102" s="2887">
        <v>0</v>
      </c>
      <c r="P102" s="2871"/>
      <c r="Q102" s="2869"/>
      <c r="R102" s="2869"/>
      <c r="S102" s="2872">
        <v>0</v>
      </c>
      <c r="T102" s="2890"/>
      <c r="U102" s="2890"/>
      <c r="V102" s="2869"/>
      <c r="W102" s="2869">
        <v>0</v>
      </c>
      <c r="X102" s="4679">
        <f t="shared" si="14"/>
        <v>0</v>
      </c>
      <c r="Y102" s="586"/>
      <c r="Z102" s="9"/>
      <c r="AA102" s="39"/>
      <c r="AB102" s="39"/>
      <c r="AC102" s="39"/>
      <c r="AD102" s="39"/>
      <c r="AE102" s="39"/>
      <c r="AF102" s="39"/>
      <c r="AG102" s="39"/>
      <c r="AH102" s="39"/>
      <c r="AI102" s="9"/>
      <c r="AJ102" s="9"/>
    </row>
    <row r="103" spans="1:36" s="849" customFormat="1" x14ac:dyDescent="0.25">
      <c r="A103" s="1605" t="s">
        <v>674</v>
      </c>
      <c r="B103" s="1571" t="s">
        <v>175</v>
      </c>
      <c r="C103" s="1572">
        <v>0.25492999999999999</v>
      </c>
      <c r="D103" s="1715">
        <v>0.15831999999999999</v>
      </c>
      <c r="E103" s="1573">
        <v>0.19561999999999999</v>
      </c>
      <c r="F103" s="1716">
        <v>0.18078</v>
      </c>
      <c r="G103" s="1574"/>
      <c r="H103" s="1578"/>
      <c r="I103" s="1576"/>
      <c r="J103" s="1577"/>
      <c r="K103" s="1583">
        <f>(C103*'Business travel'!J8)+(D103*'Business travel'!K8)+(E103*'Business travel'!L8)+(F103*'Business travel'!M8)</f>
        <v>6083.6495199999999</v>
      </c>
      <c r="L103" s="1575"/>
      <c r="M103" s="1579"/>
      <c r="N103" s="1718"/>
      <c r="O103" s="1588">
        <f>(C103*'Business travel'!J12)+(D103*'Business travel'!K12)+(E103*'Business travel'!L12)+(F103*'Business travel'!M12)</f>
        <v>2878.1596999999997</v>
      </c>
      <c r="P103" s="1589"/>
      <c r="Q103" s="1575"/>
      <c r="R103" s="1575"/>
      <c r="S103" s="1583">
        <f>(C103*'Business travel'!J16)+(D103*'Business travel'!K16)+(E103*'Business travel'!L16)+(F103*'Business travel'!M16)</f>
        <v>5825.8479600000001</v>
      </c>
      <c r="T103" s="1590"/>
      <c r="U103" s="1575"/>
      <c r="V103" s="1575"/>
      <c r="W103" s="1575">
        <f>(C103*'Business travel'!J20)+(D103*'Business travel'!K20)+(E103*'Business travel'!L20)+(F103*'Business travel'!M20)</f>
        <v>0</v>
      </c>
      <c r="X103" s="4688">
        <f>K103+O103+S103+W103</f>
        <v>14787.657179999998</v>
      </c>
      <c r="Y103" s="1584"/>
      <c r="AA103" s="39"/>
      <c r="AB103" s="39"/>
      <c r="AC103" s="39"/>
      <c r="AD103" s="39"/>
      <c r="AE103" s="39"/>
      <c r="AF103" s="39"/>
      <c r="AG103" s="39"/>
      <c r="AH103" s="39"/>
    </row>
    <row r="104" spans="1:36" x14ac:dyDescent="0.25">
      <c r="A104" s="384" t="s">
        <v>176</v>
      </c>
      <c r="B104" s="219" t="s">
        <v>32</v>
      </c>
      <c r="C104" s="204"/>
      <c r="D104" s="224">
        <v>0.87009999999999998</v>
      </c>
      <c r="E104" s="421" t="s">
        <v>186</v>
      </c>
      <c r="F104" s="206"/>
      <c r="G104" s="206"/>
      <c r="H104" s="412"/>
      <c r="I104" s="494"/>
      <c r="J104" s="451"/>
      <c r="K104" s="490">
        <f>D104*Materials!H11</f>
        <v>2088.2399999999998</v>
      </c>
      <c r="L104" s="491"/>
      <c r="M104" s="520"/>
      <c r="N104" s="529"/>
      <c r="O104" s="424">
        <f>D104*Materials!I11</f>
        <v>1585.7572499999999</v>
      </c>
      <c r="P104" s="493"/>
      <c r="Q104" s="491"/>
      <c r="R104" s="491"/>
      <c r="S104" s="490">
        <f>D104*Materials!J11</f>
        <v>1729.32375</v>
      </c>
      <c r="T104" s="540"/>
      <c r="U104" s="491"/>
      <c r="V104" s="491"/>
      <c r="W104" s="491">
        <f>D104*Materials!K11</f>
        <v>724.35825</v>
      </c>
      <c r="X104" s="386">
        <f t="shared" si="14"/>
        <v>6127.6792500000001</v>
      </c>
      <c r="Y104" s="586"/>
      <c r="Z104" s="9"/>
      <c r="AA104" s="39"/>
      <c r="AB104" s="39"/>
      <c r="AC104" s="39"/>
      <c r="AD104" s="39"/>
      <c r="AE104" s="39"/>
      <c r="AF104" s="39"/>
      <c r="AG104" s="39"/>
      <c r="AH104" s="39"/>
      <c r="AI104" s="9"/>
      <c r="AJ104" s="9"/>
    </row>
    <row r="105" spans="1:36" x14ac:dyDescent="0.25">
      <c r="A105" s="535" t="s">
        <v>180</v>
      </c>
      <c r="B105" s="219" t="s">
        <v>107</v>
      </c>
      <c r="C105" s="204"/>
      <c r="D105" s="2879">
        <v>586.51400000000001</v>
      </c>
      <c r="E105" s="421" t="s">
        <v>262</v>
      </c>
      <c r="F105" s="206"/>
      <c r="G105" s="206"/>
      <c r="H105" s="412"/>
      <c r="I105" s="494"/>
      <c r="J105" s="529"/>
      <c r="K105" s="527">
        <f>D105*Waste!H8</f>
        <v>54312.955942000008</v>
      </c>
      <c r="L105" s="491"/>
      <c r="M105" s="660"/>
      <c r="N105" s="530"/>
      <c r="O105" s="424">
        <f>D105*Waste!I8</f>
        <v>42569.186119999998</v>
      </c>
      <c r="P105" s="526"/>
      <c r="Q105" s="491"/>
      <c r="R105" s="491"/>
      <c r="S105" s="490">
        <f>D105*Waste!J8</f>
        <v>24780.216499999999</v>
      </c>
      <c r="T105" s="540"/>
      <c r="U105" s="491"/>
      <c r="V105" s="491"/>
      <c r="W105" s="491">
        <f>D105*Waste!K8</f>
        <v>7038.1679999999997</v>
      </c>
      <c r="X105" s="386">
        <f t="shared" si="14"/>
        <v>128700.526562</v>
      </c>
      <c r="Y105" s="586"/>
      <c r="Z105" s="9"/>
      <c r="AA105" s="39"/>
      <c r="AB105" s="39"/>
      <c r="AC105" s="39"/>
      <c r="AD105" s="39"/>
      <c r="AE105" s="39"/>
      <c r="AF105" s="39"/>
      <c r="AG105" s="39"/>
      <c r="AH105" s="39"/>
      <c r="AI105" s="9"/>
      <c r="AJ105" s="9"/>
    </row>
    <row r="106" spans="1:36" x14ac:dyDescent="0.25">
      <c r="A106" s="535" t="s">
        <v>184</v>
      </c>
      <c r="B106" s="219" t="s">
        <v>107</v>
      </c>
      <c r="C106" s="204"/>
      <c r="D106" s="2879">
        <v>21.353999999999999</v>
      </c>
      <c r="E106" s="421" t="s">
        <v>262</v>
      </c>
      <c r="F106" s="206"/>
      <c r="G106" s="206"/>
      <c r="H106" s="412"/>
      <c r="I106" s="494"/>
      <c r="J106" s="517"/>
      <c r="K106" s="521">
        <f>D106*Waste!H19</f>
        <v>5788.0016999999998</v>
      </c>
      <c r="L106" s="491"/>
      <c r="M106" s="520"/>
      <c r="N106" s="627"/>
      <c r="O106" s="414">
        <f>D106*Waste!I19</f>
        <v>5554.8160199999993</v>
      </c>
      <c r="P106" s="493"/>
      <c r="Q106" s="491"/>
      <c r="R106" s="491"/>
      <c r="S106" s="490">
        <f>D106*Waste!J19</f>
        <v>2215.4775</v>
      </c>
      <c r="T106" s="537"/>
      <c r="U106" s="538"/>
      <c r="V106" s="491"/>
      <c r="W106" s="491">
        <f>D106*Waste!K19</f>
        <v>347.0025</v>
      </c>
      <c r="X106" s="386">
        <f t="shared" si="14"/>
        <v>13905.29772</v>
      </c>
      <c r="Y106" s="586"/>
      <c r="Z106" s="9"/>
      <c r="AA106" s="39"/>
      <c r="AB106" s="39"/>
      <c r="AC106" s="39"/>
      <c r="AD106" s="39"/>
      <c r="AE106" s="39"/>
      <c r="AF106" s="39"/>
      <c r="AG106" s="39"/>
      <c r="AH106" s="39"/>
      <c r="AI106" s="9"/>
      <c r="AJ106" s="9"/>
    </row>
    <row r="107" spans="1:36" x14ac:dyDescent="0.25">
      <c r="A107" s="384" t="s">
        <v>183</v>
      </c>
      <c r="B107" s="219" t="s">
        <v>181</v>
      </c>
      <c r="C107" s="204"/>
      <c r="D107" s="216">
        <v>0.34399999999999997</v>
      </c>
      <c r="E107" s="409" t="s">
        <v>276</v>
      </c>
      <c r="F107" s="206"/>
      <c r="G107" s="206"/>
      <c r="H107" s="412"/>
      <c r="I107" s="590"/>
      <c r="J107" s="537"/>
      <c r="K107" s="541">
        <f>D107*'Water Mangt'!H6</f>
        <v>120373.85599999999</v>
      </c>
      <c r="L107" s="657"/>
      <c r="M107" s="626"/>
      <c r="N107" s="713"/>
      <c r="O107" s="530">
        <f>D107*'Water Mangt'!I6</f>
        <v>74055.288</v>
      </c>
      <c r="P107" s="412"/>
      <c r="Q107" s="491"/>
      <c r="R107" s="491"/>
      <c r="S107" s="490">
        <f>D107*'Water Mangt'!J6</f>
        <v>78888.831999999995</v>
      </c>
      <c r="T107" s="519"/>
      <c r="U107" s="491"/>
      <c r="V107" s="491"/>
      <c r="W107" s="4911">
        <f>D107*'Water Mangt'!K6</f>
        <v>53496.127999999997</v>
      </c>
      <c r="X107" s="386">
        <f t="shared" si="14"/>
        <v>326814.10399999993</v>
      </c>
      <c r="Y107" s="586"/>
      <c r="Z107" s="9"/>
      <c r="AA107" s="39"/>
      <c r="AB107" s="39"/>
      <c r="AC107" s="39"/>
      <c r="AD107" s="39"/>
      <c r="AE107" s="39"/>
      <c r="AF107" s="39"/>
      <c r="AG107" s="39"/>
      <c r="AH107" s="39"/>
      <c r="AI107" s="9"/>
      <c r="AJ107" s="9"/>
    </row>
    <row r="108" spans="1:36" ht="15.75" thickBot="1" x14ac:dyDescent="0.3">
      <c r="A108" s="663" t="s">
        <v>190</v>
      </c>
      <c r="B108" s="664"/>
      <c r="C108" s="665"/>
      <c r="D108" s="666"/>
      <c r="E108" s="714"/>
      <c r="F108" s="715"/>
      <c r="G108" s="666"/>
      <c r="H108" s="670"/>
      <c r="I108" s="669"/>
      <c r="J108" s="669"/>
      <c r="K108" s="550">
        <f>SUM(K99:K107)</f>
        <v>230460.95072199998</v>
      </c>
      <c r="L108" s="669"/>
      <c r="M108" s="669"/>
      <c r="N108" s="675"/>
      <c r="O108" s="551">
        <f>SUM(O99:O107)</f>
        <v>174041.16680199999</v>
      </c>
      <c r="P108" s="636"/>
      <c r="Q108" s="716"/>
      <c r="R108" s="716"/>
      <c r="S108" s="717">
        <f>SUM(S99:S107)</f>
        <v>155086.92144599999</v>
      </c>
      <c r="T108" s="718"/>
      <c r="U108" s="718"/>
      <c r="V108" s="718"/>
      <c r="W108" s="468">
        <f>SUM(W99:W107)</f>
        <v>102513.53422999999</v>
      </c>
      <c r="X108" s="766">
        <f>K108+O108+S108+W108</f>
        <v>662102.57319999998</v>
      </c>
      <c r="Y108" s="506">
        <f>SUM(X99:X107)</f>
        <v>662102.57319999987</v>
      </c>
      <c r="Z108" s="445">
        <f>SUM(X100:X107)</f>
        <v>656184.81339999987</v>
      </c>
      <c r="AA108" s="39"/>
      <c r="AB108" s="39"/>
      <c r="AC108" s="39"/>
      <c r="AD108" s="39"/>
      <c r="AE108" s="39"/>
      <c r="AF108" s="39"/>
      <c r="AG108" s="39"/>
      <c r="AH108" s="39"/>
      <c r="AI108" s="9"/>
      <c r="AJ108" s="9"/>
    </row>
    <row r="109" spans="1:36" ht="15.75" thickBot="1" x14ac:dyDescent="0.3">
      <c r="A109" s="556" t="s">
        <v>277</v>
      </c>
      <c r="B109" s="565"/>
      <c r="C109" s="565"/>
      <c r="D109" s="565"/>
      <c r="E109" s="566"/>
      <c r="F109" s="566"/>
      <c r="G109" s="566"/>
      <c r="H109" s="559"/>
      <c r="I109" s="560"/>
      <c r="J109" s="560"/>
      <c r="K109" s="561">
        <f>(K94+K97+K108)/1000</f>
        <v>51948.056332114684</v>
      </c>
      <c r="L109" s="559"/>
      <c r="M109" s="560"/>
      <c r="N109" s="560"/>
      <c r="O109" s="560">
        <f>(O108+O97+O94)/1000</f>
        <v>47340.913153634421</v>
      </c>
      <c r="P109" s="559"/>
      <c r="Q109" s="560"/>
      <c r="R109" s="560"/>
      <c r="S109" s="561">
        <f>( S108+S97+S94)/1000</f>
        <v>44129.302614480017</v>
      </c>
      <c r="T109" s="560"/>
      <c r="U109" s="560"/>
      <c r="V109" s="560"/>
      <c r="W109" s="561">
        <f>(W108+W97+W94)/1000</f>
        <v>36989.612179701689</v>
      </c>
      <c r="X109" s="4693">
        <f t="shared" si="14"/>
        <v>180407.88427993082</v>
      </c>
      <c r="Y109" s="4707">
        <f>(X94+X97+X108)/1000</f>
        <v>180407.88427993079</v>
      </c>
      <c r="Z109" s="445">
        <f>(X94+X97+X108)/1000</f>
        <v>180407.88427993079</v>
      </c>
      <c r="AA109" s="39"/>
      <c r="AB109" s="39"/>
      <c r="AC109" s="39"/>
      <c r="AD109" s="39"/>
      <c r="AE109" s="39"/>
      <c r="AF109" s="39"/>
      <c r="AG109" s="39"/>
      <c r="AH109" s="39"/>
      <c r="AI109" s="9"/>
      <c r="AJ109" s="9"/>
    </row>
    <row r="110" spans="1:36" ht="15.75" thickBot="1" x14ac:dyDescent="0.3">
      <c r="A110" s="556" t="s">
        <v>264</v>
      </c>
      <c r="B110" s="565"/>
      <c r="C110" s="565"/>
      <c r="D110" s="565"/>
      <c r="E110" s="566"/>
      <c r="F110" s="566"/>
      <c r="G110" s="566"/>
      <c r="H110" s="559"/>
      <c r="I110" s="560"/>
      <c r="J110" s="560"/>
      <c r="K110" s="3096">
        <f>K109/Production!H7</f>
        <v>5.7581986228474852E-2</v>
      </c>
      <c r="L110" s="3097"/>
      <c r="M110" s="3098"/>
      <c r="N110" s="3098"/>
      <c r="O110" s="3098">
        <f>O109/Production!I7</f>
        <v>5.8716246441787724E-2</v>
      </c>
      <c r="P110" s="3097"/>
      <c r="Q110" s="3098"/>
      <c r="R110" s="3098"/>
      <c r="S110" s="3096">
        <f>S109/Production!J7</f>
        <v>5.7907758967748052E-2</v>
      </c>
      <c r="T110" s="3098"/>
      <c r="U110" s="3098"/>
      <c r="V110" s="3098"/>
      <c r="W110" s="3096">
        <f>W109/Production!K7</f>
        <v>8.0334834452259432E-2</v>
      </c>
      <c r="X110" s="4694">
        <f>X109/Production!L7</f>
        <v>6.155313793365419E-2</v>
      </c>
      <c r="Y110" s="4708"/>
      <c r="Z110" s="9"/>
      <c r="AA110" s="39"/>
      <c r="AB110" s="39"/>
      <c r="AC110" s="39"/>
      <c r="AD110" s="39"/>
      <c r="AE110" s="39"/>
      <c r="AF110" s="39"/>
      <c r="AG110" s="39"/>
      <c r="AH110" s="39"/>
      <c r="AI110" s="9"/>
      <c r="AJ110" s="9"/>
    </row>
    <row r="111" spans="1:36" ht="15.75" thickBot="1" x14ac:dyDescent="0.3">
      <c r="A111" s="556" t="s">
        <v>265</v>
      </c>
      <c r="B111" s="565"/>
      <c r="C111" s="565"/>
      <c r="D111" s="565"/>
      <c r="E111" s="566"/>
      <c r="F111" s="566"/>
      <c r="G111" s="566"/>
      <c r="H111" s="562"/>
      <c r="I111" s="563"/>
      <c r="J111" s="563"/>
      <c r="K111" s="3099">
        <f>K109/Production!H10</f>
        <v>0.10767513431179662</v>
      </c>
      <c r="L111" s="3100"/>
      <c r="M111" s="3101"/>
      <c r="N111" s="3101"/>
      <c r="O111" s="3101">
        <f>O109/Production!I10</f>
        <v>0.10981299387321752</v>
      </c>
      <c r="P111" s="3100"/>
      <c r="Q111" s="3101"/>
      <c r="R111" s="3101"/>
      <c r="S111" s="3099">
        <f>S109/Production!J10</f>
        <v>9.9261102921152228E-2</v>
      </c>
      <c r="T111" s="3101"/>
      <c r="U111" s="3101"/>
      <c r="V111" s="3101"/>
      <c r="W111" s="3099">
        <f>W109/Production!K10</f>
        <v>0.12959082111693776</v>
      </c>
      <c r="X111" s="4695">
        <f>X109/Production!L10</f>
        <v>0.109765967853443</v>
      </c>
      <c r="Y111" s="4708"/>
      <c r="Z111" s="9"/>
      <c r="AA111" s="39"/>
      <c r="AB111" s="39"/>
      <c r="AC111" s="39"/>
      <c r="AD111" s="39"/>
      <c r="AE111" s="39"/>
      <c r="AF111" s="39"/>
      <c r="AG111" s="39"/>
      <c r="AH111" s="39"/>
      <c r="AI111" s="9"/>
      <c r="AJ111" s="9"/>
    </row>
    <row r="112" spans="1:36" s="9" customFormat="1" ht="15.75" thickBot="1" x14ac:dyDescent="0.3">
      <c r="A112" s="611" t="s">
        <v>1043</v>
      </c>
      <c r="B112" s="755"/>
      <c r="C112" s="755"/>
      <c r="D112" s="758"/>
      <c r="E112" s="757"/>
      <c r="F112" s="758"/>
      <c r="G112" s="758"/>
      <c r="H112" s="767"/>
      <c r="I112" s="551"/>
      <c r="J112" s="551"/>
      <c r="K112" s="471">
        <f>1810*Ozone!H14</f>
        <v>52490</v>
      </c>
      <c r="L112" s="551"/>
      <c r="M112" s="551"/>
      <c r="N112" s="551"/>
      <c r="O112" s="638">
        <f>1810*Ozone!I14</f>
        <v>30770</v>
      </c>
      <c r="P112" s="466"/>
      <c r="Q112" s="468"/>
      <c r="R112" s="468"/>
      <c r="S112" s="471">
        <f>1810*Ozone!J14</f>
        <v>30770</v>
      </c>
      <c r="T112" s="468"/>
      <c r="U112" s="468"/>
      <c r="V112" s="468"/>
      <c r="W112" s="468">
        <f>1810*Ozone!K14</f>
        <v>0</v>
      </c>
      <c r="X112" s="766">
        <f>K112+O112+S112+W112</f>
        <v>114030</v>
      </c>
      <c r="Y112" s="4708"/>
      <c r="AA112" s="39"/>
      <c r="AB112" s="39"/>
      <c r="AC112" s="39"/>
      <c r="AD112" s="39"/>
      <c r="AE112" s="39"/>
      <c r="AF112" s="39"/>
      <c r="AG112" s="39"/>
      <c r="AH112" s="39"/>
    </row>
    <row r="113" spans="1:36" ht="19.5" thickBot="1" x14ac:dyDescent="0.3">
      <c r="A113" s="350" t="s">
        <v>285</v>
      </c>
      <c r="B113" s="568"/>
      <c r="C113" s="568"/>
      <c r="D113" s="568"/>
      <c r="E113" s="568"/>
      <c r="F113" s="568"/>
      <c r="G113" s="568"/>
      <c r="H113" s="5097" t="s">
        <v>285</v>
      </c>
      <c r="I113" s="5097"/>
      <c r="J113" s="5097"/>
      <c r="K113" s="5097"/>
      <c r="L113" s="5097"/>
      <c r="M113" s="5097"/>
      <c r="N113" s="5097"/>
      <c r="O113" s="5097"/>
      <c r="P113" s="5097"/>
      <c r="Q113" s="5097"/>
      <c r="R113" s="5097"/>
      <c r="S113" s="5097"/>
      <c r="T113" s="5097"/>
      <c r="U113" s="5097"/>
      <c r="V113" s="5097"/>
      <c r="W113" s="5097"/>
      <c r="X113" s="5097"/>
      <c r="Y113" s="4704"/>
      <c r="Z113" s="9"/>
      <c r="AA113" s="39"/>
      <c r="AB113" s="39"/>
      <c r="AC113" s="39"/>
      <c r="AD113" s="39"/>
      <c r="AE113" s="39"/>
      <c r="AF113" s="39"/>
      <c r="AG113" s="39"/>
      <c r="AH113" s="39"/>
      <c r="AI113" s="9"/>
      <c r="AJ113" s="9"/>
    </row>
    <row r="114" spans="1:36" ht="15.75" thickBot="1" x14ac:dyDescent="0.3">
      <c r="A114" s="5133" t="s">
        <v>189</v>
      </c>
      <c r="B114" s="5134"/>
      <c r="C114" s="5134"/>
      <c r="D114" s="5134"/>
      <c r="E114" s="5134"/>
      <c r="F114" s="5134"/>
      <c r="G114" s="5134"/>
      <c r="H114" s="5120" t="s">
        <v>3</v>
      </c>
      <c r="I114" s="5118"/>
      <c r="J114" s="5118"/>
      <c r="K114" s="5119"/>
      <c r="L114" s="5118" t="s">
        <v>4</v>
      </c>
      <c r="M114" s="5118"/>
      <c r="N114" s="5118"/>
      <c r="O114" s="5118"/>
      <c r="P114" s="5120" t="s">
        <v>5</v>
      </c>
      <c r="Q114" s="5118"/>
      <c r="R114" s="5118"/>
      <c r="S114" s="5119"/>
      <c r="T114" s="5118" t="s">
        <v>6</v>
      </c>
      <c r="U114" s="5118"/>
      <c r="V114" s="5118"/>
      <c r="W114" s="5119"/>
      <c r="X114" s="4660" t="s">
        <v>194</v>
      </c>
      <c r="Y114" s="4705"/>
      <c r="Z114" s="9"/>
      <c r="AA114" s="39"/>
      <c r="AB114" s="39"/>
      <c r="AC114" s="39"/>
      <c r="AD114" s="39"/>
      <c r="AE114" s="39"/>
      <c r="AF114" s="39"/>
      <c r="AG114" s="39"/>
      <c r="AH114" s="39"/>
      <c r="AI114" s="9"/>
      <c r="AJ114" s="9"/>
    </row>
    <row r="115" spans="1:36" ht="24" x14ac:dyDescent="0.25">
      <c r="A115" s="735" t="s">
        <v>170</v>
      </c>
      <c r="B115" s="736" t="s">
        <v>243</v>
      </c>
      <c r="C115" s="736" t="s">
        <v>151</v>
      </c>
      <c r="D115" s="736" t="s">
        <v>274</v>
      </c>
      <c r="E115" s="736" t="s">
        <v>179</v>
      </c>
      <c r="F115" s="736" t="s">
        <v>267</v>
      </c>
      <c r="G115" s="736" t="s">
        <v>275</v>
      </c>
      <c r="H115" s="679" t="s">
        <v>191</v>
      </c>
      <c r="I115" s="680" t="s">
        <v>269</v>
      </c>
      <c r="J115" s="681" t="s">
        <v>192</v>
      </c>
      <c r="K115" s="682" t="s">
        <v>193</v>
      </c>
      <c r="L115" s="681" t="s">
        <v>191</v>
      </c>
      <c r="M115" s="680" t="s">
        <v>269</v>
      </c>
      <c r="N115" s="681" t="s">
        <v>192</v>
      </c>
      <c r="O115" s="683" t="s">
        <v>193</v>
      </c>
      <c r="P115" s="679" t="s">
        <v>191</v>
      </c>
      <c r="Q115" s="680" t="s">
        <v>269</v>
      </c>
      <c r="R115" s="681" t="s">
        <v>192</v>
      </c>
      <c r="S115" s="682" t="s">
        <v>193</v>
      </c>
      <c r="T115" s="681" t="s">
        <v>191</v>
      </c>
      <c r="U115" s="680" t="s">
        <v>269</v>
      </c>
      <c r="V115" s="681" t="s">
        <v>192</v>
      </c>
      <c r="W115" s="683" t="s">
        <v>193</v>
      </c>
      <c r="X115" s="4692" t="s">
        <v>193</v>
      </c>
      <c r="Y115" s="4706"/>
      <c r="Z115" s="9"/>
      <c r="AA115" s="39"/>
      <c r="AB115" s="39"/>
      <c r="AC115" s="39"/>
      <c r="AD115" s="39"/>
      <c r="AE115" s="39"/>
      <c r="AF115" s="39"/>
      <c r="AG115" s="39"/>
      <c r="AH115" s="39"/>
      <c r="AI115" s="9"/>
      <c r="AJ115" s="9"/>
    </row>
    <row r="116" spans="1:36" x14ac:dyDescent="0.25">
      <c r="A116" s="684" t="s">
        <v>167</v>
      </c>
      <c r="B116" s="304"/>
      <c r="C116" s="304"/>
      <c r="D116" s="304"/>
      <c r="E116" s="304"/>
      <c r="F116" s="304"/>
      <c r="G116" s="304"/>
      <c r="H116" s="581"/>
      <c r="I116" s="580"/>
      <c r="J116" s="580"/>
      <c r="K116" s="582"/>
      <c r="L116" s="580"/>
      <c r="M116" s="580"/>
      <c r="N116" s="580"/>
      <c r="O116" s="580"/>
      <c r="P116" s="581"/>
      <c r="Q116" s="580"/>
      <c r="R116" s="580"/>
      <c r="S116" s="582"/>
      <c r="T116" s="580"/>
      <c r="U116" s="580"/>
      <c r="V116" s="580"/>
      <c r="W116" s="580"/>
      <c r="X116" s="581"/>
      <c r="Y116" s="583"/>
      <c r="Z116" s="9"/>
      <c r="AA116" s="39"/>
      <c r="AB116" s="39"/>
      <c r="AC116" s="39"/>
      <c r="AD116" s="39"/>
      <c r="AE116" s="39"/>
      <c r="AF116" s="39"/>
      <c r="AG116" s="39"/>
      <c r="AH116" s="39"/>
      <c r="AI116" s="9"/>
      <c r="AJ116" s="9"/>
    </row>
    <row r="117" spans="1:36" x14ac:dyDescent="0.25">
      <c r="A117" s="685" t="s">
        <v>166</v>
      </c>
      <c r="B117" s="199"/>
      <c r="C117" s="199"/>
      <c r="D117" s="199"/>
      <c r="E117" s="199"/>
      <c r="F117" s="199"/>
      <c r="G117" s="199"/>
      <c r="H117" s="400"/>
      <c r="I117" s="401"/>
      <c r="J117" s="401"/>
      <c r="K117" s="402"/>
      <c r="L117" s="401"/>
      <c r="M117" s="401"/>
      <c r="N117" s="401"/>
      <c r="O117" s="401"/>
      <c r="P117" s="400"/>
      <c r="Q117" s="401"/>
      <c r="R117" s="401"/>
      <c r="S117" s="402"/>
      <c r="T117" s="401"/>
      <c r="U117" s="401"/>
      <c r="V117" s="401"/>
      <c r="W117" s="401"/>
      <c r="X117" s="400"/>
      <c r="Y117" s="584"/>
      <c r="Z117" s="9"/>
      <c r="AA117" s="39"/>
      <c r="AB117" s="39"/>
      <c r="AC117" s="39"/>
      <c r="AD117" s="39"/>
      <c r="AE117" s="39"/>
      <c r="AF117" s="39"/>
      <c r="AG117" s="39"/>
      <c r="AH117" s="39"/>
      <c r="AI117" s="9"/>
      <c r="AJ117" s="9"/>
    </row>
    <row r="118" spans="1:36" x14ac:dyDescent="0.25">
      <c r="A118" s="242" t="s">
        <v>250</v>
      </c>
      <c r="B118" s="219" t="s">
        <v>27</v>
      </c>
      <c r="C118" s="204">
        <v>38.1</v>
      </c>
      <c r="D118" s="205">
        <v>74100</v>
      </c>
      <c r="E118" s="204" t="s">
        <v>185</v>
      </c>
      <c r="F118" s="204">
        <v>3</v>
      </c>
      <c r="G118" s="204">
        <v>0.6</v>
      </c>
      <c r="H118" s="386">
        <f>(C118*D118/1000000)*Energy!M10</f>
        <v>0</v>
      </c>
      <c r="I118" s="387">
        <f>(C118*F118/1000000)*Energy!M10</f>
        <v>0</v>
      </c>
      <c r="J118" s="720">
        <f>(C118*G118/1000000)*Energy!M10</f>
        <v>0</v>
      </c>
      <c r="K118" s="388">
        <f>(H118*1)+(I118*28)+(J118*265)</f>
        <v>0</v>
      </c>
      <c r="L118" s="720">
        <f>(C118*D118/1000000)*Energy!N10</f>
        <v>0</v>
      </c>
      <c r="M118" s="623">
        <f>(C118*F118/1000000)*Energy!N10</f>
        <v>0</v>
      </c>
      <c r="N118" s="387">
        <f>(C118*G118/1000000)*Energy!N10</f>
        <v>0</v>
      </c>
      <c r="O118" s="387">
        <f>(L118*1)+(M118*28)+(N118*265)</f>
        <v>0</v>
      </c>
      <c r="P118" s="721">
        <f>(C118*D118/1000000)*Energy!O10</f>
        <v>3975.0796799999998</v>
      </c>
      <c r="Q118" s="720">
        <f>(C118*F118/1000000)*Energy!O10</f>
        <v>0.16093440000000003</v>
      </c>
      <c r="R118" s="722">
        <f>(C118*G118/1000000)*Energy!O10</f>
        <v>3.2186879999999994E-2</v>
      </c>
      <c r="S118" s="388">
        <f>(P118*1)+(Q118*28)+(R118*265)</f>
        <v>3988.1153663999999</v>
      </c>
      <c r="T118" s="720">
        <f>(C118*D118/1000000)*Energy!P10</f>
        <v>0</v>
      </c>
      <c r="U118" s="623">
        <f>(C118*F118/1000000)*Energy!P10</f>
        <v>0</v>
      </c>
      <c r="V118" s="722">
        <f>(C118*G118/1000000)*Energy!P10</f>
        <v>0</v>
      </c>
      <c r="W118" s="387">
        <f>(T118*1)+(U118*28)+(V118*265)</f>
        <v>0</v>
      </c>
      <c r="X118" s="386">
        <f>K118+O118+S118+W118</f>
        <v>3988.1153663999999</v>
      </c>
      <c r="Y118" s="586"/>
      <c r="Z118" s="9"/>
      <c r="AA118" s="39"/>
      <c r="AB118" s="39"/>
      <c r="AC118" s="39"/>
      <c r="AD118" s="39"/>
      <c r="AE118" s="39"/>
      <c r="AF118" s="39"/>
      <c r="AG118" s="39"/>
      <c r="AH118" s="39"/>
      <c r="AI118" s="9"/>
      <c r="AJ118" s="9"/>
    </row>
    <row r="119" spans="1:36" x14ac:dyDescent="0.25">
      <c r="A119" s="242" t="s">
        <v>252</v>
      </c>
      <c r="B119" s="219" t="s">
        <v>32</v>
      </c>
      <c r="C119" s="204">
        <v>46.1</v>
      </c>
      <c r="D119" s="205">
        <v>63100</v>
      </c>
      <c r="E119" s="204" t="s">
        <v>185</v>
      </c>
      <c r="F119" s="204">
        <v>1</v>
      </c>
      <c r="G119" s="204">
        <v>0.1</v>
      </c>
      <c r="H119" s="386">
        <f>(C119*D119/1000000)*Energy!M16</f>
        <v>0</v>
      </c>
      <c r="I119" s="387">
        <f>(C119*F119/1000000)*Energy!M16</f>
        <v>0</v>
      </c>
      <c r="J119" s="720">
        <f>(C119*G119/1000000)*Energy!M16</f>
        <v>0</v>
      </c>
      <c r="K119" s="388">
        <f>(H119*1)+(I119*28)+(J119*265)</f>
        <v>0</v>
      </c>
      <c r="L119" s="720">
        <f>(C119*D119/1000000)*Energy!N16</f>
        <v>0</v>
      </c>
      <c r="M119" s="623">
        <f>(C119*F119/1000000)*Energy!N16</f>
        <v>0</v>
      </c>
      <c r="N119" s="387">
        <f>(C119*G119/1000000)*Energy!N16</f>
        <v>0</v>
      </c>
      <c r="O119" s="387">
        <f>(L119*1)+(M119*28)+(N119*265)</f>
        <v>0</v>
      </c>
      <c r="P119" s="721">
        <f>(C119*D119/1000000)*Energy!O16</f>
        <v>139.62768</v>
      </c>
      <c r="Q119" s="720">
        <f>(C119*F119/1000000)*Energy!O16</f>
        <v>2.2128E-3</v>
      </c>
      <c r="R119" s="722">
        <f>(C119*G119/1000000)*Energy!O16</f>
        <v>2.2128E-4</v>
      </c>
      <c r="S119" s="388">
        <f>(P119*1)+(Q119*28)+(R119*265)</f>
        <v>139.74827759999999</v>
      </c>
      <c r="T119" s="720">
        <f>(C119*D119/1000000)*Energy!P16</f>
        <v>0</v>
      </c>
      <c r="U119" s="623">
        <f>(C119*F119/1000000)*Energy!P16</f>
        <v>0</v>
      </c>
      <c r="V119" s="722">
        <f>(C119*G119/1000000)*Energy!P16</f>
        <v>0</v>
      </c>
      <c r="W119" s="387">
        <f>(T119*1)+(U119*28)+(V119*265)</f>
        <v>0</v>
      </c>
      <c r="X119" s="386">
        <f t="shared" ref="X119:X145" si="16">K119+O119+S119+W119</f>
        <v>139.74827759999999</v>
      </c>
      <c r="Y119" s="586"/>
      <c r="Z119" s="9"/>
      <c r="AA119" s="39"/>
      <c r="AB119" s="39"/>
      <c r="AC119" s="39"/>
      <c r="AD119" s="39"/>
      <c r="AE119" s="39"/>
      <c r="AF119" s="39"/>
      <c r="AG119" s="39"/>
      <c r="AH119" s="39"/>
      <c r="AI119" s="9"/>
      <c r="AJ119" s="9"/>
    </row>
    <row r="120" spans="1:36" x14ac:dyDescent="0.25">
      <c r="A120" s="685" t="s">
        <v>168</v>
      </c>
      <c r="B120" s="199"/>
      <c r="C120" s="199"/>
      <c r="D120" s="199"/>
      <c r="E120" s="199"/>
      <c r="F120" s="199"/>
      <c r="G120" s="199"/>
      <c r="H120" s="400"/>
      <c r="I120" s="401"/>
      <c r="J120" s="401"/>
      <c r="K120" s="402"/>
      <c r="L120" s="401"/>
      <c r="M120" s="401"/>
      <c r="N120" s="401"/>
      <c r="O120" s="401"/>
      <c r="P120" s="400"/>
      <c r="Q120" s="401"/>
      <c r="R120" s="401"/>
      <c r="S120" s="402"/>
      <c r="T120" s="401"/>
      <c r="U120" s="401"/>
      <c r="V120" s="401"/>
      <c r="W120" s="401"/>
      <c r="X120" s="400"/>
      <c r="Y120" s="584"/>
      <c r="Z120" s="9"/>
      <c r="AA120" s="39"/>
      <c r="AB120" s="39"/>
      <c r="AC120" s="39"/>
      <c r="AD120" s="39"/>
      <c r="AE120" s="39"/>
      <c r="AF120" s="39"/>
      <c r="AG120" s="39"/>
      <c r="AH120" s="39"/>
      <c r="AI120" s="9"/>
      <c r="AJ120" s="9"/>
    </row>
    <row r="121" spans="1:36" ht="22.5" x14ac:dyDescent="0.25">
      <c r="A121" s="242" t="s">
        <v>1701</v>
      </c>
      <c r="B121" s="219" t="s">
        <v>27</v>
      </c>
      <c r="C121" s="204">
        <v>38.1</v>
      </c>
      <c r="D121" s="408">
        <v>74100</v>
      </c>
      <c r="E121" s="217" t="s">
        <v>185</v>
      </c>
      <c r="F121" s="206">
        <v>3.9</v>
      </c>
      <c r="G121" s="207">
        <v>3.9</v>
      </c>
      <c r="H121" s="412">
        <f>(C121*D121/1000000)*Energy!M5</f>
        <v>576575.70866999996</v>
      </c>
      <c r="I121" s="491">
        <f>(C121*F121/1000000)*Energy!M5</f>
        <v>30.346089930000002</v>
      </c>
      <c r="J121" s="590">
        <f>(C121*G121/1000000)*Energy!M5</f>
        <v>30.346089930000002</v>
      </c>
      <c r="K121" s="388">
        <f>(H121*1)+(I121*28)+(J121*265)</f>
        <v>585467.11301948992</v>
      </c>
      <c r="L121" s="590">
        <f>(C121*D121/1000000)*Energy!N5</f>
        <v>475134.95016000001</v>
      </c>
      <c r="M121" s="688">
        <f>(C121*F121/1000000)*Energy!N5</f>
        <v>25.007102640000003</v>
      </c>
      <c r="N121" s="491">
        <f>(C121*G121/1000000)*Energy!N5</f>
        <v>25.007102640000003</v>
      </c>
      <c r="O121" s="4907">
        <f>(L121*1)+(M121*28)+(N121*265)</f>
        <v>482462.03123352001</v>
      </c>
      <c r="P121" s="644">
        <f>(C121*D121/1000000)*Energy!O5</f>
        <v>370046.60433</v>
      </c>
      <c r="Q121" s="590">
        <f>(C121*F121/1000000)*Energy!O5</f>
        <v>19.47613707</v>
      </c>
      <c r="R121" s="491">
        <f>(C121*G121/1000000)*Energy!O5</f>
        <v>19.47613707</v>
      </c>
      <c r="S121" s="4912">
        <f>(P121*1)+(Q121*28)+(R121*265)</f>
        <v>375753.11249150999</v>
      </c>
      <c r="T121" s="691">
        <f>(C121*D121/1000000)*Energy!P5</f>
        <v>336026.92382999999</v>
      </c>
      <c r="U121" s="601">
        <f>(C121*F121/1000000)*Energy!P5</f>
        <v>17.685627570000001</v>
      </c>
      <c r="V121" s="737">
        <f>(C121*G121/1000000)*Energy!P5</f>
        <v>17.685627570000001</v>
      </c>
      <c r="W121" s="4916">
        <f>(T121*1)+(U121*28)+(V121*265)</f>
        <v>341208.81270800997</v>
      </c>
      <c r="X121" s="386">
        <f t="shared" si="16"/>
        <v>1784891.0694525298</v>
      </c>
      <c r="Y121" s="586"/>
      <c r="Z121" s="9"/>
      <c r="AA121" s="39"/>
      <c r="AB121" s="39"/>
      <c r="AC121" s="39"/>
      <c r="AD121" s="39"/>
      <c r="AE121" s="39"/>
      <c r="AF121" s="39"/>
      <c r="AG121" s="39"/>
      <c r="AH121" s="39"/>
      <c r="AI121" s="9"/>
      <c r="AJ121" s="9"/>
    </row>
    <row r="122" spans="1:36" x14ac:dyDescent="0.25">
      <c r="A122" s="242" t="s">
        <v>1703</v>
      </c>
      <c r="B122" s="219" t="s">
        <v>27</v>
      </c>
      <c r="C122" s="204">
        <v>34.200000000000003</v>
      </c>
      <c r="D122" s="408">
        <v>69300</v>
      </c>
      <c r="E122" s="217" t="s">
        <v>185</v>
      </c>
      <c r="F122" s="206">
        <v>3.8</v>
      </c>
      <c r="G122" s="206">
        <v>5.7</v>
      </c>
      <c r="H122" s="412">
        <f>(C122*D122/1000000)*Energy!M15</f>
        <v>1703.9783376</v>
      </c>
      <c r="I122" s="491">
        <f>(C122*F122/1000000)*Energy!M15</f>
        <v>9.3436041600000005E-2</v>
      </c>
      <c r="J122" s="590">
        <f>(C122*G122/1000000)*Energy!M15</f>
        <v>0.14015406240000003</v>
      </c>
      <c r="K122" s="388">
        <f>(H122*1)+(I122*28)+(J122*265)</f>
        <v>1743.7353733008001</v>
      </c>
      <c r="L122" s="590">
        <f>(C122*D122/1000000)*Energy!N15</f>
        <v>1975.2791058</v>
      </c>
      <c r="M122" s="688">
        <f>(C122*F122/1000000)*Energy!N15</f>
        <v>0.1083125628</v>
      </c>
      <c r="N122" s="491">
        <f>(C122*G122/1000000)*Energy!N15</f>
        <v>0.16246884420000002</v>
      </c>
      <c r="O122" s="4907">
        <f>(L122*1)+(M122*28)+(N122*265)</f>
        <v>2021.3661012714001</v>
      </c>
      <c r="P122" s="644">
        <f>(C122*D122/1000000)*Energy!O15</f>
        <v>885.35961359999999</v>
      </c>
      <c r="Q122" s="590">
        <f>(C122*F122/1000000)*Energy!O15</f>
        <v>4.8547857600000001E-2</v>
      </c>
      <c r="R122" s="491">
        <f>(C122*G122/1000000)*Energy!O15</f>
        <v>7.2821786400000005E-2</v>
      </c>
      <c r="S122" s="388">
        <f>(P122*1)+(Q122*28)+(R122*265)</f>
        <v>906.01672700879999</v>
      </c>
      <c r="T122" s="691">
        <f>(C122*D122/1000000)*Energy!P15</f>
        <v>531.53335620000007</v>
      </c>
      <c r="U122" s="601">
        <f>(C122*F122/1000000)*Energy!P15</f>
        <v>2.9146129200000002E-2</v>
      </c>
      <c r="V122" s="737">
        <f>(C122*G122/1000000)*Energy!P15</f>
        <v>4.3719193800000007E-2</v>
      </c>
      <c r="W122" s="387">
        <f>(T122*1)+(U122*28)+(V122*265)</f>
        <v>543.9350341746001</v>
      </c>
      <c r="X122" s="386">
        <f t="shared" si="16"/>
        <v>5215.0532357556012</v>
      </c>
      <c r="Y122" s="586"/>
      <c r="Z122" s="9"/>
      <c r="AA122" s="39"/>
      <c r="AB122" s="39"/>
      <c r="AC122" s="39"/>
      <c r="AD122" s="39"/>
      <c r="AE122" s="39"/>
      <c r="AF122" s="39"/>
      <c r="AG122" s="39"/>
      <c r="AH122" s="39"/>
      <c r="AI122" s="9"/>
      <c r="AJ122" s="9"/>
    </row>
    <row r="123" spans="1:36" x14ac:dyDescent="0.25">
      <c r="A123" s="242" t="s">
        <v>254</v>
      </c>
      <c r="B123" s="384" t="s">
        <v>27</v>
      </c>
      <c r="C123" s="299">
        <v>37.5</v>
      </c>
      <c r="D123" s="408">
        <v>70000</v>
      </c>
      <c r="E123" s="409" t="s">
        <v>185</v>
      </c>
      <c r="F123" s="410">
        <v>0.5</v>
      </c>
      <c r="G123" s="410">
        <v>2</v>
      </c>
      <c r="H123" s="412">
        <f>(C123*D123/1000000)*'company plane'!F5</f>
        <v>26122.6875</v>
      </c>
      <c r="I123" s="491">
        <f>(C123*F123/1000000)*'company plane'!F5</f>
        <v>0.18659062499999998</v>
      </c>
      <c r="J123" s="494">
        <f>(C123*G123/1000000)*'company plane'!F5</f>
        <v>0.74636249999999993</v>
      </c>
      <c r="K123" s="490">
        <f>(H123*1)+(I123*28)+(J123*265)</f>
        <v>26325.698099999998</v>
      </c>
      <c r="L123" s="423">
        <f>(C123*D123)/1000000*'company plane'!J5</f>
        <v>27700.3125</v>
      </c>
      <c r="M123" s="653">
        <f>(C123*F123)/1000000*'company plane'!J5</f>
        <v>0.19785937499999998</v>
      </c>
      <c r="N123" s="430">
        <f>(C123*G123)/1000000*'company plane'!J5</f>
        <v>0.7914374999999999</v>
      </c>
      <c r="O123" s="423">
        <f>(L123*1)+(M123*28)+(N123*265)</f>
        <v>27915.583500000001</v>
      </c>
      <c r="P123" s="412">
        <f>(C123*D123)/1000000*'company plane'!N5</f>
        <v>26603.71875</v>
      </c>
      <c r="Q123" s="494">
        <f>(C123*F123)/1000000*'company plane'!N5</f>
        <v>0.1900265625</v>
      </c>
      <c r="R123" s="491">
        <f>(C123*G123)/1000000*'company plane'!N5</f>
        <v>0.76010624999999998</v>
      </c>
      <c r="S123" s="490">
        <f>(P123*1)+(Q123*28)+(R123*265)</f>
        <v>26810.467649999999</v>
      </c>
      <c r="T123" s="526">
        <f>(C123*D123)/1000000*'company plane'!R5</f>
        <v>5280.1875</v>
      </c>
      <c r="U123" s="491">
        <f>(C123*F123)/1000000*'company plane'!R5</f>
        <v>3.7715624999999996E-2</v>
      </c>
      <c r="V123" s="491">
        <f>(C123*G123)/1000000*'company plane'!R5</f>
        <v>0.15086249999999998</v>
      </c>
      <c r="W123" s="490">
        <f>(T123*1)+(U123*28)+(V123*265)</f>
        <v>5321.2221</v>
      </c>
      <c r="X123" s="412">
        <f>K123+O123+S123+W123</f>
        <v>86372.971349999993</v>
      </c>
      <c r="Y123" s="753"/>
      <c r="Z123" s="9"/>
      <c r="AA123" s="39"/>
      <c r="AB123" s="39"/>
      <c r="AC123" s="39"/>
      <c r="AD123" s="39"/>
      <c r="AE123" s="39"/>
      <c r="AF123" s="39"/>
      <c r="AG123" s="39"/>
      <c r="AH123" s="39"/>
      <c r="AI123" s="9"/>
      <c r="AJ123" s="9"/>
    </row>
    <row r="124" spans="1:36" x14ac:dyDescent="0.25">
      <c r="A124" s="725" t="s">
        <v>255</v>
      </c>
      <c r="B124" s="199"/>
      <c r="C124" s="199"/>
      <c r="D124" s="208"/>
      <c r="E124" s="222"/>
      <c r="F124" s="209"/>
      <c r="G124" s="210"/>
      <c r="H124" s="438"/>
      <c r="I124" s="439"/>
      <c r="J124" s="439"/>
      <c r="K124" s="440"/>
      <c r="L124" s="692"/>
      <c r="M124" s="439"/>
      <c r="N124" s="439"/>
      <c r="O124" s="439"/>
      <c r="P124" s="438"/>
      <c r="Q124" s="693"/>
      <c r="R124" s="439"/>
      <c r="S124" s="440"/>
      <c r="T124" s="439"/>
      <c r="U124" s="439"/>
      <c r="V124" s="439"/>
      <c r="W124" s="439"/>
      <c r="X124" s="438"/>
      <c r="Y124" s="598"/>
      <c r="Z124" s="9"/>
      <c r="AA124" s="39"/>
      <c r="AB124" s="39"/>
      <c r="AC124" s="39"/>
      <c r="AD124" s="39"/>
      <c r="AE124" s="39"/>
      <c r="AF124" s="39"/>
      <c r="AG124" s="39"/>
      <c r="AH124" s="39"/>
      <c r="AI124" s="9"/>
      <c r="AJ124" s="9"/>
    </row>
    <row r="125" spans="1:36" s="116" customFormat="1" x14ac:dyDescent="0.25">
      <c r="A125" s="1623" t="s">
        <v>1123</v>
      </c>
      <c r="B125" s="1623" t="s">
        <v>32</v>
      </c>
      <c r="C125" s="200"/>
      <c r="D125" s="3142"/>
      <c r="E125" s="3143"/>
      <c r="F125" s="3144"/>
      <c r="G125" s="206"/>
      <c r="H125" s="412"/>
      <c r="I125" s="491"/>
      <c r="J125" s="491"/>
      <c r="K125" s="490">
        <f>3922*Ozone!M12</f>
        <v>0</v>
      </c>
      <c r="L125" s="3151"/>
      <c r="M125" s="491"/>
      <c r="N125" s="491"/>
      <c r="O125" s="491">
        <f>3922*Ozone!N12</f>
        <v>0</v>
      </c>
      <c r="P125" s="412"/>
      <c r="Q125" s="3152"/>
      <c r="R125" s="491"/>
      <c r="S125" s="490">
        <f>3922*Ozone!O12</f>
        <v>0</v>
      </c>
      <c r="T125" s="491"/>
      <c r="U125" s="491"/>
      <c r="V125" s="491"/>
      <c r="W125" s="491">
        <f>3922*Ozone!P12</f>
        <v>0</v>
      </c>
      <c r="X125" s="386">
        <f t="shared" si="16"/>
        <v>0</v>
      </c>
      <c r="Y125" s="753"/>
      <c r="AA125" s="39"/>
      <c r="AB125" s="39"/>
      <c r="AC125" s="39"/>
      <c r="AD125" s="39"/>
      <c r="AE125" s="39"/>
      <c r="AF125" s="39"/>
      <c r="AG125" s="39"/>
      <c r="AH125" s="39"/>
    </row>
    <row r="126" spans="1:36" x14ac:dyDescent="0.25">
      <c r="A126" s="240" t="s">
        <v>1044</v>
      </c>
      <c r="B126" s="219" t="s">
        <v>32</v>
      </c>
      <c r="C126" s="204"/>
      <c r="D126" s="127"/>
      <c r="E126" s="223"/>
      <c r="F126" s="211"/>
      <c r="G126" s="211"/>
      <c r="H126" s="694"/>
      <c r="I126" s="741"/>
      <c r="J126" s="726"/>
      <c r="K126" s="742">
        <f>1300*Ozone!M9</f>
        <v>0</v>
      </c>
      <c r="L126" s="696"/>
      <c r="M126" s="604"/>
      <c r="N126" s="627"/>
      <c r="O126" s="4926">
        <f>1430*Ozone!N9</f>
        <v>21879</v>
      </c>
      <c r="P126" s="449"/>
      <c r="Q126" s="607"/>
      <c r="R126" s="450"/>
      <c r="S126" s="388">
        <f>1300*Ozone!O9</f>
        <v>0</v>
      </c>
      <c r="T126" s="726"/>
      <c r="U126" s="727"/>
      <c r="V126" s="450"/>
      <c r="W126" s="387">
        <f>1300*Ozone!P9</f>
        <v>0</v>
      </c>
      <c r="X126" s="386">
        <f t="shared" si="16"/>
        <v>21879</v>
      </c>
      <c r="Y126" s="586"/>
      <c r="Z126" s="9"/>
      <c r="AA126" s="39"/>
      <c r="AB126" s="39"/>
      <c r="AC126" s="39"/>
      <c r="AD126" s="39"/>
      <c r="AE126" s="39"/>
      <c r="AF126" s="39"/>
      <c r="AG126" s="39"/>
      <c r="AH126" s="39"/>
      <c r="AI126" s="9"/>
      <c r="AJ126" s="9"/>
    </row>
    <row r="127" spans="1:36" x14ac:dyDescent="0.25">
      <c r="A127" s="728" t="s">
        <v>270</v>
      </c>
      <c r="B127" s="219" t="s">
        <v>32</v>
      </c>
      <c r="C127" s="204"/>
      <c r="D127" s="127"/>
      <c r="E127" s="223"/>
      <c r="F127" s="211"/>
      <c r="G127" s="211"/>
      <c r="H127" s="694"/>
      <c r="I127" s="607"/>
      <c r="J127" s="658"/>
      <c r="K127" s="742">
        <f>2088*Ozone!M10</f>
        <v>0</v>
      </c>
      <c r="L127" s="450"/>
      <c r="M127" s="607"/>
      <c r="N127" s="713"/>
      <c r="O127" s="724">
        <f>2088*Ozone!N10</f>
        <v>0</v>
      </c>
      <c r="P127" s="449"/>
      <c r="Q127" s="607"/>
      <c r="R127" s="450"/>
      <c r="S127" s="388">
        <f>2088*Ozone!O10</f>
        <v>0</v>
      </c>
      <c r="T127" s="743"/>
      <c r="U127" s="450"/>
      <c r="V127" s="450"/>
      <c r="W127" s="387">
        <f>2088*Ozone!P10</f>
        <v>0</v>
      </c>
      <c r="X127" s="386">
        <f t="shared" si="16"/>
        <v>0</v>
      </c>
      <c r="Y127" s="586"/>
      <c r="Z127" s="9"/>
      <c r="AA127" s="39"/>
      <c r="AB127" s="39"/>
      <c r="AC127" s="39"/>
      <c r="AD127" s="39"/>
      <c r="AE127" s="39"/>
      <c r="AF127" s="39"/>
      <c r="AG127" s="39"/>
      <c r="AH127" s="39"/>
      <c r="AI127" s="9"/>
      <c r="AJ127" s="9"/>
    </row>
    <row r="128" spans="1:36" s="9" customFormat="1" x14ac:dyDescent="0.25">
      <c r="A128" s="457" t="s">
        <v>707</v>
      </c>
      <c r="B128" s="219" t="s">
        <v>32</v>
      </c>
      <c r="C128" s="204"/>
      <c r="D128" s="127"/>
      <c r="E128" s="223"/>
      <c r="F128" s="211"/>
      <c r="G128" s="211"/>
      <c r="H128" s="694"/>
      <c r="I128" s="607"/>
      <c r="J128" s="519"/>
      <c r="K128" s="388">
        <f>3985*Ozone!M11</f>
        <v>0</v>
      </c>
      <c r="L128" s="450"/>
      <c r="M128" s="607"/>
      <c r="N128" s="651"/>
      <c r="O128" s="1833">
        <f>3985*Ozone!N11</f>
        <v>0</v>
      </c>
      <c r="P128" s="449"/>
      <c r="Q128" s="607"/>
      <c r="R128" s="450"/>
      <c r="S128" s="388">
        <f>3985*Ozone!O11</f>
        <v>0</v>
      </c>
      <c r="T128" s="519"/>
      <c r="U128" s="450"/>
      <c r="V128" s="450"/>
      <c r="W128" s="387">
        <f>3985*Ozone!P11</f>
        <v>0</v>
      </c>
      <c r="X128" s="386">
        <f t="shared" si="16"/>
        <v>0</v>
      </c>
      <c r="Y128" s="586"/>
      <c r="AA128" s="39"/>
      <c r="AB128" s="39"/>
      <c r="AC128" s="39"/>
      <c r="AD128" s="39"/>
      <c r="AE128" s="39"/>
      <c r="AF128" s="39"/>
      <c r="AG128" s="39"/>
      <c r="AH128" s="39"/>
    </row>
    <row r="129" spans="1:36" s="9" customFormat="1" x14ac:dyDescent="0.25">
      <c r="A129" s="3141" t="s">
        <v>1124</v>
      </c>
      <c r="B129" s="1623" t="s">
        <v>181</v>
      </c>
      <c r="C129" s="842"/>
      <c r="D129" s="539">
        <v>0.70799999999999996</v>
      </c>
      <c r="E129" s="394" t="s">
        <v>188</v>
      </c>
      <c r="F129" s="410"/>
      <c r="G129" s="429"/>
      <c r="H129" s="449"/>
      <c r="I129" s="450"/>
      <c r="J129" s="651"/>
      <c r="K129" s="387">
        <f>D129*Effluent!M6</f>
        <v>0</v>
      </c>
      <c r="L129" s="450"/>
      <c r="M129" s="450"/>
      <c r="N129" s="651"/>
      <c r="O129" s="387">
        <f>D129*Effluent!N6</f>
        <v>0</v>
      </c>
      <c r="P129" s="450"/>
      <c r="Q129" s="450"/>
      <c r="R129" s="450"/>
      <c r="S129" s="387">
        <f>D129*Effluent!O6</f>
        <v>0</v>
      </c>
      <c r="T129" s="651"/>
      <c r="U129" s="450"/>
      <c r="V129" s="450"/>
      <c r="W129" s="387">
        <f>D129*Effluent!P6</f>
        <v>0</v>
      </c>
      <c r="X129" s="386">
        <f t="shared" si="16"/>
        <v>0</v>
      </c>
      <c r="Y129" s="586"/>
      <c r="AA129" s="39"/>
      <c r="AB129" s="39"/>
      <c r="AC129" s="39"/>
      <c r="AD129" s="39"/>
      <c r="AE129" s="39"/>
      <c r="AF129" s="39"/>
      <c r="AG129" s="39"/>
      <c r="AH129" s="39"/>
    </row>
    <row r="130" spans="1:36" x14ac:dyDescent="0.25">
      <c r="A130" s="729" t="s">
        <v>171</v>
      </c>
      <c r="B130" s="612"/>
      <c r="C130" s="212"/>
      <c r="D130" s="613"/>
      <c r="E130" s="614"/>
      <c r="F130" s="213"/>
      <c r="G130" s="213"/>
      <c r="H130" s="710">
        <f>H118+H119+H121+H122+H123+H125+H126+H127+H128+H129</f>
        <v>604402.37450759998</v>
      </c>
      <c r="I130" s="616">
        <f t="shared" ref="I130:V130" si="17">I118+I119+I121+I122+I123+I125+I126+I127+I128+I129</f>
        <v>30.626116596600003</v>
      </c>
      <c r="J130" s="616">
        <f t="shared" si="17"/>
        <v>31.232606492400002</v>
      </c>
      <c r="K130" s="616">
        <f>K118+K119+K121+K122+K123+K125+K126+K127+K128+K129</f>
        <v>613536.5464927908</v>
      </c>
      <c r="L130" s="710">
        <f t="shared" si="17"/>
        <v>504810.54176579998</v>
      </c>
      <c r="M130" s="616">
        <f t="shared" si="17"/>
        <v>25.313274577800001</v>
      </c>
      <c r="N130" s="616">
        <f t="shared" si="17"/>
        <v>25.961008984200003</v>
      </c>
      <c r="O130" s="616">
        <f t="shared" si="17"/>
        <v>534277.98083479144</v>
      </c>
      <c r="P130" s="710">
        <f t="shared" si="17"/>
        <v>401650.39005360001</v>
      </c>
      <c r="Q130" s="616">
        <f t="shared" si="17"/>
        <v>19.877858690100002</v>
      </c>
      <c r="R130" s="616">
        <f t="shared" si="17"/>
        <v>20.341473266399998</v>
      </c>
      <c r="S130" s="616">
        <f t="shared" si="17"/>
        <v>407597.46051251882</v>
      </c>
      <c r="T130" s="710">
        <f t="shared" si="17"/>
        <v>341838.64468619996</v>
      </c>
      <c r="U130" s="616">
        <f t="shared" si="17"/>
        <v>17.752489324200003</v>
      </c>
      <c r="V130" s="616">
        <f t="shared" si="17"/>
        <v>17.880209263800001</v>
      </c>
      <c r="W130" s="616">
        <f>W118+W119+W121+W122+W123+W125+W126+W127+W128+W129</f>
        <v>347073.96984218457</v>
      </c>
      <c r="X130" s="710">
        <f>K130+O130+S130+W130</f>
        <v>1902485.9576822857</v>
      </c>
      <c r="Y130" s="506">
        <f>SUM(X118:X129)</f>
        <v>1902485.9576822852</v>
      </c>
      <c r="Z130" s="445"/>
      <c r="AA130" s="39"/>
      <c r="AB130" s="39"/>
      <c r="AC130" s="39"/>
      <c r="AD130" s="39"/>
      <c r="AE130" s="39"/>
      <c r="AF130" s="39"/>
      <c r="AG130" s="39"/>
      <c r="AH130" s="39"/>
      <c r="AI130" s="9"/>
      <c r="AJ130" s="9"/>
    </row>
    <row r="131" spans="1:36" x14ac:dyDescent="0.25">
      <c r="A131" s="617" t="s">
        <v>169</v>
      </c>
      <c r="B131" s="304"/>
      <c r="C131" s="304"/>
      <c r="D131" s="214"/>
      <c r="E131" s="618"/>
      <c r="F131" s="215"/>
      <c r="G131" s="215"/>
      <c r="H131" s="620"/>
      <c r="I131" s="481"/>
      <c r="J131" s="481"/>
      <c r="K131" s="621"/>
      <c r="L131" s="481"/>
      <c r="M131" s="481"/>
      <c r="N131" s="481"/>
      <c r="O131" s="481"/>
      <c r="P131" s="620"/>
      <c r="Q131" s="481"/>
      <c r="R131" s="481"/>
      <c r="S131" s="621"/>
      <c r="T131" s="481"/>
      <c r="U131" s="481"/>
      <c r="V131" s="481"/>
      <c r="W131" s="481"/>
      <c r="X131" s="620"/>
      <c r="Y131" s="730"/>
      <c r="Z131" s="9"/>
      <c r="AA131" s="39"/>
      <c r="AB131" s="39"/>
      <c r="AC131" s="39"/>
      <c r="AD131" s="39"/>
      <c r="AE131" s="39"/>
      <c r="AF131" s="39"/>
      <c r="AG131" s="39"/>
      <c r="AH131" s="39"/>
      <c r="AI131" s="9"/>
      <c r="AJ131" s="9"/>
    </row>
    <row r="132" spans="1:36" x14ac:dyDescent="0.25">
      <c r="A132" s="240" t="s">
        <v>271</v>
      </c>
      <c r="B132" s="485" t="s">
        <v>29</v>
      </c>
      <c r="C132" s="299"/>
      <c r="D132" s="408">
        <v>1.04</v>
      </c>
      <c r="E132" s="409" t="s">
        <v>259</v>
      </c>
      <c r="F132" s="127"/>
      <c r="G132" s="127"/>
      <c r="H132" s="487"/>
      <c r="I132" s="488"/>
      <c r="J132" s="489"/>
      <c r="K132" s="490">
        <f>D132*Energy!M13</f>
        <v>13369219.468800001</v>
      </c>
      <c r="L132" s="491"/>
      <c r="M132" s="491"/>
      <c r="N132" s="492"/>
      <c r="O132" s="492">
        <f>D132*Energy!N13</f>
        <v>13012509.785600001</v>
      </c>
      <c r="P132" s="493"/>
      <c r="Q132" s="494"/>
      <c r="R132" s="491"/>
      <c r="S132" s="495">
        <f>D132*Energy!O13</f>
        <v>11106864.038400002</v>
      </c>
      <c r="T132" s="519"/>
      <c r="U132" s="491"/>
      <c r="V132" s="491"/>
      <c r="W132" s="491">
        <f>D132*Energy!P13</f>
        <v>7943037.5231999997</v>
      </c>
      <c r="X132" s="710">
        <f t="shared" si="16"/>
        <v>45431630.816</v>
      </c>
      <c r="Y132" s="506"/>
      <c r="Z132" s="9"/>
      <c r="AA132" s="39"/>
      <c r="AB132" s="39"/>
      <c r="AC132" s="39"/>
      <c r="AD132" s="39"/>
      <c r="AE132" s="39"/>
      <c r="AF132" s="39"/>
      <c r="AG132" s="39"/>
      <c r="AH132" s="39"/>
      <c r="AI132" s="9"/>
      <c r="AJ132" s="9"/>
    </row>
    <row r="133" spans="1:36" x14ac:dyDescent="0.25">
      <c r="A133" s="729" t="s">
        <v>172</v>
      </c>
      <c r="B133" s="630"/>
      <c r="C133" s="212"/>
      <c r="D133" s="613"/>
      <c r="E133" s="631"/>
      <c r="F133" s="613"/>
      <c r="G133" s="613"/>
      <c r="H133" s="710"/>
      <c r="I133" s="711"/>
      <c r="J133" s="711"/>
      <c r="K133" s="472">
        <f>K132</f>
        <v>13369219.468800001</v>
      </c>
      <c r="L133" s="468"/>
      <c r="M133" s="467"/>
      <c r="N133" s="467"/>
      <c r="O133" s="467">
        <f>O132</f>
        <v>13012509.785600001</v>
      </c>
      <c r="P133" s="466"/>
      <c r="Q133" s="467"/>
      <c r="R133" s="467"/>
      <c r="S133" s="472">
        <f>S132</f>
        <v>11106864.038400002</v>
      </c>
      <c r="T133" s="718"/>
      <c r="U133" s="467"/>
      <c r="V133" s="470"/>
      <c r="W133" s="467">
        <f>W132</f>
        <v>7943037.5231999997</v>
      </c>
      <c r="X133" s="710">
        <f t="shared" si="16"/>
        <v>45431630.816</v>
      </c>
      <c r="Y133" s="506">
        <f>X132</f>
        <v>45431630.816</v>
      </c>
      <c r="Z133" s="445">
        <f>X133</f>
        <v>45431630.816</v>
      </c>
      <c r="AA133" s="39"/>
      <c r="AB133" s="39"/>
      <c r="AC133" s="39"/>
      <c r="AD133" s="39"/>
      <c r="AE133" s="39"/>
      <c r="AF133" s="39"/>
      <c r="AG133" s="39"/>
      <c r="AH133" s="39"/>
      <c r="AI133" s="9"/>
      <c r="AJ133" s="9"/>
    </row>
    <row r="134" spans="1:36" x14ac:dyDescent="0.25">
      <c r="A134" s="617" t="s">
        <v>173</v>
      </c>
      <c r="B134" s="731"/>
      <c r="C134" s="304"/>
      <c r="D134" s="214" t="s">
        <v>178</v>
      </c>
      <c r="E134" s="641"/>
      <c r="F134" s="214"/>
      <c r="G134" s="214"/>
      <c r="H134" s="581"/>
      <c r="I134" s="580"/>
      <c r="J134" s="580"/>
      <c r="K134" s="621"/>
      <c r="L134" s="481"/>
      <c r="M134" s="481"/>
      <c r="N134" s="481"/>
      <c r="O134" s="481"/>
      <c r="P134" s="620"/>
      <c r="Q134" s="481"/>
      <c r="R134" s="481"/>
      <c r="S134" s="621"/>
      <c r="T134" s="481"/>
      <c r="U134" s="481"/>
      <c r="V134" s="481"/>
      <c r="W134" s="481"/>
      <c r="X134" s="620"/>
      <c r="Y134" s="730"/>
      <c r="Z134" s="1"/>
      <c r="AA134" s="39"/>
      <c r="AB134" s="39"/>
      <c r="AC134" s="39"/>
      <c r="AD134" s="39"/>
      <c r="AE134" s="39"/>
      <c r="AF134" s="39"/>
      <c r="AG134" s="39"/>
      <c r="AH134" s="39"/>
      <c r="AI134" s="1"/>
      <c r="AJ134" s="1"/>
    </row>
    <row r="135" spans="1:36" s="116" customFormat="1" x14ac:dyDescent="0.25">
      <c r="A135" s="1622" t="s">
        <v>631</v>
      </c>
      <c r="B135" s="1623" t="s">
        <v>27</v>
      </c>
      <c r="C135" s="842">
        <v>37.5</v>
      </c>
      <c r="D135" s="843">
        <v>70000</v>
      </c>
      <c r="E135" s="394" t="s">
        <v>185</v>
      </c>
      <c r="F135" s="410">
        <v>0.5</v>
      </c>
      <c r="G135" s="410">
        <v>2</v>
      </c>
      <c r="H135" s="412">
        <f>(C135*D135/1000000)*'company plane'!F39</f>
        <v>0</v>
      </c>
      <c r="I135" s="653">
        <f>(C135*F135/1000000)*'company plane'!F39</f>
        <v>0</v>
      </c>
      <c r="J135" s="653">
        <f>(C135*G135/1000000)*'company plane'!F39</f>
        <v>0</v>
      </c>
      <c r="K135" s="527">
        <f>(H135*1)+(I135*28)+(J135*265)</f>
        <v>0</v>
      </c>
      <c r="L135" s="491">
        <f>(C135*D135/1000000)*'company plane'!J39</f>
        <v>5872.125</v>
      </c>
      <c r="M135" s="494">
        <f>(C135*F135/1000000)*'company plane'!J39</f>
        <v>4.1943749999999995E-2</v>
      </c>
      <c r="N135" s="491">
        <f>(C135*G135/1000000)*'company plane'!J39</f>
        <v>0.16777499999999998</v>
      </c>
      <c r="O135" s="629">
        <f>(L135*1)+(M135*28)+(N135*265)</f>
        <v>5917.7597999999998</v>
      </c>
      <c r="P135" s="412">
        <f>(C135*D135/1000000)*'company plane'!N39</f>
        <v>0</v>
      </c>
      <c r="Q135" s="491">
        <f>(C135*F135/1000000)*'company plane'!N39</f>
        <v>0</v>
      </c>
      <c r="R135" s="491">
        <f>(C135*G135/1000000)*'company plane'!N39</f>
        <v>0</v>
      </c>
      <c r="S135" s="495">
        <f>(P135*1)+(Q135*28)+(R135*265)</f>
        <v>0</v>
      </c>
      <c r="T135" s="494">
        <f>(C135*D135/1000000)*'company plane'!R39</f>
        <v>0</v>
      </c>
      <c r="U135" s="491">
        <f>(C135*F135/1000000)*'company plane'!R39</f>
        <v>0</v>
      </c>
      <c r="V135" s="491">
        <f>(C135*G135/1000000)*'company plane'!R39</f>
        <v>0</v>
      </c>
      <c r="W135" s="491">
        <f>(T135*1)+(U135*28)+(V135*265)</f>
        <v>0</v>
      </c>
      <c r="X135" s="845">
        <f>K135+O135+S135+W135</f>
        <v>5917.7597999999998</v>
      </c>
      <c r="Y135" s="791"/>
      <c r="AA135" s="39"/>
      <c r="AB135" s="39"/>
      <c r="AC135" s="39"/>
      <c r="AD135" s="39"/>
      <c r="AE135" s="39"/>
      <c r="AF135" s="39"/>
      <c r="AG135" s="39"/>
      <c r="AH135" s="39"/>
    </row>
    <row r="136" spans="1:36" ht="45.75" x14ac:dyDescent="0.25">
      <c r="A136" s="3132" t="s">
        <v>1121</v>
      </c>
      <c r="B136" s="847" t="s">
        <v>175</v>
      </c>
      <c r="C136" s="842"/>
      <c r="D136" s="843"/>
      <c r="E136" s="844"/>
      <c r="F136" s="1626"/>
      <c r="G136" s="1627"/>
      <c r="H136" s="412"/>
      <c r="I136" s="494"/>
      <c r="J136" s="451"/>
      <c r="K136" s="490">
        <f>'Employee commute'!P34</f>
        <v>25695.853499999997</v>
      </c>
      <c r="L136" s="491"/>
      <c r="M136" s="626"/>
      <c r="N136" s="627"/>
      <c r="O136" s="414">
        <f>'Employee commute'!Q34</f>
        <v>25695.853499999997</v>
      </c>
      <c r="P136" s="412"/>
      <c r="Q136" s="491"/>
      <c r="R136" s="491"/>
      <c r="S136" s="495">
        <f>'Employee commute'!R34</f>
        <v>25695.853499999997</v>
      </c>
      <c r="T136" s="537"/>
      <c r="U136" s="538"/>
      <c r="V136" s="491"/>
      <c r="W136" s="491">
        <f>'Employee commute'!S34</f>
        <v>25695.853499999997</v>
      </c>
      <c r="X136" s="710">
        <f t="shared" si="16"/>
        <v>102783.41399999999</v>
      </c>
      <c r="Y136" s="506"/>
      <c r="Z136" s="9"/>
      <c r="AA136" s="39"/>
      <c r="AB136" s="39"/>
      <c r="AC136" s="39"/>
      <c r="AD136" s="39"/>
      <c r="AE136" s="39"/>
      <c r="AF136" s="39"/>
      <c r="AG136" s="39"/>
      <c r="AH136" s="39"/>
      <c r="AI136" s="9"/>
      <c r="AJ136" s="9"/>
    </row>
    <row r="137" spans="1:36" x14ac:dyDescent="0.25">
      <c r="A137" s="732" t="s">
        <v>1052</v>
      </c>
      <c r="B137" s="384" t="s">
        <v>175</v>
      </c>
      <c r="C137" s="299">
        <v>34.200000000000003</v>
      </c>
      <c r="D137" s="2963">
        <v>0.18084</v>
      </c>
      <c r="E137" s="409" t="s">
        <v>1053</v>
      </c>
      <c r="F137" s="421"/>
      <c r="G137" s="421"/>
      <c r="H137" s="412"/>
      <c r="I137" s="520"/>
      <c r="J137" s="517"/>
      <c r="K137" s="521">
        <f>0.18084*'Business travel'!E60</f>
        <v>627.15312000000006</v>
      </c>
      <c r="L137" s="491"/>
      <c r="M137" s="653"/>
      <c r="N137" s="530"/>
      <c r="O137" s="424">
        <f>0.18084*'Business travel'!I60</f>
        <v>1057.0459679999999</v>
      </c>
      <c r="P137" s="522"/>
      <c r="Q137" s="491"/>
      <c r="R137" s="491"/>
      <c r="S137" s="523">
        <f>0.18084*'Business travel'!M60</f>
        <v>842.09954400000004</v>
      </c>
      <c r="T137" s="524"/>
      <c r="U137" s="430"/>
      <c r="V137" s="491"/>
      <c r="W137" s="491">
        <f>0.18084*'Business travel'!Q60</f>
        <v>0</v>
      </c>
      <c r="X137" s="710">
        <f t="shared" si="16"/>
        <v>2526.298632</v>
      </c>
      <c r="Y137" s="506"/>
      <c r="Z137" s="9"/>
      <c r="AA137" s="39"/>
      <c r="AB137" s="39"/>
      <c r="AC137" s="39"/>
      <c r="AD137" s="39"/>
      <c r="AE137" s="39"/>
      <c r="AF137" s="39"/>
      <c r="AG137" s="39"/>
      <c r="AH137" s="39"/>
      <c r="AI137" s="9"/>
      <c r="AJ137" s="9"/>
    </row>
    <row r="138" spans="1:36" x14ac:dyDescent="0.25">
      <c r="A138" s="2891" t="s">
        <v>177</v>
      </c>
      <c r="B138" s="2885" t="s">
        <v>175</v>
      </c>
      <c r="C138" s="2861">
        <v>37.5</v>
      </c>
      <c r="D138" s="2862">
        <v>70000</v>
      </c>
      <c r="E138" s="2863" t="s">
        <v>185</v>
      </c>
      <c r="F138" s="2862">
        <v>0.5</v>
      </c>
      <c r="G138" s="2862">
        <v>2</v>
      </c>
      <c r="H138" s="2865"/>
      <c r="I138" s="2866"/>
      <c r="J138" s="2867"/>
      <c r="K138" s="2868">
        <v>0</v>
      </c>
      <c r="L138" s="2869"/>
      <c r="M138" s="2877"/>
      <c r="N138" s="2892"/>
      <c r="O138" s="2893">
        <v>0</v>
      </c>
      <c r="P138" s="2871"/>
      <c r="Q138" s="2869"/>
      <c r="R138" s="2869"/>
      <c r="S138" s="2872">
        <v>0</v>
      </c>
      <c r="T138" s="2890"/>
      <c r="U138" s="2890"/>
      <c r="V138" s="2869"/>
      <c r="W138" s="2869">
        <v>0</v>
      </c>
      <c r="X138" s="4679">
        <f t="shared" si="16"/>
        <v>0</v>
      </c>
      <c r="Y138" s="506"/>
      <c r="Z138" s="9"/>
      <c r="AA138" s="39"/>
      <c r="AB138" s="39"/>
      <c r="AC138" s="39"/>
      <c r="AD138" s="39"/>
      <c r="AE138" s="39"/>
      <c r="AF138" s="39"/>
      <c r="AG138" s="39"/>
      <c r="AH138" s="39"/>
      <c r="AI138" s="9"/>
      <c r="AJ138" s="9"/>
    </row>
    <row r="139" spans="1:36" s="849" customFormat="1" x14ac:dyDescent="0.25">
      <c r="A139" s="1605" t="s">
        <v>674</v>
      </c>
      <c r="B139" s="1571" t="s">
        <v>175</v>
      </c>
      <c r="C139" s="1572">
        <v>0.25492999999999999</v>
      </c>
      <c r="D139" s="1715">
        <v>0.15831999999999999</v>
      </c>
      <c r="E139" s="1573">
        <v>0.19561999999999999</v>
      </c>
      <c r="F139" s="1716">
        <v>0.18078</v>
      </c>
      <c r="G139" s="1574"/>
      <c r="H139" s="1578"/>
      <c r="I139" s="1576"/>
      <c r="J139" s="1577"/>
      <c r="K139" s="1583">
        <f>(C139*'Business travel'!N8)+(D139*'Business travel'!O8)+(E139*'Business travel'!P8)+(F139*'Business travel'!Q8)</f>
        <v>4150.7702600000002</v>
      </c>
      <c r="L139" s="1575"/>
      <c r="M139" s="1588"/>
      <c r="N139" s="1591"/>
      <c r="O139" s="1592">
        <f>(C139*'Business travel'!N12)+(D139*'Business travel'!O12)+(E139*'Business travel'!P12)+(F139*'Business travel'!Q12)</f>
        <v>4533.6751199999999</v>
      </c>
      <c r="P139" s="1589"/>
      <c r="Q139" s="1575"/>
      <c r="R139" s="1575"/>
      <c r="S139" s="1583">
        <f>(C139*'Business travel'!N16)+(D139*'Business travel'!O16)+(E139*'Business travel'!P16)+(F139*'Business travel'!Q16)</f>
        <v>5563.9675200000001</v>
      </c>
      <c r="T139" s="1590"/>
      <c r="U139" s="1575"/>
      <c r="V139" s="1575"/>
      <c r="W139" s="1575">
        <f>(C139*'Business travel'!N20)+(D139*'Business travel'!O20)+(E139*'Business travel'!P20)+(F139*'Business travel'!Q20)</f>
        <v>0</v>
      </c>
      <c r="X139" s="4688">
        <f>K139+O139+S139+W139</f>
        <v>14248.412900000001</v>
      </c>
      <c r="Y139" s="1584"/>
      <c r="AA139" s="39"/>
      <c r="AB139" s="39"/>
      <c r="AC139" s="39"/>
      <c r="AD139" s="39"/>
      <c r="AE139" s="39"/>
      <c r="AF139" s="39"/>
      <c r="AG139" s="39"/>
      <c r="AH139" s="39"/>
    </row>
    <row r="140" spans="1:36" x14ac:dyDescent="0.25">
      <c r="A140" s="732" t="s">
        <v>176</v>
      </c>
      <c r="B140" s="219" t="s">
        <v>32</v>
      </c>
      <c r="C140" s="204"/>
      <c r="D140" s="224">
        <v>0.87009999999999998</v>
      </c>
      <c r="E140" s="421" t="s">
        <v>186</v>
      </c>
      <c r="F140" s="206"/>
      <c r="G140" s="206"/>
      <c r="H140" s="412"/>
      <c r="I140" s="494"/>
      <c r="J140" s="451"/>
      <c r="K140" s="490">
        <f>D140*Materials!M11</f>
        <v>1620.56125</v>
      </c>
      <c r="L140" s="491"/>
      <c r="M140" s="413"/>
      <c r="N140" s="589"/>
      <c r="O140" s="744">
        <f>D140*Materials!N11</f>
        <v>1239.8924999999999</v>
      </c>
      <c r="P140" s="493"/>
      <c r="Q140" s="491"/>
      <c r="R140" s="491"/>
      <c r="S140" s="490">
        <f>D140*Materials!O11</f>
        <v>978.86249999999995</v>
      </c>
      <c r="T140" s="540"/>
      <c r="U140" s="491"/>
      <c r="V140" s="491"/>
      <c r="W140" s="491">
        <f>D140*Materials!P11</f>
        <v>597.75869999999998</v>
      </c>
      <c r="X140" s="710">
        <f t="shared" si="16"/>
        <v>4437.0749500000002</v>
      </c>
      <c r="Y140" s="506"/>
      <c r="Z140" s="9"/>
      <c r="AA140" s="39"/>
      <c r="AB140" s="39"/>
      <c r="AC140" s="39"/>
      <c r="AD140" s="39"/>
      <c r="AE140" s="39"/>
      <c r="AF140" s="39"/>
      <c r="AG140" s="39"/>
      <c r="AH140" s="39"/>
      <c r="AI140" s="9"/>
      <c r="AJ140" s="9"/>
    </row>
    <row r="141" spans="1:36" x14ac:dyDescent="0.25">
      <c r="A141" s="242" t="s">
        <v>180</v>
      </c>
      <c r="B141" s="219" t="s">
        <v>107</v>
      </c>
      <c r="C141" s="204"/>
      <c r="D141" s="2879">
        <v>586.51400000000001</v>
      </c>
      <c r="E141" s="421" t="s">
        <v>187</v>
      </c>
      <c r="F141" s="206"/>
      <c r="G141" s="206"/>
      <c r="H141" s="412"/>
      <c r="I141" s="494"/>
      <c r="J141" s="529"/>
      <c r="K141" s="527">
        <f>D141*Waste!M8</f>
        <v>15530.890720000001</v>
      </c>
      <c r="L141" s="491"/>
      <c r="M141" s="660"/>
      <c r="N141" s="627"/>
      <c r="O141" s="4921">
        <f>D141*Waste!N8</f>
        <v>35249.491399999999</v>
      </c>
      <c r="P141" s="526"/>
      <c r="Q141" s="491"/>
      <c r="R141" s="491"/>
      <c r="S141" s="490">
        <f>D141*Waste!O8</f>
        <v>53126.438120000006</v>
      </c>
      <c r="T141" s="540"/>
      <c r="U141" s="491"/>
      <c r="V141" s="491"/>
      <c r="W141" s="491">
        <f>D141*Waste!P8</f>
        <v>10287.45556</v>
      </c>
      <c r="X141" s="710">
        <f t="shared" si="16"/>
        <v>114194.2758</v>
      </c>
      <c r="Y141" s="506"/>
      <c r="Z141" s="9"/>
      <c r="AA141" s="39"/>
      <c r="AB141" s="39"/>
      <c r="AC141" s="39"/>
      <c r="AD141" s="39"/>
      <c r="AE141" s="39"/>
      <c r="AF141" s="39"/>
      <c r="AG141" s="39"/>
      <c r="AH141" s="39"/>
      <c r="AI141" s="9"/>
      <c r="AJ141" s="9"/>
    </row>
    <row r="142" spans="1:36" x14ac:dyDescent="0.25">
      <c r="A142" s="242" t="s">
        <v>184</v>
      </c>
      <c r="B142" s="219" t="s">
        <v>107</v>
      </c>
      <c r="C142" s="204"/>
      <c r="D142" s="2879">
        <v>21.353999999999999</v>
      </c>
      <c r="E142" s="421" t="s">
        <v>187</v>
      </c>
      <c r="F142" s="206"/>
      <c r="G142" s="206"/>
      <c r="H142" s="412"/>
      <c r="I142" s="494"/>
      <c r="J142" s="517"/>
      <c r="K142" s="4920">
        <f>D142*Waste!M19</f>
        <v>1538.3421600000001</v>
      </c>
      <c r="L142" s="491"/>
      <c r="M142" s="520"/>
      <c r="N142" s="627"/>
      <c r="O142" s="414">
        <f>D142*Waste!N19</f>
        <v>1482.3946799999999</v>
      </c>
      <c r="P142" s="493"/>
      <c r="Q142" s="491"/>
      <c r="R142" s="491"/>
      <c r="S142" s="4914">
        <f>D142*Waste!O19</f>
        <v>3555.8680800000002</v>
      </c>
      <c r="T142" s="537"/>
      <c r="U142" s="538"/>
      <c r="V142" s="491"/>
      <c r="W142" s="491">
        <f>D142*Waste!P19</f>
        <v>1212.4801199999999</v>
      </c>
      <c r="X142" s="710">
        <f t="shared" si="16"/>
        <v>7789.0850399999999</v>
      </c>
      <c r="Y142" s="506"/>
      <c r="Z142" s="9"/>
      <c r="AA142" s="39"/>
      <c r="AB142" s="39"/>
      <c r="AC142" s="39"/>
      <c r="AD142" s="39"/>
      <c r="AE142" s="39"/>
      <c r="AF142" s="39"/>
      <c r="AG142" s="39"/>
      <c r="AH142" s="39"/>
      <c r="AI142" s="9"/>
      <c r="AJ142" s="9"/>
    </row>
    <row r="143" spans="1:36" x14ac:dyDescent="0.25">
      <c r="A143" s="732" t="s">
        <v>183</v>
      </c>
      <c r="B143" s="219" t="s">
        <v>181</v>
      </c>
      <c r="C143" s="204"/>
      <c r="D143" s="216">
        <v>0.34399999999999997</v>
      </c>
      <c r="E143" s="409" t="s">
        <v>278</v>
      </c>
      <c r="F143" s="206"/>
      <c r="G143" s="206"/>
      <c r="H143" s="412"/>
      <c r="I143" s="494"/>
      <c r="J143" s="517"/>
      <c r="K143" s="541">
        <f>D143*'Water Mangt'!M6</f>
        <v>1578.9599999999998</v>
      </c>
      <c r="L143" s="657"/>
      <c r="M143" s="626"/>
      <c r="N143" s="530"/>
      <c r="O143" s="424">
        <f>D143*'Water Mangt'!N6</f>
        <v>1255.5999999999999</v>
      </c>
      <c r="P143" s="412"/>
      <c r="Q143" s="491"/>
      <c r="R143" s="491"/>
      <c r="S143" s="490">
        <f>D143*'Water Mangt'!O6</f>
        <v>753.3599999999999</v>
      </c>
      <c r="T143" s="519"/>
      <c r="U143" s="491"/>
      <c r="V143" s="491"/>
      <c r="W143" s="491">
        <f>D143*'Water Mangt'!P6</f>
        <v>681.11999999999989</v>
      </c>
      <c r="X143" s="710">
        <f t="shared" si="16"/>
        <v>4269.0399999999991</v>
      </c>
      <c r="Y143" s="506"/>
      <c r="Z143" s="9"/>
      <c r="AA143" s="39"/>
      <c r="AB143" s="39"/>
      <c r="AC143" s="39"/>
      <c r="AD143" s="39"/>
      <c r="AE143" s="39"/>
      <c r="AF143" s="39"/>
      <c r="AG143" s="39"/>
      <c r="AH143" s="39"/>
      <c r="AI143" s="9"/>
      <c r="AJ143" s="9"/>
    </row>
    <row r="144" spans="1:36" ht="15.75" thickBot="1" x14ac:dyDescent="0.3">
      <c r="A144" s="734" t="s">
        <v>190</v>
      </c>
      <c r="B144" s="664"/>
      <c r="C144" s="665"/>
      <c r="D144" s="666"/>
      <c r="E144" s="667"/>
      <c r="F144" s="666"/>
      <c r="G144" s="666"/>
      <c r="H144" s="548"/>
      <c r="I144" s="745"/>
      <c r="J144" s="745"/>
      <c r="K144" s="746">
        <f>SUM(K135:K143)</f>
        <v>50742.531009999999</v>
      </c>
      <c r="L144" s="551"/>
      <c r="M144" s="745"/>
      <c r="N144" s="745"/>
      <c r="O144" s="745">
        <f>SUM(O135:O143)</f>
        <v>76431.712968000007</v>
      </c>
      <c r="P144" s="548"/>
      <c r="Q144" s="745"/>
      <c r="R144" s="745"/>
      <c r="S144" s="746">
        <f>SUM(S135:S143)</f>
        <v>90516.44926400001</v>
      </c>
      <c r="T144" s="551"/>
      <c r="U144" s="674"/>
      <c r="V144" s="551"/>
      <c r="W144" s="672">
        <f>SUM(W135:W143)</f>
        <v>38474.667880000001</v>
      </c>
      <c r="X144" s="766">
        <f>K144+O144+S144+W144</f>
        <v>256165.361122</v>
      </c>
      <c r="Y144" s="506">
        <f>SUM(X135:X143)</f>
        <v>256165.361122</v>
      </c>
      <c r="Z144" s="445">
        <f>SUM(X135:X143)</f>
        <v>256165.361122</v>
      </c>
      <c r="AA144" s="39"/>
      <c r="AB144" s="39"/>
      <c r="AC144" s="39"/>
      <c r="AD144" s="39"/>
      <c r="AE144" s="39"/>
      <c r="AF144" s="39"/>
      <c r="AG144" s="39"/>
      <c r="AH144" s="39"/>
      <c r="AI144" s="9"/>
      <c r="AJ144" s="9"/>
    </row>
    <row r="145" spans="1:36" ht="15.75" thickBot="1" x14ac:dyDescent="0.3">
      <c r="A145" s="556" t="s">
        <v>701</v>
      </c>
      <c r="B145" s="565"/>
      <c r="C145" s="565"/>
      <c r="D145" s="565"/>
      <c r="E145" s="566"/>
      <c r="F145" s="566"/>
      <c r="G145" s="566"/>
      <c r="H145" s="559"/>
      <c r="I145" s="560"/>
      <c r="J145" s="560"/>
      <c r="K145" s="561">
        <f>(K130+K133+K144)/1000</f>
        <v>14033.498546302792</v>
      </c>
      <c r="L145" s="559"/>
      <c r="M145" s="560"/>
      <c r="N145" s="560"/>
      <c r="O145" s="561">
        <f>(O130+O133+O144)/1000</f>
        <v>13623.219479402791</v>
      </c>
      <c r="P145" s="559"/>
      <c r="Q145" s="560"/>
      <c r="R145" s="560"/>
      <c r="S145" s="561">
        <f>(S130+S133+S144)/1000</f>
        <v>11604.97794817652</v>
      </c>
      <c r="T145" s="559"/>
      <c r="U145" s="560"/>
      <c r="V145" s="560"/>
      <c r="W145" s="560">
        <f>(W130+W133+W144)/1000</f>
        <v>8328.5861609221829</v>
      </c>
      <c r="X145" s="4696">
        <f t="shared" si="16"/>
        <v>47590.282134804285</v>
      </c>
      <c r="Y145" s="4709">
        <f>(X130+X133+X144)/1000</f>
        <v>47590.282134804285</v>
      </c>
      <c r="Z145" s="9"/>
      <c r="AA145" s="9"/>
      <c r="AB145" s="9"/>
      <c r="AC145" s="9"/>
      <c r="AD145" s="9"/>
      <c r="AE145" s="9"/>
      <c r="AF145" s="9"/>
      <c r="AG145" s="9"/>
      <c r="AH145" s="9"/>
      <c r="AI145" s="9"/>
      <c r="AJ145" s="9"/>
    </row>
    <row r="146" spans="1:36" ht="15.75" thickBot="1" x14ac:dyDescent="0.3">
      <c r="A146" s="556" t="s">
        <v>264</v>
      </c>
      <c r="B146" s="565"/>
      <c r="C146" s="565"/>
      <c r="D146" s="565"/>
      <c r="E146" s="566"/>
      <c r="F146" s="566"/>
      <c r="G146" s="566"/>
      <c r="H146" s="559"/>
      <c r="I146" s="560"/>
      <c r="J146" s="560"/>
      <c r="K146" s="3096">
        <f>K145/Production!M7</f>
        <v>4.4649727161465064E-2</v>
      </c>
      <c r="L146" s="3097"/>
      <c r="M146" s="3098"/>
      <c r="N146" s="3098"/>
      <c r="O146" s="3096">
        <f>O145/Production!N7</f>
        <v>5.5156074558097734E-2</v>
      </c>
      <c r="P146" s="3097"/>
      <c r="Q146" s="3098"/>
      <c r="R146" s="3098"/>
      <c r="S146" s="3096">
        <f>S145/Production!O7</f>
        <v>4.9100816366306407E-2</v>
      </c>
      <c r="T146" s="3097"/>
      <c r="U146" s="3098"/>
      <c r="V146" s="3098"/>
      <c r="W146" s="3098">
        <f>W145/Production!P7</f>
        <v>8.8546403437440149E-2</v>
      </c>
      <c r="X146" s="4697">
        <f>X145/Production!Q7</f>
        <v>5.336998461913333E-2</v>
      </c>
      <c r="Y146" s="4710"/>
      <c r="Z146" s="9"/>
      <c r="AA146" s="9"/>
      <c r="AB146" s="9"/>
      <c r="AC146" s="9"/>
      <c r="AD146" s="9"/>
      <c r="AE146" s="9"/>
      <c r="AF146" s="9"/>
      <c r="AG146" s="9"/>
      <c r="AH146" s="9"/>
      <c r="AI146" s="9"/>
      <c r="AJ146" s="9"/>
    </row>
    <row r="147" spans="1:36" ht="15.75" thickBot="1" x14ac:dyDescent="0.3">
      <c r="A147" s="556" t="s">
        <v>265</v>
      </c>
      <c r="B147" s="565"/>
      <c r="C147" s="565"/>
      <c r="D147" s="565"/>
      <c r="E147" s="566"/>
      <c r="F147" s="566"/>
      <c r="G147" s="566"/>
      <c r="H147" s="562"/>
      <c r="I147" s="563"/>
      <c r="J147" s="563"/>
      <c r="K147" s="3099">
        <f>K145/Production!M10</f>
        <v>0.68724451070168113</v>
      </c>
      <c r="L147" s="3100"/>
      <c r="M147" s="3101"/>
      <c r="N147" s="3101"/>
      <c r="O147" s="3099">
        <f>O145/Production!N10</f>
        <v>0.56469303541565974</v>
      </c>
      <c r="P147" s="3100"/>
      <c r="Q147" s="3101"/>
      <c r="R147" s="3101"/>
      <c r="S147" s="3099">
        <f>S145/Production!O10</f>
        <v>0.67053665847209332</v>
      </c>
      <c r="T147" s="3100"/>
      <c r="U147" s="3101"/>
      <c r="V147" s="3101"/>
      <c r="W147" s="3101">
        <f>W145/Production!P10</f>
        <v>1.1526784824857494</v>
      </c>
      <c r="X147" s="4697">
        <f>X145/Production!Q10</f>
        <v>0.68894172049115776</v>
      </c>
      <c r="Y147" s="4710"/>
      <c r="Z147" s="9"/>
      <c r="AA147" s="9"/>
      <c r="AB147" s="9"/>
      <c r="AC147" s="9"/>
      <c r="AD147" s="9"/>
      <c r="AE147" s="9"/>
      <c r="AF147" s="9"/>
      <c r="AG147" s="9"/>
      <c r="AH147" s="9"/>
      <c r="AI147" s="9"/>
      <c r="AJ147" s="9"/>
    </row>
    <row r="148" spans="1:36" s="9" customFormat="1" ht="15.75" thickBot="1" x14ac:dyDescent="0.3">
      <c r="A148" s="1598" t="s">
        <v>1043</v>
      </c>
      <c r="B148" s="1600"/>
      <c r="C148" s="1600"/>
      <c r="D148" s="1586"/>
      <c r="E148" s="1601"/>
      <c r="F148" s="1586"/>
      <c r="G148" s="1586"/>
      <c r="H148" s="1604"/>
      <c r="I148" s="1602"/>
      <c r="J148" s="1602"/>
      <c r="K148" s="1603">
        <f>1810*Ozone!M14</f>
        <v>0</v>
      </c>
      <c r="L148" s="1602"/>
      <c r="M148" s="1602"/>
      <c r="N148" s="1602"/>
      <c r="O148" s="2901">
        <f>1810*Ozone!N14</f>
        <v>0</v>
      </c>
      <c r="P148" s="1604"/>
      <c r="Q148" s="1602"/>
      <c r="R148" s="1602"/>
      <c r="S148" s="1603">
        <f>1810*Ozone!O14</f>
        <v>0</v>
      </c>
      <c r="T148" s="1602"/>
      <c r="U148" s="1602"/>
      <c r="V148" s="1602"/>
      <c r="W148" s="1602">
        <f>1810*Ozone!P14</f>
        <v>0</v>
      </c>
      <c r="X148" s="4698">
        <f>K148+O148+S148+W148</f>
        <v>0</v>
      </c>
      <c r="Y148" s="4710"/>
    </row>
    <row r="149" spans="1:36" ht="19.5" thickBot="1" x14ac:dyDescent="0.3">
      <c r="A149" s="747" t="s">
        <v>197</v>
      </c>
      <c r="B149" s="719"/>
      <c r="C149" s="719"/>
      <c r="D149" s="719"/>
      <c r="E149" s="719"/>
      <c r="F149" s="719"/>
      <c r="G149" s="719"/>
      <c r="H149" s="5098" t="s">
        <v>197</v>
      </c>
      <c r="I149" s="5098"/>
      <c r="J149" s="5098"/>
      <c r="K149" s="5098"/>
      <c r="L149" s="5098"/>
      <c r="M149" s="5098"/>
      <c r="N149" s="5098"/>
      <c r="O149" s="5098"/>
      <c r="P149" s="5098"/>
      <c r="Q149" s="5098"/>
      <c r="R149" s="5098"/>
      <c r="S149" s="5098"/>
      <c r="T149" s="5098"/>
      <c r="U149" s="5098"/>
      <c r="V149" s="5098"/>
      <c r="W149" s="5098"/>
      <c r="X149" s="5098"/>
      <c r="Y149" s="4704"/>
      <c r="Z149" s="9"/>
      <c r="AA149" s="9"/>
      <c r="AB149" s="9"/>
      <c r="AC149" s="9"/>
      <c r="AD149" s="9"/>
      <c r="AE149" s="9"/>
      <c r="AF149" s="9"/>
      <c r="AG149" s="9"/>
      <c r="AH149" s="9"/>
      <c r="AI149" s="9"/>
      <c r="AJ149" s="9"/>
    </row>
    <row r="150" spans="1:36" ht="15.75" thickBot="1" x14ac:dyDescent="0.3">
      <c r="A150" s="5133" t="s">
        <v>189</v>
      </c>
      <c r="B150" s="5134"/>
      <c r="C150" s="5134"/>
      <c r="D150" s="5134"/>
      <c r="E150" s="5134"/>
      <c r="F150" s="5134"/>
      <c r="G150" s="5134"/>
      <c r="H150" s="5120" t="s">
        <v>3</v>
      </c>
      <c r="I150" s="5118"/>
      <c r="J150" s="5118"/>
      <c r="K150" s="5119"/>
      <c r="L150" s="5118" t="s">
        <v>4</v>
      </c>
      <c r="M150" s="5118"/>
      <c r="N150" s="5118"/>
      <c r="O150" s="5119"/>
      <c r="P150" s="5120" t="s">
        <v>5</v>
      </c>
      <c r="Q150" s="5118"/>
      <c r="R150" s="5118"/>
      <c r="S150" s="5119"/>
      <c r="T150" s="5120" t="s">
        <v>6</v>
      </c>
      <c r="U150" s="5118"/>
      <c r="V150" s="5118"/>
      <c r="W150" s="5119"/>
      <c r="X150" s="4660" t="s">
        <v>194</v>
      </c>
      <c r="Y150" s="4705"/>
      <c r="Z150" s="9"/>
      <c r="AA150" s="9"/>
      <c r="AB150" s="9"/>
      <c r="AC150" s="9"/>
      <c r="AD150" s="9"/>
      <c r="AE150" s="9"/>
      <c r="AF150" s="9"/>
      <c r="AG150" s="9"/>
      <c r="AH150" s="9"/>
      <c r="AI150" s="9"/>
      <c r="AJ150" s="9"/>
    </row>
    <row r="151" spans="1:36" ht="24" x14ac:dyDescent="0.25">
      <c r="A151" s="1593" t="s">
        <v>170</v>
      </c>
      <c r="B151" s="677" t="s">
        <v>243</v>
      </c>
      <c r="C151" s="678" t="s">
        <v>151</v>
      </c>
      <c r="D151" s="678" t="s">
        <v>274</v>
      </c>
      <c r="E151" s="678" t="s">
        <v>179</v>
      </c>
      <c r="F151" s="678" t="s">
        <v>267</v>
      </c>
      <c r="G151" s="1594" t="s">
        <v>275</v>
      </c>
      <c r="H151" s="681" t="s">
        <v>191</v>
      </c>
      <c r="I151" s="680" t="s">
        <v>269</v>
      </c>
      <c r="J151" s="681" t="s">
        <v>192</v>
      </c>
      <c r="K151" s="682" t="s">
        <v>193</v>
      </c>
      <c r="L151" s="681" t="s">
        <v>191</v>
      </c>
      <c r="M151" s="680" t="s">
        <v>269</v>
      </c>
      <c r="N151" s="681" t="s">
        <v>192</v>
      </c>
      <c r="O151" s="683" t="s">
        <v>193</v>
      </c>
      <c r="P151" s="679" t="s">
        <v>191</v>
      </c>
      <c r="Q151" s="680" t="s">
        <v>269</v>
      </c>
      <c r="R151" s="681" t="s">
        <v>192</v>
      </c>
      <c r="S151" s="682" t="s">
        <v>193</v>
      </c>
      <c r="T151" s="681" t="s">
        <v>191</v>
      </c>
      <c r="U151" s="680" t="s">
        <v>269</v>
      </c>
      <c r="V151" s="681" t="s">
        <v>192</v>
      </c>
      <c r="W151" s="683" t="s">
        <v>193</v>
      </c>
      <c r="X151" s="4692" t="s">
        <v>193</v>
      </c>
      <c r="Y151" s="4706"/>
      <c r="Z151" s="9"/>
      <c r="AA151" s="9"/>
      <c r="AB151" s="9"/>
      <c r="AC151" s="9"/>
      <c r="AD151" s="9"/>
      <c r="AE151" s="9"/>
      <c r="AF151" s="9"/>
      <c r="AG151" s="9"/>
      <c r="AH151" s="9"/>
      <c r="AI151" s="9"/>
      <c r="AJ151" s="9"/>
    </row>
    <row r="152" spans="1:36" x14ac:dyDescent="0.25">
      <c r="A152" s="684" t="s">
        <v>167</v>
      </c>
      <c r="B152" s="371"/>
      <c r="C152" s="304"/>
      <c r="D152" s="304"/>
      <c r="E152" s="304"/>
      <c r="F152" s="304"/>
      <c r="G152" s="372"/>
      <c r="H152" s="580"/>
      <c r="I152" s="580"/>
      <c r="J152" s="580"/>
      <c r="K152" s="582"/>
      <c r="L152" s="580"/>
      <c r="M152" s="580"/>
      <c r="N152" s="580"/>
      <c r="O152" s="580"/>
      <c r="P152" s="581"/>
      <c r="Q152" s="580"/>
      <c r="R152" s="580"/>
      <c r="S152" s="582"/>
      <c r="T152" s="580"/>
      <c r="U152" s="580"/>
      <c r="V152" s="580"/>
      <c r="W152" s="580"/>
      <c r="X152" s="581"/>
      <c r="Y152" s="583"/>
      <c r="Z152" s="9"/>
      <c r="AA152" s="9"/>
      <c r="AB152" s="9"/>
      <c r="AC152" s="9"/>
      <c r="AD152" s="9"/>
      <c r="AE152" s="9"/>
      <c r="AF152" s="9"/>
      <c r="AG152" s="9"/>
      <c r="AH152" s="9"/>
      <c r="AI152" s="9"/>
      <c r="AJ152" s="9"/>
    </row>
    <row r="153" spans="1:36" x14ac:dyDescent="0.25">
      <c r="A153" s="685" t="s">
        <v>166</v>
      </c>
      <c r="B153" s="282"/>
      <c r="C153" s="199"/>
      <c r="D153" s="199"/>
      <c r="E153" s="199"/>
      <c r="F153" s="199"/>
      <c r="G153" s="377"/>
      <c r="H153" s="401"/>
      <c r="I153" s="401"/>
      <c r="J153" s="401"/>
      <c r="K153" s="402"/>
      <c r="L153" s="401"/>
      <c r="M153" s="401"/>
      <c r="N153" s="401"/>
      <c r="O153" s="401"/>
      <c r="P153" s="400"/>
      <c r="Q153" s="401"/>
      <c r="R153" s="401"/>
      <c r="S153" s="402"/>
      <c r="T153" s="401"/>
      <c r="U153" s="401"/>
      <c r="V153" s="401"/>
      <c r="W153" s="401"/>
      <c r="X153" s="400"/>
      <c r="Y153" s="584"/>
      <c r="Z153" s="9"/>
      <c r="AA153" s="9"/>
      <c r="AB153" s="9"/>
      <c r="AC153" s="9"/>
      <c r="AD153" s="9"/>
      <c r="AE153" s="9"/>
      <c r="AF153" s="9"/>
      <c r="AG153" s="9"/>
      <c r="AH153" s="9"/>
      <c r="AI153" s="9"/>
      <c r="AJ153" s="9"/>
    </row>
    <row r="154" spans="1:36" x14ac:dyDescent="0.25">
      <c r="A154" s="237" t="s">
        <v>250</v>
      </c>
      <c r="B154" s="219" t="s">
        <v>27</v>
      </c>
      <c r="C154" s="204">
        <v>38.1</v>
      </c>
      <c r="D154" s="385">
        <v>74100</v>
      </c>
      <c r="E154" s="299" t="s">
        <v>185</v>
      </c>
      <c r="F154" s="204">
        <v>3</v>
      </c>
      <c r="G154" s="310">
        <v>0.6</v>
      </c>
      <c r="H154" s="387">
        <f>(C154*D154/1000000)*Energy!R10</f>
        <v>0</v>
      </c>
      <c r="I154" s="387">
        <f>(C154*F154/1000000)*Energy!R10</f>
        <v>0</v>
      </c>
      <c r="J154" s="387">
        <f>(C154*G154/1000000)*Energy!R10</f>
        <v>0</v>
      </c>
      <c r="K154" s="388">
        <f>(H154*1)+(I154*28)+(J154*265)</f>
        <v>0</v>
      </c>
      <c r="L154" s="720">
        <f>(C154*D154/1000000)*Energy!S10</f>
        <v>35826.534899999999</v>
      </c>
      <c r="M154" s="623">
        <f>(C154*F154/1000000)*Energy!S10</f>
        <v>1.4504670000000002</v>
      </c>
      <c r="N154" s="387">
        <f>(C154*G154/1000000)*Energy!S10</f>
        <v>0.2900934</v>
      </c>
      <c r="O154" s="387">
        <f>(L154*1)+(M154*28)+(N154*265)</f>
        <v>35944.022727000003</v>
      </c>
      <c r="P154" s="386">
        <f>(C154*D154/1000000)*Energy!T10</f>
        <v>55244.573279999997</v>
      </c>
      <c r="Q154" s="387">
        <f>(C154*F154/1000000)*Energy!T10</f>
        <v>2.2366224000000003</v>
      </c>
      <c r="R154" s="387">
        <f>(C154*G154/1000000)*Energy!T10</f>
        <v>0.44732447999999997</v>
      </c>
      <c r="S154" s="388">
        <f>(P154*1)+(Q154*28)+(R154*256)</f>
        <v>55421.713774079995</v>
      </c>
      <c r="T154" s="720">
        <f>(C154*D154/1000000)*Energy!U10</f>
        <v>54132.228539999996</v>
      </c>
      <c r="U154" s="720">
        <f>(C154*F154/1000000)*Energy!U10</f>
        <v>2.1915882000000004</v>
      </c>
      <c r="V154" s="387">
        <f>(C154*G154/1000000)*Energy!U10</f>
        <v>0.43831763999999995</v>
      </c>
      <c r="W154" s="387">
        <f>(T154*1)+(U154*28)+(V154*265)</f>
        <v>54309.747184199994</v>
      </c>
      <c r="X154" s="386">
        <f>K154+O154+S154+W154</f>
        <v>145675.48368527999</v>
      </c>
      <c r="Y154" s="586"/>
      <c r="Z154" s="9"/>
      <c r="AA154" s="9"/>
      <c r="AB154" s="9"/>
      <c r="AC154" s="9"/>
      <c r="AD154" s="9"/>
      <c r="AE154" s="9"/>
      <c r="AF154" s="9"/>
      <c r="AG154" s="9"/>
      <c r="AH154" s="9"/>
      <c r="AI154" s="9"/>
      <c r="AJ154" s="9"/>
    </row>
    <row r="155" spans="1:36" x14ac:dyDescent="0.25">
      <c r="A155" s="237" t="s">
        <v>252</v>
      </c>
      <c r="B155" s="219" t="s">
        <v>32</v>
      </c>
      <c r="C155" s="204">
        <v>46.1</v>
      </c>
      <c r="D155" s="385">
        <v>63100</v>
      </c>
      <c r="E155" s="299" t="s">
        <v>185</v>
      </c>
      <c r="F155" s="204">
        <v>1</v>
      </c>
      <c r="G155" s="310">
        <v>0.1</v>
      </c>
      <c r="H155" s="387">
        <f>(C155*D155/1000000)*Energy!R16</f>
        <v>130.90094999999999</v>
      </c>
      <c r="I155" s="387">
        <f>(C155*F155/1000000)*Energy!R16</f>
        <v>2.0745E-3</v>
      </c>
      <c r="J155" s="387">
        <f>(C155*G155/1000000)*Energy!R16</f>
        <v>2.0745E-4</v>
      </c>
      <c r="K155" s="388">
        <f>(H155*1)+(I155*28)+(J155*265)</f>
        <v>131.01401024999998</v>
      </c>
      <c r="L155" s="720">
        <f>(C155*D155/1000000)*Energy!S16</f>
        <v>349.06920000000002</v>
      </c>
      <c r="M155" s="623">
        <f>(C155*F155/1000000)*Energy!S16</f>
        <v>5.5320000000000005E-3</v>
      </c>
      <c r="N155" s="387">
        <f>(C155*G155/1000000)*Energy!S16</f>
        <v>5.532E-4</v>
      </c>
      <c r="O155" s="387">
        <f>(L155*1)+(M155*28)+(N155*256)</f>
        <v>349.36571520000001</v>
      </c>
      <c r="P155" s="386">
        <f>(C155*D155/1000000)*Energy!T16</f>
        <v>261.80189999999999</v>
      </c>
      <c r="Q155" s="387">
        <f>(C155*F155/1000000)*Energy!T16</f>
        <v>4.1489999999999999E-3</v>
      </c>
      <c r="R155" s="387">
        <f>(C155*G155/1000000)*Energy!T16</f>
        <v>4.149E-4</v>
      </c>
      <c r="S155" s="4912">
        <f>(P155*1)+(Q155*28)+(R155*256)</f>
        <v>262.02428639999999</v>
      </c>
      <c r="T155" s="720">
        <f>(C155*D155/1000000)*Energy!U16</f>
        <v>218.16825</v>
      </c>
      <c r="U155" s="720">
        <f>(C155*F155/1000000)*Energy!U16</f>
        <v>3.4575000000000001E-3</v>
      </c>
      <c r="V155" s="387">
        <f>(C155*G155/1000000)*Energy!U16</f>
        <v>3.4574999999999997E-4</v>
      </c>
      <c r="W155" s="387">
        <f>(T155*1)+(U155*28)+(V155*265)</f>
        <v>218.35668375</v>
      </c>
      <c r="X155" s="386">
        <f>K155+O155+S155+W155</f>
        <v>960.76069559999996</v>
      </c>
      <c r="Y155" s="586"/>
      <c r="Z155" s="9"/>
      <c r="AA155" s="9"/>
      <c r="AB155" s="9"/>
      <c r="AC155" s="9"/>
      <c r="AD155" s="9"/>
      <c r="AE155" s="9"/>
      <c r="AF155" s="9"/>
      <c r="AG155" s="9"/>
      <c r="AH155" s="9"/>
      <c r="AI155" s="9"/>
      <c r="AJ155" s="9"/>
    </row>
    <row r="156" spans="1:36" x14ac:dyDescent="0.25">
      <c r="A156" s="685" t="s">
        <v>168</v>
      </c>
      <c r="B156" s="282"/>
      <c r="C156" s="199"/>
      <c r="D156" s="378"/>
      <c r="E156" s="378"/>
      <c r="F156" s="199"/>
      <c r="G156" s="377"/>
      <c r="H156" s="401"/>
      <c r="I156" s="401"/>
      <c r="J156" s="401"/>
      <c r="K156" s="402"/>
      <c r="L156" s="401"/>
      <c r="M156" s="401"/>
      <c r="N156" s="401"/>
      <c r="O156" s="401"/>
      <c r="P156" s="400"/>
      <c r="Q156" s="401"/>
      <c r="R156" s="401"/>
      <c r="S156" s="402"/>
      <c r="T156" s="401"/>
      <c r="U156" s="401"/>
      <c r="V156" s="401"/>
      <c r="W156" s="401"/>
      <c r="X156" s="400"/>
      <c r="Y156" s="584"/>
      <c r="Z156" s="9"/>
      <c r="AA156" s="9"/>
      <c r="AB156" s="9"/>
      <c r="AC156" s="9"/>
      <c r="AD156" s="9"/>
      <c r="AE156" s="9"/>
      <c r="AF156" s="9"/>
      <c r="AG156" s="9"/>
      <c r="AH156" s="9"/>
      <c r="AI156" s="9"/>
      <c r="AJ156" s="9"/>
    </row>
    <row r="157" spans="1:36" ht="22.5" x14ac:dyDescent="0.25">
      <c r="A157" s="770" t="s">
        <v>1701</v>
      </c>
      <c r="B157" s="219" t="s">
        <v>27</v>
      </c>
      <c r="C157" s="204">
        <v>38.1</v>
      </c>
      <c r="D157" s="408">
        <v>74100</v>
      </c>
      <c r="E157" s="409" t="s">
        <v>185</v>
      </c>
      <c r="F157" s="206">
        <v>3.9</v>
      </c>
      <c r="G157" s="1595">
        <v>3.9</v>
      </c>
      <c r="H157" s="491">
        <f>(C157*D157/1000000)*Energy!R5</f>
        <v>4212249.0824699998</v>
      </c>
      <c r="I157" s="491">
        <f>(C157*F157/1000000)*Energy!R5</f>
        <v>221.69732013000001</v>
      </c>
      <c r="J157" s="491">
        <f>(C157*G157/1000000)*Energy!R5</f>
        <v>221.69732013000001</v>
      </c>
      <c r="K157" s="4912">
        <f>(H157*1)+(I157*28)+(J157*265)</f>
        <v>4277206.3972680895</v>
      </c>
      <c r="L157" s="590">
        <f>(C157*D157/1000000)*Energy!S5</f>
        <v>3934575.0861300002</v>
      </c>
      <c r="M157" s="688">
        <f>(C157*F157/1000000)*Energy!S5</f>
        <v>207.08289927000001</v>
      </c>
      <c r="N157" s="491">
        <f>(C157*G157/1000000)*Energy!S5</f>
        <v>207.08289927000001</v>
      </c>
      <c r="O157" s="4907">
        <f>(L157*1)+(M157*28)+(N157*265)</f>
        <v>3995250.3756161099</v>
      </c>
      <c r="P157" s="412">
        <f>(C157*D157/1000000)*Energy!T5</f>
        <v>3884640.9708599998</v>
      </c>
      <c r="Q157" s="491">
        <f>(C157*F157/1000000)*Energy!T5</f>
        <v>204.45478794000002</v>
      </c>
      <c r="R157" s="723">
        <f>(C157*G157/1000000)*Energy!T5</f>
        <v>204.45478794000002</v>
      </c>
      <c r="S157" s="4912">
        <f>(P157*1)+(Q157*28)+(R157*265)</f>
        <v>3944546.2237264197</v>
      </c>
      <c r="T157" s="691">
        <f>(C157*D157/1000000)*Energy!U5</f>
        <v>399662.07723</v>
      </c>
      <c r="U157" s="691">
        <f>(C157*F157/1000000)*Energy!U5</f>
        <v>21.034846170000002</v>
      </c>
      <c r="V157" s="691">
        <f>(C157*G157/1000000)*Energy!U5</f>
        <v>21.034846170000002</v>
      </c>
      <c r="W157" s="4916">
        <f>(T157*1)+(U157*28)+(V157*265)</f>
        <v>405825.28715781</v>
      </c>
      <c r="X157" s="386">
        <f t="shared" ref="X157:X179" si="18">K157+O157+S157+W157</f>
        <v>12622828.283768428</v>
      </c>
      <c r="Y157" s="586"/>
      <c r="Z157" s="9"/>
      <c r="AA157" s="9"/>
      <c r="AB157" s="9"/>
      <c r="AC157" s="9"/>
      <c r="AD157" s="9"/>
      <c r="AE157" s="9"/>
      <c r="AF157" s="9"/>
      <c r="AG157" s="9"/>
      <c r="AH157" s="9"/>
      <c r="AI157" s="9"/>
      <c r="AJ157" s="9"/>
    </row>
    <row r="158" spans="1:36" ht="22.5" x14ac:dyDescent="0.25">
      <c r="A158" s="535" t="s">
        <v>1702</v>
      </c>
      <c r="B158" s="219" t="s">
        <v>27</v>
      </c>
      <c r="C158" s="204">
        <v>34.200000000000003</v>
      </c>
      <c r="D158" s="408">
        <v>69300</v>
      </c>
      <c r="E158" s="409" t="s">
        <v>185</v>
      </c>
      <c r="F158" s="206">
        <v>3.8</v>
      </c>
      <c r="G158" s="1596">
        <v>5.7</v>
      </c>
      <c r="H158" s="491">
        <f>(C158*D158/1000000)*Energy!R15</f>
        <v>10177.03764</v>
      </c>
      <c r="I158" s="491">
        <f>(C158*F158/1000000)*Energy!R15</f>
        <v>0.55804824000000008</v>
      </c>
      <c r="J158" s="491">
        <f>(C158*G158/1000000)*Energy!R15</f>
        <v>0.83707236000000007</v>
      </c>
      <c r="K158" s="388">
        <f>(H158*1)+(I158*28)+(J158*265)</f>
        <v>10414.48716612</v>
      </c>
      <c r="L158" s="590">
        <f>(C158*D158/1000000)*Energy!S15</f>
        <v>9368.8471800000007</v>
      </c>
      <c r="M158" s="688">
        <f>(C158*F158/1000000)*Energy!S15</f>
        <v>0.51373188000000003</v>
      </c>
      <c r="N158" s="491">
        <f>(C158*G158/1000000)*Energy!S15</f>
        <v>0.7705978200000001</v>
      </c>
      <c r="O158" s="387">
        <f>(L158*1)+(M158*28)+(N158*265)</f>
        <v>9587.4400949400006</v>
      </c>
      <c r="P158" s="412">
        <f>(C158*D158/1000000)*Energy!T15</f>
        <v>9641.4040800000002</v>
      </c>
      <c r="Q158" s="491">
        <f>(C158*F158/1000000)*Energy!T15</f>
        <v>0.52867728000000003</v>
      </c>
      <c r="R158" s="723">
        <f>(C158*G158/1000000)*Energy!T15</f>
        <v>0.7930159200000001</v>
      </c>
      <c r="S158" s="388">
        <f>(P158*1)+(Q158*28)+(R158*265)</f>
        <v>9866.3562626399998</v>
      </c>
      <c r="T158" s="691">
        <f>(C158*D158/1000000)*Energy!U15</f>
        <v>8883.6721973999993</v>
      </c>
      <c r="U158" s="691">
        <f>(C158*F158/1000000)*Energy!U15</f>
        <v>0.48712776840000005</v>
      </c>
      <c r="V158" s="691">
        <f>(C158*G158/1000000)*Energy!U15</f>
        <v>0.73069165260000013</v>
      </c>
      <c r="W158" s="748">
        <f>(T158*1)+(U158*28)+(V158*265)</f>
        <v>9090.9450628541981</v>
      </c>
      <c r="X158" s="386">
        <f t="shared" si="18"/>
        <v>38959.2285865542</v>
      </c>
      <c r="Y158" s="586"/>
      <c r="Z158" s="9"/>
      <c r="AA158" s="9"/>
      <c r="AB158" s="9"/>
      <c r="AC158" s="9"/>
      <c r="AD158" s="9"/>
      <c r="AE158" s="9"/>
      <c r="AF158" s="9"/>
      <c r="AG158" s="9"/>
      <c r="AH158" s="9"/>
      <c r="AI158" s="9"/>
      <c r="AJ158" s="9"/>
    </row>
    <row r="159" spans="1:36" x14ac:dyDescent="0.25">
      <c r="A159" s="535" t="s">
        <v>254</v>
      </c>
      <c r="B159" s="384" t="s">
        <v>27</v>
      </c>
      <c r="C159" s="299">
        <v>37.5</v>
      </c>
      <c r="D159" s="408">
        <v>70000</v>
      </c>
      <c r="E159" s="409" t="s">
        <v>185</v>
      </c>
      <c r="F159" s="410">
        <v>0.5</v>
      </c>
      <c r="G159" s="429">
        <v>2</v>
      </c>
      <c r="H159" s="491">
        <v>0</v>
      </c>
      <c r="I159" s="491">
        <v>0</v>
      </c>
      <c r="J159" s="651">
        <v>0</v>
      </c>
      <c r="K159" s="388">
        <f>(H159*1)+(I159*28)+(J159*265)</f>
        <v>0</v>
      </c>
      <c r="L159" s="738">
        <v>0</v>
      </c>
      <c r="M159" s="739">
        <v>0</v>
      </c>
      <c r="N159" s="524">
        <v>0</v>
      </c>
      <c r="O159" s="740">
        <f>(L159*1)+(M159*28)+(N159*256)</f>
        <v>0</v>
      </c>
      <c r="P159" s="412">
        <v>0</v>
      </c>
      <c r="Q159" s="491">
        <v>0</v>
      </c>
      <c r="R159" s="491">
        <v>0</v>
      </c>
      <c r="S159" s="388">
        <f>(P159*1)+(Q159*28)+(R159*256)</f>
        <v>0</v>
      </c>
      <c r="T159" s="591">
        <v>0</v>
      </c>
      <c r="U159" s="590">
        <v>0</v>
      </c>
      <c r="V159" s="491">
        <v>0</v>
      </c>
      <c r="W159" s="387">
        <f>(T159*1)+(U159*28)+(V159*265)</f>
        <v>0</v>
      </c>
      <c r="X159" s="386">
        <f t="shared" si="18"/>
        <v>0</v>
      </c>
      <c r="Y159" s="586"/>
      <c r="Z159" s="9"/>
      <c r="AA159" s="9"/>
      <c r="AB159" s="9"/>
      <c r="AC159" s="9"/>
      <c r="AD159" s="9"/>
      <c r="AE159" s="9"/>
      <c r="AF159" s="9"/>
      <c r="AG159" s="9"/>
      <c r="AH159" s="9"/>
      <c r="AI159" s="9"/>
      <c r="AJ159" s="9"/>
    </row>
    <row r="160" spans="1:36" x14ac:dyDescent="0.25">
      <c r="A160" s="725" t="s">
        <v>255</v>
      </c>
      <c r="B160" s="282"/>
      <c r="C160" s="199"/>
      <c r="D160" s="208"/>
      <c r="E160" s="435"/>
      <c r="F160" s="209"/>
      <c r="G160" s="597"/>
      <c r="H160" s="439"/>
      <c r="I160" s="439"/>
      <c r="J160" s="439"/>
      <c r="K160" s="402"/>
      <c r="L160" s="692"/>
      <c r="M160" s="439"/>
      <c r="N160" s="439"/>
      <c r="O160" s="439"/>
      <c r="P160" s="438"/>
      <c r="Q160" s="693"/>
      <c r="R160" s="439"/>
      <c r="S160" s="440"/>
      <c r="T160" s="439"/>
      <c r="U160" s="439"/>
      <c r="V160" s="439"/>
      <c r="W160" s="439"/>
      <c r="X160" s="438"/>
      <c r="Y160" s="598"/>
      <c r="Z160" s="9"/>
      <c r="AA160" s="9"/>
      <c r="AB160" s="9"/>
      <c r="AC160" s="9"/>
      <c r="AD160" s="9"/>
      <c r="AE160" s="9"/>
      <c r="AF160" s="9"/>
      <c r="AG160" s="9"/>
      <c r="AH160" s="9"/>
      <c r="AI160" s="9"/>
      <c r="AJ160" s="9"/>
    </row>
    <row r="161" spans="1:36" s="116" customFormat="1" x14ac:dyDescent="0.25">
      <c r="A161" s="1623" t="s">
        <v>1123</v>
      </c>
      <c r="B161" s="1623" t="s">
        <v>32</v>
      </c>
      <c r="C161" s="200"/>
      <c r="D161" s="3142"/>
      <c r="E161" s="3137"/>
      <c r="F161" s="3144"/>
      <c r="G161" s="1596"/>
      <c r="H161" s="491"/>
      <c r="I161" s="491"/>
      <c r="J161" s="491"/>
      <c r="K161" s="1624">
        <f>3922*Ozone!R12</f>
        <v>0</v>
      </c>
      <c r="L161" s="3151"/>
      <c r="M161" s="491"/>
      <c r="N161" s="491"/>
      <c r="O161" s="491">
        <f>3922*Ozone!S12</f>
        <v>0</v>
      </c>
      <c r="P161" s="412"/>
      <c r="Q161" s="3152"/>
      <c r="R161" s="491"/>
      <c r="S161" s="490">
        <f>3922*Ozone!T12</f>
        <v>0</v>
      </c>
      <c r="T161" s="491"/>
      <c r="U161" s="491"/>
      <c r="V161" s="491"/>
      <c r="W161" s="491">
        <f>3922*Ozone!U12</f>
        <v>0</v>
      </c>
      <c r="X161" s="386">
        <f t="shared" si="18"/>
        <v>0</v>
      </c>
      <c r="Y161" s="753"/>
    </row>
    <row r="162" spans="1:36" x14ac:dyDescent="0.25">
      <c r="A162" s="237" t="s">
        <v>256</v>
      </c>
      <c r="B162" s="219" t="s">
        <v>32</v>
      </c>
      <c r="C162" s="204"/>
      <c r="D162" s="127"/>
      <c r="E162" s="447"/>
      <c r="F162" s="211"/>
      <c r="G162" s="599"/>
      <c r="H162" s="450"/>
      <c r="I162" s="450"/>
      <c r="J162" s="749"/>
      <c r="K162" s="750">
        <f>1300*Ozone!R9</f>
        <v>0</v>
      </c>
      <c r="L162" s="696"/>
      <c r="M162" s="604"/>
      <c r="N162" s="733"/>
      <c r="O162" s="387">
        <f>1300*Ozone!S9</f>
        <v>0</v>
      </c>
      <c r="P162" s="449"/>
      <c r="Q162" s="450"/>
      <c r="R162" s="450"/>
      <c r="S162" s="388">
        <f>1300*Ozone!T9</f>
        <v>0</v>
      </c>
      <c r="T162" s="691"/>
      <c r="U162" s="600"/>
      <c r="V162" s="450"/>
      <c r="W162" s="387">
        <f>1300*Ozone!U9</f>
        <v>0</v>
      </c>
      <c r="X162" s="386">
        <f t="shared" si="18"/>
        <v>0</v>
      </c>
      <c r="Y162" s="586"/>
      <c r="Z162" s="9"/>
      <c r="AA162" s="9"/>
      <c r="AB162" s="9"/>
      <c r="AC162" s="9"/>
      <c r="AD162" s="9"/>
      <c r="AE162" s="9"/>
      <c r="AF162" s="9"/>
      <c r="AG162" s="9"/>
      <c r="AH162" s="9"/>
      <c r="AI162" s="9"/>
      <c r="AJ162" s="9"/>
    </row>
    <row r="163" spans="1:36" x14ac:dyDescent="0.25">
      <c r="A163" s="457" t="s">
        <v>270</v>
      </c>
      <c r="B163" s="219" t="s">
        <v>32</v>
      </c>
      <c r="C163" s="204"/>
      <c r="D163" s="127"/>
      <c r="E163" s="223"/>
      <c r="F163" s="211"/>
      <c r="G163" s="599"/>
      <c r="H163" s="607"/>
      <c r="I163" s="450"/>
      <c r="J163" s="601"/>
      <c r="K163" s="750">
        <f>2088*Ozone!R10</f>
        <v>12528</v>
      </c>
      <c r="L163" s="450"/>
      <c r="M163" s="607"/>
      <c r="N163" s="733"/>
      <c r="O163" s="387">
        <f>2088*Ozone!S10</f>
        <v>0</v>
      </c>
      <c r="P163" s="449"/>
      <c r="Q163" s="450"/>
      <c r="R163" s="450"/>
      <c r="S163" s="388">
        <f>2088*Ozone!T10</f>
        <v>0</v>
      </c>
      <c r="T163" s="519"/>
      <c r="U163" s="450"/>
      <c r="V163" s="450"/>
      <c r="W163" s="387">
        <f>2088*Ozone!U10</f>
        <v>0</v>
      </c>
      <c r="X163" s="386">
        <f t="shared" si="18"/>
        <v>12528</v>
      </c>
      <c r="Y163" s="586"/>
      <c r="Z163" s="9"/>
      <c r="AA163" s="9"/>
      <c r="AB163" s="9"/>
      <c r="AC163" s="9"/>
      <c r="AD163" s="9"/>
      <c r="AE163" s="9"/>
      <c r="AF163" s="9"/>
      <c r="AG163" s="9"/>
      <c r="AH163" s="9"/>
      <c r="AI163" s="9"/>
      <c r="AJ163" s="9"/>
    </row>
    <row r="164" spans="1:36" s="9" customFormat="1" x14ac:dyDescent="0.25">
      <c r="A164" s="457" t="s">
        <v>707</v>
      </c>
      <c r="B164" s="219"/>
      <c r="C164" s="204"/>
      <c r="D164" s="127"/>
      <c r="E164" s="223"/>
      <c r="F164" s="211"/>
      <c r="G164" s="599"/>
      <c r="H164" s="450"/>
      <c r="I164" s="450"/>
      <c r="J164" s="820"/>
      <c r="K164" s="750">
        <f>3985*Ozone!R11</f>
        <v>0</v>
      </c>
      <c r="L164" s="450"/>
      <c r="M164" s="450"/>
      <c r="N164" s="591"/>
      <c r="O164" s="387">
        <f>3985*Ozone!S11</f>
        <v>0</v>
      </c>
      <c r="P164" s="449"/>
      <c r="Q164" s="450"/>
      <c r="R164" s="450"/>
      <c r="S164" s="388">
        <f>3985*Ozone!T11</f>
        <v>0</v>
      </c>
      <c r="T164" s="651"/>
      <c r="U164" s="450"/>
      <c r="V164" s="450"/>
      <c r="W164" s="387">
        <f>3985*Ozone!U11</f>
        <v>0</v>
      </c>
      <c r="X164" s="386">
        <f t="shared" si="18"/>
        <v>0</v>
      </c>
      <c r="Y164" s="586"/>
    </row>
    <row r="165" spans="1:36" s="9" customFormat="1" x14ac:dyDescent="0.25">
      <c r="A165" s="3141" t="s">
        <v>1124</v>
      </c>
      <c r="B165" s="1623" t="s">
        <v>181</v>
      </c>
      <c r="C165" s="842"/>
      <c r="D165" s="539">
        <v>0.70799999999999996</v>
      </c>
      <c r="E165" s="394" t="s">
        <v>188</v>
      </c>
      <c r="F165" s="410"/>
      <c r="G165" s="429"/>
      <c r="H165" s="450"/>
      <c r="I165" s="450"/>
      <c r="J165" s="651"/>
      <c r="K165" s="387">
        <f>D165*Effluent!R5</f>
        <v>44179.199999999997</v>
      </c>
      <c r="L165" s="450"/>
      <c r="M165" s="450"/>
      <c r="N165" s="651"/>
      <c r="O165" s="387">
        <f>D165*Effluent!S5</f>
        <v>44179.199999999997</v>
      </c>
      <c r="P165" s="450"/>
      <c r="Q165" s="450"/>
      <c r="R165" s="450"/>
      <c r="S165" s="387">
        <f>D165*Effluent!T5</f>
        <v>44179.199999999997</v>
      </c>
      <c r="T165" s="651"/>
      <c r="U165" s="450"/>
      <c r="V165" s="450"/>
      <c r="W165" s="387">
        <f>D165*Effluent!U5</f>
        <v>44179.199999999997</v>
      </c>
      <c r="X165" s="386">
        <f t="shared" si="18"/>
        <v>176716.79999999999</v>
      </c>
      <c r="Y165" s="586"/>
    </row>
    <row r="166" spans="1:36" x14ac:dyDescent="0.25">
      <c r="A166" s="611" t="s">
        <v>171</v>
      </c>
      <c r="B166" s="612"/>
      <c r="C166" s="212"/>
      <c r="D166" s="613"/>
      <c r="E166" s="614"/>
      <c r="F166" s="213"/>
      <c r="G166" s="615"/>
      <c r="H166" s="468">
        <f>H154+H155+H157+H158+H159+H161+H162+H163+H164+H165</f>
        <v>4222557.0210599992</v>
      </c>
      <c r="I166" s="468">
        <f t="shared" ref="I166:V166" si="19">I154+I155+I157+I158+I159+I161+I162+I163+I164+I165</f>
        <v>222.25744287000001</v>
      </c>
      <c r="J166" s="468">
        <f t="shared" si="19"/>
        <v>222.53459994000002</v>
      </c>
      <c r="K166" s="468">
        <f>K154+K155+K157+K158+K159+K161+K162+K163+K164+K165</f>
        <v>4344459.098444459</v>
      </c>
      <c r="L166" s="468">
        <f t="shared" si="19"/>
        <v>3980119.5374100003</v>
      </c>
      <c r="M166" s="468">
        <f t="shared" si="19"/>
        <v>209.05263015</v>
      </c>
      <c r="N166" s="468">
        <f t="shared" si="19"/>
        <v>208.14414369000002</v>
      </c>
      <c r="O166" s="468">
        <f>O154+O155+O157+O158+O159+O161+O162+O163+O164+O165</f>
        <v>4085310.4041532502</v>
      </c>
      <c r="P166" s="468">
        <f t="shared" si="19"/>
        <v>3949788.7501199995</v>
      </c>
      <c r="Q166" s="468">
        <f t="shared" si="19"/>
        <v>207.22423662000003</v>
      </c>
      <c r="R166" s="468">
        <f t="shared" si="19"/>
        <v>205.69554324000001</v>
      </c>
      <c r="S166" s="468">
        <f>S154+S155+S157+S158+S159+S161+S162+S163+S164+S165</f>
        <v>4054275.51804954</v>
      </c>
      <c r="T166" s="468">
        <f t="shared" si="19"/>
        <v>462896.14621739998</v>
      </c>
      <c r="U166" s="468">
        <f t="shared" si="19"/>
        <v>23.717019638400004</v>
      </c>
      <c r="V166" s="468">
        <f t="shared" si="19"/>
        <v>22.204201212600001</v>
      </c>
      <c r="W166" s="468">
        <f>W154+W155+W157+W158+W159+W161+W162+W163+W164+W165</f>
        <v>513623.5360886142</v>
      </c>
      <c r="X166" s="710">
        <f>K166+O166+S166+W166</f>
        <v>12997668.556735862</v>
      </c>
      <c r="Y166" s="506">
        <f>SUM(X154:X165)</f>
        <v>12997668.556735864</v>
      </c>
      <c r="Z166" s="445">
        <f>Y166</f>
        <v>12997668.556735864</v>
      </c>
      <c r="AA166" s="9"/>
      <c r="AB166" s="9"/>
      <c r="AC166" s="9"/>
      <c r="AD166" s="9"/>
      <c r="AE166" s="9"/>
      <c r="AF166" s="9"/>
      <c r="AG166" s="9"/>
      <c r="AH166" s="9"/>
      <c r="AI166" s="9"/>
      <c r="AJ166" s="9"/>
    </row>
    <row r="167" spans="1:36" x14ac:dyDescent="0.25">
      <c r="A167" s="617" t="s">
        <v>169</v>
      </c>
      <c r="B167" s="371"/>
      <c r="C167" s="304"/>
      <c r="D167" s="214"/>
      <c r="E167" s="618"/>
      <c r="F167" s="215"/>
      <c r="G167" s="619"/>
      <c r="H167" s="481"/>
      <c r="I167" s="481"/>
      <c r="J167" s="481"/>
      <c r="K167" s="621"/>
      <c r="L167" s="481"/>
      <c r="M167" s="481"/>
      <c r="N167" s="481"/>
      <c r="O167" s="481"/>
      <c r="P167" s="620"/>
      <c r="Q167" s="481"/>
      <c r="R167" s="481"/>
      <c r="S167" s="621"/>
      <c r="T167" s="481"/>
      <c r="U167" s="481"/>
      <c r="V167" s="481"/>
      <c r="W167" s="481"/>
      <c r="X167" s="620"/>
      <c r="Y167" s="730"/>
      <c r="Z167" s="9"/>
      <c r="AA167" s="9"/>
      <c r="AB167" s="9"/>
      <c r="AC167" s="9"/>
      <c r="AD167" s="9"/>
      <c r="AE167" s="9"/>
      <c r="AF167" s="9"/>
      <c r="AG167" s="9"/>
      <c r="AH167" s="9"/>
      <c r="AI167" s="9"/>
      <c r="AJ167" s="9"/>
    </row>
    <row r="168" spans="1:36" x14ac:dyDescent="0.25">
      <c r="A168" s="237" t="s">
        <v>771</v>
      </c>
      <c r="B168" s="485" t="s">
        <v>29</v>
      </c>
      <c r="C168" s="299"/>
      <c r="D168" s="823">
        <v>0.52900000000000003</v>
      </c>
      <c r="E168" s="409" t="s">
        <v>259</v>
      </c>
      <c r="F168" s="127"/>
      <c r="G168" s="622"/>
      <c r="H168" s="488"/>
      <c r="I168" s="488"/>
      <c r="J168" s="489"/>
      <c r="K168" s="490">
        <f>D168*Energy!R13</f>
        <v>7119745.4040000001</v>
      </c>
      <c r="L168" s="538"/>
      <c r="M168" s="626"/>
      <c r="N168" s="627"/>
      <c r="O168" s="414">
        <f>D168*Energy!S13</f>
        <v>7142465.4250000007</v>
      </c>
      <c r="P168" s="493"/>
      <c r="Q168" s="494"/>
      <c r="R168" s="491"/>
      <c r="S168" s="495">
        <f>D168*Energy!T13</f>
        <v>7329640.4369999999</v>
      </c>
      <c r="T168" s="519"/>
      <c r="U168" s="491"/>
      <c r="V168" s="491"/>
      <c r="W168" s="491">
        <f>D168*Energy!U13</f>
        <v>2052187.5467759841</v>
      </c>
      <c r="X168" s="386">
        <f t="shared" si="18"/>
        <v>23644038.812775984</v>
      </c>
      <c r="Y168" s="586"/>
      <c r="Z168" s="9"/>
      <c r="AA168" s="9"/>
      <c r="AB168" s="9"/>
      <c r="AC168" s="9"/>
      <c r="AD168" s="9"/>
      <c r="AE168" s="9"/>
      <c r="AF168" s="9"/>
      <c r="AG168" s="9"/>
      <c r="AH168" s="9"/>
      <c r="AI168" s="9"/>
      <c r="AJ168" s="9"/>
    </row>
    <row r="169" spans="1:36" x14ac:dyDescent="0.25">
      <c r="A169" s="611" t="s">
        <v>172</v>
      </c>
      <c r="B169" s="630"/>
      <c r="C169" s="212"/>
      <c r="D169" s="613"/>
      <c r="E169" s="631"/>
      <c r="F169" s="613"/>
      <c r="G169" s="632"/>
      <c r="H169" s="616"/>
      <c r="I169" s="711"/>
      <c r="J169" s="711"/>
      <c r="K169" s="472">
        <f>K168</f>
        <v>7119745.4040000001</v>
      </c>
      <c r="L169" s="468"/>
      <c r="M169" s="712"/>
      <c r="N169" s="712"/>
      <c r="O169" s="712">
        <f>O168</f>
        <v>7142465.4250000007</v>
      </c>
      <c r="P169" s="466"/>
      <c r="Q169" s="467"/>
      <c r="R169" s="467"/>
      <c r="S169" s="472">
        <f>S168</f>
        <v>7329640.4369999999</v>
      </c>
      <c r="T169" s="468"/>
      <c r="U169" s="467"/>
      <c r="V169" s="467"/>
      <c r="W169" s="467">
        <f>W168</f>
        <v>2052187.5467759841</v>
      </c>
      <c r="X169" s="710">
        <f t="shared" si="18"/>
        <v>23644038.812775984</v>
      </c>
      <c r="Y169" s="506">
        <f>X168</f>
        <v>23644038.812775984</v>
      </c>
      <c r="Z169" s="445">
        <f>X169</f>
        <v>23644038.812775984</v>
      </c>
      <c r="AA169" s="9"/>
      <c r="AB169" s="9"/>
      <c r="AC169" s="9"/>
      <c r="AD169" s="9"/>
      <c r="AE169" s="9"/>
      <c r="AF169" s="9"/>
      <c r="AG169" s="9"/>
      <c r="AH169" s="9"/>
      <c r="AI169" s="9"/>
      <c r="AJ169" s="9"/>
    </row>
    <row r="170" spans="1:36" x14ac:dyDescent="0.25">
      <c r="A170" s="617" t="s">
        <v>173</v>
      </c>
      <c r="B170" s="640"/>
      <c r="C170" s="304"/>
      <c r="D170" s="214" t="s">
        <v>178</v>
      </c>
      <c r="E170" s="641"/>
      <c r="F170" s="214"/>
      <c r="G170" s="642"/>
      <c r="H170" s="580"/>
      <c r="I170" s="580"/>
      <c r="J170" s="580"/>
      <c r="K170" s="621"/>
      <c r="L170" s="481"/>
      <c r="M170" s="481"/>
      <c r="N170" s="481"/>
      <c r="O170" s="481"/>
      <c r="P170" s="620"/>
      <c r="Q170" s="481"/>
      <c r="R170" s="481"/>
      <c r="S170" s="621"/>
      <c r="T170" s="481"/>
      <c r="U170" s="481"/>
      <c r="V170" s="481"/>
      <c r="W170" s="481"/>
      <c r="X170" s="620"/>
      <c r="Y170" s="730"/>
      <c r="Z170" s="9"/>
      <c r="AA170" s="9"/>
      <c r="AB170" s="9"/>
      <c r="AC170" s="9"/>
      <c r="AD170" s="9"/>
      <c r="AE170" s="9"/>
      <c r="AF170" s="9"/>
      <c r="AG170" s="9"/>
      <c r="AH170" s="9"/>
      <c r="AI170" s="9"/>
      <c r="AJ170" s="9"/>
    </row>
    <row r="171" spans="1:36" s="116" customFormat="1" x14ac:dyDescent="0.25">
      <c r="A171" s="1622" t="s">
        <v>631</v>
      </c>
      <c r="B171" s="1623" t="s">
        <v>27</v>
      </c>
      <c r="C171" s="842">
        <v>37.5</v>
      </c>
      <c r="D171" s="843">
        <v>70000</v>
      </c>
      <c r="E171" s="394" t="s">
        <v>185</v>
      </c>
      <c r="F171" s="410">
        <v>0.5</v>
      </c>
      <c r="G171" s="410">
        <v>2</v>
      </c>
      <c r="H171" s="491">
        <v>0</v>
      </c>
      <c r="I171" s="491">
        <v>0</v>
      </c>
      <c r="J171" s="491">
        <v>0</v>
      </c>
      <c r="K171" s="1624">
        <f>(H171*1)+(I171*28)+(J171*265)</f>
        <v>0</v>
      </c>
      <c r="L171" s="491">
        <v>0</v>
      </c>
      <c r="M171" s="491">
        <v>0</v>
      </c>
      <c r="N171" s="491">
        <v>0</v>
      </c>
      <c r="O171" s="3136">
        <f>(L171*1)+(M171*28)+(N171*256)</f>
        <v>0</v>
      </c>
      <c r="P171" s="412">
        <v>0</v>
      </c>
      <c r="Q171" s="491">
        <v>0</v>
      </c>
      <c r="R171" s="491">
        <v>0</v>
      </c>
      <c r="S171" s="1624">
        <f>(P171*1)+(Q171*28)+(R171*256)</f>
        <v>0</v>
      </c>
      <c r="T171" s="491">
        <v>0</v>
      </c>
      <c r="U171" s="491">
        <v>0</v>
      </c>
      <c r="V171" s="491">
        <v>0</v>
      </c>
      <c r="W171" s="846">
        <f>(T171*1)+(U171*28)+(V171*265)</f>
        <v>0</v>
      </c>
      <c r="X171" s="845">
        <f>K171+O171+S171+W171</f>
        <v>0</v>
      </c>
      <c r="Y171" s="791"/>
    </row>
    <row r="172" spans="1:36" ht="45.75" x14ac:dyDescent="0.25">
      <c r="A172" s="3132" t="s">
        <v>1121</v>
      </c>
      <c r="B172" s="847" t="s">
        <v>175</v>
      </c>
      <c r="C172" s="842"/>
      <c r="D172" s="843"/>
      <c r="E172" s="844"/>
      <c r="F172" s="1626"/>
      <c r="G172" s="1627"/>
      <c r="H172" s="491"/>
      <c r="I172" s="494"/>
      <c r="J172" s="451"/>
      <c r="K172" s="490">
        <f>'Employee commute'!U34</f>
        <v>25695.853499999997</v>
      </c>
      <c r="L172" s="491"/>
      <c r="M172" s="626"/>
      <c r="N172" s="627"/>
      <c r="O172" s="414">
        <f>'Employee commute'!V34</f>
        <v>25695.853499999997</v>
      </c>
      <c r="P172" s="412"/>
      <c r="Q172" s="491"/>
      <c r="R172" s="491"/>
      <c r="S172" s="495">
        <f>'Employee commute'!W34</f>
        <v>25695.853499999997</v>
      </c>
      <c r="T172" s="537"/>
      <c r="U172" s="538"/>
      <c r="V172" s="491"/>
      <c r="W172" s="491">
        <f>'Employee commute'!X34</f>
        <v>25695.853499999997</v>
      </c>
      <c r="X172" s="386">
        <f t="shared" si="18"/>
        <v>102783.41399999999</v>
      </c>
      <c r="Y172" s="586"/>
      <c r="Z172" s="9"/>
      <c r="AA172" s="9"/>
      <c r="AB172" s="9"/>
      <c r="AC172" s="9"/>
      <c r="AD172" s="9"/>
      <c r="AE172" s="9"/>
      <c r="AF172" s="9"/>
      <c r="AG172" s="9"/>
      <c r="AH172" s="9"/>
      <c r="AI172" s="9"/>
      <c r="AJ172" s="9"/>
    </row>
    <row r="173" spans="1:36" x14ac:dyDescent="0.25">
      <c r="A173" s="384" t="s">
        <v>1052</v>
      </c>
      <c r="B173" s="384" t="s">
        <v>175</v>
      </c>
      <c r="C173" s="299">
        <v>34.200000000000003</v>
      </c>
      <c r="D173" s="2963">
        <v>0.18084</v>
      </c>
      <c r="E173" s="409" t="s">
        <v>1053</v>
      </c>
      <c r="F173" s="421"/>
      <c r="G173" s="422"/>
      <c r="H173" s="491"/>
      <c r="I173" s="520"/>
      <c r="J173" s="517"/>
      <c r="K173" s="521">
        <f>0.18084*'Business travel'!E61</f>
        <v>927.04370879999999</v>
      </c>
      <c r="L173" s="491"/>
      <c r="M173" s="653"/>
      <c r="N173" s="530"/>
      <c r="O173" s="424">
        <f>0.18084*'Business travel'!I61</f>
        <v>831.92186880000008</v>
      </c>
      <c r="P173" s="522"/>
      <c r="Q173" s="491"/>
      <c r="R173" s="491"/>
      <c r="S173" s="523">
        <f>0.18084*'Business travel'!M61</f>
        <v>641.90243040000007</v>
      </c>
      <c r="T173" s="524"/>
      <c r="U173" s="430"/>
      <c r="V173" s="491"/>
      <c r="W173" s="491">
        <f>0.18084*'Business travel'!Q61</f>
        <v>27.625118399999998</v>
      </c>
      <c r="X173" s="386">
        <f t="shared" si="18"/>
        <v>2428.4931263999997</v>
      </c>
      <c r="Y173" s="586"/>
      <c r="Z173" s="9"/>
      <c r="AA173" s="9"/>
      <c r="AB173" s="9"/>
      <c r="AC173" s="9"/>
      <c r="AD173" s="9"/>
      <c r="AE173" s="9"/>
      <c r="AF173" s="9"/>
      <c r="AG173" s="9"/>
      <c r="AH173" s="9"/>
      <c r="AI173" s="9"/>
      <c r="AJ173" s="9"/>
    </row>
    <row r="174" spans="1:36" x14ac:dyDescent="0.25">
      <c r="A174" s="2885" t="s">
        <v>177</v>
      </c>
      <c r="B174" s="2885" t="s">
        <v>175</v>
      </c>
      <c r="C174" s="2861">
        <v>37.5</v>
      </c>
      <c r="D174" s="2862">
        <v>70000</v>
      </c>
      <c r="E174" s="2863" t="s">
        <v>185</v>
      </c>
      <c r="F174" s="2862">
        <v>0.5</v>
      </c>
      <c r="G174" s="2864">
        <v>2</v>
      </c>
      <c r="H174" s="2869"/>
      <c r="I174" s="2866"/>
      <c r="J174" s="2867"/>
      <c r="K174" s="2868">
        <v>0</v>
      </c>
      <c r="L174" s="2869"/>
      <c r="M174" s="2877"/>
      <c r="N174" s="2892"/>
      <c r="O174" s="2894">
        <v>0</v>
      </c>
      <c r="P174" s="2871"/>
      <c r="Q174" s="2869"/>
      <c r="R174" s="2869"/>
      <c r="S174" s="2872">
        <v>0</v>
      </c>
      <c r="T174" s="2890"/>
      <c r="U174" s="2890"/>
      <c r="V174" s="2869"/>
      <c r="W174" s="2869">
        <v>0</v>
      </c>
      <c r="X174" s="4679">
        <f t="shared" si="18"/>
        <v>0</v>
      </c>
      <c r="Y174" s="586"/>
      <c r="Z174" s="9"/>
      <c r="AA174" s="9"/>
      <c r="AB174" s="9"/>
      <c r="AC174" s="9"/>
      <c r="AD174" s="9"/>
      <c r="AE174" s="9"/>
      <c r="AF174" s="9"/>
      <c r="AG174" s="9"/>
      <c r="AH174" s="9"/>
      <c r="AI174" s="9"/>
      <c r="AJ174" s="9"/>
    </row>
    <row r="175" spans="1:36" s="849" customFormat="1" x14ac:dyDescent="0.25">
      <c r="A175" s="1605" t="s">
        <v>674</v>
      </c>
      <c r="B175" s="1571" t="s">
        <v>175</v>
      </c>
      <c r="C175" s="1572">
        <v>0.25492999999999999</v>
      </c>
      <c r="D175" s="1715">
        <v>0.15831999999999999</v>
      </c>
      <c r="E175" s="1573">
        <v>0.19561999999999999</v>
      </c>
      <c r="F175" s="1716">
        <v>0.18078</v>
      </c>
      <c r="G175" s="1574"/>
      <c r="H175" s="1575"/>
      <c r="I175" s="1576"/>
      <c r="J175" s="1579"/>
      <c r="K175" s="1583">
        <f>(C175*'Business travel'!R8)+(D175*'Business travel'!S8)+(E175*'Business travel'!T8)+(F175*'Business travel'!U8)</f>
        <v>36619.121039999998</v>
      </c>
      <c r="L175" s="1575"/>
      <c r="M175" s="1588"/>
      <c r="N175" s="1591"/>
      <c r="O175" s="1592">
        <f>(C175*'Business travel'!R12)+(D175*'Business travel'!S12)+(E175*'Business travel'!T12)+(F175*'Business travel'!U12)</f>
        <v>40026.530039999998</v>
      </c>
      <c r="P175" s="1589"/>
      <c r="Q175" s="1575"/>
      <c r="R175" s="1575"/>
      <c r="S175" s="1583">
        <f>(C175*'Business travel'!R16)+(D175*'Business travel'!S16)+(E175*'Business travel'!T16)+(F175*'Business travel'!U16)</f>
        <v>44705.707299999995</v>
      </c>
      <c r="T175" s="1590"/>
      <c r="U175" s="1575"/>
      <c r="V175" s="1575"/>
      <c r="W175" s="1575">
        <f>(C175*'Business travel'!R20)+(D175*'Business travel'!S20)+(E175*'Business travel'!T20)+(F175*'Business travel'!U20)</f>
        <v>1530.71459</v>
      </c>
      <c r="X175" s="4688">
        <f>K175+O175+S175+W175</f>
        <v>122882.07296999999</v>
      </c>
      <c r="Y175" s="1584"/>
    </row>
    <row r="176" spans="1:36" x14ac:dyDescent="0.25">
      <c r="A176" s="384" t="s">
        <v>176</v>
      </c>
      <c r="B176" s="219" t="s">
        <v>32</v>
      </c>
      <c r="C176" s="204"/>
      <c r="D176" s="224">
        <v>0.87009999999999998</v>
      </c>
      <c r="E176" s="421" t="s">
        <v>186</v>
      </c>
      <c r="F176" s="206"/>
      <c r="G176" s="1596"/>
      <c r="H176" s="491"/>
      <c r="I176" s="494"/>
      <c r="J176" s="529"/>
      <c r="K176" s="4914">
        <f>D176*Materials!R11</f>
        <v>1065.8724999999999</v>
      </c>
      <c r="L176" s="491"/>
      <c r="M176" s="413"/>
      <c r="N176" s="589"/>
      <c r="O176" s="4919">
        <f>D176*Materials!S11</f>
        <v>870.1</v>
      </c>
      <c r="P176" s="493"/>
      <c r="Q176" s="491"/>
      <c r="R176" s="491"/>
      <c r="S176" s="490">
        <f>D176*Materials!T11</f>
        <v>870.1</v>
      </c>
      <c r="T176" s="540"/>
      <c r="U176" s="491"/>
      <c r="V176" s="491"/>
      <c r="W176" s="491">
        <f>D176*Materials!U11</f>
        <v>0</v>
      </c>
      <c r="X176" s="386">
        <f t="shared" si="18"/>
        <v>2806.0724999999998</v>
      </c>
      <c r="Y176" s="586"/>
      <c r="Z176" s="9"/>
      <c r="AA176" s="9"/>
      <c r="AB176" s="9"/>
      <c r="AC176" s="9"/>
      <c r="AD176" s="9"/>
      <c r="AE176" s="9"/>
      <c r="AF176" s="9"/>
      <c r="AG176" s="9"/>
      <c r="AH176" s="9"/>
      <c r="AI176" s="9"/>
      <c r="AJ176" s="9"/>
    </row>
    <row r="177" spans="1:36" x14ac:dyDescent="0.25">
      <c r="A177" s="535" t="s">
        <v>180</v>
      </c>
      <c r="B177" s="219" t="s">
        <v>107</v>
      </c>
      <c r="C177" s="221"/>
      <c r="D177" s="2879">
        <v>586.51400000000001</v>
      </c>
      <c r="E177" s="421" t="s">
        <v>262</v>
      </c>
      <c r="F177" s="206"/>
      <c r="G177" s="1596"/>
      <c r="H177" s="491"/>
      <c r="I177" s="494"/>
      <c r="J177" s="529"/>
      <c r="K177" s="527">
        <f>D177*Waste!R8</f>
        <v>345588.71164999995</v>
      </c>
      <c r="L177" s="491"/>
      <c r="M177" s="660"/>
      <c r="N177" s="627"/>
      <c r="O177" s="414">
        <f>D177*Waste!S8</f>
        <v>341357.01314</v>
      </c>
      <c r="P177" s="526"/>
      <c r="Q177" s="491"/>
      <c r="R177" s="491"/>
      <c r="S177" s="490">
        <f>D177*Waste!T8</f>
        <v>327251.35143999994</v>
      </c>
      <c r="T177" s="540"/>
      <c r="U177" s="491"/>
      <c r="V177" s="491"/>
      <c r="W177" s="491">
        <f>D177*Waste!U8</f>
        <v>323022.58549999999</v>
      </c>
      <c r="X177" s="386">
        <f t="shared" si="18"/>
        <v>1337219.6617299998</v>
      </c>
      <c r="Y177" s="586"/>
      <c r="Z177" s="9"/>
      <c r="AA177" s="9"/>
      <c r="AB177" s="9"/>
      <c r="AC177" s="9"/>
      <c r="AD177" s="9"/>
      <c r="AE177" s="9"/>
      <c r="AF177" s="9"/>
      <c r="AG177" s="9"/>
      <c r="AH177" s="9"/>
      <c r="AI177" s="9"/>
      <c r="AJ177" s="9"/>
    </row>
    <row r="178" spans="1:36" x14ac:dyDescent="0.25">
      <c r="A178" s="535" t="s">
        <v>184</v>
      </c>
      <c r="B178" s="219" t="s">
        <v>107</v>
      </c>
      <c r="C178" s="204"/>
      <c r="D178" s="2879">
        <v>21.353999999999999</v>
      </c>
      <c r="E178" s="421" t="s">
        <v>262</v>
      </c>
      <c r="F178" s="206"/>
      <c r="G178" s="1596"/>
      <c r="H178" s="491"/>
      <c r="I178" s="494"/>
      <c r="J178" s="517"/>
      <c r="K178" s="521">
        <f>D178*Waste!R19</f>
        <v>2416.4186399999999</v>
      </c>
      <c r="L178" s="491"/>
      <c r="M178" s="520"/>
      <c r="N178" s="627"/>
      <c r="O178" s="414">
        <f>D178*Waste!S19</f>
        <v>0</v>
      </c>
      <c r="P178" s="493"/>
      <c r="Q178" s="491"/>
      <c r="R178" s="491"/>
      <c r="S178" s="490">
        <f>D178*Waste!T19</f>
        <v>0</v>
      </c>
      <c r="T178" s="537"/>
      <c r="U178" s="538"/>
      <c r="V178" s="491"/>
      <c r="W178" s="491">
        <f>D178*Waste!U19</f>
        <v>0</v>
      </c>
      <c r="X178" s="386">
        <f t="shared" si="18"/>
        <v>2416.4186399999999</v>
      </c>
      <c r="Y178" s="586"/>
      <c r="Z178" s="9"/>
      <c r="AA178" s="9"/>
      <c r="AB178" s="9"/>
      <c r="AC178" s="9"/>
      <c r="AD178" s="9"/>
      <c r="AE178" s="9"/>
      <c r="AF178" s="9"/>
      <c r="AG178" s="9"/>
      <c r="AH178" s="9"/>
      <c r="AI178" s="9"/>
      <c r="AJ178" s="9"/>
    </row>
    <row r="179" spans="1:36" ht="15.75" thickBot="1" x14ac:dyDescent="0.3">
      <c r="A179" s="751" t="s">
        <v>183</v>
      </c>
      <c r="B179" s="219" t="s">
        <v>181</v>
      </c>
      <c r="C179" s="204"/>
      <c r="D179" s="216">
        <v>0.34399999999999997</v>
      </c>
      <c r="E179" s="409" t="s">
        <v>278</v>
      </c>
      <c r="F179" s="206"/>
      <c r="G179" s="1596"/>
      <c r="H179" s="491"/>
      <c r="I179" s="494"/>
      <c r="J179" s="451"/>
      <c r="K179" s="527">
        <f>D179*'Water Mangt'!R6</f>
        <v>226756.54399999999</v>
      </c>
      <c r="L179" s="430"/>
      <c r="M179" s="494"/>
      <c r="N179" s="531"/>
      <c r="O179" s="431">
        <f>D179*'Water Mangt'!S6</f>
        <v>232842.93599999999</v>
      </c>
      <c r="P179" s="412"/>
      <c r="Q179" s="491"/>
      <c r="R179" s="491"/>
      <c r="S179" s="490">
        <f>D179*'Water Mangt'!T6</f>
        <v>115125.44799999999</v>
      </c>
      <c r="T179" s="519"/>
      <c r="U179" s="491"/>
      <c r="V179" s="491"/>
      <c r="W179" s="4911">
        <f>D179*'Water Mangt'!U6</f>
        <v>35094.515359999998</v>
      </c>
      <c r="X179" s="386">
        <f t="shared" si="18"/>
        <v>609819.44335999992</v>
      </c>
      <c r="Y179" s="586"/>
      <c r="Z179" s="73">
        <f>'Water Mangt'!V6*'GHG '!D179</f>
        <v>609819.44335999992</v>
      </c>
      <c r="AA179" s="9"/>
      <c r="AB179" s="9"/>
      <c r="AC179" s="9"/>
      <c r="AD179" s="9"/>
      <c r="AE179" s="9"/>
      <c r="AF179" s="9"/>
      <c r="AG179" s="9"/>
      <c r="AH179" s="9"/>
      <c r="AI179" s="9"/>
      <c r="AJ179" s="9"/>
    </row>
    <row r="180" spans="1:36" ht="15.75" thickBot="1" x14ac:dyDescent="0.3">
      <c r="A180" s="611" t="s">
        <v>190</v>
      </c>
      <c r="B180" s="752"/>
      <c r="C180" s="212"/>
      <c r="D180" s="213"/>
      <c r="E180" s="614"/>
      <c r="F180" s="213"/>
      <c r="G180" s="615"/>
      <c r="H180" s="468"/>
      <c r="I180" s="468"/>
      <c r="J180" s="468"/>
      <c r="K180" s="468">
        <f>SUM(K171:K179)</f>
        <v>639069.56503880001</v>
      </c>
      <c r="L180" s="468"/>
      <c r="M180" s="468"/>
      <c r="N180" s="468"/>
      <c r="O180" s="468">
        <f>SUM(O171:O179)</f>
        <v>641624.35454880004</v>
      </c>
      <c r="P180" s="468"/>
      <c r="Q180" s="468"/>
      <c r="R180" s="468"/>
      <c r="S180" s="468">
        <f>SUM(S171:S179)</f>
        <v>514290.36267039995</v>
      </c>
      <c r="T180" s="468"/>
      <c r="U180" s="468"/>
      <c r="V180" s="468"/>
      <c r="W180" s="468">
        <f>SUM(W171:W179)</f>
        <v>385371.29406839999</v>
      </c>
      <c r="X180" s="616">
        <f>K180+O180+S180+W180</f>
        <v>2180355.5763264</v>
      </c>
      <c r="Y180" s="506">
        <f>SUM(X171:X179)</f>
        <v>2180355.5763264</v>
      </c>
      <c r="Z180" s="445">
        <f>SUM(X172:X179)</f>
        <v>2180355.5763264</v>
      </c>
      <c r="AA180" s="9"/>
      <c r="AB180" s="9"/>
      <c r="AC180" s="9"/>
      <c r="AD180" s="9"/>
      <c r="AE180" s="9"/>
      <c r="AF180" s="9"/>
      <c r="AG180" s="9"/>
      <c r="AH180" s="9"/>
      <c r="AI180" s="9"/>
      <c r="AJ180" s="9"/>
    </row>
    <row r="181" spans="1:36" ht="15.75" thickBot="1" x14ac:dyDescent="0.3">
      <c r="A181" s="556" t="s">
        <v>702</v>
      </c>
      <c r="B181" s="556"/>
      <c r="C181" s="565"/>
      <c r="D181" s="565"/>
      <c r="E181" s="566"/>
      <c r="F181" s="566"/>
      <c r="G181" s="1597"/>
      <c r="H181" s="560"/>
      <c r="I181" s="560"/>
      <c r="J181" s="560"/>
      <c r="K181" s="561">
        <f>(K166+K169+K180)/1000</f>
        <v>12103.274067483258</v>
      </c>
      <c r="L181" s="559"/>
      <c r="M181" s="560"/>
      <c r="N181" s="560"/>
      <c r="O181" s="561">
        <f>(O166+O169+O180)/1000</f>
        <v>11869.400183702051</v>
      </c>
      <c r="P181" s="559"/>
      <c r="Q181" s="560"/>
      <c r="R181" s="560"/>
      <c r="S181" s="561">
        <f>(S166+S169+S180)/1000</f>
        <v>11898.20631771994</v>
      </c>
      <c r="T181" s="560"/>
      <c r="U181" s="560"/>
      <c r="V181" s="560"/>
      <c r="W181" s="560">
        <f>(W166+W169+W180)/1000</f>
        <v>2951.1823769329981</v>
      </c>
      <c r="X181" s="559">
        <f>K181+O181+S181+W181</f>
        <v>38822.062945838246</v>
      </c>
      <c r="Y181" s="4711">
        <f>(X166+X169+X180)/1000</f>
        <v>38822.062945838246</v>
      </c>
      <c r="Z181" s="9">
        <f>(Z166+Z169+Z180)/1000</f>
        <v>38822.062945838254</v>
      </c>
      <c r="AA181" s="9"/>
      <c r="AB181" s="9"/>
      <c r="AC181" s="9"/>
      <c r="AD181" s="9"/>
      <c r="AE181" s="9"/>
      <c r="AF181" s="9"/>
      <c r="AG181" s="9"/>
      <c r="AH181" s="9"/>
      <c r="AI181" s="9"/>
      <c r="AJ181" s="9"/>
    </row>
    <row r="182" spans="1:36" ht="15.75" thickBot="1" x14ac:dyDescent="0.3">
      <c r="A182" s="556" t="s">
        <v>273</v>
      </c>
      <c r="B182" s="556"/>
      <c r="C182" s="565"/>
      <c r="D182" s="565"/>
      <c r="E182" s="566"/>
      <c r="F182" s="566"/>
      <c r="G182" s="1597"/>
      <c r="H182" s="560"/>
      <c r="I182" s="560"/>
      <c r="J182" s="560"/>
      <c r="K182" s="3096">
        <f>K181/Production!R7</f>
        <v>8.5335073891698605E-3</v>
      </c>
      <c r="L182" s="3097"/>
      <c r="M182" s="3098"/>
      <c r="N182" s="3098"/>
      <c r="O182" s="3096">
        <f>O181/Production!S7</f>
        <v>8.269745404173438E-3</v>
      </c>
      <c r="P182" s="3097"/>
      <c r="Q182" s="3098"/>
      <c r="R182" s="3098"/>
      <c r="S182" s="3096">
        <f>S181/Production!T7</f>
        <v>9.0122155272220842E-3</v>
      </c>
      <c r="T182" s="3098"/>
      <c r="U182" s="3098"/>
      <c r="V182" s="3098"/>
      <c r="W182" s="3098">
        <f>W181/Production!U7</f>
        <v>2.7032906264843806E-2</v>
      </c>
      <c r="X182" s="3097">
        <f>X181/Production!V7</f>
        <v>9.0642125045253263E-3</v>
      </c>
      <c r="Y182" s="4685"/>
      <c r="Z182" s="9"/>
      <c r="AA182" s="9"/>
      <c r="AB182" s="9"/>
      <c r="AC182" s="9"/>
      <c r="AD182" s="9"/>
      <c r="AE182" s="9"/>
      <c r="AF182" s="9"/>
      <c r="AG182" s="9"/>
      <c r="AH182" s="9"/>
      <c r="AI182" s="9"/>
      <c r="AJ182" s="9"/>
    </row>
    <row r="183" spans="1:36" ht="15.75" thickBot="1" x14ac:dyDescent="0.3">
      <c r="A183" s="556" t="s">
        <v>265</v>
      </c>
      <c r="B183" s="556"/>
      <c r="C183" s="565"/>
      <c r="D183" s="565"/>
      <c r="E183" s="566"/>
      <c r="F183" s="566"/>
      <c r="G183" s="1597"/>
      <c r="H183" s="560"/>
      <c r="I183" s="560"/>
      <c r="J183" s="560"/>
      <c r="K183" s="3096">
        <f>K181/Production!R10</f>
        <v>0.10347084166133715</v>
      </c>
      <c r="L183" s="3097"/>
      <c r="M183" s="3098"/>
      <c r="N183" s="3098"/>
      <c r="O183" s="3096">
        <f>O181/Production!S10</f>
        <v>0.11263534654629528</v>
      </c>
      <c r="P183" s="3097"/>
      <c r="Q183" s="3098"/>
      <c r="R183" s="3098"/>
      <c r="S183" s="3096">
        <f>S181/Production!T10</f>
        <v>0.16990156101270798</v>
      </c>
      <c r="T183" s="3098"/>
      <c r="U183" s="3098"/>
      <c r="V183" s="3098"/>
      <c r="W183" s="3098">
        <f>W181/Production!U10</f>
        <v>0.52143795199975229</v>
      </c>
      <c r="X183" s="3097">
        <f>X181/Production!V10</f>
        <v>0.13021857225317227</v>
      </c>
      <c r="Y183" s="4685"/>
      <c r="Z183" s="9"/>
      <c r="AA183" s="9"/>
      <c r="AB183" s="9"/>
      <c r="AC183" s="9"/>
      <c r="AD183" s="9"/>
      <c r="AE183" s="9"/>
      <c r="AF183" s="9"/>
      <c r="AG183" s="9"/>
      <c r="AH183" s="9"/>
      <c r="AI183" s="9"/>
      <c r="AJ183" s="9"/>
    </row>
    <row r="184" spans="1:36" s="9" customFormat="1" ht="15.75" thickBot="1" x14ac:dyDescent="0.3">
      <c r="A184" s="1598" t="s">
        <v>1043</v>
      </c>
      <c r="B184" s="1599"/>
      <c r="C184" s="1600"/>
      <c r="D184" s="1586"/>
      <c r="E184" s="1601"/>
      <c r="F184" s="1586"/>
      <c r="G184" s="1587"/>
      <c r="H184" s="1602"/>
      <c r="I184" s="1602"/>
      <c r="J184" s="1602"/>
      <c r="K184" s="471">
        <f>1810*Ozone!R14</f>
        <v>10860</v>
      </c>
      <c r="L184" s="1602"/>
      <c r="M184" s="1602"/>
      <c r="N184" s="1602"/>
      <c r="O184" s="2896">
        <f>1810*Ozone!S14</f>
        <v>13575</v>
      </c>
      <c r="P184" s="1604"/>
      <c r="Q184" s="1602"/>
      <c r="R184" s="1602"/>
      <c r="S184" s="471">
        <f>1810*Ozone!T14</f>
        <v>7783</v>
      </c>
      <c r="T184" s="1602"/>
      <c r="U184" s="1602"/>
      <c r="V184" s="1602"/>
      <c r="W184" s="468">
        <f>1810*Ozone!U14</f>
        <v>543</v>
      </c>
      <c r="X184" s="4698">
        <f>K184+O184+S184+W184</f>
        <v>32761</v>
      </c>
      <c r="Y184" s="4685">
        <f>1810*Ozone!V14</f>
        <v>32761.000000000004</v>
      </c>
    </row>
    <row r="185" spans="1:36" ht="19.5" thickBot="1" x14ac:dyDescent="0.3">
      <c r="A185" s="567" t="s">
        <v>279</v>
      </c>
      <c r="B185" s="351"/>
      <c r="C185" s="351"/>
      <c r="D185" s="351"/>
      <c r="E185" s="351"/>
      <c r="F185" s="351"/>
      <c r="G185" s="351"/>
      <c r="H185" s="5097" t="s">
        <v>692</v>
      </c>
      <c r="I185" s="5097"/>
      <c r="J185" s="5097"/>
      <c r="K185" s="5097"/>
      <c r="L185" s="5097"/>
      <c r="M185" s="5097"/>
      <c r="N185" s="5097"/>
      <c r="O185" s="5097"/>
      <c r="P185" s="5097"/>
      <c r="Q185" s="5097"/>
      <c r="R185" s="5097"/>
      <c r="S185" s="5097"/>
      <c r="T185" s="5097"/>
      <c r="U185" s="5097"/>
      <c r="V185" s="5097"/>
      <c r="W185" s="5097"/>
      <c r="X185" s="5097"/>
      <c r="Y185" s="4704"/>
      <c r="Z185" s="9"/>
      <c r="AA185" s="9"/>
      <c r="AB185" s="9"/>
      <c r="AC185" s="9"/>
      <c r="AD185" s="9"/>
      <c r="AE185" s="9"/>
      <c r="AF185" s="9"/>
      <c r="AG185" s="9"/>
      <c r="AH185" s="9"/>
      <c r="AI185" s="9"/>
      <c r="AJ185" s="9"/>
    </row>
    <row r="186" spans="1:36" ht="15.75" thickBot="1" x14ac:dyDescent="0.3">
      <c r="A186" s="5136" t="s">
        <v>189</v>
      </c>
      <c r="B186" s="5116"/>
      <c r="C186" s="5116"/>
      <c r="D186" s="5116"/>
      <c r="E186" s="5116"/>
      <c r="F186" s="5116"/>
      <c r="G186" s="5116"/>
      <c r="H186" s="5127" t="s">
        <v>3</v>
      </c>
      <c r="I186" s="5128"/>
      <c r="J186" s="5128"/>
      <c r="K186" s="5129"/>
      <c r="L186" s="5128" t="s">
        <v>4</v>
      </c>
      <c r="M186" s="5128"/>
      <c r="N186" s="5128"/>
      <c r="O186" s="5128"/>
      <c r="P186" s="5127" t="s">
        <v>5</v>
      </c>
      <c r="Q186" s="5128"/>
      <c r="R186" s="5128"/>
      <c r="S186" s="5129"/>
      <c r="T186" s="5127" t="s">
        <v>6</v>
      </c>
      <c r="U186" s="5128"/>
      <c r="V186" s="5128"/>
      <c r="W186" s="5129"/>
      <c r="X186" s="4659" t="s">
        <v>194</v>
      </c>
      <c r="Y186" s="4705"/>
      <c r="Z186" s="9"/>
      <c r="AA186" s="9"/>
      <c r="AB186" s="9"/>
      <c r="AC186" s="9"/>
      <c r="AD186" s="9"/>
      <c r="AE186" s="9"/>
      <c r="AF186" s="9"/>
      <c r="AG186" s="9"/>
      <c r="AH186" s="9"/>
      <c r="AI186" s="9"/>
      <c r="AJ186" s="9"/>
    </row>
    <row r="187" spans="1:36" ht="24" x14ac:dyDescent="0.25">
      <c r="A187" s="772" t="s">
        <v>170</v>
      </c>
      <c r="B187" s="773" t="s">
        <v>280</v>
      </c>
      <c r="C187" s="773" t="s">
        <v>151</v>
      </c>
      <c r="D187" s="773" t="s">
        <v>281</v>
      </c>
      <c r="E187" s="773" t="s">
        <v>179</v>
      </c>
      <c r="F187" s="773" t="s">
        <v>267</v>
      </c>
      <c r="G187" s="773" t="s">
        <v>282</v>
      </c>
      <c r="H187" s="774" t="s">
        <v>191</v>
      </c>
      <c r="I187" s="775" t="s">
        <v>269</v>
      </c>
      <c r="J187" s="776" t="s">
        <v>192</v>
      </c>
      <c r="K187" s="777" t="s">
        <v>193</v>
      </c>
      <c r="L187" s="776" t="s">
        <v>191</v>
      </c>
      <c r="M187" s="775" t="s">
        <v>269</v>
      </c>
      <c r="N187" s="776" t="s">
        <v>192</v>
      </c>
      <c r="O187" s="778" t="s">
        <v>193</v>
      </c>
      <c r="P187" s="774" t="s">
        <v>191</v>
      </c>
      <c r="Q187" s="775" t="s">
        <v>269</v>
      </c>
      <c r="R187" s="776" t="s">
        <v>192</v>
      </c>
      <c r="S187" s="777" t="s">
        <v>193</v>
      </c>
      <c r="T187" s="774" t="s">
        <v>191</v>
      </c>
      <c r="U187" s="775" t="s">
        <v>269</v>
      </c>
      <c r="V187" s="776" t="s">
        <v>192</v>
      </c>
      <c r="W187" s="777" t="s">
        <v>193</v>
      </c>
      <c r="X187" s="4699" t="s">
        <v>193</v>
      </c>
      <c r="Y187" s="4712"/>
      <c r="Z187" s="9"/>
      <c r="AA187" s="9"/>
      <c r="AB187" s="9"/>
      <c r="AC187" s="9"/>
      <c r="AD187" s="9"/>
      <c r="AE187" s="9"/>
      <c r="AF187" s="9"/>
      <c r="AG187" s="9"/>
      <c r="AH187" s="9"/>
      <c r="AI187" s="9"/>
      <c r="AJ187" s="9"/>
    </row>
    <row r="188" spans="1:36" x14ac:dyDescent="0.25">
      <c r="A188" s="684" t="s">
        <v>167</v>
      </c>
      <c r="B188" s="304"/>
      <c r="C188" s="304"/>
      <c r="D188" s="304"/>
      <c r="E188" s="304"/>
      <c r="F188" s="304"/>
      <c r="G188" s="304"/>
      <c r="H188" s="581"/>
      <c r="I188" s="580"/>
      <c r="J188" s="580"/>
      <c r="K188" s="582"/>
      <c r="L188" s="580"/>
      <c r="M188" s="580"/>
      <c r="N188" s="580"/>
      <c r="O188" s="580"/>
      <c r="P188" s="581"/>
      <c r="Q188" s="580"/>
      <c r="R188" s="580"/>
      <c r="S188" s="582"/>
      <c r="T188" s="581"/>
      <c r="U188" s="580"/>
      <c r="V188" s="580"/>
      <c r="W188" s="582"/>
      <c r="X188" s="581"/>
      <c r="Y188" s="583"/>
      <c r="Z188" s="9"/>
      <c r="AA188" s="9"/>
      <c r="AB188" s="9"/>
      <c r="AC188" s="9"/>
      <c r="AD188" s="9"/>
      <c r="AE188" s="9"/>
      <c r="AF188" s="9"/>
      <c r="AG188" s="9"/>
      <c r="AH188" s="9"/>
      <c r="AI188" s="9"/>
      <c r="AJ188" s="9"/>
    </row>
    <row r="189" spans="1:36" x14ac:dyDescent="0.25">
      <c r="A189" s="685" t="s">
        <v>166</v>
      </c>
      <c r="B189" s="199"/>
      <c r="C189" s="199"/>
      <c r="D189" s="199"/>
      <c r="E189" s="199"/>
      <c r="F189" s="199"/>
      <c r="G189" s="199"/>
      <c r="H189" s="400"/>
      <c r="I189" s="401"/>
      <c r="J189" s="401"/>
      <c r="K189" s="402"/>
      <c r="L189" s="401"/>
      <c r="M189" s="401"/>
      <c r="N189" s="401"/>
      <c r="O189" s="401"/>
      <c r="P189" s="400"/>
      <c r="Q189" s="401"/>
      <c r="R189" s="401"/>
      <c r="S189" s="402"/>
      <c r="T189" s="400"/>
      <c r="U189" s="401"/>
      <c r="V189" s="401"/>
      <c r="W189" s="402"/>
      <c r="X189" s="400"/>
      <c r="Y189" s="584"/>
      <c r="Z189" s="9"/>
      <c r="AA189" s="9"/>
      <c r="AB189" s="9"/>
      <c r="AC189" s="9"/>
      <c r="AD189" s="9"/>
      <c r="AE189" s="9"/>
      <c r="AF189" s="9"/>
      <c r="AG189" s="9"/>
      <c r="AH189" s="9"/>
      <c r="AI189" s="9"/>
      <c r="AJ189" s="9"/>
    </row>
    <row r="190" spans="1:36" x14ac:dyDescent="0.25">
      <c r="A190" s="2907" t="s">
        <v>250</v>
      </c>
      <c r="B190" s="2908" t="s">
        <v>27</v>
      </c>
      <c r="C190" s="2906">
        <v>38.1</v>
      </c>
      <c r="D190" s="2915">
        <v>74100</v>
      </c>
      <c r="E190" s="2906" t="s">
        <v>185</v>
      </c>
      <c r="F190" s="2906">
        <v>3</v>
      </c>
      <c r="G190" s="2906">
        <v>0.6</v>
      </c>
      <c r="H190" s="2902"/>
      <c r="I190" s="2903"/>
      <c r="J190" s="2904"/>
      <c r="K190" s="2905">
        <v>0</v>
      </c>
      <c r="L190" s="2903"/>
      <c r="M190" s="2904"/>
      <c r="N190" s="2903"/>
      <c r="O190" s="2903">
        <v>0</v>
      </c>
      <c r="P190" s="2902"/>
      <c r="Q190" s="2903"/>
      <c r="R190" s="2903"/>
      <c r="S190" s="2905">
        <v>0</v>
      </c>
      <c r="T190" s="2902"/>
      <c r="U190" s="2903"/>
      <c r="V190" s="2903"/>
      <c r="W190" s="2905">
        <v>0</v>
      </c>
      <c r="X190" s="2902">
        <v>0</v>
      </c>
      <c r="Y190" s="586"/>
      <c r="Z190" s="9"/>
      <c r="AA190" s="9"/>
      <c r="AB190" s="9"/>
      <c r="AC190" s="9"/>
      <c r="AD190" s="9"/>
      <c r="AE190" s="9"/>
      <c r="AF190" s="9"/>
      <c r="AG190" s="9"/>
      <c r="AH190" s="9"/>
      <c r="AI190" s="9"/>
      <c r="AJ190" s="9"/>
    </row>
    <row r="191" spans="1:36" x14ac:dyDescent="0.25">
      <c r="A191" s="2907" t="s">
        <v>252</v>
      </c>
      <c r="B191" s="2908" t="s">
        <v>32</v>
      </c>
      <c r="C191" s="2906">
        <v>46.1</v>
      </c>
      <c r="D191" s="2915">
        <v>63100</v>
      </c>
      <c r="E191" s="2906" t="s">
        <v>185</v>
      </c>
      <c r="F191" s="2906">
        <v>1</v>
      </c>
      <c r="G191" s="2906">
        <v>0.1</v>
      </c>
      <c r="H191" s="2902"/>
      <c r="I191" s="2903"/>
      <c r="J191" s="2904"/>
      <c r="K191" s="2905">
        <v>0</v>
      </c>
      <c r="L191" s="2903"/>
      <c r="M191" s="2904"/>
      <c r="N191" s="2903"/>
      <c r="O191" s="2903">
        <v>0</v>
      </c>
      <c r="P191" s="2902"/>
      <c r="Q191" s="2903"/>
      <c r="R191" s="2903"/>
      <c r="S191" s="2905">
        <v>0</v>
      </c>
      <c r="T191" s="2902"/>
      <c r="U191" s="2903"/>
      <c r="V191" s="2903"/>
      <c r="W191" s="2905">
        <v>0</v>
      </c>
      <c r="X191" s="2902">
        <v>0</v>
      </c>
      <c r="Y191" s="586"/>
      <c r="Z191" s="9"/>
      <c r="AA191" s="9"/>
      <c r="AB191" s="9"/>
      <c r="AC191" s="9"/>
      <c r="AD191" s="9"/>
      <c r="AE191" s="9"/>
      <c r="AF191" s="9"/>
      <c r="AG191" s="9"/>
      <c r="AH191" s="9"/>
      <c r="AI191" s="9"/>
      <c r="AJ191" s="9"/>
    </row>
    <row r="192" spans="1:36" x14ac:dyDescent="0.25">
      <c r="A192" s="685" t="s">
        <v>168</v>
      </c>
      <c r="B192" s="199"/>
      <c r="C192" s="199"/>
      <c r="D192" s="378"/>
      <c r="E192" s="199"/>
      <c r="F192" s="199"/>
      <c r="G192" s="199"/>
      <c r="H192" s="400"/>
      <c r="I192" s="401"/>
      <c r="J192" s="401"/>
      <c r="K192" s="402"/>
      <c r="L192" s="401"/>
      <c r="M192" s="401"/>
      <c r="N192" s="401"/>
      <c r="O192" s="401"/>
      <c r="P192" s="400"/>
      <c r="Q192" s="401"/>
      <c r="R192" s="401"/>
      <c r="S192" s="402"/>
      <c r="T192" s="400"/>
      <c r="U192" s="401"/>
      <c r="V192" s="401"/>
      <c r="W192" s="402"/>
      <c r="X192" s="400"/>
      <c r="Y192" s="584"/>
      <c r="Z192" s="9"/>
      <c r="AA192" s="9"/>
      <c r="AB192" s="9"/>
      <c r="AC192" s="9"/>
      <c r="AD192" s="9"/>
      <c r="AE192" s="9"/>
      <c r="AF192" s="9"/>
      <c r="AG192" s="9"/>
      <c r="AH192" s="9"/>
      <c r="AI192" s="9"/>
      <c r="AJ192" s="9"/>
    </row>
    <row r="193" spans="1:36" ht="22.5" x14ac:dyDescent="0.25">
      <c r="A193" s="770" t="s">
        <v>1701</v>
      </c>
      <c r="B193" s="219" t="s">
        <v>27</v>
      </c>
      <c r="C193" s="204">
        <v>38.1</v>
      </c>
      <c r="D193" s="408">
        <v>74100</v>
      </c>
      <c r="E193" s="217" t="s">
        <v>185</v>
      </c>
      <c r="F193" s="206">
        <v>3.9</v>
      </c>
      <c r="G193" s="207">
        <v>3.9</v>
      </c>
      <c r="H193" s="412">
        <f>(C193*D193/1000000)*Energy!AG5</f>
        <v>53841.251421930618</v>
      </c>
      <c r="I193" s="520">
        <f>(C193*F193/1000000)*Energy!AG5</f>
        <v>2.8337500748384539</v>
      </c>
      <c r="J193" s="537">
        <f>(C193*G193/1000000)*Energy!AG5</f>
        <v>2.8337500748384539</v>
      </c>
      <c r="K193" s="490">
        <f>(H193*1)+(I193*28)+(J193*265)</f>
        <v>54671.540193858287</v>
      </c>
      <c r="L193" s="491">
        <f>(C193*D193/1000000)*Energy!AH5</f>
        <v>53844.958985631449</v>
      </c>
      <c r="M193" s="626">
        <f>(C193*F193/1000000)*Energy!AH5</f>
        <v>2.8339452097700764</v>
      </c>
      <c r="N193" s="537">
        <f>(C193*G193/1000000)*Energy!AH5</f>
        <v>2.8339452097700764</v>
      </c>
      <c r="O193" s="627">
        <f>(L193*1)+(M193*28)+(N193*265)</f>
        <v>54675.304932094077</v>
      </c>
      <c r="P193" s="412">
        <f>(C193*D193/1000000)*Energy!AI5</f>
        <v>47091.186583212184</v>
      </c>
      <c r="Q193" s="494">
        <f>(C193*F193/1000000)*Energy!AI5</f>
        <v>2.478483504379589</v>
      </c>
      <c r="R193" s="491">
        <f>(C193*G193/1000000)*Energy!AI5</f>
        <v>2.478483504379589</v>
      </c>
      <c r="S193" s="490">
        <f>(P193*1)+(Q193*28)+(R193*265)</f>
        <v>47817.382249995404</v>
      </c>
      <c r="T193" s="610">
        <f>(C193*D193/1000000)*Energy!AJ5</f>
        <v>23162.500524040213</v>
      </c>
      <c r="U193" s="387">
        <f>(C193*F193/1000000)*Energy!AJ5</f>
        <v>1.219078974949485</v>
      </c>
      <c r="V193" s="387">
        <f>(C193*G193/1000000)*Energy!AJ5</f>
        <v>1.219078974949485</v>
      </c>
      <c r="W193" s="388">
        <f>(T193*1)+(U193*28)+(V193*265)</f>
        <v>23519.69066370041</v>
      </c>
      <c r="X193" s="386">
        <f>K193+O193+S193+W193</f>
        <v>180683.91803964815</v>
      </c>
      <c r="Y193" s="586"/>
      <c r="Z193" s="9"/>
      <c r="AA193" s="9"/>
      <c r="AB193" s="9"/>
      <c r="AC193" s="9"/>
      <c r="AD193" s="9"/>
      <c r="AE193" s="9"/>
      <c r="AF193" s="9"/>
      <c r="AG193" s="9"/>
      <c r="AH193" s="9"/>
      <c r="AI193" s="9"/>
      <c r="AJ193" s="9"/>
    </row>
    <row r="194" spans="1:36" s="116" customFormat="1" ht="23.25" x14ac:dyDescent="0.25">
      <c r="A194" s="3242" t="s">
        <v>1702</v>
      </c>
      <c r="B194" s="1188" t="s">
        <v>27</v>
      </c>
      <c r="C194" s="200">
        <v>34.200000000000003</v>
      </c>
      <c r="D194" s="843">
        <v>69300</v>
      </c>
      <c r="E194" s="201" t="s">
        <v>185</v>
      </c>
      <c r="F194" s="206">
        <v>3.8</v>
      </c>
      <c r="G194" s="206">
        <v>5.7</v>
      </c>
      <c r="H194" s="526">
        <f>(C194*D194/1000000)*Energy!AG15</f>
        <v>7683.3640719062414</v>
      </c>
      <c r="I194" s="3243">
        <f>(C194*F194/1000000)*Energy!AG15</f>
        <v>0.42131000682891373</v>
      </c>
      <c r="J194" s="657">
        <f>(C194*G194/1000000)*Energy!AG15</f>
        <v>0.6319650102433706</v>
      </c>
      <c r="K194" s="490">
        <f>(H194*1)+(I194*28)+(J194*265)</f>
        <v>7862.6314798119447</v>
      </c>
      <c r="L194" s="491">
        <f>(C194*D194/1000000)*Energy!AH15</f>
        <v>6213.7392274625417</v>
      </c>
      <c r="M194" s="3244">
        <f>(C194*F194/1000000)*Energy!AH15</f>
        <v>0.34072451752319854</v>
      </c>
      <c r="N194" s="494">
        <f>(C194*G194/1000000)*Energy!AH15</f>
        <v>0.51108677628479793</v>
      </c>
      <c r="O194" s="491">
        <f>(L194*1)+(M194*28)+(N194*265)</f>
        <v>6358.7175096686624</v>
      </c>
      <c r="P194" s="412">
        <f>(C194*D194/1000000)*Energy!AI15</f>
        <v>5044.4066558517698</v>
      </c>
      <c r="Q194" s="494">
        <f>(C194*F194/1000000)*Energy!AI15</f>
        <v>0.27660527117224715</v>
      </c>
      <c r="R194" s="491">
        <f>(C194*G194/1000000)*Energy!AI15</f>
        <v>0.41490790675837075</v>
      </c>
      <c r="S194" s="490">
        <f>(P194*1)+(Q194*28)+(R194*265)</f>
        <v>5162.1021987355616</v>
      </c>
      <c r="T194" s="526">
        <f>(C194*D194/1000000)*Energy!AJ15</f>
        <v>4879.4282441658625</v>
      </c>
      <c r="U194" s="846">
        <f>(C194*F194/1000000)*Energy!AJ15</f>
        <v>0.26755883589942681</v>
      </c>
      <c r="V194" s="846">
        <f>(C194*G194/1000000)*Energy!AJ15</f>
        <v>0.40133825384914024</v>
      </c>
      <c r="W194" s="1624">
        <f>(T194*1)+(U194*28)+(V194*265)</f>
        <v>4993.2745288410688</v>
      </c>
      <c r="X194" s="845">
        <f>K194+O194+S194+W194</f>
        <v>24376.725717057237</v>
      </c>
      <c r="Y194" s="791"/>
    </row>
    <row r="195" spans="1:36" x14ac:dyDescent="0.25">
      <c r="A195" s="237" t="s">
        <v>254</v>
      </c>
      <c r="B195" s="384" t="s">
        <v>27</v>
      </c>
      <c r="C195" s="299">
        <v>37.5</v>
      </c>
      <c r="D195" s="408">
        <v>70000</v>
      </c>
      <c r="E195" s="409" t="s">
        <v>185</v>
      </c>
      <c r="F195" s="410">
        <v>0.5</v>
      </c>
      <c r="G195" s="410">
        <v>2</v>
      </c>
      <c r="H195" s="526">
        <f>(C195*D195/1000000)*'company plane'!F5</f>
        <v>26122.6875</v>
      </c>
      <c r="I195" s="494">
        <f>(C195*F195/1000000)*'company plane'!F5</f>
        <v>0.18659062499999998</v>
      </c>
      <c r="J195" s="519">
        <f>(C195*G195/1000000)*'company plane'!F5</f>
        <v>0.74636249999999993</v>
      </c>
      <c r="K195" s="490">
        <f>(H195*1)+(I195*28)+(J195*265)</f>
        <v>26325.698099999998</v>
      </c>
      <c r="L195" s="423">
        <f>(C195*D195/1000000)*'company plane'!J5</f>
        <v>27700.3125</v>
      </c>
      <c r="M195" s="653">
        <f>(C195*F195/1000000)*'company plane'!J5</f>
        <v>0.19785937499999998</v>
      </c>
      <c r="N195" s="524">
        <f>(C195*G195/1000000)*'company plane'!J5</f>
        <v>0.7914374999999999</v>
      </c>
      <c r="O195" s="531">
        <f>(L195*1)+(M195*28)+(N195*265)</f>
        <v>27915.583500000001</v>
      </c>
      <c r="P195" s="412">
        <f>(C195*D195/1000000)*'company plane'!N5</f>
        <v>26603.71875</v>
      </c>
      <c r="Q195" s="494">
        <f>(C195*F195/1000000)*'company plane'!N5</f>
        <v>0.1900265625</v>
      </c>
      <c r="R195" s="491">
        <f>(C195*G195/1000000)*'company plane'!N5</f>
        <v>0.76010624999999998</v>
      </c>
      <c r="S195" s="490">
        <f>(P195*1)+(Q195*28)+(R195*265)</f>
        <v>26810.467649999999</v>
      </c>
      <c r="T195" s="610">
        <f>(C195*D195/1000000)*'company plane'!R5</f>
        <v>5280.1875</v>
      </c>
      <c r="U195" s="491">
        <f>(C195*F195/1000000)*'company plane'!R5</f>
        <v>3.7715624999999996E-2</v>
      </c>
      <c r="V195" s="491">
        <f>(C195*G195/1000000)*'company plane'!R5</f>
        <v>0.15086249999999998</v>
      </c>
      <c r="W195" s="490">
        <f>(T195*1)+(U195*28)+(V195*265)</f>
        <v>5321.2221</v>
      </c>
      <c r="X195" s="412">
        <f>K195+O195+S195+W195</f>
        <v>86372.971349999993</v>
      </c>
      <c r="Y195" s="753"/>
      <c r="Z195" s="9"/>
      <c r="AA195" s="9"/>
      <c r="AB195" s="9"/>
      <c r="AC195" s="9"/>
      <c r="AD195" s="9"/>
      <c r="AE195" s="9"/>
      <c r="AF195" s="9"/>
      <c r="AG195" s="9"/>
      <c r="AH195" s="9"/>
      <c r="AI195" s="9"/>
      <c r="AJ195" s="9"/>
    </row>
    <row r="196" spans="1:36" x14ac:dyDescent="0.25">
      <c r="A196" s="725" t="s">
        <v>255</v>
      </c>
      <c r="B196" s="199"/>
      <c r="C196" s="199"/>
      <c r="D196" s="208"/>
      <c r="E196" s="222"/>
      <c r="F196" s="209"/>
      <c r="G196" s="210"/>
      <c r="H196" s="438"/>
      <c r="I196" s="439"/>
      <c r="J196" s="439"/>
      <c r="K196" s="402"/>
      <c r="L196" s="692"/>
      <c r="M196" s="439"/>
      <c r="N196" s="439"/>
      <c r="O196" s="439"/>
      <c r="P196" s="438"/>
      <c r="Q196" s="693"/>
      <c r="R196" s="439"/>
      <c r="S196" s="440"/>
      <c r="T196" s="438"/>
      <c r="U196" s="439"/>
      <c r="V196" s="439"/>
      <c r="W196" s="440"/>
      <c r="X196" s="438"/>
      <c r="Y196" s="598"/>
      <c r="Z196" s="9"/>
      <c r="AA196" s="9"/>
      <c r="AB196" s="9"/>
      <c r="AC196" s="9"/>
      <c r="AD196" s="9"/>
      <c r="AE196" s="9"/>
      <c r="AF196" s="9"/>
      <c r="AG196" s="9"/>
      <c r="AH196" s="9"/>
      <c r="AI196" s="9"/>
      <c r="AJ196" s="9"/>
    </row>
    <row r="197" spans="1:36" s="9" customFormat="1" x14ac:dyDescent="0.25">
      <c r="A197" s="3153" t="s">
        <v>1123</v>
      </c>
      <c r="B197" s="3153" t="s">
        <v>32</v>
      </c>
      <c r="C197" s="2906"/>
      <c r="D197" s="2917"/>
      <c r="E197" s="3154"/>
      <c r="F197" s="3155"/>
      <c r="G197" s="2909"/>
      <c r="H197" s="2914"/>
      <c r="I197" s="2912"/>
      <c r="J197" s="2912"/>
      <c r="K197" s="2905"/>
      <c r="L197" s="3156"/>
      <c r="M197" s="2912"/>
      <c r="N197" s="2912"/>
      <c r="O197" s="2912"/>
      <c r="P197" s="2914"/>
      <c r="Q197" s="3157"/>
      <c r="R197" s="2912"/>
      <c r="S197" s="2911"/>
      <c r="T197" s="2914"/>
      <c r="U197" s="2912"/>
      <c r="V197" s="2912"/>
      <c r="W197" s="2911"/>
      <c r="X197" s="2914"/>
      <c r="Y197" s="598"/>
    </row>
    <row r="198" spans="1:36" x14ac:dyDescent="0.25">
      <c r="A198" s="2916" t="s">
        <v>1044</v>
      </c>
      <c r="B198" s="2908" t="s">
        <v>32</v>
      </c>
      <c r="C198" s="2906"/>
      <c r="D198" s="2917"/>
      <c r="E198" s="2918"/>
      <c r="F198" s="2909"/>
      <c r="G198" s="2909"/>
      <c r="H198" s="2910"/>
      <c r="I198" s="2913"/>
      <c r="J198" s="2913"/>
      <c r="K198" s="2911"/>
      <c r="L198" s="2919"/>
      <c r="M198" s="2920"/>
      <c r="N198" s="2919"/>
      <c r="O198" s="2921"/>
      <c r="P198" s="2914"/>
      <c r="Q198" s="2913"/>
      <c r="R198" s="2912"/>
      <c r="S198" s="2922"/>
      <c r="T198" s="2910"/>
      <c r="U198" s="2912"/>
      <c r="V198" s="2912"/>
      <c r="W198" s="2911"/>
      <c r="X198" s="2914">
        <f>K198+O198+S198+W198</f>
        <v>0</v>
      </c>
      <c r="Y198" s="4713"/>
      <c r="Z198" s="9"/>
      <c r="AA198" s="9"/>
      <c r="AB198" s="9"/>
      <c r="AC198" s="9"/>
      <c r="AD198" s="9"/>
      <c r="AE198" s="9"/>
      <c r="AF198" s="9"/>
      <c r="AG198" s="9"/>
      <c r="AH198" s="9"/>
      <c r="AI198" s="9"/>
      <c r="AJ198" s="9"/>
    </row>
    <row r="199" spans="1:36" s="9" customFormat="1" x14ac:dyDescent="0.25">
      <c r="A199" s="2916" t="s">
        <v>257</v>
      </c>
      <c r="B199" s="2908"/>
      <c r="C199" s="2906"/>
      <c r="D199" s="2917"/>
      <c r="E199" s="2918"/>
      <c r="F199" s="2909"/>
      <c r="G199" s="2909"/>
      <c r="H199" s="2914"/>
      <c r="I199" s="2912"/>
      <c r="J199" s="2912"/>
      <c r="K199" s="2911">
        <f>Ozone!AA10*2088</f>
        <v>0</v>
      </c>
      <c r="L199" s="2912"/>
      <c r="M199" s="2912"/>
      <c r="N199" s="2912"/>
      <c r="O199" s="2923"/>
      <c r="P199" s="2914"/>
      <c r="Q199" s="2912"/>
      <c r="R199" s="2912"/>
      <c r="S199" s="2911"/>
      <c r="T199" s="2914"/>
      <c r="U199" s="2912"/>
      <c r="V199" s="2912"/>
      <c r="W199" s="2911"/>
      <c r="X199" s="2914">
        <f>K199+O199+S199+W199</f>
        <v>0</v>
      </c>
      <c r="Y199" s="4713"/>
    </row>
    <row r="200" spans="1:36" s="9" customFormat="1" x14ac:dyDescent="0.25">
      <c r="A200" s="2924" t="s">
        <v>707</v>
      </c>
      <c r="B200" s="2908"/>
      <c r="C200" s="2906"/>
      <c r="D200" s="2917"/>
      <c r="E200" s="2918"/>
      <c r="F200" s="2909"/>
      <c r="G200" s="2909"/>
      <c r="H200" s="2914"/>
      <c r="I200" s="2912"/>
      <c r="J200" s="2912"/>
      <c r="K200" s="2911"/>
      <c r="L200" s="2912"/>
      <c r="M200" s="2912"/>
      <c r="N200" s="2912"/>
      <c r="O200" s="2923"/>
      <c r="P200" s="2914"/>
      <c r="Q200" s="2912"/>
      <c r="R200" s="2912"/>
      <c r="S200" s="2911"/>
      <c r="T200" s="2914"/>
      <c r="U200" s="2912"/>
      <c r="V200" s="2912"/>
      <c r="W200" s="2911"/>
      <c r="X200" s="2914">
        <f>K200+O200+S200+W200</f>
        <v>0</v>
      </c>
      <c r="Y200" s="4713"/>
    </row>
    <row r="201" spans="1:36" s="116" customFormat="1" x14ac:dyDescent="0.25">
      <c r="A201" s="3141" t="s">
        <v>1124</v>
      </c>
      <c r="B201" s="1623" t="s">
        <v>181</v>
      </c>
      <c r="C201" s="842"/>
      <c r="D201" s="539">
        <v>0.70799999999999996</v>
      </c>
      <c r="E201" s="394" t="s">
        <v>188</v>
      </c>
      <c r="F201" s="410"/>
      <c r="G201" s="429"/>
      <c r="H201" s="412"/>
      <c r="I201" s="491"/>
      <c r="J201" s="651"/>
      <c r="K201" s="490">
        <v>0</v>
      </c>
      <c r="L201" s="491"/>
      <c r="M201" s="491"/>
      <c r="N201" s="651"/>
      <c r="O201" s="651">
        <v>0</v>
      </c>
      <c r="P201" s="412"/>
      <c r="Q201" s="491"/>
      <c r="R201" s="491"/>
      <c r="S201" s="490">
        <v>0</v>
      </c>
      <c r="T201" s="821"/>
      <c r="U201" s="491"/>
      <c r="V201" s="491"/>
      <c r="W201" s="490">
        <v>0</v>
      </c>
      <c r="X201" s="412">
        <f>K201+O201+S201+W201</f>
        <v>0</v>
      </c>
      <c r="Y201" s="753"/>
    </row>
    <row r="202" spans="1:36" ht="15.75" thickBot="1" x14ac:dyDescent="0.3">
      <c r="A202" s="779" t="s">
        <v>171</v>
      </c>
      <c r="B202" s="754"/>
      <c r="C202" s="755"/>
      <c r="D202" s="756"/>
      <c r="E202" s="757"/>
      <c r="F202" s="758"/>
      <c r="G202" s="758"/>
      <c r="H202" s="468">
        <f>H190+H191+H193+H194+H195+H197+H198+H199+H200+H201</f>
        <v>87647.302993836856</v>
      </c>
      <c r="I202" s="468">
        <f>I190+I191+I193+I194+I195+I197+I198+I199+I200+I201</f>
        <v>3.4416507066673674</v>
      </c>
      <c r="J202" s="468">
        <f>J190+J191+J193+J194+J195+J197+J198+J199+J200+J201</f>
        <v>4.2120775850818246</v>
      </c>
      <c r="K202" s="468">
        <f>K190+K191+K193+K194+K195+K197+K198+K199+K200+K201</f>
        <v>88859.869773670231</v>
      </c>
      <c r="L202" s="468">
        <f t="shared" ref="L202:W202" si="20">L190+L191+L193+L194+L195+L197+L198+L199+L200+L201</f>
        <v>87759.010713093987</v>
      </c>
      <c r="M202" s="468">
        <f t="shared" si="20"/>
        <v>3.3725291022932753</v>
      </c>
      <c r="N202" s="468">
        <f t="shared" si="20"/>
        <v>4.1364694860548745</v>
      </c>
      <c r="O202" s="468">
        <f t="shared" si="20"/>
        <v>88949.60594176274</v>
      </c>
      <c r="P202" s="468">
        <f t="shared" si="20"/>
        <v>78739.31198906395</v>
      </c>
      <c r="Q202" s="468">
        <f t="shared" si="20"/>
        <v>2.9451153380518362</v>
      </c>
      <c r="R202" s="468">
        <f t="shared" si="20"/>
        <v>3.6534976611379593</v>
      </c>
      <c r="S202" s="468">
        <f t="shared" si="20"/>
        <v>79789.952098730966</v>
      </c>
      <c r="T202" s="468">
        <f t="shared" si="20"/>
        <v>33322.116268206075</v>
      </c>
      <c r="U202" s="468">
        <f t="shared" si="20"/>
        <v>1.5243534358489117</v>
      </c>
      <c r="V202" s="468">
        <f t="shared" si="20"/>
        <v>1.7712797287986251</v>
      </c>
      <c r="W202" s="468">
        <f t="shared" si="20"/>
        <v>33834.187292541479</v>
      </c>
      <c r="X202" s="551">
        <f>K202+O202+S202+W202</f>
        <v>291433.6151067054</v>
      </c>
      <c r="Y202" s="2167">
        <f>SUM(X190:X201)</f>
        <v>291433.6151067054</v>
      </c>
      <c r="Z202" s="445"/>
      <c r="AA202" s="445"/>
      <c r="AB202" s="9"/>
      <c r="AC202" s="9"/>
      <c r="AD202" s="9"/>
      <c r="AE202" s="9"/>
      <c r="AF202" s="9"/>
      <c r="AG202" s="9"/>
      <c r="AH202" s="9"/>
      <c r="AI202" s="9"/>
      <c r="AJ202" s="9"/>
    </row>
    <row r="203" spans="1:36" x14ac:dyDescent="0.25">
      <c r="A203" s="759" t="s">
        <v>169</v>
      </c>
      <c r="B203" s="780"/>
      <c r="C203" s="781"/>
      <c r="D203" s="782"/>
      <c r="E203" s="783"/>
      <c r="F203" s="784"/>
      <c r="G203" s="784"/>
      <c r="H203" s="760"/>
      <c r="I203" s="481"/>
      <c r="J203" s="481"/>
      <c r="K203" s="621"/>
      <c r="L203" s="481"/>
      <c r="M203" s="481"/>
      <c r="N203" s="481"/>
      <c r="O203" s="481"/>
      <c r="P203" s="620"/>
      <c r="Q203" s="481"/>
      <c r="R203" s="481"/>
      <c r="S203" s="621"/>
      <c r="T203" s="620"/>
      <c r="U203" s="481"/>
      <c r="V203" s="481"/>
      <c r="W203" s="621"/>
      <c r="X203" s="760"/>
      <c r="Y203" s="730"/>
      <c r="Z203" s="9"/>
      <c r="AA203" s="9"/>
      <c r="AB203" s="9"/>
      <c r="AC203" s="9"/>
      <c r="AD203" s="9"/>
      <c r="AE203" s="9"/>
      <c r="AF203" s="9"/>
      <c r="AG203" s="9"/>
      <c r="AH203" s="9"/>
      <c r="AI203" s="9"/>
      <c r="AJ203" s="9"/>
    </row>
    <row r="204" spans="1:36" x14ac:dyDescent="0.25">
      <c r="A204" s="785" t="s">
        <v>283</v>
      </c>
      <c r="B204" s="786" t="s">
        <v>29</v>
      </c>
      <c r="C204" s="204"/>
      <c r="D204" s="787">
        <v>1.04</v>
      </c>
      <c r="E204" s="217" t="s">
        <v>259</v>
      </c>
      <c r="F204" s="127"/>
      <c r="G204" s="127"/>
      <c r="H204">
        <v>0</v>
      </c>
      <c r="I204" s="488"/>
      <c r="J204" s="489"/>
      <c r="K204" s="487">
        <f>D204*Energy!W13</f>
        <v>83479.760000000009</v>
      </c>
      <c r="L204" s="491"/>
      <c r="M204" s="494"/>
      <c r="N204" s="651"/>
      <c r="O204" s="492">
        <f>D204*Energy!X13</f>
        <v>86176.48</v>
      </c>
      <c r="P204" s="526"/>
      <c r="Q204" s="494"/>
      <c r="R204" s="491"/>
      <c r="S204" s="495">
        <f>D204*Energy!Y13</f>
        <v>93534.48</v>
      </c>
      <c r="T204" s="610"/>
      <c r="U204" s="491"/>
      <c r="V204" s="491"/>
      <c r="W204" s="490">
        <f>D204*Energy!Z13</f>
        <v>82150.64</v>
      </c>
      <c r="X204" s="412">
        <f>K204+O204+S204+W204</f>
        <v>345341.36</v>
      </c>
      <c r="Y204" s="753"/>
      <c r="Z204" s="445">
        <f>X202+X206</f>
        <v>643934.84230670542</v>
      </c>
      <c r="AA204" s="9"/>
      <c r="AB204" s="9"/>
      <c r="AC204" s="9"/>
      <c r="AD204" s="9"/>
      <c r="AE204" s="9"/>
      <c r="AF204" s="9"/>
      <c r="AG204" s="9"/>
      <c r="AH204" s="9"/>
      <c r="AI204" s="9"/>
      <c r="AJ204" s="9"/>
    </row>
    <row r="205" spans="1:36" s="9" customFormat="1" x14ac:dyDescent="0.25">
      <c r="A205" s="785" t="s">
        <v>622</v>
      </c>
      <c r="B205" s="786" t="s">
        <v>29</v>
      </c>
      <c r="C205" s="204"/>
      <c r="D205" s="2882">
        <v>0.25559999999999999</v>
      </c>
      <c r="E205" s="217" t="s">
        <v>259</v>
      </c>
      <c r="F205" s="127"/>
      <c r="G205" s="127"/>
      <c r="H205" s="386">
        <v>0</v>
      </c>
      <c r="I205" s="387"/>
      <c r="J205" s="846"/>
      <c r="K205" s="490">
        <f>D205*Energy!AB13</f>
        <v>1867.4135999999999</v>
      </c>
      <c r="L205" s="491"/>
      <c r="M205" s="491"/>
      <c r="N205" s="651"/>
      <c r="O205" s="651">
        <f>D205*Energy!AC13</f>
        <v>1712.52</v>
      </c>
      <c r="P205" s="412"/>
      <c r="Q205" s="491"/>
      <c r="R205" s="491"/>
      <c r="S205" s="490">
        <f>D205*Energy!AD13</f>
        <v>1789.9667999999999</v>
      </c>
      <c r="T205" s="821"/>
      <c r="U205" s="491"/>
      <c r="V205" s="491"/>
      <c r="W205" s="490">
        <f>D205*Energy!AE13</f>
        <v>1789.9667999999999</v>
      </c>
      <c r="X205" s="412">
        <f t="shared" ref="X205:X217" si="21">K205+O205+S205+W205</f>
        <v>7159.8671999999997</v>
      </c>
      <c r="Y205" s="753"/>
      <c r="Z205" s="445">
        <f>Z204-X205</f>
        <v>636774.97510670545</v>
      </c>
    </row>
    <row r="206" spans="1:36" ht="15.75" thickBot="1" x14ac:dyDescent="0.3">
      <c r="A206" s="763" t="s">
        <v>172</v>
      </c>
      <c r="B206" s="764"/>
      <c r="C206" s="755"/>
      <c r="D206" s="756"/>
      <c r="E206" s="765"/>
      <c r="F206" s="756"/>
      <c r="G206" s="756"/>
      <c r="H206" s="766">
        <f t="shared" ref="H206:W206" si="22">H204+H205</f>
        <v>0</v>
      </c>
      <c r="I206" s="766">
        <f t="shared" si="22"/>
        <v>0</v>
      </c>
      <c r="J206" s="766">
        <f t="shared" si="22"/>
        <v>0</v>
      </c>
      <c r="K206" s="766">
        <f t="shared" si="22"/>
        <v>85347.173600000009</v>
      </c>
      <c r="L206" s="766">
        <f t="shared" si="22"/>
        <v>0</v>
      </c>
      <c r="M206" s="766">
        <f t="shared" si="22"/>
        <v>0</v>
      </c>
      <c r="N206" s="766">
        <f t="shared" si="22"/>
        <v>0</v>
      </c>
      <c r="O206" s="766">
        <f t="shared" si="22"/>
        <v>87889</v>
      </c>
      <c r="P206" s="766">
        <f t="shared" si="22"/>
        <v>0</v>
      </c>
      <c r="Q206" s="766">
        <f t="shared" si="22"/>
        <v>0</v>
      </c>
      <c r="R206" s="766">
        <f t="shared" si="22"/>
        <v>0</v>
      </c>
      <c r="S206" s="766">
        <f t="shared" si="22"/>
        <v>95324.446799999991</v>
      </c>
      <c r="T206" s="766">
        <f t="shared" si="22"/>
        <v>0</v>
      </c>
      <c r="U206" s="766">
        <f t="shared" si="22"/>
        <v>0</v>
      </c>
      <c r="V206" s="766">
        <f t="shared" si="22"/>
        <v>0</v>
      </c>
      <c r="W206" s="766">
        <f t="shared" si="22"/>
        <v>83940.606799999994</v>
      </c>
      <c r="X206" s="466">
        <f>K206+O206+S206+W206</f>
        <v>352501.22720000002</v>
      </c>
      <c r="Y206" s="2167">
        <f>X206</f>
        <v>352501.22720000002</v>
      </c>
      <c r="Z206" s="445"/>
      <c r="AA206" s="9"/>
      <c r="AB206" s="9"/>
      <c r="AC206" s="9"/>
      <c r="AD206" s="9"/>
      <c r="AE206" s="9"/>
      <c r="AF206" s="9"/>
      <c r="AG206" s="9"/>
      <c r="AH206" s="9"/>
      <c r="AI206" s="9"/>
      <c r="AJ206" s="9"/>
    </row>
    <row r="207" spans="1:36" x14ac:dyDescent="0.25">
      <c r="A207" s="788" t="s">
        <v>173</v>
      </c>
      <c r="B207" s="789"/>
      <c r="C207" s="781"/>
      <c r="D207" s="782"/>
      <c r="E207" s="790"/>
      <c r="F207" s="782"/>
      <c r="G207" s="782"/>
      <c r="H207" s="768"/>
      <c r="I207" s="769"/>
      <c r="J207" s="769"/>
      <c r="K207" s="762"/>
      <c r="L207" s="761"/>
      <c r="M207" s="761"/>
      <c r="N207" s="761"/>
      <c r="O207" s="761"/>
      <c r="P207" s="760"/>
      <c r="Q207" s="761"/>
      <c r="R207" s="761"/>
      <c r="S207" s="762"/>
      <c r="T207" s="760"/>
      <c r="U207" s="761"/>
      <c r="V207" s="761"/>
      <c r="W207" s="2165"/>
      <c r="X207" s="4700">
        <f t="shared" si="21"/>
        <v>0</v>
      </c>
      <c r="Y207" s="2166"/>
      <c r="Z207" s="9"/>
      <c r="AA207" s="9"/>
      <c r="AB207" s="9"/>
      <c r="AC207" s="9"/>
      <c r="AD207" s="9"/>
      <c r="AE207" s="9"/>
      <c r="AF207" s="9"/>
      <c r="AG207" s="9"/>
      <c r="AH207" s="9"/>
      <c r="AI207" s="9"/>
      <c r="AJ207" s="9"/>
    </row>
    <row r="208" spans="1:36" x14ac:dyDescent="0.25">
      <c r="A208" s="2925" t="s">
        <v>174</v>
      </c>
      <c r="B208" s="2908" t="s">
        <v>175</v>
      </c>
      <c r="C208" s="2906"/>
      <c r="D208" s="2909"/>
      <c r="E208" s="2918"/>
      <c r="F208" s="2909"/>
      <c r="G208" s="2909"/>
      <c r="H208" s="2914"/>
      <c r="I208" s="2913"/>
      <c r="J208" s="2926"/>
      <c r="K208" s="2911">
        <v>0</v>
      </c>
      <c r="L208" s="2912"/>
      <c r="M208" s="2920"/>
      <c r="N208" s="2919"/>
      <c r="O208" s="2927"/>
      <c r="P208" s="2914"/>
      <c r="Q208" s="2912"/>
      <c r="R208" s="2912"/>
      <c r="S208" s="2928"/>
      <c r="T208" s="2929"/>
      <c r="U208" s="2919"/>
      <c r="V208" s="2912"/>
      <c r="W208" s="2911"/>
      <c r="X208" s="2914">
        <f t="shared" si="21"/>
        <v>0</v>
      </c>
      <c r="Y208" s="753"/>
      <c r="Z208" s="9"/>
      <c r="AA208" s="9"/>
      <c r="AB208" s="9"/>
      <c r="AC208" s="9"/>
      <c r="AD208" s="9"/>
      <c r="AE208" s="9"/>
      <c r="AF208" s="9"/>
      <c r="AG208" s="9"/>
      <c r="AH208" s="9"/>
      <c r="AI208" s="9"/>
      <c r="AJ208" s="9"/>
    </row>
    <row r="209" spans="1:36" s="116" customFormat="1" x14ac:dyDescent="0.25">
      <c r="A209" s="1622" t="s">
        <v>631</v>
      </c>
      <c r="B209" s="1623" t="s">
        <v>27</v>
      </c>
      <c r="C209" s="842">
        <v>37.5</v>
      </c>
      <c r="D209" s="843">
        <v>70000</v>
      </c>
      <c r="E209" s="394" t="s">
        <v>185</v>
      </c>
      <c r="F209" s="410">
        <v>0.5</v>
      </c>
      <c r="G209" s="410">
        <v>2</v>
      </c>
      <c r="H209" s="412">
        <v>0</v>
      </c>
      <c r="I209" s="491">
        <v>0</v>
      </c>
      <c r="J209" s="491">
        <v>0</v>
      </c>
      <c r="K209" s="490">
        <v>0</v>
      </c>
      <c r="L209" s="423">
        <f>(C209*D209/1000000)*'company plane'!J39</f>
        <v>5872.125</v>
      </c>
      <c r="M209" s="491">
        <f>(C209*F209/1000000)*'company plane'!J39</f>
        <v>4.1943749999999995E-2</v>
      </c>
      <c r="N209" s="491">
        <f>(C209*G209/1000000)*'company plane'!J39</f>
        <v>0.16777499999999998</v>
      </c>
      <c r="O209" s="491">
        <f>(L209*1)+(M209*28)+(N209*265)</f>
        <v>5917.7597999999998</v>
      </c>
      <c r="P209" s="412">
        <v>0</v>
      </c>
      <c r="Q209" s="491">
        <v>0</v>
      </c>
      <c r="R209" s="491">
        <v>0</v>
      </c>
      <c r="S209" s="490">
        <f>(P209*1)+(Q209*28)+(R209*265)</f>
        <v>0</v>
      </c>
      <c r="T209" s="412">
        <v>0</v>
      </c>
      <c r="U209" s="491">
        <v>0</v>
      </c>
      <c r="V209" s="491">
        <v>0</v>
      </c>
      <c r="W209" s="490">
        <f>(T209*1)+(U209*28)+(V209*265)</f>
        <v>0</v>
      </c>
      <c r="X209" s="412">
        <f>K209+O209+S209+W209</f>
        <v>5917.7597999999998</v>
      </c>
      <c r="Y209" s="753"/>
    </row>
    <row r="210" spans="1:36" x14ac:dyDescent="0.25">
      <c r="A210" s="321" t="s">
        <v>1052</v>
      </c>
      <c r="B210" s="384" t="s">
        <v>175</v>
      </c>
      <c r="C210" s="299">
        <v>34.200000000000003</v>
      </c>
      <c r="D210" s="2963">
        <v>0.18084</v>
      </c>
      <c r="E210" s="409" t="s">
        <v>1053</v>
      </c>
      <c r="F210" s="421"/>
      <c r="G210" s="421"/>
      <c r="H210" s="412"/>
      <c r="I210" s="520"/>
      <c r="J210" s="517"/>
      <c r="K210" s="521">
        <f>0.18084*'Business travel'!E62</f>
        <v>3125.2768799999999</v>
      </c>
      <c r="L210" s="491"/>
      <c r="M210" s="653"/>
      <c r="N210" s="530"/>
      <c r="O210" s="424">
        <f>0.18084*'Business travel'!I62</f>
        <v>3303.8021280000003</v>
      </c>
      <c r="P210" s="522"/>
      <c r="Q210" s="491"/>
      <c r="R210" s="491"/>
      <c r="S210" s="523">
        <f>0.18084*'Business travel'!M62</f>
        <v>3214.5395039999999</v>
      </c>
      <c r="T210" s="655"/>
      <c r="U210" s="430"/>
      <c r="V210" s="491"/>
      <c r="W210" s="490">
        <f>0.18084*'Business travel'!Q62</f>
        <v>0</v>
      </c>
      <c r="X210" s="412">
        <f t="shared" si="21"/>
        <v>9643.6185120000009</v>
      </c>
      <c r="Y210" s="753"/>
      <c r="Z210" s="9"/>
      <c r="AA210" s="9"/>
      <c r="AB210" s="9"/>
      <c r="AC210" s="9"/>
      <c r="AD210" s="9"/>
      <c r="AE210" s="9"/>
      <c r="AF210" s="9"/>
      <c r="AG210" s="9"/>
      <c r="AH210" s="9"/>
      <c r="AI210" s="9"/>
      <c r="AJ210" s="9"/>
    </row>
    <row r="211" spans="1:36" x14ac:dyDescent="0.25">
      <c r="A211" s="2895" t="s">
        <v>177</v>
      </c>
      <c r="B211" s="2885" t="s">
        <v>175</v>
      </c>
      <c r="C211" s="2861">
        <v>37.5</v>
      </c>
      <c r="D211" s="2862">
        <v>70000</v>
      </c>
      <c r="E211" s="2863" t="s">
        <v>185</v>
      </c>
      <c r="F211" s="2862">
        <v>0.5</v>
      </c>
      <c r="G211" s="2862">
        <v>2</v>
      </c>
      <c r="H211" s="2865"/>
      <c r="I211" s="2866"/>
      <c r="J211" s="2867"/>
      <c r="K211" s="2868"/>
      <c r="L211" s="2869"/>
      <c r="M211" s="2877"/>
      <c r="N211" s="2869"/>
      <c r="O211" s="2893"/>
      <c r="P211" s="2871"/>
      <c r="Q211" s="2869"/>
      <c r="R211" s="2869"/>
      <c r="S211" s="2872"/>
      <c r="T211" s="2889"/>
      <c r="U211" s="2890"/>
      <c r="V211" s="2869"/>
      <c r="W211" s="2875"/>
      <c r="X211" s="2865">
        <f t="shared" si="21"/>
        <v>0</v>
      </c>
      <c r="Y211" s="753"/>
      <c r="Z211" s="9"/>
      <c r="AA211" s="9"/>
      <c r="AB211" s="9"/>
      <c r="AC211" s="9"/>
      <c r="AD211" s="9"/>
      <c r="AE211" s="9"/>
      <c r="AF211" s="9"/>
      <c r="AG211" s="9"/>
      <c r="AH211" s="9"/>
      <c r="AI211" s="9"/>
      <c r="AJ211" s="9"/>
    </row>
    <row r="212" spans="1:36" x14ac:dyDescent="0.25">
      <c r="A212" s="1605" t="s">
        <v>674</v>
      </c>
      <c r="B212" s="1571" t="s">
        <v>175</v>
      </c>
      <c r="C212" s="1572">
        <v>0.25492999999999999</v>
      </c>
      <c r="D212" s="1715">
        <v>0.15831999999999999</v>
      </c>
      <c r="E212" s="1573">
        <v>0.19561999999999999</v>
      </c>
      <c r="F212" s="1716">
        <v>0.18078</v>
      </c>
      <c r="G212" s="1574"/>
      <c r="H212" s="1578"/>
      <c r="I212" s="1576"/>
      <c r="J212" s="1577"/>
      <c r="K212" s="1583">
        <f>(C212*'Business travel'!V8)+(D212*'Business travel'!W8)+(E212*'Business travel'!X8)+(F212*'Business travel'!Y8)</f>
        <v>94242.394419999997</v>
      </c>
      <c r="L212" s="1575"/>
      <c r="M212" s="1588"/>
      <c r="N212" s="1592"/>
      <c r="O212" s="1608">
        <f>(C212*'Business travel'!V12)+(D212*'Business travel'!W12)+(E212*'Business travel'!X12)+(F212*'Business travel'!Y12)</f>
        <v>96253.47249</v>
      </c>
      <c r="P212" s="1578"/>
      <c r="Q212" s="1575"/>
      <c r="R212" s="1575"/>
      <c r="S212" s="1583">
        <f>(C212*'Business travel'!V16)+(D212*'Business travel'!W16)+(E212*'Business travel'!X16)+(F212*'Business travel'!Y16)</f>
        <v>57995.098239999999</v>
      </c>
      <c r="T212" s="1582"/>
      <c r="U212" s="1575"/>
      <c r="V212" s="1575"/>
      <c r="W212" s="1719">
        <f>(C212*'Business travel'!V20)+(D212*'Business travel'!W20)+(E212*'Business travel'!X20)+(F212*'Business travel'!Y20)</f>
        <v>0</v>
      </c>
      <c r="X212" s="412">
        <f t="shared" si="21"/>
        <v>248490.96514999997</v>
      </c>
      <c r="Y212" s="753"/>
      <c r="Z212" s="9"/>
      <c r="AA212" s="9"/>
      <c r="AB212" s="9"/>
      <c r="AC212" s="9"/>
      <c r="AD212" s="9"/>
      <c r="AE212" s="9"/>
      <c r="AF212" s="9"/>
      <c r="AG212" s="9"/>
      <c r="AH212" s="9"/>
      <c r="AI212" s="9"/>
      <c r="AJ212" s="9"/>
    </row>
    <row r="213" spans="1:36" x14ac:dyDescent="0.25">
      <c r="A213" s="3351" t="s">
        <v>176</v>
      </c>
      <c r="B213" s="1188" t="s">
        <v>32</v>
      </c>
      <c r="C213" s="200"/>
      <c r="D213" s="224">
        <v>0.87009999999999998</v>
      </c>
      <c r="E213" s="421" t="s">
        <v>186</v>
      </c>
      <c r="F213" s="206"/>
      <c r="G213" s="206"/>
      <c r="H213" s="412"/>
      <c r="I213" s="494"/>
      <c r="J213" s="516"/>
      <c r="K213" s="490">
        <f>D213*Materials!W11</f>
        <v>165.31899999999999</v>
      </c>
      <c r="L213" s="491"/>
      <c r="M213" s="413"/>
      <c r="N213" s="533"/>
      <c r="O213" s="3352">
        <f>D213*Materials!X11</f>
        <v>163.14374999999998</v>
      </c>
      <c r="P213" s="689"/>
      <c r="Q213" s="491"/>
      <c r="R213" s="491"/>
      <c r="S213" s="490">
        <f>D213*Materials!Y11</f>
        <v>676.50274999999999</v>
      </c>
      <c r="T213" s="662"/>
      <c r="U213" s="491"/>
      <c r="V213" s="491"/>
      <c r="W213" s="490">
        <f>D213*Materials!Z11</f>
        <v>0</v>
      </c>
      <c r="X213" s="412">
        <f t="shared" si="21"/>
        <v>1004.9655</v>
      </c>
      <c r="Y213" s="753">
        <f>D213*Materials!AA11</f>
        <v>1004.9655</v>
      </c>
      <c r="Z213" s="9"/>
      <c r="AA213" s="9"/>
      <c r="AB213" s="9"/>
      <c r="AC213" s="9"/>
      <c r="AD213" s="9"/>
      <c r="AE213" s="9"/>
      <c r="AF213" s="9"/>
      <c r="AG213" s="9"/>
      <c r="AH213" s="9"/>
      <c r="AI213" s="9"/>
      <c r="AJ213" s="9"/>
    </row>
    <row r="214" spans="1:36" x14ac:dyDescent="0.25">
      <c r="A214" s="2932" t="s">
        <v>180</v>
      </c>
      <c r="B214" s="2908" t="s">
        <v>107</v>
      </c>
      <c r="C214" s="2906"/>
      <c r="D214" s="2933">
        <v>586.51400000000001</v>
      </c>
      <c r="E214" s="2930" t="s">
        <v>187</v>
      </c>
      <c r="F214" s="2909"/>
      <c r="G214" s="2909"/>
      <c r="H214" s="2914"/>
      <c r="I214" s="2913"/>
      <c r="J214" s="2934"/>
      <c r="K214" s="2935"/>
      <c r="L214" s="2912"/>
      <c r="M214" s="2934"/>
      <c r="N214" s="2919"/>
      <c r="O214" s="2927"/>
      <c r="P214" s="2910"/>
      <c r="Q214" s="2912"/>
      <c r="R214" s="2912"/>
      <c r="S214" s="2911"/>
      <c r="T214" s="2931"/>
      <c r="U214" s="2912"/>
      <c r="V214" s="2912"/>
      <c r="W214" s="2911"/>
      <c r="X214" s="2914">
        <f t="shared" si="21"/>
        <v>0</v>
      </c>
      <c r="Y214" s="753"/>
      <c r="Z214" s="9"/>
      <c r="AA214" s="9"/>
      <c r="AB214" s="9"/>
      <c r="AC214" s="9"/>
      <c r="AD214" s="9"/>
      <c r="AE214" s="9"/>
      <c r="AF214" s="9"/>
      <c r="AG214" s="9"/>
      <c r="AH214" s="9"/>
      <c r="AI214" s="9"/>
      <c r="AJ214" s="9"/>
    </row>
    <row r="215" spans="1:36" x14ac:dyDescent="0.25">
      <c r="A215" s="2932" t="s">
        <v>184</v>
      </c>
      <c r="B215" s="2908" t="s">
        <v>107</v>
      </c>
      <c r="C215" s="2906"/>
      <c r="D215" s="2933">
        <v>21.353999999999999</v>
      </c>
      <c r="E215" s="2930" t="s">
        <v>187</v>
      </c>
      <c r="F215" s="2909"/>
      <c r="G215" s="2909"/>
      <c r="H215" s="2914"/>
      <c r="I215" s="2913"/>
      <c r="J215" s="2936"/>
      <c r="K215" s="2922"/>
      <c r="L215" s="2912"/>
      <c r="M215" s="2936"/>
      <c r="N215" s="2919"/>
      <c r="O215" s="2927"/>
      <c r="P215" s="2929"/>
      <c r="Q215" s="2912"/>
      <c r="R215" s="2912"/>
      <c r="S215" s="2911"/>
      <c r="T215" s="2929"/>
      <c r="U215" s="2919"/>
      <c r="V215" s="2912"/>
      <c r="W215" s="2911"/>
      <c r="X215" s="2914">
        <f t="shared" si="21"/>
        <v>0</v>
      </c>
      <c r="Y215" s="753"/>
      <c r="Z215" s="9"/>
      <c r="AA215" s="9"/>
      <c r="AB215" s="9"/>
      <c r="AC215" s="9"/>
      <c r="AD215" s="9"/>
      <c r="AE215" s="9"/>
      <c r="AF215" s="9"/>
      <c r="AG215" s="9"/>
      <c r="AH215" s="9"/>
      <c r="AI215" s="9"/>
      <c r="AJ215" s="9"/>
    </row>
    <row r="216" spans="1:36" x14ac:dyDescent="0.25">
      <c r="A216" s="2932" t="s">
        <v>182</v>
      </c>
      <c r="B216" s="2908" t="s">
        <v>181</v>
      </c>
      <c r="C216" s="2906"/>
      <c r="D216" s="2937">
        <v>0.70799999999999996</v>
      </c>
      <c r="E216" s="2938" t="s">
        <v>188</v>
      </c>
      <c r="F216" s="2909"/>
      <c r="G216" s="2909"/>
      <c r="H216" s="2914"/>
      <c r="I216" s="2913"/>
      <c r="J216" s="2936"/>
      <c r="K216" s="2911"/>
      <c r="L216" s="2912"/>
      <c r="M216" s="2913"/>
      <c r="N216" s="2912"/>
      <c r="O216" s="2939"/>
      <c r="P216" s="2914"/>
      <c r="Q216" s="2912"/>
      <c r="R216" s="2912"/>
      <c r="S216" s="2922"/>
      <c r="T216" s="2931"/>
      <c r="U216" s="2919"/>
      <c r="V216" s="2912"/>
      <c r="W216" s="2911"/>
      <c r="X216" s="2914">
        <f t="shared" si="21"/>
        <v>0</v>
      </c>
      <c r="Y216" s="753"/>
      <c r="Z216" s="9"/>
      <c r="AA216" s="9"/>
      <c r="AB216" s="9"/>
      <c r="AC216" s="9"/>
      <c r="AD216" s="9"/>
      <c r="AE216" s="9"/>
      <c r="AF216" s="9"/>
      <c r="AG216" s="9"/>
      <c r="AH216" s="9"/>
      <c r="AI216" s="9"/>
      <c r="AJ216" s="9"/>
    </row>
    <row r="217" spans="1:36" x14ac:dyDescent="0.25">
      <c r="A217" s="321" t="s">
        <v>183</v>
      </c>
      <c r="B217" s="219" t="s">
        <v>181</v>
      </c>
      <c r="C217" s="204"/>
      <c r="D217" s="216">
        <v>0.34399999999999997</v>
      </c>
      <c r="E217" s="409" t="s">
        <v>278</v>
      </c>
      <c r="F217" s="206"/>
      <c r="G217" s="206"/>
      <c r="H217" s="412"/>
      <c r="I217" s="494"/>
      <c r="J217" s="451"/>
      <c r="K217" s="527">
        <f>D217*'Water Mangt'!AG6</f>
        <v>113.40648</v>
      </c>
      <c r="L217" s="430"/>
      <c r="M217" s="494"/>
      <c r="N217" s="531"/>
      <c r="O217" s="431">
        <f>D217*'Water Mangt'!AH6</f>
        <v>113.04356</v>
      </c>
      <c r="P217" s="412"/>
      <c r="Q217" s="491"/>
      <c r="R217" s="491"/>
      <c r="S217" s="490">
        <f>D217*'Water Mangt'!AI6</f>
        <v>117.00901999999998</v>
      </c>
      <c r="T217" s="610"/>
      <c r="U217" s="491"/>
      <c r="V217" s="491"/>
      <c r="W217" s="490">
        <f>D217*'Water Mangt'!AJ6</f>
        <v>186.15302</v>
      </c>
      <c r="X217" s="412">
        <f t="shared" si="21"/>
        <v>529.61207999999999</v>
      </c>
      <c r="Y217" s="753"/>
      <c r="Z217" s="9"/>
      <c r="AA217" s="9"/>
      <c r="AB217" s="9"/>
      <c r="AC217" s="9"/>
      <c r="AD217" s="9"/>
      <c r="AE217" s="9"/>
      <c r="AF217" s="9"/>
      <c r="AG217" s="9"/>
      <c r="AH217" s="9"/>
      <c r="AI217" s="9"/>
      <c r="AJ217" s="9"/>
    </row>
    <row r="218" spans="1:36" ht="15.75" thickBot="1" x14ac:dyDescent="0.3">
      <c r="A218" s="763" t="s">
        <v>190</v>
      </c>
      <c r="B218" s="754"/>
      <c r="C218" s="755"/>
      <c r="D218" s="758"/>
      <c r="E218" s="757"/>
      <c r="F218" s="758"/>
      <c r="G218" s="758"/>
      <c r="H218" s="767"/>
      <c r="I218" s="551"/>
      <c r="J218" s="551"/>
      <c r="K218" s="550">
        <f>SUM(K208:K217)</f>
        <v>97646.39678000001</v>
      </c>
      <c r="L218" s="468"/>
      <c r="M218" s="468"/>
      <c r="N218" s="468"/>
      <c r="O218" s="468">
        <f>SUM(O208:O217)</f>
        <v>105751.221728</v>
      </c>
      <c r="P218" s="767"/>
      <c r="Q218" s="551"/>
      <c r="R218" s="551"/>
      <c r="S218" s="550">
        <f>SUM(S208:S217)</f>
        <v>62003.149513999997</v>
      </c>
      <c r="T218" s="767"/>
      <c r="U218" s="551"/>
      <c r="V218" s="551"/>
      <c r="W218" s="550">
        <f>SUM(W208:W217)</f>
        <v>186.15302</v>
      </c>
      <c r="X218" s="466">
        <f>K218+O218+S218+W218</f>
        <v>265586.92104200006</v>
      </c>
      <c r="Y218" s="2167">
        <f>SUM(X208:X217)</f>
        <v>265586.92104199994</v>
      </c>
      <c r="Z218" s="9"/>
      <c r="AA218" s="9"/>
      <c r="AB218" s="9"/>
      <c r="AC218" s="9"/>
      <c r="AD218" s="9"/>
      <c r="AE218" s="9"/>
      <c r="AF218" s="9"/>
      <c r="AG218" s="9"/>
      <c r="AH218" s="9"/>
      <c r="AI218" s="9"/>
      <c r="AJ218" s="9"/>
    </row>
    <row r="219" spans="1:36" ht="15.75" thickBot="1" x14ac:dyDescent="0.3">
      <c r="A219" s="556" t="s">
        <v>284</v>
      </c>
      <c r="B219" s="565"/>
      <c r="C219" s="565"/>
      <c r="D219" s="565"/>
      <c r="E219" s="566"/>
      <c r="F219" s="566"/>
      <c r="G219" s="566"/>
      <c r="H219" s="559"/>
      <c r="I219" s="560"/>
      <c r="J219" s="560"/>
      <c r="K219" s="561">
        <f>(K202+K206+K218)/1000</f>
        <v>271.85344015367025</v>
      </c>
      <c r="L219" s="559"/>
      <c r="M219" s="560"/>
      <c r="N219" s="560"/>
      <c r="O219" s="561">
        <f>(O202+O206+O218)/1000</f>
        <v>282.58982766976277</v>
      </c>
      <c r="P219" s="559"/>
      <c r="Q219" s="560"/>
      <c r="R219" s="560"/>
      <c r="S219" s="561">
        <f>(S202+S206+S218)/1000</f>
        <v>237.11754841273094</v>
      </c>
      <c r="T219" s="559"/>
      <c r="U219" s="560"/>
      <c r="V219" s="560"/>
      <c r="W219" s="561">
        <f>(W202+W206+W218)/1000</f>
        <v>117.96094711254148</v>
      </c>
      <c r="X219" s="4714">
        <f>K219+O219+S219+W219</f>
        <v>909.52176334870535</v>
      </c>
      <c r="Y219" s="2168">
        <f>(Y202+Y206+Y218)/1000</f>
        <v>909.52176334870535</v>
      </c>
      <c r="Z219" s="9"/>
      <c r="AA219" s="9"/>
      <c r="AB219" s="9"/>
      <c r="AC219" s="9"/>
      <c r="AD219" s="9"/>
      <c r="AE219" s="9"/>
      <c r="AF219" s="9"/>
      <c r="AG219" s="9"/>
      <c r="AH219" s="9"/>
      <c r="AI219" s="9"/>
      <c r="AJ219" s="9"/>
    </row>
    <row r="220" spans="1:36" ht="15.75" thickBot="1" x14ac:dyDescent="0.3">
      <c r="A220" s="556" t="s">
        <v>264</v>
      </c>
      <c r="B220" s="565"/>
      <c r="C220" s="565"/>
      <c r="D220" s="565"/>
      <c r="E220" s="566"/>
      <c r="F220" s="566"/>
      <c r="G220" s="566"/>
      <c r="H220" s="559"/>
      <c r="I220" s="560"/>
      <c r="J220" s="560"/>
      <c r="K220" s="561">
        <f>K219/Production!G16</f>
        <v>2.2037638217139953E-5</v>
      </c>
      <c r="L220" s="559"/>
      <c r="M220" s="560"/>
      <c r="N220" s="560"/>
      <c r="O220" s="561">
        <f>O219/Production!D16</f>
        <v>7.7900767805520982E-5</v>
      </c>
      <c r="P220" s="559"/>
      <c r="Q220" s="560"/>
      <c r="R220" s="560"/>
      <c r="S220" s="561">
        <f>S219/Production!E16</f>
        <v>7.0304816994992732E-5</v>
      </c>
      <c r="T220" s="559"/>
      <c r="U220" s="560"/>
      <c r="V220" s="560"/>
      <c r="W220" s="561">
        <f>W219/Production!F16</f>
        <v>8.2632931798616013E-5</v>
      </c>
      <c r="X220" s="559">
        <f>X219/Production!G16</f>
        <v>7.3729843403724693E-5</v>
      </c>
      <c r="Y220" s="4711"/>
      <c r="Z220" s="9"/>
      <c r="AA220" s="9"/>
      <c r="AB220" s="9"/>
      <c r="AC220" s="9"/>
      <c r="AD220" s="9"/>
      <c r="AE220" s="9"/>
      <c r="AF220" s="9"/>
      <c r="AG220" s="9"/>
      <c r="AH220" s="9"/>
      <c r="AI220" s="9"/>
      <c r="AJ220" s="9"/>
    </row>
    <row r="221" spans="1:36" ht="15.75" thickBot="1" x14ac:dyDescent="0.3">
      <c r="A221" s="556" t="s">
        <v>265</v>
      </c>
      <c r="B221" s="565"/>
      <c r="C221" s="565"/>
      <c r="D221" s="565"/>
      <c r="E221" s="566"/>
      <c r="F221" s="566"/>
      <c r="G221" s="566"/>
      <c r="H221" s="562"/>
      <c r="I221" s="563"/>
      <c r="J221" s="563"/>
      <c r="K221" s="564">
        <f>K219/Production!C19</f>
        <v>2.5107360351843481E-4</v>
      </c>
      <c r="L221" s="562"/>
      <c r="M221" s="563"/>
      <c r="N221" s="563"/>
      <c r="O221" s="564">
        <f>O219/Production!D19</f>
        <v>2.8617382573722184E-4</v>
      </c>
      <c r="P221" s="562"/>
      <c r="Q221" s="563"/>
      <c r="R221" s="563"/>
      <c r="S221" s="564">
        <f>S219/Production!E19</f>
        <v>2.5429327938203151E-4</v>
      </c>
      <c r="T221" s="562"/>
      <c r="U221" s="563"/>
      <c r="V221" s="563"/>
      <c r="W221" s="564">
        <f>W219/Production!F19</f>
        <v>2.0116448651269825E-4</v>
      </c>
      <c r="X221" s="559">
        <f>X219/Production!G19</f>
        <v>2.5340683779909726E-4</v>
      </c>
      <c r="Y221" s="4711"/>
      <c r="Z221" s="9"/>
      <c r="AA221" s="9"/>
      <c r="AB221" s="9"/>
      <c r="AC221" s="9"/>
      <c r="AD221" s="9"/>
      <c r="AE221" s="9"/>
      <c r="AF221" s="9"/>
      <c r="AG221" s="9"/>
      <c r="AH221" s="9"/>
      <c r="AI221" s="9"/>
      <c r="AJ221" s="9"/>
    </row>
    <row r="222" spans="1:36" ht="15.75" thickBot="1" x14ac:dyDescent="0.3">
      <c r="A222" s="2940" t="s">
        <v>1043</v>
      </c>
      <c r="B222" s="2941"/>
      <c r="C222" s="2941"/>
      <c r="D222" s="2942"/>
      <c r="E222" s="2943"/>
      <c r="F222" s="2942"/>
      <c r="G222" s="2942"/>
      <c r="H222" s="2944"/>
      <c r="I222" s="2945"/>
      <c r="J222" s="2945"/>
      <c r="K222" s="2946">
        <v>0</v>
      </c>
      <c r="L222" s="2947"/>
      <c r="M222" s="2948"/>
      <c r="N222" s="2948"/>
      <c r="O222" s="2949">
        <v>0</v>
      </c>
      <c r="P222" s="2944"/>
      <c r="Q222" s="2945"/>
      <c r="R222" s="2945"/>
      <c r="S222" s="2946">
        <v>0</v>
      </c>
      <c r="T222" s="2944"/>
      <c r="U222" s="2945"/>
      <c r="V222" s="2945"/>
      <c r="W222" s="2946">
        <v>0</v>
      </c>
      <c r="X222" s="2914">
        <f>K222+O222+S222+W222</f>
        <v>0</v>
      </c>
      <c r="Y222" s="918"/>
      <c r="Z222" s="9"/>
      <c r="AA222" s="9"/>
      <c r="AB222" s="9"/>
      <c r="AC222" s="9"/>
      <c r="AD222" s="9"/>
      <c r="AE222" s="9"/>
      <c r="AF222" s="9"/>
      <c r="AG222" s="9"/>
      <c r="AH222" s="9"/>
      <c r="AI222" s="9"/>
      <c r="AJ222" s="9"/>
    </row>
    <row r="223" spans="1:36" x14ac:dyDescent="0.25">
      <c r="A223" s="9"/>
      <c r="B223" s="9"/>
      <c r="C223" s="9"/>
      <c r="D223" s="9"/>
      <c r="E223" s="9"/>
      <c r="F223" s="9"/>
      <c r="G223" s="9"/>
      <c r="H223" s="9"/>
      <c r="I223" s="9"/>
      <c r="J223" s="9"/>
      <c r="K223" s="9"/>
      <c r="L223" s="9"/>
      <c r="M223" s="9"/>
      <c r="N223" s="9"/>
      <c r="O223" s="9"/>
      <c r="P223" s="9"/>
      <c r="Q223" s="9"/>
      <c r="W223" s="9"/>
      <c r="X223" s="9"/>
      <c r="Z223" s="9"/>
      <c r="AA223" s="9"/>
      <c r="AB223" s="9"/>
      <c r="AC223" s="9"/>
      <c r="AD223" s="9"/>
      <c r="AE223" s="9"/>
      <c r="AF223" s="9"/>
      <c r="AG223" s="9"/>
      <c r="AH223" s="9"/>
      <c r="AI223" s="9"/>
      <c r="AJ223" s="9"/>
    </row>
    <row r="224" spans="1:36" x14ac:dyDescent="0.25">
      <c r="A224" s="1614" t="s">
        <v>623</v>
      </c>
      <c r="B224" s="39"/>
      <c r="C224" s="39"/>
      <c r="D224" s="39"/>
      <c r="E224" s="39"/>
      <c r="F224" s="39"/>
      <c r="G224" s="39"/>
      <c r="H224" s="39"/>
      <c r="I224" s="39"/>
      <c r="J224" s="39"/>
      <c r="K224" s="427">
        <f>K210+K173+K137+K101+K65</f>
        <v>5975.0114687999994</v>
      </c>
      <c r="L224" s="39"/>
      <c r="M224" s="39"/>
      <c r="N224" s="39"/>
      <c r="O224" s="39"/>
      <c r="P224" s="39"/>
      <c r="Q224" s="39"/>
      <c r="R224" s="39"/>
      <c r="S224" s="39"/>
      <c r="T224" s="39"/>
      <c r="U224" s="39"/>
      <c r="V224" s="39"/>
      <c r="W224" s="39"/>
      <c r="X224" s="39"/>
      <c r="Y224" s="39"/>
      <c r="Z224" s="39"/>
      <c r="AA224" s="39"/>
      <c r="AB224" s="39"/>
    </row>
    <row r="225" spans="1:28" x14ac:dyDescent="0.25">
      <c r="A225" s="1615" t="s">
        <v>630</v>
      </c>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c r="AA225" s="39"/>
      <c r="AB225" s="39"/>
    </row>
    <row r="226" spans="1:28" s="9" customFormat="1" ht="32.25" customHeight="1" x14ac:dyDescent="0.25">
      <c r="A226" s="5135" t="s">
        <v>1122</v>
      </c>
      <c r="B226" s="5135"/>
      <c r="C226" s="5135"/>
      <c r="D226" s="5135"/>
      <c r="E226" s="5135"/>
      <c r="F226" s="5135"/>
      <c r="G226" s="5135"/>
      <c r="H226" s="5135"/>
      <c r="I226" s="5135"/>
      <c r="J226" s="5135"/>
      <c r="K226" s="5135"/>
      <c r="L226" s="5135"/>
      <c r="M226" s="5135"/>
      <c r="N226" s="39"/>
      <c r="O226" s="39"/>
      <c r="P226" s="39"/>
      <c r="Q226" s="39"/>
      <c r="R226" s="39"/>
      <c r="S226" s="39"/>
      <c r="T226" s="39"/>
      <c r="U226" s="39"/>
      <c r="V226" s="39"/>
      <c r="W226" s="39"/>
      <c r="X226" s="39"/>
      <c r="Y226" s="39"/>
      <c r="Z226" s="39"/>
      <c r="AA226" s="39"/>
      <c r="AB226" s="39"/>
    </row>
    <row r="227" spans="1:28" s="9" customFormat="1" x14ac:dyDescent="0.25">
      <c r="A227" s="1615" t="s">
        <v>1143</v>
      </c>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c r="AA227" s="39"/>
      <c r="AB227" s="39"/>
    </row>
    <row r="228" spans="1:28" x14ac:dyDescent="0.25">
      <c r="A228" s="1796" t="s">
        <v>632</v>
      </c>
      <c r="B228" s="1796"/>
      <c r="C228" s="1796"/>
      <c r="D228" s="1796"/>
      <c r="E228" s="1796"/>
      <c r="F228" s="1796"/>
      <c r="G228" s="1796"/>
      <c r="H228" s="1796"/>
      <c r="I228" s="1796"/>
      <c r="J228" s="1796"/>
      <c r="K228" s="1796"/>
      <c r="L228" s="1796"/>
      <c r="M228" s="1796"/>
      <c r="N228" s="1796"/>
      <c r="O228" s="1796"/>
      <c r="P228" s="1796"/>
      <c r="Q228" s="39"/>
      <c r="R228" s="39"/>
      <c r="S228" s="39"/>
      <c r="T228" s="39"/>
      <c r="U228" s="39"/>
      <c r="V228" s="39"/>
      <c r="W228" s="39"/>
      <c r="X228" s="39"/>
      <c r="Y228" s="39"/>
      <c r="Z228" s="39"/>
      <c r="AA228" s="39"/>
      <c r="AB228" s="39"/>
    </row>
    <row r="229" spans="1:28" x14ac:dyDescent="0.25">
      <c r="A229" s="1796" t="s">
        <v>1144</v>
      </c>
      <c r="B229" s="1796"/>
      <c r="C229" s="1796"/>
      <c r="D229" s="1796"/>
      <c r="E229" s="1796"/>
      <c r="F229" s="1796"/>
      <c r="G229" s="1796"/>
      <c r="H229" s="1796"/>
      <c r="I229" s="1796"/>
      <c r="J229" s="1796"/>
      <c r="K229" s="1796"/>
      <c r="L229" s="1796"/>
      <c r="M229" s="1796"/>
      <c r="N229" s="1796"/>
      <c r="O229" s="1796"/>
      <c r="P229" s="1796"/>
      <c r="Q229" s="39"/>
      <c r="R229" s="39"/>
      <c r="S229" s="39"/>
      <c r="T229" s="39"/>
      <c r="U229" s="39"/>
      <c r="V229" s="39"/>
      <c r="W229" s="39"/>
      <c r="X229" s="39"/>
      <c r="Y229" s="39"/>
      <c r="Z229" s="39"/>
      <c r="AA229" s="39"/>
      <c r="AB229" s="39"/>
    </row>
    <row r="230" spans="1:28" s="9" customFormat="1" ht="17.25" customHeight="1" x14ac:dyDescent="0.25">
      <c r="A230" s="1796" t="s">
        <v>1145</v>
      </c>
      <c r="B230" s="1796"/>
      <c r="C230" s="1796"/>
      <c r="D230" s="1796"/>
      <c r="E230" s="1796"/>
      <c r="F230" s="1796"/>
      <c r="G230" s="1796"/>
      <c r="H230" s="1796"/>
      <c r="I230" s="1796"/>
      <c r="J230" s="1796"/>
      <c r="K230" s="1796"/>
      <c r="L230" s="1796"/>
      <c r="M230" s="1796"/>
      <c r="N230" s="1796"/>
      <c r="O230" s="1796"/>
      <c r="P230" s="1796"/>
      <c r="Q230" s="39"/>
      <c r="R230" s="39"/>
      <c r="S230" s="39"/>
      <c r="T230" s="39"/>
      <c r="U230" s="39"/>
      <c r="V230" s="39"/>
      <c r="W230" s="39"/>
      <c r="X230" s="39"/>
      <c r="Y230" s="39"/>
      <c r="Z230" s="39"/>
      <c r="AA230" s="39"/>
      <c r="AB230" s="39"/>
    </row>
    <row r="231" spans="1:28" s="9" customFormat="1" ht="17.25" customHeight="1" x14ac:dyDescent="0.35">
      <c r="A231" s="1796" t="s">
        <v>959</v>
      </c>
      <c r="B231" s="1796"/>
      <c r="C231" s="1796"/>
      <c r="D231" s="1796"/>
      <c r="E231" s="1796"/>
      <c r="F231" s="1796"/>
      <c r="G231" s="1796"/>
      <c r="H231" s="1796"/>
      <c r="I231" s="1796"/>
      <c r="J231" s="1796"/>
      <c r="K231" s="1796"/>
      <c r="L231" s="1796"/>
      <c r="M231" s="1796"/>
      <c r="N231" s="1796"/>
      <c r="O231" s="1796"/>
      <c r="P231" s="1796"/>
      <c r="Q231" s="39"/>
      <c r="R231" s="39"/>
      <c r="S231" s="39"/>
      <c r="T231" s="39"/>
      <c r="U231" s="39"/>
      <c r="V231" s="39"/>
      <c r="W231" s="39"/>
      <c r="X231" s="39"/>
      <c r="Y231" s="39"/>
      <c r="Z231" s="39"/>
      <c r="AA231" s="39"/>
      <c r="AB231" s="39"/>
    </row>
    <row r="232" spans="1:28" s="9" customFormat="1" ht="31.5" customHeight="1" x14ac:dyDescent="0.25">
      <c r="A232" s="5102" t="s">
        <v>1146</v>
      </c>
      <c r="B232" s="5102"/>
      <c r="C232" s="5102"/>
      <c r="D232" s="5102"/>
      <c r="E232" s="5102"/>
      <c r="F232" s="5102"/>
      <c r="G232" s="5102"/>
      <c r="H232" s="5102"/>
      <c r="I232" s="5102"/>
      <c r="J232" s="5102"/>
      <c r="K232" s="5102"/>
      <c r="L232" s="5102"/>
      <c r="M232" s="5102"/>
      <c r="N232" s="1796"/>
      <c r="O232" s="1796"/>
      <c r="P232" s="1796"/>
      <c r="Q232" s="39"/>
      <c r="R232" s="39"/>
      <c r="S232" s="39"/>
      <c r="T232" s="39"/>
      <c r="U232" s="39"/>
      <c r="V232" s="39"/>
      <c r="W232" s="39"/>
      <c r="X232" s="39"/>
      <c r="Y232" s="39"/>
      <c r="Z232" s="39"/>
      <c r="AA232" s="39"/>
      <c r="AB232" s="39"/>
    </row>
    <row r="233" spans="1:28" ht="36.75" customHeight="1" x14ac:dyDescent="0.25">
      <c r="A233" s="5102" t="s">
        <v>1147</v>
      </c>
      <c r="B233" s="5102"/>
      <c r="C233" s="5102"/>
      <c r="D233" s="5102"/>
      <c r="E233" s="5102"/>
      <c r="F233" s="5102"/>
      <c r="G233" s="5102"/>
      <c r="H233" s="5102"/>
      <c r="I233" s="5102"/>
      <c r="J233" s="5102"/>
      <c r="K233" s="5102"/>
      <c r="L233" s="5102"/>
      <c r="M233" s="1796"/>
      <c r="N233" s="1796"/>
      <c r="O233" s="1796"/>
      <c r="P233" s="1796"/>
      <c r="Q233" s="39"/>
      <c r="R233" s="39"/>
      <c r="S233" s="39"/>
      <c r="T233" s="39"/>
      <c r="U233" s="39"/>
      <c r="V233" s="39"/>
      <c r="W233" s="39"/>
      <c r="X233" s="39"/>
      <c r="Y233" s="39"/>
      <c r="Z233" s="39"/>
      <c r="AA233" s="39"/>
      <c r="AB233" s="39"/>
    </row>
    <row r="234" spans="1:28" s="9" customFormat="1" x14ac:dyDescent="0.25">
      <c r="A234" s="2518" t="s">
        <v>960</v>
      </c>
      <c r="B234" s="1796"/>
      <c r="C234" s="1796"/>
      <c r="D234" s="1796"/>
      <c r="E234" s="1796"/>
      <c r="F234" s="1796"/>
      <c r="G234" s="1796"/>
      <c r="H234" s="1796"/>
      <c r="I234" s="1796"/>
      <c r="J234" s="1796"/>
      <c r="K234" s="1796"/>
      <c r="L234" s="1796"/>
      <c r="M234" s="1796"/>
      <c r="N234" s="1796"/>
      <c r="O234" s="1796"/>
      <c r="P234" s="2519">
        <f>X219/X37</f>
        <v>1.8813884502872343E-3</v>
      </c>
      <c r="Q234" s="39"/>
      <c r="R234" s="39"/>
      <c r="S234" s="39"/>
      <c r="T234" s="39"/>
      <c r="U234" s="39"/>
      <c r="V234" s="39"/>
      <c r="W234" s="39"/>
      <c r="X234" s="39"/>
      <c r="Y234" s="39"/>
      <c r="Z234" s="39"/>
      <c r="AA234" s="39"/>
      <c r="AB234" s="39"/>
    </row>
    <row r="235" spans="1:28" s="9" customFormat="1" ht="63" customHeight="1" x14ac:dyDescent="0.25">
      <c r="A235" s="5102" t="s">
        <v>1148</v>
      </c>
      <c r="B235" s="5103"/>
      <c r="C235" s="5103"/>
      <c r="D235" s="5103"/>
      <c r="E235" s="5103"/>
      <c r="F235" s="5103"/>
      <c r="G235" s="5103"/>
      <c r="H235" s="5103"/>
      <c r="I235" s="5103"/>
      <c r="J235" s="5103"/>
      <c r="K235" s="5103"/>
      <c r="L235" s="5103"/>
      <c r="M235" s="5103"/>
      <c r="N235" s="5103"/>
      <c r="O235" s="5103"/>
      <c r="P235" s="5103"/>
      <c r="Q235" s="39"/>
      <c r="R235" s="39"/>
      <c r="S235" s="39"/>
      <c r="T235" s="39"/>
      <c r="U235" s="39"/>
      <c r="V235" s="39"/>
      <c r="W235" s="39"/>
      <c r="X235" s="39"/>
      <c r="Y235" s="39"/>
      <c r="Z235" s="39"/>
      <c r="AA235" s="39"/>
      <c r="AB235" s="39"/>
    </row>
    <row r="236" spans="1:28" s="9" customFormat="1" ht="17.25" customHeight="1" x14ac:dyDescent="0.25">
      <c r="A236" s="3133" t="s">
        <v>1140</v>
      </c>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c r="AA236" s="39"/>
      <c r="AB236" s="39"/>
    </row>
    <row r="237" spans="1:28" s="9" customFormat="1" x14ac:dyDescent="0.25">
      <c r="A237" s="225" t="s">
        <v>1142</v>
      </c>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c r="AA237" s="39">
        <v>428151851.08187026</v>
      </c>
      <c r="AB237" s="39"/>
    </row>
    <row r="238" spans="1:28" x14ac:dyDescent="0.25">
      <c r="A238" s="1616" t="s">
        <v>625</v>
      </c>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c r="AA238" s="39">
        <v>23644038.812775984</v>
      </c>
      <c r="AB238" s="39"/>
    </row>
    <row r="239" spans="1:28" x14ac:dyDescent="0.25">
      <c r="A239" s="39" t="s">
        <v>1141</v>
      </c>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c r="AA239" s="39">
        <v>7159.8671999999997</v>
      </c>
      <c r="AB239" s="39"/>
    </row>
    <row r="240" spans="1:28" x14ac:dyDescent="0.25">
      <c r="A240" s="39"/>
      <c r="B240" s="39"/>
      <c r="C240" s="39"/>
      <c r="D240" s="39"/>
      <c r="E240" s="39"/>
      <c r="F240" s="39"/>
      <c r="G240" s="39"/>
      <c r="H240" s="39"/>
      <c r="I240" s="39" t="s">
        <v>144</v>
      </c>
      <c r="J240" s="39"/>
      <c r="K240" s="39"/>
      <c r="L240" s="39"/>
      <c r="M240" s="39"/>
      <c r="N240" s="39"/>
      <c r="O240" s="39"/>
      <c r="P240" s="39"/>
      <c r="Q240" s="39"/>
      <c r="R240" s="39"/>
      <c r="S240" s="39"/>
      <c r="T240" s="39"/>
      <c r="U240" s="39"/>
      <c r="V240" s="39"/>
      <c r="W240" s="39"/>
      <c r="X240" s="39"/>
      <c r="Y240" s="39"/>
      <c r="Z240" s="39"/>
      <c r="AA240" s="39">
        <f>SUM(AA237:AA239)</f>
        <v>451803049.76184624</v>
      </c>
      <c r="AB240" s="39"/>
    </row>
    <row r="241" spans="1:28" ht="15.75" thickBot="1" x14ac:dyDescent="0.3">
      <c r="A241" s="1616" t="s">
        <v>626</v>
      </c>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c r="AA241" s="39"/>
      <c r="AB241" s="39"/>
    </row>
    <row r="242" spans="1:28" ht="50.25" customHeight="1" thickBot="1" x14ac:dyDescent="0.3">
      <c r="A242" s="39" t="s">
        <v>961</v>
      </c>
      <c r="B242" s="39"/>
      <c r="C242" s="39"/>
      <c r="D242" s="39"/>
      <c r="E242" s="39"/>
      <c r="F242" s="39"/>
      <c r="G242" s="39"/>
      <c r="H242" s="39"/>
      <c r="I242" s="39"/>
      <c r="J242" s="5099" t="s">
        <v>813</v>
      </c>
      <c r="K242" s="5100"/>
      <c r="L242" s="5100"/>
      <c r="M242" s="5100"/>
      <c r="N242" s="5101"/>
      <c r="O242" s="39" t="s">
        <v>1418</v>
      </c>
      <c r="P242" s="39"/>
      <c r="Q242" s="39"/>
      <c r="R242" s="5099" t="s">
        <v>1515</v>
      </c>
      <c r="S242" s="5100"/>
      <c r="T242" s="5100"/>
      <c r="U242" s="5100"/>
      <c r="V242" s="5101"/>
      <c r="W242" s="39"/>
      <c r="X242" s="4473"/>
      <c r="Y242" s="4473"/>
      <c r="Z242" s="4473"/>
      <c r="AA242" s="4473"/>
      <c r="AB242" s="4473"/>
    </row>
    <row r="243" spans="1:28" ht="48.75" customHeight="1" thickBot="1" x14ac:dyDescent="0.4">
      <c r="A243" s="39"/>
      <c r="B243" s="39"/>
      <c r="C243" s="39"/>
      <c r="D243" s="39"/>
      <c r="E243" s="39"/>
      <c r="F243" s="39"/>
      <c r="G243" s="39"/>
      <c r="H243" s="39"/>
      <c r="I243" s="39"/>
      <c r="J243" s="10" t="s">
        <v>322</v>
      </c>
      <c r="K243" s="15"/>
      <c r="L243" s="15" t="s">
        <v>800</v>
      </c>
      <c r="M243" s="15" t="s">
        <v>799</v>
      </c>
      <c r="N243" s="11" t="s">
        <v>326</v>
      </c>
      <c r="O243" s="39" t="s">
        <v>832</v>
      </c>
      <c r="P243" s="39"/>
      <c r="Q243" s="39"/>
      <c r="R243" s="10" t="s">
        <v>684</v>
      </c>
      <c r="S243" s="15"/>
      <c r="T243" s="4498" t="s">
        <v>1507</v>
      </c>
      <c r="U243" s="4651" t="s">
        <v>1508</v>
      </c>
      <c r="V243" s="4498" t="s">
        <v>1419</v>
      </c>
      <c r="W243" s="15" t="s">
        <v>326</v>
      </c>
      <c r="X243" s="5090" t="s">
        <v>1510</v>
      </c>
      <c r="Y243" s="5090"/>
      <c r="Z243" s="109" t="s">
        <v>1512</v>
      </c>
      <c r="AA243" s="4673" t="s">
        <v>1513</v>
      </c>
      <c r="AB243" s="39"/>
    </row>
    <row r="244" spans="1:28" ht="15.75" thickBot="1" x14ac:dyDescent="0.3">
      <c r="A244" s="1616" t="s">
        <v>624</v>
      </c>
      <c r="B244" s="39"/>
      <c r="C244" s="39"/>
      <c r="D244" s="39"/>
      <c r="E244" s="39"/>
      <c r="F244" s="39"/>
      <c r="G244" s="39"/>
      <c r="H244" s="39"/>
      <c r="I244" s="39"/>
      <c r="J244" s="27" t="s">
        <v>307</v>
      </c>
      <c r="K244" s="1910" t="s">
        <v>801</v>
      </c>
      <c r="L244" s="1911">
        <v>49752769.311927959</v>
      </c>
      <c r="M244" s="1929">
        <f>L244-14874583.48</f>
        <v>34878185.831927955</v>
      </c>
      <c r="N244" s="1462">
        <f>(M244-L244)/L244</f>
        <v>-0.29896996058134806</v>
      </c>
      <c r="O244" s="39"/>
      <c r="P244" s="427"/>
      <c r="Q244" s="39"/>
      <c r="R244" s="27" t="s">
        <v>307</v>
      </c>
      <c r="S244" s="1910" t="s">
        <v>801</v>
      </c>
      <c r="T244" s="4480">
        <v>37213785.585916296</v>
      </c>
      <c r="U244" s="4481">
        <f>X19</f>
        <v>27796453.882502552</v>
      </c>
      <c r="V244" s="4481">
        <f>U244</f>
        <v>27796453.882502552</v>
      </c>
      <c r="W244" s="4667">
        <f>(V244-U244)/U244</f>
        <v>0</v>
      </c>
      <c r="X244" s="109" t="s">
        <v>1511</v>
      </c>
      <c r="Y244" s="4669" t="s">
        <v>1509</v>
      </c>
      <c r="Z244" s="4670">
        <f>AA244</f>
        <v>428151851.08187026</v>
      </c>
      <c r="AA244" s="4496">
        <v>428151851.08187026</v>
      </c>
      <c r="AB244" s="1200"/>
    </row>
    <row r="245" spans="1:28" ht="50.25" customHeight="1" thickBot="1" x14ac:dyDescent="0.3">
      <c r="A245" s="5104" t="s">
        <v>962</v>
      </c>
      <c r="B245" s="5104"/>
      <c r="C245" s="5104"/>
      <c r="D245" s="5104"/>
      <c r="E245" s="5104"/>
      <c r="F245" s="5104"/>
      <c r="G245" s="5104"/>
      <c r="H245" s="39"/>
      <c r="I245" s="39"/>
      <c r="J245" s="28" t="s">
        <v>308</v>
      </c>
      <c r="K245" s="1901" t="s">
        <v>801</v>
      </c>
      <c r="L245" s="1530">
        <v>586745825.7535789</v>
      </c>
      <c r="M245" s="125">
        <f>L245-138462540.71</f>
        <v>448283285.04357886</v>
      </c>
      <c r="N245" s="1424">
        <f t="shared" ref="N245:N251" si="23">(M245-L245)/L245</f>
        <v>-0.23598385302897995</v>
      </c>
      <c r="O245" s="39"/>
      <c r="P245" s="427"/>
      <c r="Q245" s="39"/>
      <c r="R245" s="28" t="s">
        <v>308</v>
      </c>
      <c r="S245" s="1901" t="s">
        <v>801</v>
      </c>
      <c r="T245" s="4483">
        <v>438117862.48162729</v>
      </c>
      <c r="U245" s="4376">
        <f>Y245+X21+X23</f>
        <v>439023162.13513613</v>
      </c>
      <c r="V245" s="4376">
        <f>X24</f>
        <v>451800074.44664627</v>
      </c>
      <c r="W245" s="4667">
        <f t="shared" ref="W245:W256" si="24">(V245-U245)/U245</f>
        <v>2.9103048343443148E-2</v>
      </c>
      <c r="X245" s="4668">
        <f>Energy!V14</f>
        <v>44877590.54399997</v>
      </c>
      <c r="Y245" s="1402">
        <f>X245*0.2421504</f>
        <v>10867126.501265809</v>
      </c>
      <c r="Z245" s="4671">
        <f>Y245</f>
        <v>10867126.501265809</v>
      </c>
      <c r="AA245" s="4674">
        <v>23644038.812775984</v>
      </c>
      <c r="AB245" s="1200"/>
    </row>
    <row r="246" spans="1:28" ht="15.75" thickBot="1" x14ac:dyDescent="0.3">
      <c r="A246" s="39"/>
      <c r="B246" s="39"/>
      <c r="C246" s="39"/>
      <c r="D246" s="39"/>
      <c r="E246" s="39"/>
      <c r="F246" s="39"/>
      <c r="G246" s="39"/>
      <c r="H246" s="39"/>
      <c r="I246" s="39"/>
      <c r="J246" s="28" t="s">
        <v>309</v>
      </c>
      <c r="K246" s="1901" t="s">
        <v>801</v>
      </c>
      <c r="L246" s="1530">
        <v>7642341.5549044609</v>
      </c>
      <c r="M246" s="125">
        <f>L246-1327817.41</f>
        <v>6314524.1449044608</v>
      </c>
      <c r="N246" s="1424">
        <f t="shared" si="23"/>
        <v>-0.17374483991073067</v>
      </c>
      <c r="O246" s="39"/>
      <c r="P246" s="427"/>
      <c r="Q246" s="39"/>
      <c r="R246" s="28" t="s">
        <v>309</v>
      </c>
      <c r="S246" s="1901" t="s">
        <v>801</v>
      </c>
      <c r="T246" s="4483">
        <v>4916212.3858499099</v>
      </c>
      <c r="U246" s="4376">
        <f>X36</f>
        <v>3834611.69398</v>
      </c>
      <c r="V246" s="4376">
        <f>U246</f>
        <v>3834611.69398</v>
      </c>
      <c r="W246" s="4482">
        <f t="shared" si="24"/>
        <v>0</v>
      </c>
      <c r="X246" s="39"/>
      <c r="Y246" s="4491"/>
      <c r="Z246" s="4671">
        <f>AA246</f>
        <v>7159.8671999999997</v>
      </c>
      <c r="AA246" s="4674">
        <v>7159.8671999999997</v>
      </c>
      <c r="AB246" s="1200"/>
    </row>
    <row r="247" spans="1:28" s="9" customFormat="1" ht="15.75" thickBot="1" x14ac:dyDescent="0.3">
      <c r="A247" s="39"/>
      <c r="B247" s="39"/>
      <c r="C247" s="39"/>
      <c r="D247" s="39"/>
      <c r="E247" s="39"/>
      <c r="F247" s="39"/>
      <c r="G247" s="39"/>
      <c r="H247" s="39"/>
      <c r="I247" s="39"/>
      <c r="J247" s="1912">
        <v>-22</v>
      </c>
      <c r="K247" s="1901" t="s">
        <v>801</v>
      </c>
      <c r="L247" s="1530">
        <v>258544</v>
      </c>
      <c r="M247" s="125">
        <f>L247</f>
        <v>258544</v>
      </c>
      <c r="N247" s="1424">
        <f t="shared" si="23"/>
        <v>0</v>
      </c>
      <c r="O247" s="39"/>
      <c r="P247" s="39"/>
      <c r="Q247" s="39"/>
      <c r="R247" s="1912">
        <v>-22</v>
      </c>
      <c r="S247" s="1901" t="s">
        <v>801</v>
      </c>
      <c r="T247" s="4483">
        <v>227004.79999999999</v>
      </c>
      <c r="U247" s="4376">
        <f>X40</f>
        <v>171950</v>
      </c>
      <c r="V247" s="4376">
        <v>171950</v>
      </c>
      <c r="W247" s="4482">
        <f t="shared" si="24"/>
        <v>0</v>
      </c>
      <c r="X247" s="4492"/>
      <c r="Y247" s="4491"/>
      <c r="Z247" s="4672">
        <f>SUM(Z244:Z246)</f>
        <v>439026137.4503361</v>
      </c>
      <c r="AA247" s="1075">
        <f>SUM(AA244:AA246)</f>
        <v>451803049.76184624</v>
      </c>
      <c r="AB247" s="1200"/>
    </row>
    <row r="248" spans="1:28" ht="15.75" thickBot="1" x14ac:dyDescent="0.3">
      <c r="A248" s="1616" t="s">
        <v>627</v>
      </c>
      <c r="B248" s="39"/>
      <c r="C248" s="39"/>
      <c r="D248" s="39"/>
      <c r="E248" s="39"/>
      <c r="F248" s="39"/>
      <c r="G248" s="39"/>
      <c r="H248" s="39"/>
      <c r="I248" s="39"/>
      <c r="J248" s="1305" t="s">
        <v>389</v>
      </c>
      <c r="K248" s="1902" t="s">
        <v>802</v>
      </c>
      <c r="L248" s="1903">
        <v>644399.48</v>
      </c>
      <c r="M248" s="1904">
        <f>L248-'[4]GHG '!$X$139</f>
        <v>489734.53840048437</v>
      </c>
      <c r="N248" s="1913">
        <f t="shared" si="23"/>
        <v>-0.24001406953263776</v>
      </c>
      <c r="O248" s="39"/>
      <c r="P248" s="427"/>
      <c r="Q248" s="39"/>
      <c r="R248" s="1305" t="s">
        <v>389</v>
      </c>
      <c r="S248" s="1902" t="s">
        <v>802</v>
      </c>
      <c r="T248" s="4484">
        <v>644399.48</v>
      </c>
      <c r="U248" s="4485">
        <f>SUM(U244:U246)/1000</f>
        <v>470654.22771161865</v>
      </c>
      <c r="V248" s="4485">
        <f>SUM(V244:V246)/1000</f>
        <v>483431.14002312883</v>
      </c>
      <c r="W248" s="4675">
        <f t="shared" si="24"/>
        <v>2.7147131714152815E-2</v>
      </c>
      <c r="X248" s="39"/>
      <c r="Y248" s="4491"/>
      <c r="Z248" s="415"/>
      <c r="AA248" s="2003"/>
      <c r="AB248" s="1200"/>
    </row>
    <row r="249" spans="1:28" ht="30.75" thickBot="1" x14ac:dyDescent="0.3">
      <c r="A249" s="39" t="s">
        <v>963</v>
      </c>
      <c r="B249" s="39"/>
      <c r="C249" s="39"/>
      <c r="D249" s="39"/>
      <c r="E249" s="39"/>
      <c r="F249" s="39"/>
      <c r="G249" s="39"/>
      <c r="H249" s="39"/>
      <c r="I249" s="39"/>
      <c r="J249" s="1918" t="s">
        <v>803</v>
      </c>
      <c r="K249" s="1919" t="s">
        <v>804</v>
      </c>
      <c r="L249" s="1920">
        <v>4857767.3434534501</v>
      </c>
      <c r="M249" s="1469">
        <f>L249-1021931</f>
        <v>3835836.3434534501</v>
      </c>
      <c r="N249" s="1474">
        <f t="shared" si="23"/>
        <v>-0.21037051133731241</v>
      </c>
      <c r="O249" s="39"/>
      <c r="P249" s="39"/>
      <c r="Q249" s="39"/>
      <c r="R249" s="4663" t="s">
        <v>803</v>
      </c>
      <c r="S249" s="987" t="s">
        <v>804</v>
      </c>
      <c r="T249" s="4664">
        <v>480247.86045339348</v>
      </c>
      <c r="U249" s="2235">
        <f>Production!G19</f>
        <v>3589176.0903065316</v>
      </c>
      <c r="V249" s="2235">
        <f>U249</f>
        <v>3589176.0903065316</v>
      </c>
      <c r="W249" s="4482">
        <f t="shared" si="24"/>
        <v>0</v>
      </c>
      <c r="X249" s="226"/>
      <c r="Y249" s="39"/>
      <c r="Z249" s="415"/>
      <c r="AA249" s="2003"/>
      <c r="AB249" s="1200"/>
    </row>
    <row r="250" spans="1:28" ht="30.75" thickBot="1" x14ac:dyDescent="0.3">
      <c r="A250" s="39" t="s">
        <v>964</v>
      </c>
      <c r="B250" s="39"/>
      <c r="C250" s="39"/>
      <c r="D250" s="39"/>
      <c r="E250" s="39"/>
      <c r="F250" s="39"/>
      <c r="G250" s="39"/>
      <c r="H250" s="39"/>
      <c r="I250" s="39"/>
      <c r="J250" s="1923" t="s">
        <v>805</v>
      </c>
      <c r="K250" s="1924" t="s">
        <v>810</v>
      </c>
      <c r="L250" s="1925">
        <f>(L244+L245)/1000/L249</f>
        <v>0.13102698216358211</v>
      </c>
      <c r="M250" s="1925">
        <f>(M244+M245)/1000/M249</f>
        <v>0.12595987618192039</v>
      </c>
      <c r="N250" s="1926">
        <f t="shared" si="23"/>
        <v>-3.8672232985841243E-2</v>
      </c>
      <c r="O250" s="39"/>
      <c r="P250" s="39"/>
      <c r="Q250" s="39"/>
      <c r="R250" s="1923" t="s">
        <v>805</v>
      </c>
      <c r="S250" s="1924" t="s">
        <v>810</v>
      </c>
      <c r="T250" s="4486">
        <f>(T244+T245)/1000/T249</f>
        <v>0.98976317691200411</v>
      </c>
      <c r="U250" s="4486">
        <f>(U244+U245)/1000/U249</f>
        <v>0.13006316889227082</v>
      </c>
      <c r="V250" s="4486">
        <f>(V244+V245)/1000/V249</f>
        <v>0.13362301438049232</v>
      </c>
      <c r="W250" s="4482">
        <f t="shared" si="24"/>
        <v>2.7370127289225579E-2</v>
      </c>
      <c r="X250" s="39"/>
      <c r="Y250" s="4493"/>
      <c r="Z250" s="4494"/>
      <c r="AA250" s="4494"/>
      <c r="AB250" s="1200"/>
    </row>
    <row r="251" spans="1:28" ht="30.75" thickBot="1" x14ac:dyDescent="0.3">
      <c r="A251" s="39" t="s">
        <v>965</v>
      </c>
      <c r="B251" s="39"/>
      <c r="C251" s="39"/>
      <c r="D251" s="39"/>
      <c r="E251" s="39"/>
      <c r="F251" s="39"/>
      <c r="G251" s="39"/>
      <c r="H251" s="39"/>
      <c r="I251" s="39"/>
      <c r="J251" s="1915" t="s">
        <v>809</v>
      </c>
      <c r="K251" s="1908" t="s">
        <v>811</v>
      </c>
      <c r="L251" s="1909">
        <f>L248/L249</f>
        <v>0.1326534258311943</v>
      </c>
      <c r="M251" s="1930">
        <f>M248/M249</f>
        <v>0.12767347054216877</v>
      </c>
      <c r="N251" s="1916">
        <f t="shared" si="23"/>
        <v>-3.7541098225104909E-2</v>
      </c>
      <c r="O251" s="39"/>
      <c r="P251" s="39"/>
      <c r="Q251" s="39"/>
      <c r="R251" s="1915" t="s">
        <v>809</v>
      </c>
      <c r="S251" s="1908" t="s">
        <v>811</v>
      </c>
      <c r="T251" s="4487">
        <f>T248/T249</f>
        <v>1.3418060403051746</v>
      </c>
      <c r="U251" s="4487">
        <f>(U244+U245+U246)/1000/U249</f>
        <v>0.1311315510494841</v>
      </c>
      <c r="V251" s="4487">
        <f>(V244+V245+V246)/1000/V249</f>
        <v>0.13469139653770559</v>
      </c>
      <c r="W251" s="4482">
        <f t="shared" si="24"/>
        <v>2.7147131714152804E-2</v>
      </c>
      <c r="X251" s="226">
        <f>T251*1.03</f>
        <v>1.3820602215143298</v>
      </c>
      <c r="Y251" s="226"/>
      <c r="Z251" s="4494"/>
      <c r="AA251" s="4497"/>
      <c r="AB251" s="1200"/>
    </row>
    <row r="252" spans="1:28" ht="15.75" thickBot="1" x14ac:dyDescent="0.3">
      <c r="A252" s="39"/>
      <c r="B252" s="39"/>
      <c r="C252" s="39"/>
      <c r="D252" s="39"/>
      <c r="E252" s="39"/>
      <c r="F252" s="39"/>
      <c r="G252" s="225"/>
      <c r="H252" s="39"/>
      <c r="I252" s="39"/>
      <c r="J252" s="83" t="s">
        <v>703</v>
      </c>
      <c r="K252" s="85"/>
      <c r="L252" s="1927">
        <f>(L251-L250)/L250</f>
        <v>1.2413043792626172E-2</v>
      </c>
      <c r="M252" s="1927">
        <f>(M251-M250)/M250</f>
        <v>1.3604287430177164E-2</v>
      </c>
      <c r="N252" s="84"/>
      <c r="O252" s="39"/>
      <c r="P252" s="39"/>
      <c r="Q252" s="39"/>
      <c r="R252" s="83" t="s">
        <v>703</v>
      </c>
      <c r="S252" s="85"/>
      <c r="T252" s="4488">
        <f>(T251-T250)/T250</f>
        <v>0.35568393693077272</v>
      </c>
      <c r="U252" s="4488">
        <f t="shared" ref="U252:V252" si="25">(U251-U250)/U250</f>
        <v>8.2143328223703363E-3</v>
      </c>
      <c r="V252" s="4488">
        <f t="shared" si="25"/>
        <v>7.9954951036432416E-3</v>
      </c>
      <c r="W252" s="4482">
        <f t="shared" si="24"/>
        <v>-2.6640960800994994E-2</v>
      </c>
      <c r="X252" s="39"/>
      <c r="Y252" s="39"/>
      <c r="Z252" s="4053"/>
      <c r="AA252" s="4053"/>
      <c r="AB252" s="842"/>
    </row>
    <row r="253" spans="1:28" ht="33.75" customHeight="1" thickBot="1" x14ac:dyDescent="0.3">
      <c r="B253" s="39"/>
      <c r="C253" s="39"/>
      <c r="D253" s="39"/>
      <c r="E253" s="39"/>
      <c r="F253" s="39"/>
      <c r="G253" s="225"/>
      <c r="H253" s="39"/>
      <c r="I253" s="39"/>
      <c r="J253" s="1921" t="s">
        <v>806</v>
      </c>
      <c r="K253" s="989" t="s">
        <v>807</v>
      </c>
      <c r="L253" s="1528">
        <v>22712945.407933742</v>
      </c>
      <c r="M253" s="1529">
        <f>L253-8985200</f>
        <v>13727745.407933742</v>
      </c>
      <c r="N253" s="1922">
        <f>(M253-L253)/L253</f>
        <v>-0.39559818590773466</v>
      </c>
      <c r="O253" s="39"/>
      <c r="P253" s="39"/>
      <c r="Q253" s="39"/>
      <c r="R253" s="4665" t="s">
        <v>806</v>
      </c>
      <c r="S253" s="1506" t="s">
        <v>807</v>
      </c>
      <c r="T253" s="4666">
        <v>22712945.407933742</v>
      </c>
      <c r="U253" s="4481">
        <f>Production!G16</f>
        <v>12335870</v>
      </c>
      <c r="V253" s="4481">
        <f>U253</f>
        <v>12335870</v>
      </c>
      <c r="W253" s="4482">
        <f t="shared" si="24"/>
        <v>0</v>
      </c>
      <c r="X253" s="226"/>
      <c r="Y253" s="39"/>
      <c r="Z253" s="2003"/>
      <c r="AA253" s="2003"/>
      <c r="AB253" s="1200"/>
    </row>
    <row r="254" spans="1:28" ht="30.75" thickBot="1" x14ac:dyDescent="0.3">
      <c r="A254" s="39"/>
      <c r="B254" s="39"/>
      <c r="C254" s="39"/>
      <c r="D254" s="39"/>
      <c r="E254" s="39"/>
      <c r="F254" s="39"/>
      <c r="G254" s="39"/>
      <c r="H254" s="39"/>
      <c r="I254" s="39"/>
      <c r="J254" s="1315" t="s">
        <v>808</v>
      </c>
      <c r="K254" s="1905" t="s">
        <v>812</v>
      </c>
      <c r="L254" s="1906">
        <f>(L244+L245)/1000/L253</f>
        <v>2.802360432052E-2</v>
      </c>
      <c r="M254" s="1907">
        <f>(M244+M245)/1000/M253</f>
        <v>3.5195981315057821E-2</v>
      </c>
      <c r="N254" s="1914">
        <f>(M254-L254)/L254</f>
        <v>0.25594056041127877</v>
      </c>
      <c r="O254" s="39"/>
      <c r="P254" s="39"/>
      <c r="Q254" s="39"/>
      <c r="R254" s="1315" t="s">
        <v>808</v>
      </c>
      <c r="S254" s="1905" t="s">
        <v>812</v>
      </c>
      <c r="T254" s="4489">
        <f>(T244+T245)/1000/T253</f>
        <v>2.0927785433830521E-2</v>
      </c>
      <c r="U254" s="4489">
        <f t="shared" ref="U254:V254" si="26">(U244+U245)/1000/U253</f>
        <v>3.7842455863886272E-2</v>
      </c>
      <c r="V254" s="4489">
        <f t="shared" si="26"/>
        <v>3.8878208697817732E-2</v>
      </c>
      <c r="W254" s="4482">
        <f t="shared" si="24"/>
        <v>2.737012728922535E-2</v>
      </c>
      <c r="X254" s="39"/>
      <c r="Y254" s="4493"/>
      <c r="Z254" s="4494"/>
      <c r="AA254" s="2003"/>
      <c r="AB254" s="1200"/>
    </row>
    <row r="255" spans="1:28" ht="30.75" thickBot="1" x14ac:dyDescent="0.3">
      <c r="A255" s="1616" t="s">
        <v>628</v>
      </c>
      <c r="B255" s="39"/>
      <c r="C255" s="39"/>
      <c r="D255" s="39"/>
      <c r="E255" s="39"/>
      <c r="F255" s="39"/>
      <c r="G255" s="39"/>
      <c r="H255" s="39"/>
      <c r="I255" s="39"/>
      <c r="J255" s="1915" t="s">
        <v>809</v>
      </c>
      <c r="K255" s="1908" t="s">
        <v>811</v>
      </c>
      <c r="L255" s="1931">
        <f>L248/L253</f>
        <v>2.837146254817784E-2</v>
      </c>
      <c r="M255" s="1931">
        <f>M248/M253</f>
        <v>3.5674797561255016E-2</v>
      </c>
      <c r="N255" s="1916">
        <f>(M255-L255)/L255</f>
        <v>0.25741834777376443</v>
      </c>
      <c r="O255" s="39"/>
      <c r="P255" s="39"/>
      <c r="Q255" s="39"/>
      <c r="R255" s="1915" t="s">
        <v>809</v>
      </c>
      <c r="S255" s="1908" t="s">
        <v>1514</v>
      </c>
      <c r="T255" s="4479">
        <f>T248/T253</f>
        <v>2.837146254817784E-2</v>
      </c>
      <c r="U255" s="4479">
        <f>(U244+U245+U246)/1000/U253</f>
        <v>3.8153306391168082E-2</v>
      </c>
      <c r="V255" s="4479">
        <f>(V244+V245+V246)/1000/V253</f>
        <v>3.9189059225099555E-2</v>
      </c>
      <c r="W255" s="4482">
        <f t="shared" si="24"/>
        <v>2.7147131714152947E-2</v>
      </c>
      <c r="X255" s="226">
        <f>T255*1.03</f>
        <v>2.9222606424623175E-2</v>
      </c>
      <c r="Y255" s="226"/>
      <c r="Z255" s="4495"/>
      <c r="AA255" s="4495"/>
      <c r="AB255" s="1200"/>
    </row>
    <row r="256" spans="1:28" ht="15.75" thickBot="1" x14ac:dyDescent="0.3">
      <c r="A256" s="39" t="s">
        <v>859</v>
      </c>
      <c r="B256" s="39"/>
      <c r="C256" s="39"/>
      <c r="D256" s="39"/>
      <c r="E256" s="39"/>
      <c r="F256" s="39"/>
      <c r="G256" s="39"/>
      <c r="H256" s="39"/>
      <c r="I256" s="39"/>
      <c r="J256" s="1917" t="s">
        <v>703</v>
      </c>
      <c r="K256" s="987"/>
      <c r="L256" s="1928">
        <f>(L255-L254)/L254</f>
        <v>1.2413043792626073E-2</v>
      </c>
      <c r="M256" s="1928">
        <f>(M255-M254)/M254</f>
        <v>1.3604287430177251E-2</v>
      </c>
      <c r="N256" s="988"/>
      <c r="O256" s="39"/>
      <c r="P256" s="39"/>
      <c r="Q256" s="39"/>
      <c r="R256" s="1917" t="s">
        <v>703</v>
      </c>
      <c r="S256" s="987"/>
      <c r="T256" s="4490">
        <f>(T255-T254)/T254</f>
        <v>0.35568393693077272</v>
      </c>
      <c r="U256" s="2235"/>
      <c r="V256" s="4676">
        <f>(V255-V254)/V254</f>
        <v>7.9954951036432936E-3</v>
      </c>
      <c r="W256" s="4482" t="e">
        <f t="shared" si="24"/>
        <v>#DIV/0!</v>
      </c>
      <c r="X256" s="39"/>
      <c r="Y256" s="39"/>
      <c r="Z256" s="4053"/>
      <c r="AA256" s="4053"/>
      <c r="AB256" s="842"/>
    </row>
    <row r="257" spans="1:28" x14ac:dyDescent="0.25">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842"/>
      <c r="AA257" s="842"/>
      <c r="AB257" s="842"/>
    </row>
    <row r="258" spans="1:28" x14ac:dyDescent="0.25">
      <c r="A258" s="1616" t="s">
        <v>629</v>
      </c>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c r="AA258" s="39"/>
      <c r="AB258" s="39"/>
    </row>
    <row r="259" spans="1:28" x14ac:dyDescent="0.25">
      <c r="A259" s="1617">
        <v>0.05</v>
      </c>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c r="AA259" s="39"/>
      <c r="AB259" s="39"/>
    </row>
    <row r="260" spans="1:28" x14ac:dyDescent="0.25">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c r="AA260" s="39"/>
      <c r="AB260" s="39"/>
    </row>
    <row r="261" spans="1:28" x14ac:dyDescent="0.25">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c r="AA261" s="39"/>
      <c r="AB261" s="39"/>
    </row>
    <row r="262" spans="1:28" x14ac:dyDescent="0.25">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c r="AA262" s="39"/>
      <c r="AB262" s="39"/>
    </row>
    <row r="263" spans="1:28" x14ac:dyDescent="0.25">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c r="AA263" s="39"/>
      <c r="AB263" s="39"/>
    </row>
    <row r="264" spans="1:28" x14ac:dyDescent="0.25">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c r="AA264" s="39"/>
      <c r="AB264" s="39"/>
    </row>
    <row r="265" spans="1:28" x14ac:dyDescent="0.25">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c r="AA265" s="39"/>
      <c r="AB265" s="39"/>
    </row>
    <row r="266" spans="1:28" x14ac:dyDescent="0.25">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c r="AA266" s="39"/>
      <c r="AB266" s="39"/>
    </row>
    <row r="267" spans="1:28" x14ac:dyDescent="0.25">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c r="AA267" s="39"/>
      <c r="AB267" s="39"/>
    </row>
    <row r="268" spans="1:28" x14ac:dyDescent="0.25">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c r="AA268" s="39"/>
      <c r="AB268" s="39"/>
    </row>
    <row r="269" spans="1:28" x14ac:dyDescent="0.25">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c r="AA269" s="39"/>
      <c r="AB269" s="39"/>
    </row>
    <row r="270" spans="1:28" x14ac:dyDescent="0.25">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c r="AA270" s="39"/>
      <c r="AB270" s="39"/>
    </row>
    <row r="271" spans="1:28" x14ac:dyDescent="0.25">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c r="AA271" s="39"/>
      <c r="AB271" s="39"/>
    </row>
    <row r="272" spans="1:28" x14ac:dyDescent="0.25">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c r="AA272" s="39"/>
      <c r="AB272" s="39"/>
    </row>
    <row r="273" spans="1:28" x14ac:dyDescent="0.25">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c r="AA273" s="39"/>
      <c r="AB273" s="39"/>
    </row>
    <row r="274" spans="1:28" x14ac:dyDescent="0.25">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c r="AA274" s="39"/>
      <c r="AB274" s="39"/>
    </row>
    <row r="275" spans="1:28" x14ac:dyDescent="0.25">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c r="AA275" s="39"/>
      <c r="AB275" s="39"/>
    </row>
    <row r="276" spans="1:28" x14ac:dyDescent="0.25">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c r="AA276" s="39"/>
      <c r="AB276" s="39"/>
    </row>
    <row r="277" spans="1:28" x14ac:dyDescent="0.25">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c r="AA277" s="39"/>
      <c r="AB277" s="39"/>
    </row>
    <row r="278" spans="1:28" x14ac:dyDescent="0.25">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c r="AA278" s="39"/>
      <c r="AB278" s="39"/>
    </row>
    <row r="279" spans="1:28" x14ac:dyDescent="0.25">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c r="AA279" s="39"/>
      <c r="AB279" s="39"/>
    </row>
    <row r="280" spans="1:28" x14ac:dyDescent="0.25">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c r="AA280" s="39"/>
      <c r="AB280" s="39"/>
    </row>
    <row r="281" spans="1:28" x14ac:dyDescent="0.25">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c r="AA281" s="39"/>
      <c r="AB281" s="39"/>
    </row>
    <row r="282" spans="1:28" x14ac:dyDescent="0.25">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c r="AA282" s="39"/>
      <c r="AB282" s="39"/>
    </row>
    <row r="283" spans="1:28" x14ac:dyDescent="0.25">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c r="AA283" s="39"/>
      <c r="AB283" s="39"/>
    </row>
    <row r="284" spans="1:28" x14ac:dyDescent="0.25">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c r="AA284" s="39"/>
      <c r="AB284" s="39"/>
    </row>
    <row r="285" spans="1:28" x14ac:dyDescent="0.25">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c r="AA285" s="39"/>
      <c r="AB285" s="39"/>
    </row>
    <row r="286" spans="1:28" x14ac:dyDescent="0.25">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c r="AA286" s="39"/>
      <c r="AB286" s="39"/>
    </row>
    <row r="287" spans="1:28" x14ac:dyDescent="0.25">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c r="AA287" s="39"/>
      <c r="AB287" s="39"/>
    </row>
    <row r="288" spans="1:28" x14ac:dyDescent="0.25">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c r="AA288" s="39"/>
      <c r="AB288" s="39"/>
    </row>
    <row r="289" spans="1:28" x14ac:dyDescent="0.25">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c r="AA289" s="39"/>
      <c r="AB289" s="39"/>
    </row>
    <row r="290" spans="1:28" x14ac:dyDescent="0.25">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c r="AA290" s="39"/>
      <c r="AB290" s="39"/>
    </row>
    <row r="291" spans="1:28" x14ac:dyDescent="0.25">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c r="AA291" s="39"/>
      <c r="AB291" s="39"/>
    </row>
    <row r="292" spans="1:28" x14ac:dyDescent="0.25">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c r="AA292" s="39"/>
      <c r="AB292" s="39"/>
    </row>
    <row r="293" spans="1:28" x14ac:dyDescent="0.25">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c r="AA293" s="39"/>
      <c r="AB293" s="39"/>
    </row>
    <row r="294" spans="1:28" x14ac:dyDescent="0.25">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c r="AA294" s="39"/>
      <c r="AB294" s="39"/>
    </row>
    <row r="295" spans="1:28" x14ac:dyDescent="0.25">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c r="AA295" s="39"/>
      <c r="AB295" s="39"/>
    </row>
    <row r="296" spans="1:28" x14ac:dyDescent="0.25">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c r="AA296" s="39"/>
      <c r="AB296" s="39"/>
    </row>
    <row r="297" spans="1:28" x14ac:dyDescent="0.25">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c r="AA297" s="39"/>
      <c r="AB297" s="39"/>
    </row>
    <row r="298" spans="1:28" x14ac:dyDescent="0.25">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c r="AA298" s="39"/>
      <c r="AB298" s="39"/>
    </row>
    <row r="299" spans="1:28" x14ac:dyDescent="0.25">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c r="AA299" s="39"/>
      <c r="AB299" s="39"/>
    </row>
    <row r="300" spans="1:28" x14ac:dyDescent="0.25">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c r="AA300" s="39"/>
      <c r="AB300" s="39"/>
    </row>
    <row r="301" spans="1:28" x14ac:dyDescent="0.25">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c r="AA301" s="39"/>
      <c r="AB301" s="39"/>
    </row>
    <row r="302" spans="1:28" x14ac:dyDescent="0.25">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c r="AA302" s="39"/>
      <c r="AB302" s="39"/>
    </row>
    <row r="303" spans="1:28" x14ac:dyDescent="0.25">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c r="AA303" s="39"/>
      <c r="AB303" s="39"/>
    </row>
    <row r="304" spans="1:28" x14ac:dyDescent="0.25">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c r="AA304" s="39"/>
      <c r="AB304" s="39"/>
    </row>
    <row r="305" spans="1:28" x14ac:dyDescent="0.25">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c r="AA305" s="39"/>
      <c r="AB305" s="39"/>
    </row>
    <row r="306" spans="1:28" x14ac:dyDescent="0.25">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c r="AA306" s="39"/>
      <c r="AB306" s="39"/>
    </row>
    <row r="307" spans="1:28" x14ac:dyDescent="0.25">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c r="AA307" s="39"/>
      <c r="AB307" s="39"/>
    </row>
    <row r="308" spans="1:28" x14ac:dyDescent="0.25">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c r="AA308" s="39"/>
      <c r="AB308" s="39"/>
    </row>
    <row r="309" spans="1:28" x14ac:dyDescent="0.25">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c r="AA309" s="39"/>
      <c r="AB309" s="39"/>
    </row>
    <row r="310" spans="1:28" x14ac:dyDescent="0.25">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c r="AA310" s="39"/>
      <c r="AB310" s="39"/>
    </row>
    <row r="311" spans="1:28" x14ac:dyDescent="0.25">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c r="AA311" s="39"/>
      <c r="AB311" s="39"/>
    </row>
    <row r="312" spans="1:28" x14ac:dyDescent="0.25">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c r="AA312" s="39"/>
      <c r="AB312" s="39"/>
    </row>
    <row r="313" spans="1:28" x14ac:dyDescent="0.25">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c r="AA313" s="39"/>
      <c r="AB313" s="39"/>
    </row>
    <row r="314" spans="1:28" x14ac:dyDescent="0.25">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c r="AA314" s="39"/>
      <c r="AB314" s="39"/>
    </row>
    <row r="315" spans="1:28" x14ac:dyDescent="0.25">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c r="AA315" s="39"/>
      <c r="AB315" s="39"/>
    </row>
    <row r="316" spans="1:28" x14ac:dyDescent="0.25">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c r="AA316" s="39"/>
      <c r="AB316" s="39"/>
    </row>
    <row r="317" spans="1:28" x14ac:dyDescent="0.25">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c r="AA317" s="39"/>
      <c r="AB317" s="39"/>
    </row>
    <row r="318" spans="1:28" x14ac:dyDescent="0.25">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c r="AA318" s="39"/>
      <c r="AB318" s="39"/>
    </row>
    <row r="319" spans="1:28" x14ac:dyDescent="0.25">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c r="AA319" s="39"/>
      <c r="AB319" s="39"/>
    </row>
    <row r="320" spans="1:28" x14ac:dyDescent="0.25">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c r="AA320" s="39"/>
      <c r="AB320" s="39"/>
    </row>
    <row r="321" spans="1:28" x14ac:dyDescent="0.25">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c r="AA321" s="39"/>
      <c r="AB321" s="39"/>
    </row>
    <row r="322" spans="1:28" x14ac:dyDescent="0.25">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c r="AA322" s="39"/>
      <c r="AB322" s="39"/>
    </row>
    <row r="323" spans="1:28" x14ac:dyDescent="0.25">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c r="AA323" s="39"/>
      <c r="AB323" s="39"/>
    </row>
    <row r="324" spans="1:28" x14ac:dyDescent="0.25">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c r="AA324" s="39"/>
      <c r="AB324" s="39"/>
    </row>
    <row r="325" spans="1:28" x14ac:dyDescent="0.25">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c r="AA325" s="39"/>
      <c r="AB325" s="39"/>
    </row>
    <row r="326" spans="1:28" x14ac:dyDescent="0.25">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c r="AA326" s="39"/>
      <c r="AB326" s="39"/>
    </row>
    <row r="327" spans="1:28" x14ac:dyDescent="0.25">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c r="AA327" s="39"/>
      <c r="AB327" s="39"/>
    </row>
    <row r="328" spans="1:28" x14ac:dyDescent="0.25">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c r="AA328" s="39"/>
      <c r="AB328" s="39"/>
    </row>
    <row r="329" spans="1:28" x14ac:dyDescent="0.25">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c r="AA329" s="39"/>
      <c r="AB329" s="39"/>
    </row>
    <row r="330" spans="1:28" x14ac:dyDescent="0.25">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c r="AA330" s="39"/>
      <c r="AB330" s="39"/>
    </row>
    <row r="331" spans="1:28" x14ac:dyDescent="0.25">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c r="AA331" s="39"/>
      <c r="AB331" s="39"/>
    </row>
    <row r="332" spans="1:28" x14ac:dyDescent="0.25">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c r="AA332" s="39"/>
      <c r="AB332" s="39"/>
    </row>
    <row r="333" spans="1:28" x14ac:dyDescent="0.25">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c r="AA333" s="39"/>
      <c r="AB333" s="39"/>
    </row>
    <row r="334" spans="1:28" x14ac:dyDescent="0.25">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c r="AA334" s="39"/>
      <c r="AB334" s="39"/>
    </row>
    <row r="335" spans="1:28" x14ac:dyDescent="0.25">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c r="AA335" s="39"/>
      <c r="AB335" s="39"/>
    </row>
    <row r="336" spans="1:28" x14ac:dyDescent="0.25">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c r="AA336" s="39"/>
      <c r="AB336" s="39"/>
    </row>
    <row r="337" spans="1:28" x14ac:dyDescent="0.25">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c r="AA337" s="39"/>
      <c r="AB337" s="39"/>
    </row>
    <row r="338" spans="1:28" x14ac:dyDescent="0.25">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c r="AA338" s="39"/>
      <c r="AB338" s="39"/>
    </row>
    <row r="339" spans="1:28" x14ac:dyDescent="0.25">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c r="AA339" s="39"/>
      <c r="AB339" s="39"/>
    </row>
    <row r="340" spans="1:28" x14ac:dyDescent="0.25">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c r="AA340" s="39"/>
      <c r="AB340" s="39"/>
    </row>
    <row r="341" spans="1:28" x14ac:dyDescent="0.25">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c r="AA341" s="39"/>
      <c r="AB341" s="39"/>
    </row>
    <row r="342" spans="1:28" x14ac:dyDescent="0.25">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c r="AA342" s="39"/>
      <c r="AB342" s="39"/>
    </row>
    <row r="343" spans="1:28" x14ac:dyDescent="0.25">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c r="AA343" s="39"/>
      <c r="AB343" s="39"/>
    </row>
    <row r="344" spans="1:28" x14ac:dyDescent="0.25">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c r="AA344" s="39"/>
      <c r="AB344" s="39"/>
    </row>
    <row r="345" spans="1:28" x14ac:dyDescent="0.25">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c r="AA345" s="39"/>
      <c r="AB345" s="39"/>
    </row>
    <row r="346" spans="1:28" x14ac:dyDescent="0.25">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c r="AA346" s="39"/>
      <c r="AB346" s="39"/>
    </row>
    <row r="347" spans="1:28" x14ac:dyDescent="0.25">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c r="AA347" s="39"/>
      <c r="AB347" s="39"/>
    </row>
    <row r="348" spans="1:28" x14ac:dyDescent="0.25">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c r="AA348" s="39"/>
      <c r="AB348" s="39"/>
    </row>
    <row r="349" spans="1:28" x14ac:dyDescent="0.25">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c r="AA349" s="39"/>
      <c r="AB349" s="39"/>
    </row>
    <row r="350" spans="1:28" x14ac:dyDescent="0.25">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c r="AA350" s="39"/>
      <c r="AB350" s="39"/>
    </row>
    <row r="351" spans="1:28" x14ac:dyDescent="0.25">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c r="AA351" s="39"/>
      <c r="AB351" s="39"/>
    </row>
    <row r="352" spans="1:28" x14ac:dyDescent="0.25">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c r="AA352" s="39"/>
      <c r="AB352" s="39"/>
    </row>
    <row r="353" spans="1:28" x14ac:dyDescent="0.25">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c r="AA353" s="39"/>
      <c r="AB353" s="39"/>
    </row>
    <row r="354" spans="1:28" x14ac:dyDescent="0.25">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c r="AA354" s="39"/>
      <c r="AB354" s="39"/>
    </row>
    <row r="355" spans="1:28" x14ac:dyDescent="0.25">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c r="AA355" s="39"/>
      <c r="AB355" s="39"/>
    </row>
    <row r="356" spans="1:28" x14ac:dyDescent="0.25">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c r="AA356" s="39"/>
      <c r="AB356" s="39"/>
    </row>
    <row r="357" spans="1:28" x14ac:dyDescent="0.25">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c r="AA357" s="39"/>
      <c r="AB357" s="39"/>
    </row>
    <row r="358" spans="1:28" x14ac:dyDescent="0.25">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c r="AA358" s="39"/>
      <c r="AB358" s="39"/>
    </row>
    <row r="359" spans="1:28" x14ac:dyDescent="0.25">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c r="AA359" s="39"/>
      <c r="AB359" s="39"/>
    </row>
    <row r="360" spans="1:28" x14ac:dyDescent="0.25">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c r="AA360" s="39"/>
      <c r="AB360" s="39"/>
    </row>
    <row r="361" spans="1:28" x14ac:dyDescent="0.25">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c r="AA361" s="39"/>
      <c r="AB361" s="39"/>
    </row>
    <row r="362" spans="1:28" x14ac:dyDescent="0.25">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c r="AA362" s="39"/>
      <c r="AB362" s="39"/>
    </row>
    <row r="363" spans="1:28" x14ac:dyDescent="0.25">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c r="AA363" s="39"/>
      <c r="AB363" s="39"/>
    </row>
    <row r="364" spans="1:28" x14ac:dyDescent="0.25">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c r="AA364" s="39"/>
      <c r="AB364" s="39"/>
    </row>
    <row r="365" spans="1:28" x14ac:dyDescent="0.25">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c r="AA365" s="39"/>
      <c r="AB365" s="39"/>
    </row>
    <row r="366" spans="1:28" x14ac:dyDescent="0.25">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c r="AA366" s="39"/>
      <c r="AB366" s="39"/>
    </row>
    <row r="367" spans="1:28" x14ac:dyDescent="0.25">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c r="AA367" s="39"/>
      <c r="AB367" s="39"/>
    </row>
    <row r="368" spans="1:28" x14ac:dyDescent="0.25">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c r="AA368" s="39"/>
      <c r="AB368" s="39"/>
    </row>
    <row r="369" spans="1:28" x14ac:dyDescent="0.25">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c r="AA369" s="39"/>
      <c r="AB369" s="39"/>
    </row>
    <row r="370" spans="1:28" x14ac:dyDescent="0.25">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c r="AA370" s="39"/>
      <c r="AB370" s="39"/>
    </row>
    <row r="371" spans="1:28" x14ac:dyDescent="0.25">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c r="AA371" s="39"/>
      <c r="AB371" s="39"/>
    </row>
    <row r="372" spans="1:28" x14ac:dyDescent="0.25">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c r="AA372" s="39"/>
      <c r="AB372" s="39"/>
    </row>
    <row r="373" spans="1:28" x14ac:dyDescent="0.25">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c r="AA373" s="39"/>
      <c r="AB373" s="39"/>
    </row>
    <row r="374" spans="1:28" x14ac:dyDescent="0.25">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c r="AA374" s="39"/>
      <c r="AB374" s="39"/>
    </row>
    <row r="375" spans="1:28" x14ac:dyDescent="0.25">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c r="AA375" s="39"/>
      <c r="AB375" s="39"/>
    </row>
    <row r="376" spans="1:28" x14ac:dyDescent="0.25">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c r="AA376" s="39"/>
      <c r="AB376" s="39"/>
    </row>
    <row r="377" spans="1:28" x14ac:dyDescent="0.25">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c r="AA377" s="39"/>
      <c r="AB377" s="39"/>
    </row>
    <row r="378" spans="1:28" x14ac:dyDescent="0.25">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c r="AA378" s="39"/>
      <c r="AB378" s="39"/>
    </row>
    <row r="379" spans="1:28" x14ac:dyDescent="0.25">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c r="AA379" s="39"/>
      <c r="AB379" s="39"/>
    </row>
    <row r="380" spans="1:28" x14ac:dyDescent="0.25">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c r="AA380" s="39"/>
      <c r="AB380" s="39"/>
    </row>
    <row r="381" spans="1:28" x14ac:dyDescent="0.25">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c r="AA381" s="39"/>
      <c r="AB381" s="39"/>
    </row>
    <row r="382" spans="1:28" x14ac:dyDescent="0.25">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c r="AA382" s="39"/>
      <c r="AB382" s="39"/>
    </row>
    <row r="383" spans="1:28" x14ac:dyDescent="0.25">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c r="AA383" s="39"/>
      <c r="AB383" s="39"/>
    </row>
    <row r="384" spans="1:28" x14ac:dyDescent="0.25">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c r="AA384" s="39"/>
      <c r="AB384" s="39"/>
    </row>
    <row r="385" spans="1:28" x14ac:dyDescent="0.25">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c r="AA385" s="39"/>
      <c r="AB385" s="39"/>
    </row>
    <row r="386" spans="1:28" x14ac:dyDescent="0.25">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c r="AA386" s="39"/>
      <c r="AB386" s="39"/>
    </row>
    <row r="387" spans="1:28" x14ac:dyDescent="0.25">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c r="AA387" s="39"/>
      <c r="AB387" s="39"/>
    </row>
    <row r="388" spans="1:28" x14ac:dyDescent="0.25">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c r="AA388" s="39"/>
      <c r="AB388" s="39"/>
    </row>
    <row r="389" spans="1:28" x14ac:dyDescent="0.25">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c r="AA389" s="39"/>
      <c r="AB389" s="39"/>
    </row>
    <row r="390" spans="1:28" x14ac:dyDescent="0.25">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c r="AA390" s="39"/>
      <c r="AB390" s="39"/>
    </row>
    <row r="391" spans="1:28" x14ac:dyDescent="0.25">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c r="AA391" s="39"/>
      <c r="AB391" s="39"/>
    </row>
    <row r="392" spans="1:28" x14ac:dyDescent="0.25">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c r="AA392" s="39"/>
      <c r="AB392" s="39"/>
    </row>
    <row r="393" spans="1:28" x14ac:dyDescent="0.25">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c r="AA393" s="39"/>
      <c r="AB393" s="39"/>
    </row>
  </sheetData>
  <mergeCells count="61">
    <mergeCell ref="A232:M232"/>
    <mergeCell ref="A233:L233"/>
    <mergeCell ref="A226:M226"/>
    <mergeCell ref="R242:V242"/>
    <mergeCell ref="A186:G186"/>
    <mergeCell ref="H186:K186"/>
    <mergeCell ref="L186:O186"/>
    <mergeCell ref="P186:S186"/>
    <mergeCell ref="T186:W186"/>
    <mergeCell ref="A150:G150"/>
    <mergeCell ref="H150:K150"/>
    <mergeCell ref="L150:O150"/>
    <mergeCell ref="P150:S150"/>
    <mergeCell ref="T150:W150"/>
    <mergeCell ref="A114:G114"/>
    <mergeCell ref="H114:K114"/>
    <mergeCell ref="L114:O114"/>
    <mergeCell ref="P114:S114"/>
    <mergeCell ref="T114:W114"/>
    <mergeCell ref="H78:K78"/>
    <mergeCell ref="L78:O78"/>
    <mergeCell ref="P78:S78"/>
    <mergeCell ref="T78:W78"/>
    <mergeCell ref="H2:X2"/>
    <mergeCell ref="A3:G3"/>
    <mergeCell ref="H3:K3"/>
    <mergeCell ref="L3:O3"/>
    <mergeCell ref="P3:S3"/>
    <mergeCell ref="T3:W3"/>
    <mergeCell ref="A245:G245"/>
    <mergeCell ref="AK28:AL28"/>
    <mergeCell ref="AR3:AV3"/>
    <mergeCell ref="H52:K52"/>
    <mergeCell ref="L52:O52"/>
    <mergeCell ref="P52:S52"/>
    <mergeCell ref="T52:W52"/>
    <mergeCell ref="AM3:AQ3"/>
    <mergeCell ref="H41:X41"/>
    <mergeCell ref="A42:G42"/>
    <mergeCell ref="H42:K42"/>
    <mergeCell ref="L42:O42"/>
    <mergeCell ref="P42:S42"/>
    <mergeCell ref="T42:W42"/>
    <mergeCell ref="H77:X77"/>
    <mergeCell ref="A78:G78"/>
    <mergeCell ref="X243:Y243"/>
    <mergeCell ref="AC3:AD3"/>
    <mergeCell ref="AC10:AD10"/>
    <mergeCell ref="AC4:AD4"/>
    <mergeCell ref="AC11:AD11"/>
    <mergeCell ref="AC8:AD8"/>
    <mergeCell ref="AC12:AD12"/>
    <mergeCell ref="AC5:AD5"/>
    <mergeCell ref="AC6:AD6"/>
    <mergeCell ref="AC7:AD7"/>
    <mergeCell ref="AC9:AD9"/>
    <mergeCell ref="H113:X113"/>
    <mergeCell ref="H149:X149"/>
    <mergeCell ref="J242:N242"/>
    <mergeCell ref="A235:P235"/>
    <mergeCell ref="H185:X185"/>
  </mergeCells>
  <pageMargins left="0.7" right="0.7" top="0.75" bottom="0.75" header="0.3" footer="0.3"/>
  <pageSetup paperSize="8" orientation="landscape"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AB31"/>
  <sheetViews>
    <sheetView workbookViewId="0"/>
  </sheetViews>
  <sheetFormatPr defaultRowHeight="15" x14ac:dyDescent="0.25"/>
  <cols>
    <col min="1" max="1" width="25.5703125" style="9" bestFit="1" customWidth="1"/>
    <col min="2" max="2" width="9.85546875" style="9" bestFit="1" customWidth="1"/>
    <col min="3" max="3" width="10.85546875" style="9" bestFit="1" customWidth="1"/>
    <col min="4" max="4" width="11" style="9" customWidth="1"/>
    <col min="5" max="10" width="9.85546875" style="9" hidden="1" customWidth="1"/>
    <col min="11" max="12" width="10.85546875" style="9" hidden="1" customWidth="1"/>
    <col min="13" max="13" width="9.85546875" style="9" hidden="1" customWidth="1"/>
    <col min="14" max="14" width="11" style="9" bestFit="1" customWidth="1"/>
    <col min="15" max="15" width="10" style="9" bestFit="1" customWidth="1"/>
    <col min="16" max="17" width="9.28515625" style="9" bestFit="1" customWidth="1"/>
    <col min="18" max="19" width="10" style="9" bestFit="1" customWidth="1"/>
    <col min="20" max="21" width="9.28515625" style="9" bestFit="1" customWidth="1"/>
    <col min="22" max="22" width="10" style="9" bestFit="1" customWidth="1"/>
    <col min="23" max="26" width="9.140625" style="9"/>
    <col min="27" max="27" width="10.85546875" style="9" bestFit="1" customWidth="1"/>
    <col min="28" max="16384" width="9.140625" style="9"/>
  </cols>
  <sheetData>
    <row r="1" spans="1:28" x14ac:dyDescent="0.25">
      <c r="A1" s="40" t="s">
        <v>1262</v>
      </c>
    </row>
    <row r="2" spans="1:28" ht="15.75" thickBot="1" x14ac:dyDescent="0.3">
      <c r="O2" s="116"/>
    </row>
    <row r="3" spans="1:28" ht="15.75" thickBot="1" x14ac:dyDescent="0.3">
      <c r="B3" s="3552">
        <v>43664</v>
      </c>
      <c r="C3" s="3553">
        <v>43695</v>
      </c>
      <c r="D3" s="3553">
        <v>43726</v>
      </c>
      <c r="E3" s="3553">
        <v>43756</v>
      </c>
      <c r="F3" s="3553">
        <v>43787</v>
      </c>
      <c r="G3" s="3553">
        <v>43817</v>
      </c>
      <c r="H3" s="3553">
        <v>43848</v>
      </c>
      <c r="I3" s="3553">
        <v>43879</v>
      </c>
      <c r="J3" s="3553">
        <v>43908</v>
      </c>
      <c r="K3" s="3553">
        <v>43939</v>
      </c>
      <c r="L3" s="3553">
        <v>43969</v>
      </c>
      <c r="M3" s="3553">
        <v>44000</v>
      </c>
      <c r="N3" s="3554" t="s">
        <v>1263</v>
      </c>
      <c r="O3" s="3555" t="s">
        <v>209</v>
      </c>
      <c r="P3" s="3555" t="s">
        <v>1264</v>
      </c>
      <c r="Q3" s="3555" t="s">
        <v>211</v>
      </c>
      <c r="R3" s="3556" t="s">
        <v>1265</v>
      </c>
      <c r="S3" s="3557" t="s">
        <v>212</v>
      </c>
      <c r="T3" s="3557" t="s">
        <v>213</v>
      </c>
      <c r="U3" s="3557" t="s">
        <v>1048</v>
      </c>
      <c r="V3" s="3556" t="s">
        <v>1266</v>
      </c>
      <c r="W3" s="3555" t="s">
        <v>1267</v>
      </c>
      <c r="X3" s="3555" t="s">
        <v>682</v>
      </c>
      <c r="Y3" s="3555" t="s">
        <v>683</v>
      </c>
      <c r="Z3" s="3556" t="s">
        <v>95</v>
      </c>
      <c r="AA3" s="3558" t="s">
        <v>967</v>
      </c>
    </row>
    <row r="4" spans="1:28" x14ac:dyDescent="0.25">
      <c r="A4" s="3630" t="s">
        <v>1268</v>
      </c>
      <c r="B4" s="3573">
        <f>4307+6967+1284+13349</f>
        <v>25907</v>
      </c>
      <c r="C4" s="3574">
        <f>4783+1295+7939+13349</f>
        <v>27366</v>
      </c>
      <c r="D4" s="3575">
        <f>4386+7937+1324+13349</f>
        <v>26996</v>
      </c>
      <c r="E4" s="3567">
        <v>0</v>
      </c>
      <c r="F4" s="3551">
        <v>0</v>
      </c>
      <c r="G4" s="3551">
        <v>0</v>
      </c>
      <c r="H4" s="3551">
        <v>0</v>
      </c>
      <c r="I4" s="3551">
        <v>0</v>
      </c>
      <c r="J4" s="3551">
        <v>0</v>
      </c>
      <c r="K4" s="3551">
        <v>0</v>
      </c>
      <c r="L4" s="3551">
        <v>0</v>
      </c>
      <c r="M4" s="3559">
        <v>0</v>
      </c>
      <c r="N4" s="3610">
        <f t="shared" ref="N4:N9" si="0">SUM(B4:M4)</f>
        <v>80269</v>
      </c>
      <c r="O4" s="3592">
        <v>26996</v>
      </c>
      <c r="P4" s="3593">
        <v>27753</v>
      </c>
      <c r="Q4" s="3594">
        <v>28113</v>
      </c>
      <c r="R4" s="3618">
        <f t="shared" ref="R4:R9" si="1">SUM(O4:Q4)</f>
        <v>82862</v>
      </c>
      <c r="S4" s="3605">
        <v>30020</v>
      </c>
      <c r="T4" s="3593">
        <v>28967</v>
      </c>
      <c r="U4" s="3594">
        <v>30950</v>
      </c>
      <c r="V4" s="3618">
        <f t="shared" ref="V4:V9" si="2">SUM(S4:U4)</f>
        <v>89937</v>
      </c>
      <c r="W4" s="3605">
        <v>27801</v>
      </c>
      <c r="X4" s="3593">
        <v>28251</v>
      </c>
      <c r="Y4" s="3594">
        <v>22939</v>
      </c>
      <c r="Z4" s="3618">
        <f>SUM(W4:Y4)</f>
        <v>78991</v>
      </c>
      <c r="AA4" s="3624">
        <f>N4+R4+V4+Z4</f>
        <v>332059</v>
      </c>
    </row>
    <row r="5" spans="1:28" x14ac:dyDescent="0.25">
      <c r="A5" s="3631" t="s">
        <v>1269</v>
      </c>
      <c r="B5" s="3576">
        <f>25+10+10+63</f>
        <v>108</v>
      </c>
      <c r="C5" s="3540">
        <f>21+8+8+63</f>
        <v>100</v>
      </c>
      <c r="D5" s="3577">
        <f>26+11+11+63</f>
        <v>111</v>
      </c>
      <c r="E5" s="3568">
        <v>0</v>
      </c>
      <c r="F5" s="3535">
        <v>0</v>
      </c>
      <c r="G5" s="3535">
        <v>0</v>
      </c>
      <c r="H5" s="3535">
        <v>0</v>
      </c>
      <c r="I5" s="3535">
        <v>0</v>
      </c>
      <c r="J5" s="3535">
        <v>0</v>
      </c>
      <c r="K5" s="3535">
        <v>0</v>
      </c>
      <c r="L5" s="3535">
        <v>0</v>
      </c>
      <c r="M5" s="3560">
        <v>0</v>
      </c>
      <c r="N5" s="3611">
        <f t="shared" si="0"/>
        <v>319</v>
      </c>
      <c r="O5" s="3595">
        <v>111</v>
      </c>
      <c r="P5" s="3546">
        <v>104</v>
      </c>
      <c r="Q5" s="3596">
        <v>104</v>
      </c>
      <c r="R5" s="3619">
        <f t="shared" si="1"/>
        <v>319</v>
      </c>
      <c r="S5" s="3606">
        <v>109</v>
      </c>
      <c r="T5" s="3546">
        <v>108</v>
      </c>
      <c r="U5" s="3596">
        <v>113</v>
      </c>
      <c r="V5" s="3619">
        <f t="shared" si="2"/>
        <v>330</v>
      </c>
      <c r="W5" s="3606">
        <v>207</v>
      </c>
      <c r="X5" s="3546">
        <v>176</v>
      </c>
      <c r="Y5" s="3596">
        <v>148</v>
      </c>
      <c r="Z5" s="3619">
        <f t="shared" ref="Z5:Z14" si="3">SUM(W5:Y5)</f>
        <v>531</v>
      </c>
      <c r="AA5" s="3625">
        <f t="shared" ref="AA5:AA14" si="4">N5+R5+V5+Z5</f>
        <v>1499</v>
      </c>
    </row>
    <row r="6" spans="1:28" x14ac:dyDescent="0.25">
      <c r="A6" s="3632" t="s">
        <v>1270</v>
      </c>
      <c r="B6" s="3578">
        <f>7114.17+2018.02+6299.14</f>
        <v>15431.330000000002</v>
      </c>
      <c r="C6" s="3541">
        <f>11923.82+8628.87+5078.6</f>
        <v>25631.29</v>
      </c>
      <c r="D6" s="3579">
        <f>4752.14+5106.79</f>
        <v>9858.93</v>
      </c>
      <c r="E6" s="3569">
        <v>0</v>
      </c>
      <c r="F6" s="3538">
        <v>0</v>
      </c>
      <c r="G6" s="3538">
        <v>0</v>
      </c>
      <c r="H6" s="3538">
        <v>0</v>
      </c>
      <c r="I6" s="3538">
        <v>0</v>
      </c>
      <c r="J6" s="3538">
        <v>0</v>
      </c>
      <c r="K6" s="3538">
        <v>0</v>
      </c>
      <c r="L6" s="3538">
        <v>0</v>
      </c>
      <c r="M6" s="3561">
        <v>0</v>
      </c>
      <c r="N6" s="3612">
        <f t="shared" si="0"/>
        <v>50921.55</v>
      </c>
      <c r="O6" s="3597">
        <v>28080.949999999997</v>
      </c>
      <c r="P6" s="3547">
        <v>3275.3999999999996</v>
      </c>
      <c r="Q6" s="3598">
        <v>10071.200000000001</v>
      </c>
      <c r="R6" s="3620">
        <f t="shared" si="1"/>
        <v>41427.550000000003</v>
      </c>
      <c r="S6" s="3607">
        <v>18991.649999999998</v>
      </c>
      <c r="T6" s="3547">
        <v>6040.29</v>
      </c>
      <c r="U6" s="3598">
        <v>8457.36</v>
      </c>
      <c r="V6" s="3620">
        <f t="shared" si="2"/>
        <v>33489.300000000003</v>
      </c>
      <c r="W6" s="3607">
        <v>11660.49</v>
      </c>
      <c r="X6" s="3547">
        <v>5811.56</v>
      </c>
      <c r="Y6" s="3598">
        <v>9607.86</v>
      </c>
      <c r="Z6" s="3620">
        <f t="shared" si="3"/>
        <v>27079.91</v>
      </c>
      <c r="AA6" s="3626">
        <f t="shared" si="4"/>
        <v>152918.31</v>
      </c>
    </row>
    <row r="7" spans="1:28" x14ac:dyDescent="0.25">
      <c r="A7" s="3633" t="s">
        <v>1271</v>
      </c>
      <c r="B7" s="3580">
        <f>287.8+905.65+1071.82+11035.38+9316.44+16786.63+5574+1090.94</f>
        <v>46068.66</v>
      </c>
      <c r="C7" s="3542">
        <f>7525.01+1589.1+3758.45+2078+1685.6+12163.26+8732.92+2084+8042.75+4873.31+80064.53+21831.39+8688.23</f>
        <v>163116.55000000002</v>
      </c>
      <c r="D7" s="3581">
        <f>1632.1+3846.2+20735.45+4243.65+441.2+873.45+1528.05+4877.5+6041.9+3827.2+8623.55+9820</f>
        <v>66490.25</v>
      </c>
      <c r="E7" s="3570">
        <v>0</v>
      </c>
      <c r="F7" s="3539">
        <v>0</v>
      </c>
      <c r="G7" s="3539">
        <v>0</v>
      </c>
      <c r="H7" s="3539">
        <v>0</v>
      </c>
      <c r="I7" s="3539">
        <v>0</v>
      </c>
      <c r="J7" s="3539">
        <v>0</v>
      </c>
      <c r="K7" s="3539">
        <v>0</v>
      </c>
      <c r="L7" s="3539">
        <v>0</v>
      </c>
      <c r="M7" s="3562">
        <v>0</v>
      </c>
      <c r="N7" s="3613">
        <f t="shared" si="0"/>
        <v>275675.46000000002</v>
      </c>
      <c r="O7" s="3597">
        <v>151463.14000000001</v>
      </c>
      <c r="P7" s="3547">
        <v>74513.800000000017</v>
      </c>
      <c r="Q7" s="3598">
        <v>55958.95</v>
      </c>
      <c r="R7" s="3620">
        <f t="shared" si="1"/>
        <v>281935.89</v>
      </c>
      <c r="S7" s="3607">
        <v>144875.34</v>
      </c>
      <c r="T7" s="3547">
        <v>42575.77</v>
      </c>
      <c r="U7" s="3598">
        <v>54802.69</v>
      </c>
      <c r="V7" s="3620">
        <f t="shared" si="2"/>
        <v>242253.8</v>
      </c>
      <c r="W7" s="3607">
        <v>10213.6</v>
      </c>
      <c r="X7" s="3547">
        <v>33016.700000000004</v>
      </c>
      <c r="Y7" s="3598">
        <v>50760.700000000004</v>
      </c>
      <c r="Z7" s="3620">
        <f t="shared" si="3"/>
        <v>93991</v>
      </c>
      <c r="AA7" s="3626">
        <f t="shared" si="4"/>
        <v>893856.15000000014</v>
      </c>
    </row>
    <row r="8" spans="1:28" x14ac:dyDescent="0.25">
      <c r="A8" s="3631" t="s">
        <v>1272</v>
      </c>
      <c r="B8" s="3576">
        <f t="shared" ref="B8:D9" si="5">B6/B10</f>
        <v>988.55413196668815</v>
      </c>
      <c r="C8" s="3540">
        <f t="shared" si="5"/>
        <v>1630.4891857506361</v>
      </c>
      <c r="D8" s="3577">
        <f t="shared" si="5"/>
        <v>622.80037902716367</v>
      </c>
      <c r="E8" s="1547"/>
      <c r="F8" s="3534"/>
      <c r="G8" s="3534"/>
      <c r="H8" s="3534"/>
      <c r="I8" s="3534"/>
      <c r="J8" s="3534"/>
      <c r="K8" s="3534"/>
      <c r="L8" s="3534"/>
      <c r="M8" s="3563"/>
      <c r="N8" s="3614">
        <f t="shared" si="0"/>
        <v>3241.8436967444882</v>
      </c>
      <c r="O8" s="3595">
        <f t="shared" ref="O8:Q9" si="6">O6/O10</f>
        <v>1778.4008866371121</v>
      </c>
      <c r="P8" s="3545">
        <f t="shared" si="6"/>
        <v>209.15708812260533</v>
      </c>
      <c r="Q8" s="3599">
        <f t="shared" si="6"/>
        <v>634.2065491183879</v>
      </c>
      <c r="R8" s="3621">
        <f t="shared" si="1"/>
        <v>2621.7645238781051</v>
      </c>
      <c r="S8" s="3606">
        <f t="shared" ref="S8:U9" si="7">S6/S10</f>
        <v>1198.967803030303</v>
      </c>
      <c r="T8" s="3546">
        <f t="shared" si="7"/>
        <v>384.48695098663268</v>
      </c>
      <c r="U8" s="3596">
        <f t="shared" si="7"/>
        <v>544.93298969072168</v>
      </c>
      <c r="V8" s="3619">
        <f t="shared" si="2"/>
        <v>2128.3877437076571</v>
      </c>
      <c r="W8" s="3606">
        <f t="shared" ref="W8:Y9" si="8">W6/W10</f>
        <v>847.41933139534888</v>
      </c>
      <c r="X8" s="3546">
        <f t="shared" si="8"/>
        <v>483.49084858569057</v>
      </c>
      <c r="Y8" s="3596">
        <f t="shared" si="8"/>
        <v>727.86818181818194</v>
      </c>
      <c r="Z8" s="3619">
        <f t="shared" si="3"/>
        <v>2058.7783617992213</v>
      </c>
      <c r="AA8" s="3625">
        <f t="shared" si="4"/>
        <v>10050.774326129471</v>
      </c>
    </row>
    <row r="9" spans="1:28" x14ac:dyDescent="0.25">
      <c r="A9" s="3634" t="s">
        <v>1273</v>
      </c>
      <c r="B9" s="3582">
        <f t="shared" si="5"/>
        <v>3174.9593383873193</v>
      </c>
      <c r="C9" s="3543">
        <f t="shared" si="5"/>
        <v>11351.186499652054</v>
      </c>
      <c r="D9" s="3583">
        <f t="shared" si="5"/>
        <v>4544.7881066302116</v>
      </c>
      <c r="E9" s="3571"/>
      <c r="F9" s="3536"/>
      <c r="G9" s="3536"/>
      <c r="H9" s="3536"/>
      <c r="I9" s="3536"/>
      <c r="J9" s="3536"/>
      <c r="K9" s="3536"/>
      <c r="L9" s="3536"/>
      <c r="M9" s="3564"/>
      <c r="N9" s="3614">
        <f t="shared" si="0"/>
        <v>19070.933944669585</v>
      </c>
      <c r="O9" s="3600">
        <f t="shared" si="6"/>
        <v>10178.974462365592</v>
      </c>
      <c r="P9" s="3548">
        <f t="shared" si="6"/>
        <v>5055.2103120759848</v>
      </c>
      <c r="Q9" s="3601">
        <f t="shared" si="6"/>
        <v>3838.0624142661177</v>
      </c>
      <c r="R9" s="3621">
        <f t="shared" si="1"/>
        <v>19072.247188707694</v>
      </c>
      <c r="S9" s="3606">
        <f t="shared" si="7"/>
        <v>9875.61963190184</v>
      </c>
      <c r="T9" s="3546">
        <f t="shared" si="7"/>
        <v>2912.159370725034</v>
      </c>
      <c r="U9" s="3596">
        <f t="shared" si="7"/>
        <v>3892.2365056818185</v>
      </c>
      <c r="V9" s="3619">
        <f t="shared" si="2"/>
        <v>16680.015508308694</v>
      </c>
      <c r="W9" s="3606">
        <f t="shared" si="8"/>
        <v>801.06666666666672</v>
      </c>
      <c r="X9" s="3546">
        <f t="shared" si="8"/>
        <v>2950.554066130474</v>
      </c>
      <c r="Y9" s="3596">
        <f t="shared" si="8"/>
        <v>4452.6929824561403</v>
      </c>
      <c r="Z9" s="3619">
        <f t="shared" si="3"/>
        <v>8204.31371525328</v>
      </c>
      <c r="AA9" s="3625">
        <f t="shared" si="4"/>
        <v>63027.510356939252</v>
      </c>
      <c r="AB9" s="9" t="s">
        <v>1274</v>
      </c>
    </row>
    <row r="10" spans="1:28" x14ac:dyDescent="0.25">
      <c r="A10" s="3635" t="s">
        <v>1275</v>
      </c>
      <c r="B10" s="3584">
        <v>15.61</v>
      </c>
      <c r="C10" s="3532">
        <v>15.72</v>
      </c>
      <c r="D10" s="3585">
        <v>15.83</v>
      </c>
      <c r="E10" s="108"/>
      <c r="F10" s="76"/>
      <c r="G10" s="76"/>
      <c r="H10" s="76"/>
      <c r="I10" s="76"/>
      <c r="J10" s="76"/>
      <c r="K10" s="76"/>
      <c r="L10" s="76"/>
      <c r="M10" s="106"/>
      <c r="N10" s="3615"/>
      <c r="O10" s="3602">
        <v>15.79</v>
      </c>
      <c r="P10" s="3549">
        <v>15.66</v>
      </c>
      <c r="Q10" s="3603">
        <v>15.88</v>
      </c>
      <c r="R10" s="3615"/>
      <c r="S10" s="3608">
        <v>15.84</v>
      </c>
      <c r="T10" s="3550">
        <v>15.71</v>
      </c>
      <c r="U10" s="3609">
        <v>15.52</v>
      </c>
      <c r="V10" s="3615"/>
      <c r="W10" s="3608">
        <v>13.76</v>
      </c>
      <c r="X10" s="3550">
        <v>12.02</v>
      </c>
      <c r="Y10" s="3609">
        <v>13.2</v>
      </c>
      <c r="Z10" s="3622"/>
      <c r="AA10" s="3627"/>
      <c r="AB10" s="3566">
        <v>14.83</v>
      </c>
    </row>
    <row r="11" spans="1:28" x14ac:dyDescent="0.25">
      <c r="A11" s="3636" t="s">
        <v>1276</v>
      </c>
      <c r="B11" s="3586">
        <v>14.51</v>
      </c>
      <c r="C11" s="3533">
        <v>14.37</v>
      </c>
      <c r="D11" s="3585">
        <v>14.63</v>
      </c>
      <c r="E11" s="108"/>
      <c r="F11" s="76"/>
      <c r="G11" s="76"/>
      <c r="H11" s="76"/>
      <c r="I11" s="76"/>
      <c r="J11" s="76"/>
      <c r="K11" s="76"/>
      <c r="L11" s="76"/>
      <c r="M11" s="106"/>
      <c r="N11" s="3615"/>
      <c r="O11" s="3604">
        <v>14.88</v>
      </c>
      <c r="P11" s="3549">
        <v>14.74</v>
      </c>
      <c r="Q11" s="3603">
        <v>14.58</v>
      </c>
      <c r="R11" s="3615"/>
      <c r="S11" s="3608">
        <v>14.67</v>
      </c>
      <c r="T11" s="3550">
        <v>14.62</v>
      </c>
      <c r="U11" s="3609">
        <v>14.08</v>
      </c>
      <c r="V11" s="3615"/>
      <c r="W11" s="3608">
        <v>12.75</v>
      </c>
      <c r="X11" s="3550">
        <v>11.19</v>
      </c>
      <c r="Y11" s="3609">
        <v>11.4</v>
      </c>
      <c r="Z11" s="3622"/>
      <c r="AA11" s="3628">
        <f t="shared" si="4"/>
        <v>0</v>
      </c>
      <c r="AB11" s="3566">
        <v>13.09</v>
      </c>
    </row>
    <row r="12" spans="1:28" x14ac:dyDescent="0.25">
      <c r="A12" s="3632" t="s">
        <v>1277</v>
      </c>
      <c r="B12" s="3587">
        <v>50</v>
      </c>
      <c r="C12" s="3544">
        <v>0</v>
      </c>
      <c r="D12" s="3588">
        <v>26</v>
      </c>
      <c r="E12" s="3572"/>
      <c r="F12" s="3537"/>
      <c r="G12" s="3537"/>
      <c r="H12" s="3537"/>
      <c r="I12" s="3537"/>
      <c r="J12" s="3537"/>
      <c r="K12" s="3537"/>
      <c r="L12" s="3537"/>
      <c r="M12" s="3565"/>
      <c r="N12" s="3616">
        <f>SUM(B12:D12)</f>
        <v>76</v>
      </c>
      <c r="O12" s="3587">
        <v>75</v>
      </c>
      <c r="P12" s="3544">
        <v>0</v>
      </c>
      <c r="Q12" s="3588">
        <v>0</v>
      </c>
      <c r="R12" s="3616">
        <f>SUM(O12:Q12)</f>
        <v>75</v>
      </c>
      <c r="S12" s="3587">
        <v>50</v>
      </c>
      <c r="T12" s="3544">
        <v>0</v>
      </c>
      <c r="U12" s="3588">
        <v>251</v>
      </c>
      <c r="V12" s="3616">
        <f>SUM(S12:U12)</f>
        <v>301</v>
      </c>
      <c r="W12" s="3587">
        <v>0</v>
      </c>
      <c r="X12" s="3544">
        <v>0</v>
      </c>
      <c r="Y12" s="3588">
        <v>0</v>
      </c>
      <c r="Z12" s="3620">
        <f t="shared" si="3"/>
        <v>0</v>
      </c>
      <c r="AA12" s="3626">
        <f t="shared" si="4"/>
        <v>452</v>
      </c>
    </row>
    <row r="13" spans="1:28" x14ac:dyDescent="0.25">
      <c r="A13" s="3632" t="s">
        <v>1278</v>
      </c>
      <c r="B13" s="3587">
        <v>0</v>
      </c>
      <c r="C13" s="3544">
        <v>0</v>
      </c>
      <c r="D13" s="3588">
        <v>0</v>
      </c>
      <c r="E13" s="3572"/>
      <c r="F13" s="3537"/>
      <c r="G13" s="3537"/>
      <c r="H13" s="3537"/>
      <c r="I13" s="3537"/>
      <c r="J13" s="3537"/>
      <c r="K13" s="3537"/>
      <c r="L13" s="3537"/>
      <c r="M13" s="3565"/>
      <c r="N13" s="3616">
        <f>SUM(B13:D13)</f>
        <v>0</v>
      </c>
      <c r="O13" s="3587">
        <v>0</v>
      </c>
      <c r="P13" s="3544">
        <v>0</v>
      </c>
      <c r="Q13" s="3588">
        <v>0</v>
      </c>
      <c r="R13" s="3616">
        <f>SUM(O13:Q13)</f>
        <v>0</v>
      </c>
      <c r="S13" s="3587">
        <v>5</v>
      </c>
      <c r="T13" s="3544">
        <v>0</v>
      </c>
      <c r="U13" s="3588">
        <v>0</v>
      </c>
      <c r="V13" s="3616">
        <f>SUM(S13:U13)</f>
        <v>5</v>
      </c>
      <c r="W13" s="3587">
        <v>0</v>
      </c>
      <c r="X13" s="3544">
        <v>0</v>
      </c>
      <c r="Y13" s="3588">
        <v>0</v>
      </c>
      <c r="Z13" s="3620">
        <f t="shared" si="3"/>
        <v>0</v>
      </c>
      <c r="AA13" s="3626">
        <f t="shared" si="4"/>
        <v>5</v>
      </c>
    </row>
    <row r="14" spans="1:28" ht="15.75" thickBot="1" x14ac:dyDescent="0.3">
      <c r="A14" s="3637" t="s">
        <v>1279</v>
      </c>
      <c r="B14" s="3589">
        <f>(B12*2.5)+(B13*5)</f>
        <v>125</v>
      </c>
      <c r="C14" s="3590">
        <f>(C12*2.5)+(C13*5)</f>
        <v>0</v>
      </c>
      <c r="D14" s="3591">
        <f>(D12*2.5)+(D13*5)</f>
        <v>65</v>
      </c>
      <c r="E14" s="1547"/>
      <c r="F14" s="3534"/>
      <c r="G14" s="3534"/>
      <c r="H14" s="3534"/>
      <c r="I14" s="3534"/>
      <c r="J14" s="3534"/>
      <c r="K14" s="3534"/>
      <c r="L14" s="3534"/>
      <c r="M14" s="3563"/>
      <c r="N14" s="3617">
        <f>SUM(B14:D14)</f>
        <v>190</v>
      </c>
      <c r="O14" s="3589">
        <f>(O12*2.5)+(O13*5)</f>
        <v>187.5</v>
      </c>
      <c r="P14" s="3590">
        <f>(P12*2.5)+(P13*5)</f>
        <v>0</v>
      </c>
      <c r="Q14" s="3591">
        <f>(Q12*2.5)+(Q13*5)</f>
        <v>0</v>
      </c>
      <c r="R14" s="3617">
        <f>SUM(O14:Q14)</f>
        <v>187.5</v>
      </c>
      <c r="S14" s="3589">
        <f>SUM(S12*2.5)+(S13*5)</f>
        <v>150</v>
      </c>
      <c r="T14" s="3590">
        <f>SUM(T12*2.5)+(T13*5)</f>
        <v>0</v>
      </c>
      <c r="U14" s="3591">
        <f>SUM(U12*2.5)+(U13*5)</f>
        <v>627.5</v>
      </c>
      <c r="V14" s="3617">
        <f>SUM(S14:U14)</f>
        <v>777.5</v>
      </c>
      <c r="W14" s="3589">
        <f>(W12*2.5)+(W13*5)</f>
        <v>0</v>
      </c>
      <c r="X14" s="3590">
        <f>(X12*2.5)+(X13*5)</f>
        <v>0</v>
      </c>
      <c r="Y14" s="3591">
        <f>(Y12*2.5)+(Y13*5)</f>
        <v>0</v>
      </c>
      <c r="Z14" s="3623">
        <f t="shared" si="3"/>
        <v>0</v>
      </c>
      <c r="AA14" s="3629">
        <f t="shared" si="4"/>
        <v>1155</v>
      </c>
    </row>
    <row r="15" spans="1:28" x14ac:dyDescent="0.25">
      <c r="A15" s="1"/>
      <c r="B15" s="1"/>
      <c r="C15" s="1"/>
      <c r="D15" s="1"/>
      <c r="E15" s="1"/>
      <c r="F15" s="1"/>
      <c r="G15" s="1"/>
      <c r="H15" s="1"/>
      <c r="I15" s="1"/>
      <c r="J15" s="1"/>
      <c r="K15" s="1"/>
      <c r="L15" s="1"/>
      <c r="M15" s="1"/>
      <c r="N15" s="1"/>
      <c r="O15" s="1"/>
      <c r="P15" s="1"/>
      <c r="Q15" s="1"/>
      <c r="R15" s="1"/>
      <c r="S15" s="1"/>
      <c r="T15" s="1"/>
      <c r="U15" s="1"/>
      <c r="V15" s="1"/>
      <c r="W15" s="1"/>
      <c r="X15" s="1"/>
      <c r="Y15" s="1"/>
      <c r="Z15" s="1"/>
      <c r="AA15" s="1"/>
    </row>
    <row r="16" spans="1:28" x14ac:dyDescent="0.25">
      <c r="A16" s="1"/>
      <c r="B16" s="1"/>
      <c r="C16" s="1"/>
      <c r="D16" s="1"/>
      <c r="E16" s="1"/>
      <c r="F16" s="1"/>
      <c r="G16" s="1"/>
      <c r="H16" s="1"/>
      <c r="I16" s="1"/>
      <c r="J16" s="1"/>
      <c r="K16" s="1"/>
      <c r="L16" s="1"/>
      <c r="M16" s="1"/>
      <c r="N16" s="1"/>
      <c r="O16" s="1"/>
      <c r="P16" s="1"/>
      <c r="Q16" s="1"/>
      <c r="R16" s="1"/>
      <c r="S16" s="1"/>
      <c r="T16" s="1"/>
      <c r="U16" s="1"/>
      <c r="V16" s="1"/>
      <c r="W16" s="1"/>
      <c r="X16" s="1"/>
      <c r="Y16" s="1"/>
      <c r="Z16" s="1"/>
      <c r="AA16" s="1"/>
    </row>
    <row r="17" spans="1:19" x14ac:dyDescent="0.25">
      <c r="A17" s="9" t="s">
        <v>1280</v>
      </c>
    </row>
    <row r="31" spans="1:19" x14ac:dyDescent="0.25">
      <c r="S31" s="1538"/>
    </row>
  </sheetData>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rgb="FF92D050"/>
  </sheetPr>
  <dimension ref="A1:W65"/>
  <sheetViews>
    <sheetView topLeftCell="A22" workbookViewId="0">
      <selection activeCell="F4" sqref="F4"/>
    </sheetView>
  </sheetViews>
  <sheetFormatPr defaultRowHeight="15" x14ac:dyDescent="0.25"/>
  <cols>
    <col min="3" max="3" width="9.85546875" customWidth="1"/>
    <col min="4" max="4" width="11.28515625" bestFit="1" customWidth="1"/>
    <col min="5" max="5" width="14.28515625" bestFit="1" customWidth="1"/>
    <col min="7" max="7" width="12.140625" bestFit="1" customWidth="1"/>
    <col min="8" max="9" width="13.85546875" bestFit="1" customWidth="1"/>
    <col min="11" max="11" width="11.7109375" bestFit="1" customWidth="1"/>
    <col min="12" max="12" width="12.5703125" bestFit="1" customWidth="1"/>
    <col min="13" max="13" width="11" bestFit="1" customWidth="1"/>
    <col min="15" max="15" width="10" bestFit="1" customWidth="1"/>
    <col min="16" max="16" width="9.5703125" bestFit="1" customWidth="1"/>
    <col min="17" max="17" width="9.85546875" bestFit="1" customWidth="1"/>
  </cols>
  <sheetData>
    <row r="1" spans="1:23" x14ac:dyDescent="0.25">
      <c r="A1" s="40" t="s">
        <v>798</v>
      </c>
      <c r="B1" s="40"/>
      <c r="C1" s="40"/>
      <c r="D1" s="40"/>
      <c r="E1" s="9"/>
      <c r="F1" s="9"/>
      <c r="G1" s="9"/>
      <c r="H1" s="9"/>
      <c r="I1" s="9"/>
      <c r="J1" s="9"/>
      <c r="K1" s="9"/>
      <c r="L1" s="9"/>
      <c r="M1" s="9"/>
      <c r="N1" s="9"/>
      <c r="O1" s="9"/>
      <c r="P1" s="9"/>
      <c r="Q1" s="9"/>
      <c r="R1" s="9"/>
      <c r="S1" s="9"/>
    </row>
    <row r="2" spans="1:23" ht="15.75" thickBot="1" x14ac:dyDescent="0.3">
      <c r="A2" s="9"/>
      <c r="B2" s="9"/>
      <c r="C2" s="9"/>
      <c r="D2" s="9"/>
      <c r="E2" s="9"/>
      <c r="F2" s="9"/>
      <c r="G2" s="9"/>
      <c r="H2" s="9"/>
      <c r="I2" s="9"/>
      <c r="J2" s="9"/>
      <c r="K2" s="9"/>
      <c r="L2" s="9"/>
      <c r="M2" s="9"/>
      <c r="N2" s="9"/>
      <c r="O2" s="9"/>
      <c r="P2" s="9"/>
      <c r="Q2" s="9"/>
      <c r="R2" s="9"/>
      <c r="S2" s="9"/>
    </row>
    <row r="3" spans="1:23" ht="15.75" thickBot="1" x14ac:dyDescent="0.3">
      <c r="A3" s="806" t="s">
        <v>286</v>
      </c>
      <c r="B3" s="807" t="s">
        <v>287</v>
      </c>
      <c r="C3" s="792">
        <v>43677</v>
      </c>
      <c r="D3" s="808">
        <v>43708</v>
      </c>
      <c r="E3" s="792">
        <v>43738</v>
      </c>
      <c r="F3" s="792" t="s">
        <v>92</v>
      </c>
      <c r="G3" s="792">
        <v>43769</v>
      </c>
      <c r="H3" s="792">
        <v>43799</v>
      </c>
      <c r="I3" s="792">
        <v>43830</v>
      </c>
      <c r="J3" s="792" t="s">
        <v>93</v>
      </c>
      <c r="K3" s="792">
        <v>43861</v>
      </c>
      <c r="L3" s="792">
        <v>43889</v>
      </c>
      <c r="M3" s="792">
        <v>43921</v>
      </c>
      <c r="N3" s="792" t="s">
        <v>94</v>
      </c>
      <c r="O3" s="792">
        <v>43951</v>
      </c>
      <c r="P3" s="792">
        <v>43982</v>
      </c>
      <c r="Q3" s="792">
        <v>44012</v>
      </c>
      <c r="R3" s="809" t="s">
        <v>95</v>
      </c>
      <c r="S3" s="810" t="s">
        <v>288</v>
      </c>
    </row>
    <row r="4" spans="1:23" x14ac:dyDescent="0.25">
      <c r="A4" s="793" t="s">
        <v>289</v>
      </c>
      <c r="B4" s="794" t="s">
        <v>27</v>
      </c>
      <c r="C4" s="795">
        <v>12169</v>
      </c>
      <c r="D4" s="795">
        <v>15216</v>
      </c>
      <c r="E4" s="795">
        <v>12321</v>
      </c>
      <c r="F4" s="4904">
        <v>39806</v>
      </c>
      <c r="G4" s="795">
        <v>22991</v>
      </c>
      <c r="H4" s="795">
        <v>9842</v>
      </c>
      <c r="I4" s="795">
        <v>9377</v>
      </c>
      <c r="J4" s="796">
        <f>SUM(G4:I4)</f>
        <v>42210</v>
      </c>
      <c r="K4" s="795">
        <v>15768</v>
      </c>
      <c r="L4" s="795">
        <v>15289</v>
      </c>
      <c r="M4" s="795">
        <v>9482</v>
      </c>
      <c r="N4" s="796">
        <f>SUM(K4:M4)</f>
        <v>40539</v>
      </c>
      <c r="O4" s="795">
        <v>0</v>
      </c>
      <c r="P4" s="795">
        <v>0</v>
      </c>
      <c r="Q4" s="795">
        <v>8046</v>
      </c>
      <c r="R4" s="797">
        <f>SUM(O4:Q4)</f>
        <v>8046</v>
      </c>
      <c r="S4" s="798">
        <f>F4+J4+N4+R4</f>
        <v>130601</v>
      </c>
    </row>
    <row r="5" spans="1:23" ht="15.75" thickBot="1" x14ac:dyDescent="0.3">
      <c r="A5" s="799"/>
      <c r="B5" s="800"/>
      <c r="C5" s="801"/>
      <c r="D5" s="801"/>
      <c r="E5" s="801"/>
      <c r="F5" s="802">
        <f>F4/4</f>
        <v>9951.5</v>
      </c>
      <c r="G5" s="801"/>
      <c r="H5" s="801"/>
      <c r="I5" s="801"/>
      <c r="J5" s="802">
        <f>J4/4</f>
        <v>10552.5</v>
      </c>
      <c r="K5" s="801"/>
      <c r="L5" s="801"/>
      <c r="M5" s="801"/>
      <c r="N5" s="802">
        <f>N4/4</f>
        <v>10134.75</v>
      </c>
      <c r="O5" s="801"/>
      <c r="P5" s="801"/>
      <c r="Q5" s="803"/>
      <c r="R5" s="804">
        <f>R4/4</f>
        <v>2011.5</v>
      </c>
      <c r="S5" s="805">
        <f>S4/4</f>
        <v>32650.25</v>
      </c>
    </row>
    <row r="6" spans="1:23" x14ac:dyDescent="0.25">
      <c r="C6">
        <v>1050</v>
      </c>
      <c r="D6">
        <v>1021</v>
      </c>
      <c r="E6">
        <v>1250</v>
      </c>
      <c r="G6">
        <v>1021</v>
      </c>
      <c r="H6">
        <v>2019</v>
      </c>
      <c r="I6">
        <v>613</v>
      </c>
      <c r="K6" s="841">
        <v>874</v>
      </c>
      <c r="L6">
        <v>830</v>
      </c>
      <c r="M6">
        <v>585</v>
      </c>
      <c r="Q6">
        <v>978</v>
      </c>
    </row>
    <row r="7" spans="1:23" x14ac:dyDescent="0.25">
      <c r="C7">
        <v>1266</v>
      </c>
      <c r="D7">
        <v>1060</v>
      </c>
      <c r="E7">
        <v>1108</v>
      </c>
      <c r="G7">
        <v>700</v>
      </c>
      <c r="H7">
        <v>1231</v>
      </c>
      <c r="I7">
        <v>1336</v>
      </c>
      <c r="K7">
        <v>1091</v>
      </c>
      <c r="L7">
        <v>1075</v>
      </c>
      <c r="M7" s="129">
        <v>820</v>
      </c>
      <c r="Q7">
        <v>747</v>
      </c>
    </row>
    <row r="8" spans="1:23" x14ac:dyDescent="0.25">
      <c r="C8">
        <v>1162</v>
      </c>
      <c r="D8">
        <v>882</v>
      </c>
      <c r="E8">
        <v>1314</v>
      </c>
      <c r="G8">
        <v>842</v>
      </c>
      <c r="H8">
        <v>990</v>
      </c>
      <c r="I8">
        <v>565</v>
      </c>
      <c r="K8">
        <v>1240</v>
      </c>
      <c r="L8">
        <v>1264</v>
      </c>
      <c r="M8">
        <v>300</v>
      </c>
      <c r="Q8">
        <v>828</v>
      </c>
    </row>
    <row r="9" spans="1:23" x14ac:dyDescent="0.25">
      <c r="C9">
        <v>400</v>
      </c>
      <c r="D9">
        <v>964</v>
      </c>
      <c r="E9">
        <v>607</v>
      </c>
      <c r="G9">
        <v>1320</v>
      </c>
      <c r="H9">
        <v>530</v>
      </c>
      <c r="I9">
        <v>570</v>
      </c>
      <c r="K9">
        <v>1125</v>
      </c>
      <c r="L9">
        <v>874</v>
      </c>
      <c r="M9">
        <v>1211</v>
      </c>
      <c r="Q9">
        <v>1428</v>
      </c>
    </row>
    <row r="10" spans="1:23" x14ac:dyDescent="0.25">
      <c r="C10">
        <v>719</v>
      </c>
      <c r="D10">
        <v>1006</v>
      </c>
      <c r="E10">
        <v>608</v>
      </c>
      <c r="G10">
        <v>359</v>
      </c>
      <c r="H10">
        <v>731</v>
      </c>
      <c r="I10">
        <v>1042</v>
      </c>
      <c r="K10">
        <v>1320</v>
      </c>
      <c r="L10">
        <v>1116</v>
      </c>
      <c r="M10">
        <v>678</v>
      </c>
      <c r="Q10">
        <v>1182</v>
      </c>
    </row>
    <row r="11" spans="1:23" x14ac:dyDescent="0.25">
      <c r="C11">
        <v>597</v>
      </c>
      <c r="D11">
        <v>922</v>
      </c>
      <c r="E11">
        <v>886</v>
      </c>
      <c r="G11">
        <v>1150</v>
      </c>
      <c r="H11">
        <v>1119</v>
      </c>
      <c r="I11">
        <v>1119</v>
      </c>
      <c r="K11">
        <v>738</v>
      </c>
      <c r="L11">
        <v>488</v>
      </c>
      <c r="M11">
        <v>878</v>
      </c>
      <c r="Q11">
        <v>1101</v>
      </c>
      <c r="R11" s="848"/>
    </row>
    <row r="12" spans="1:23" x14ac:dyDescent="0.25">
      <c r="C12">
        <v>740</v>
      </c>
      <c r="D12">
        <v>700</v>
      </c>
      <c r="E12">
        <v>1373</v>
      </c>
      <c r="G12">
        <v>409</v>
      </c>
      <c r="H12">
        <v>207</v>
      </c>
      <c r="I12">
        <v>1129</v>
      </c>
      <c r="K12">
        <v>1130</v>
      </c>
      <c r="L12">
        <v>1030</v>
      </c>
      <c r="M12">
        <v>1210</v>
      </c>
      <c r="Q12">
        <v>1093</v>
      </c>
    </row>
    <row r="13" spans="1:23" x14ac:dyDescent="0.25">
      <c r="C13">
        <v>1197</v>
      </c>
      <c r="D13">
        <v>470</v>
      </c>
      <c r="E13">
        <v>1143</v>
      </c>
      <c r="G13">
        <v>1077</v>
      </c>
      <c r="H13">
        <v>930</v>
      </c>
      <c r="I13">
        <v>1064</v>
      </c>
      <c r="K13">
        <v>1560</v>
      </c>
      <c r="L13">
        <v>766</v>
      </c>
      <c r="M13">
        <v>483</v>
      </c>
      <c r="Q13">
        <v>689</v>
      </c>
      <c r="W13">
        <v>39706</v>
      </c>
    </row>
    <row r="14" spans="1:23" x14ac:dyDescent="0.25">
      <c r="C14">
        <v>848</v>
      </c>
      <c r="D14">
        <v>1088</v>
      </c>
      <c r="E14">
        <v>537</v>
      </c>
      <c r="G14">
        <v>470</v>
      </c>
      <c r="H14">
        <v>892</v>
      </c>
      <c r="I14" s="40">
        <v>1107</v>
      </c>
      <c r="K14">
        <v>1146</v>
      </c>
      <c r="L14">
        <v>452</v>
      </c>
      <c r="M14">
        <v>383</v>
      </c>
      <c r="Q14" s="40">
        <f>SUM(Q6:Q13)</f>
        <v>8046</v>
      </c>
      <c r="W14">
        <v>42210</v>
      </c>
    </row>
    <row r="15" spans="1:23" x14ac:dyDescent="0.25">
      <c r="C15">
        <v>568</v>
      </c>
      <c r="D15">
        <v>706</v>
      </c>
      <c r="E15">
        <v>1176</v>
      </c>
      <c r="G15">
        <v>767</v>
      </c>
      <c r="H15">
        <v>1193</v>
      </c>
      <c r="I15" s="841">
        <v>1205</v>
      </c>
      <c r="K15">
        <v>1146</v>
      </c>
      <c r="L15">
        <v>974</v>
      </c>
      <c r="M15">
        <v>820</v>
      </c>
      <c r="W15">
        <v>12897</v>
      </c>
    </row>
    <row r="16" spans="1:23" x14ac:dyDescent="0.25">
      <c r="C16">
        <v>1110</v>
      </c>
      <c r="D16">
        <v>1260</v>
      </c>
      <c r="E16">
        <v>898</v>
      </c>
      <c r="G16">
        <v>707</v>
      </c>
      <c r="H16" s="40">
        <f>SUM(H6:H15)</f>
        <v>9842</v>
      </c>
      <c r="I16">
        <v>832</v>
      </c>
      <c r="K16">
        <v>1160</v>
      </c>
      <c r="L16" s="841">
        <v>732</v>
      </c>
      <c r="M16">
        <v>844</v>
      </c>
      <c r="W16">
        <f>SUM(W13:W15)</f>
        <v>94813</v>
      </c>
    </row>
    <row r="17" spans="3:18" x14ac:dyDescent="0.25">
      <c r="C17">
        <v>643</v>
      </c>
      <c r="D17">
        <v>408</v>
      </c>
      <c r="E17">
        <v>1421</v>
      </c>
      <c r="G17">
        <v>1302</v>
      </c>
      <c r="I17" s="40">
        <f>SUM(I6:I16)</f>
        <v>10582</v>
      </c>
      <c r="K17">
        <v>1270</v>
      </c>
      <c r="L17" s="841">
        <v>687</v>
      </c>
      <c r="M17">
        <v>1270</v>
      </c>
      <c r="O17" s="40"/>
    </row>
    <row r="18" spans="3:18" x14ac:dyDescent="0.25">
      <c r="C18">
        <v>910</v>
      </c>
      <c r="D18">
        <v>1087</v>
      </c>
      <c r="E18">
        <f>SUM(E6:E17)</f>
        <v>12321</v>
      </c>
      <c r="G18">
        <v>1086</v>
      </c>
      <c r="H18" s="40"/>
      <c r="I18">
        <f>I17-I15</f>
        <v>9377</v>
      </c>
      <c r="K18">
        <v>820</v>
      </c>
      <c r="L18">
        <v>563</v>
      </c>
      <c r="M18" s="40">
        <f>SUM(M6:M17)</f>
        <v>9482</v>
      </c>
    </row>
    <row r="19" spans="3:18" x14ac:dyDescent="0.25">
      <c r="C19">
        <v>959</v>
      </c>
      <c r="D19">
        <v>816</v>
      </c>
      <c r="G19">
        <v>980</v>
      </c>
      <c r="K19">
        <v>800</v>
      </c>
      <c r="L19">
        <v>1297</v>
      </c>
    </row>
    <row r="20" spans="3:18" x14ac:dyDescent="0.25">
      <c r="C20">
        <f>SUM(C6:C19)</f>
        <v>12169</v>
      </c>
      <c r="D20">
        <v>725</v>
      </c>
      <c r="G20">
        <v>953</v>
      </c>
      <c r="K20">
        <v>681</v>
      </c>
      <c r="L20">
        <v>933</v>
      </c>
    </row>
    <row r="21" spans="3:18" x14ac:dyDescent="0.25">
      <c r="D21">
        <v>1181</v>
      </c>
      <c r="G21">
        <v>1004</v>
      </c>
      <c r="K21">
        <v>541</v>
      </c>
      <c r="L21">
        <v>574</v>
      </c>
    </row>
    <row r="22" spans="3:18" x14ac:dyDescent="0.25">
      <c r="D22">
        <v>920</v>
      </c>
      <c r="G22">
        <v>1154</v>
      </c>
      <c r="K22" s="40">
        <f>SUM(K7:K21)</f>
        <v>15768</v>
      </c>
      <c r="L22">
        <v>770</v>
      </c>
    </row>
    <row r="23" spans="3:18" x14ac:dyDescent="0.25">
      <c r="D23">
        <f>SUM(D6:D22)</f>
        <v>15216</v>
      </c>
      <c r="G23">
        <v>1384</v>
      </c>
      <c r="L23">
        <v>883</v>
      </c>
    </row>
    <row r="24" spans="3:18" x14ac:dyDescent="0.25">
      <c r="C24" s="40"/>
      <c r="G24">
        <v>1024</v>
      </c>
      <c r="L24">
        <v>1400</v>
      </c>
    </row>
    <row r="25" spans="3:18" x14ac:dyDescent="0.25">
      <c r="G25">
        <v>1166</v>
      </c>
      <c r="L25" s="40">
        <f>SUM(L6:L24)-(L16+L17)</f>
        <v>15289</v>
      </c>
    </row>
    <row r="26" spans="3:18" x14ac:dyDescent="0.25">
      <c r="G26">
        <v>411</v>
      </c>
      <c r="K26" s="40"/>
      <c r="R26" s="445"/>
    </row>
    <row r="27" spans="3:18" x14ac:dyDescent="0.25">
      <c r="G27">
        <v>1294</v>
      </c>
    </row>
    <row r="28" spans="3:18" x14ac:dyDescent="0.25">
      <c r="D28" s="40"/>
      <c r="E28" s="40"/>
      <c r="G28">
        <v>844</v>
      </c>
    </row>
    <row r="29" spans="3:18" x14ac:dyDescent="0.25">
      <c r="G29">
        <v>769</v>
      </c>
      <c r="M29" s="841" t="s">
        <v>1237</v>
      </c>
    </row>
    <row r="30" spans="3:18" x14ac:dyDescent="0.25">
      <c r="G30">
        <v>798</v>
      </c>
    </row>
    <row r="31" spans="3:18" x14ac:dyDescent="0.25">
      <c r="G31" s="40">
        <f>SUM(G6:G30)</f>
        <v>22991</v>
      </c>
    </row>
    <row r="34" spans="1:21" s="9" customFormat="1" x14ac:dyDescent="0.25"/>
    <row r="35" spans="1:21" x14ac:dyDescent="0.25">
      <c r="L35" s="40"/>
    </row>
    <row r="36" spans="1:21" ht="15.75" thickBot="1" x14ac:dyDescent="0.3">
      <c r="A36" t="s">
        <v>1113</v>
      </c>
    </row>
    <row r="37" spans="1:21" ht="15.75" thickBot="1" x14ac:dyDescent="0.3">
      <c r="A37" s="806" t="s">
        <v>286</v>
      </c>
      <c r="B37" s="807" t="s">
        <v>287</v>
      </c>
      <c r="C37" s="792">
        <v>43677</v>
      </c>
      <c r="D37" s="808">
        <v>43708</v>
      </c>
      <c r="E37" s="792">
        <v>43738</v>
      </c>
      <c r="F37" s="792" t="s">
        <v>92</v>
      </c>
      <c r="G37" s="792">
        <v>43769</v>
      </c>
      <c r="H37" s="792">
        <v>43799</v>
      </c>
      <c r="I37" s="792">
        <v>43830</v>
      </c>
      <c r="J37" s="792" t="s">
        <v>93</v>
      </c>
      <c r="K37" s="792" t="s">
        <v>1010</v>
      </c>
      <c r="L37" s="792">
        <v>43889</v>
      </c>
      <c r="M37" s="792">
        <v>43921</v>
      </c>
      <c r="N37" s="792" t="s">
        <v>94</v>
      </c>
      <c r="O37" s="792">
        <v>43951</v>
      </c>
      <c r="P37" s="792">
        <v>43982</v>
      </c>
      <c r="Q37" s="792">
        <v>44012</v>
      </c>
      <c r="R37" s="809" t="s">
        <v>95</v>
      </c>
      <c r="S37" s="810" t="s">
        <v>288</v>
      </c>
    </row>
    <row r="38" spans="1:21" x14ac:dyDescent="0.25">
      <c r="A38" s="793" t="s">
        <v>289</v>
      </c>
      <c r="B38" s="794" t="s">
        <v>27</v>
      </c>
      <c r="C38" s="795"/>
      <c r="D38" s="795"/>
      <c r="E38" s="795"/>
      <c r="F38" s="796">
        <f>SUM(C38:E38)</f>
        <v>0</v>
      </c>
      <c r="G38" s="795">
        <v>0</v>
      </c>
      <c r="H38" s="795">
        <v>8948</v>
      </c>
      <c r="I38" s="795">
        <v>0</v>
      </c>
      <c r="J38" s="796">
        <f>SUM(G38:I38)</f>
        <v>8948</v>
      </c>
      <c r="K38" s="795"/>
      <c r="L38" s="795"/>
      <c r="M38" s="795"/>
      <c r="N38" s="796">
        <f>SUM(K38:M38)</f>
        <v>0</v>
      </c>
      <c r="O38" s="795"/>
      <c r="P38" s="795"/>
      <c r="Q38" s="795"/>
      <c r="R38" s="797">
        <f>SUM(O38:Q38)</f>
        <v>0</v>
      </c>
      <c r="S38" s="798">
        <f>F38+J38+N38+R38</f>
        <v>8948</v>
      </c>
      <c r="U38" s="445"/>
    </row>
    <row r="39" spans="1:21" ht="15.75" thickBot="1" x14ac:dyDescent="0.3">
      <c r="A39" s="799"/>
      <c r="B39" s="800"/>
      <c r="C39" s="801"/>
      <c r="D39" s="801"/>
      <c r="E39" s="801"/>
      <c r="F39" s="802">
        <f>F38/4</f>
        <v>0</v>
      </c>
      <c r="G39" s="801"/>
      <c r="H39" s="801"/>
      <c r="I39" s="801"/>
      <c r="J39" s="802">
        <f>J38/4</f>
        <v>2237</v>
      </c>
      <c r="K39" s="801"/>
      <c r="L39" s="801"/>
      <c r="M39" s="801"/>
      <c r="N39" s="802">
        <f>N38/4</f>
        <v>0</v>
      </c>
      <c r="O39" s="801"/>
      <c r="P39" s="801"/>
      <c r="Q39" s="803"/>
      <c r="R39" s="804">
        <f>R38/3</f>
        <v>0</v>
      </c>
      <c r="S39" s="805">
        <f>S38/4</f>
        <v>2237</v>
      </c>
      <c r="T39" s="445"/>
      <c r="U39" s="1618"/>
    </row>
    <row r="40" spans="1:21" x14ac:dyDescent="0.25">
      <c r="H40">
        <v>641</v>
      </c>
    </row>
    <row r="41" spans="1:21" x14ac:dyDescent="0.25">
      <c r="H41">
        <v>735</v>
      </c>
    </row>
    <row r="42" spans="1:21" x14ac:dyDescent="0.25">
      <c r="H42">
        <v>404</v>
      </c>
    </row>
    <row r="43" spans="1:21" x14ac:dyDescent="0.25">
      <c r="H43">
        <v>750</v>
      </c>
      <c r="I43" s="40"/>
    </row>
    <row r="44" spans="1:21" x14ac:dyDescent="0.25">
      <c r="H44">
        <v>595</v>
      </c>
    </row>
    <row r="45" spans="1:21" x14ac:dyDescent="0.25">
      <c r="E45" s="40"/>
      <c r="H45">
        <v>701</v>
      </c>
      <c r="O45" s="40"/>
    </row>
    <row r="46" spans="1:21" x14ac:dyDescent="0.25">
      <c r="H46">
        <v>1174</v>
      </c>
      <c r="L46" s="40"/>
      <c r="M46" s="40"/>
    </row>
    <row r="47" spans="1:21" x14ac:dyDescent="0.25">
      <c r="H47">
        <v>484</v>
      </c>
      <c r="K47" s="40"/>
    </row>
    <row r="48" spans="1:21" x14ac:dyDescent="0.25">
      <c r="H48">
        <v>810</v>
      </c>
    </row>
    <row r="49" spans="3:21" x14ac:dyDescent="0.25">
      <c r="H49">
        <v>850</v>
      </c>
    </row>
    <row r="50" spans="3:21" x14ac:dyDescent="0.25">
      <c r="H50">
        <v>780</v>
      </c>
    </row>
    <row r="51" spans="3:21" x14ac:dyDescent="0.25">
      <c r="H51">
        <v>340</v>
      </c>
    </row>
    <row r="52" spans="3:21" x14ac:dyDescent="0.25">
      <c r="H52">
        <v>684</v>
      </c>
    </row>
    <row r="53" spans="3:21" x14ac:dyDescent="0.25">
      <c r="D53" s="40"/>
      <c r="H53" s="40">
        <f>SUM(H40:H52)</f>
        <v>8948</v>
      </c>
    </row>
    <row r="55" spans="3:21" x14ac:dyDescent="0.25">
      <c r="O55" s="40"/>
    </row>
    <row r="56" spans="3:21" x14ac:dyDescent="0.25">
      <c r="G56" s="40"/>
      <c r="H56" s="40"/>
    </row>
    <row r="57" spans="3:21" x14ac:dyDescent="0.25">
      <c r="C57" s="40"/>
    </row>
    <row r="58" spans="3:21" x14ac:dyDescent="0.25">
      <c r="M58" s="40"/>
      <c r="U58" s="40"/>
    </row>
    <row r="59" spans="3:21" x14ac:dyDescent="0.25">
      <c r="P59" s="40"/>
    </row>
    <row r="65" spans="17:17" x14ac:dyDescent="0.25">
      <c r="Q65" s="40"/>
    </row>
  </sheetData>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
    <tabColor rgb="FF92D050"/>
  </sheetPr>
  <dimension ref="A1:AD50"/>
  <sheetViews>
    <sheetView workbookViewId="0">
      <selection activeCell="Q40" sqref="Q40"/>
    </sheetView>
  </sheetViews>
  <sheetFormatPr defaultRowHeight="15" x14ac:dyDescent="0.25"/>
  <cols>
    <col min="3" max="3" width="6.7109375" customWidth="1"/>
    <col min="4" max="4" width="10" customWidth="1"/>
    <col min="5" max="5" width="9.140625" customWidth="1"/>
    <col min="6" max="6" width="9.7109375" customWidth="1"/>
    <col min="7" max="7" width="10" customWidth="1"/>
    <col min="8" max="8" width="10.5703125" customWidth="1"/>
    <col min="9" max="9" width="9.7109375" bestFit="1" customWidth="1"/>
    <col min="10" max="10" width="11.140625" bestFit="1" customWidth="1"/>
    <col min="11" max="11" width="10.140625" customWidth="1"/>
    <col min="15" max="15" width="10.42578125" customWidth="1"/>
    <col min="16" max="16" width="10.7109375" customWidth="1"/>
    <col min="17" max="17" width="10.5703125" customWidth="1"/>
    <col min="18" max="18" width="9.7109375" bestFit="1" customWidth="1"/>
    <col min="19" max="19" width="9.7109375" customWidth="1"/>
    <col min="20" max="20" width="10.42578125" customWidth="1"/>
    <col min="21" max="22" width="9.85546875" customWidth="1"/>
    <col min="23" max="23" width="10" customWidth="1"/>
    <col min="24" max="24" width="9.7109375" customWidth="1"/>
    <col min="25" max="25" width="10.7109375" customWidth="1"/>
    <col min="26" max="26" width="11.85546875" customWidth="1"/>
    <col min="27" max="27" width="11.7109375" customWidth="1"/>
    <col min="28" max="29" width="10.7109375" customWidth="1"/>
    <col min="30" max="30" width="12.140625" customWidth="1"/>
  </cols>
  <sheetData>
    <row r="1" spans="1:25" ht="15.75" thickBot="1" x14ac:dyDescent="0.3">
      <c r="F1" s="5087" t="s">
        <v>2</v>
      </c>
      <c r="G1" s="5088"/>
      <c r="H1" s="5088"/>
      <c r="I1" s="5088"/>
      <c r="J1" s="5089"/>
      <c r="K1" s="5081" t="s">
        <v>8</v>
      </c>
      <c r="L1" s="5082"/>
      <c r="M1" s="5082"/>
      <c r="N1" s="5082"/>
      <c r="O1" s="5083"/>
      <c r="P1" s="5081" t="s">
        <v>9</v>
      </c>
      <c r="Q1" s="5082"/>
      <c r="R1" s="5082"/>
      <c r="S1" s="5082"/>
      <c r="T1" s="5083"/>
      <c r="U1" s="5081" t="s">
        <v>223</v>
      </c>
      <c r="V1" s="5082"/>
      <c r="W1" s="5082"/>
      <c r="X1" s="5082"/>
      <c r="Y1" s="5083"/>
    </row>
    <row r="2" spans="1:25" ht="16.5" thickBot="1" x14ac:dyDescent="0.3">
      <c r="A2" s="5146" t="s">
        <v>327</v>
      </c>
      <c r="B2" s="5147"/>
      <c r="C2" s="5147"/>
      <c r="D2" s="5148"/>
      <c r="E2" s="873" t="s">
        <v>1</v>
      </c>
      <c r="F2" s="188" t="s">
        <v>3</v>
      </c>
      <c r="G2" s="189" t="s">
        <v>4</v>
      </c>
      <c r="H2" s="189" t="s">
        <v>5</v>
      </c>
      <c r="I2" s="189" t="s">
        <v>6</v>
      </c>
      <c r="J2" s="190" t="s">
        <v>7</v>
      </c>
      <c r="K2" s="188" t="s">
        <v>3</v>
      </c>
      <c r="L2" s="189" t="s">
        <v>4</v>
      </c>
      <c r="M2" s="189" t="s">
        <v>5</v>
      </c>
      <c r="N2" s="189" t="s">
        <v>6</v>
      </c>
      <c r="O2" s="190" t="s">
        <v>7</v>
      </c>
      <c r="P2" s="188" t="s">
        <v>3</v>
      </c>
      <c r="Q2" s="189" t="s">
        <v>4</v>
      </c>
      <c r="R2" s="189" t="s">
        <v>5</v>
      </c>
      <c r="S2" s="189" t="s">
        <v>6</v>
      </c>
      <c r="T2" s="190" t="s">
        <v>7</v>
      </c>
      <c r="U2" s="188" t="s">
        <v>3</v>
      </c>
      <c r="V2" s="189" t="s">
        <v>4</v>
      </c>
      <c r="W2" s="189" t="s">
        <v>5</v>
      </c>
      <c r="X2" s="189" t="s">
        <v>6</v>
      </c>
      <c r="Y2" s="190" t="s">
        <v>7</v>
      </c>
    </row>
    <row r="3" spans="1:25" ht="15.75" thickBot="1" x14ac:dyDescent="0.3">
      <c r="A3" s="5149" t="s">
        <v>328</v>
      </c>
      <c r="B3" s="5150"/>
      <c r="C3" s="5150"/>
      <c r="D3" s="5151"/>
      <c r="E3" s="863" t="s">
        <v>175</v>
      </c>
      <c r="F3" s="325">
        <v>31140</v>
      </c>
      <c r="G3" s="326">
        <v>31140</v>
      </c>
      <c r="H3" s="326">
        <v>31140</v>
      </c>
      <c r="I3" s="326">
        <v>31140</v>
      </c>
      <c r="J3" s="327">
        <v>124560</v>
      </c>
      <c r="K3" s="875">
        <v>31140</v>
      </c>
      <c r="L3" s="875">
        <v>31140</v>
      </c>
      <c r="M3" s="875">
        <v>31140</v>
      </c>
      <c r="N3" s="875">
        <v>31140</v>
      </c>
      <c r="O3" s="876">
        <f>SUM(K3:N3)</f>
        <v>124560</v>
      </c>
      <c r="P3" s="329"/>
      <c r="Q3" s="330"/>
      <c r="R3" s="330">
        <v>0</v>
      </c>
      <c r="S3" s="330"/>
      <c r="T3" s="327">
        <f>SUM(P3:S3)</f>
        <v>0</v>
      </c>
      <c r="U3" s="329"/>
      <c r="V3" s="330"/>
      <c r="W3" s="330">
        <v>0</v>
      </c>
      <c r="X3" s="330"/>
      <c r="Y3" s="327">
        <v>0</v>
      </c>
    </row>
    <row r="4" spans="1:25" ht="15.75" thickBot="1" x14ac:dyDescent="0.3">
      <c r="A4" s="5138" t="s">
        <v>329</v>
      </c>
      <c r="B4" s="5139"/>
      <c r="C4" s="5139"/>
      <c r="D4" s="5142"/>
      <c r="E4" s="864" t="s">
        <v>175</v>
      </c>
      <c r="F4" s="332">
        <v>0</v>
      </c>
      <c r="G4" s="333">
        <v>0</v>
      </c>
      <c r="H4" s="333">
        <v>0</v>
      </c>
      <c r="I4" s="333">
        <v>0</v>
      </c>
      <c r="J4" s="334">
        <v>0</v>
      </c>
      <c r="K4" s="877">
        <v>0</v>
      </c>
      <c r="L4" s="878">
        <v>0</v>
      </c>
      <c r="M4" s="878">
        <v>0</v>
      </c>
      <c r="N4" s="879">
        <v>0</v>
      </c>
      <c r="O4" s="876">
        <f t="shared" ref="O4:O10" si="0">SUM(K4:N4)</f>
        <v>0</v>
      </c>
      <c r="P4" s="336"/>
      <c r="Q4" s="337"/>
      <c r="R4" s="337">
        <v>0</v>
      </c>
      <c r="S4" s="337"/>
      <c r="T4" s="334">
        <f t="shared" ref="T4:T10" si="1">SUM(P4:S4)</f>
        <v>0</v>
      </c>
      <c r="U4" s="336"/>
      <c r="V4" s="337"/>
      <c r="W4" s="337">
        <v>0</v>
      </c>
      <c r="X4" s="337"/>
      <c r="Y4" s="334">
        <v>0</v>
      </c>
    </row>
    <row r="5" spans="1:25" ht="15.75" thickBot="1" x14ac:dyDescent="0.3">
      <c r="A5" s="5138" t="s">
        <v>330</v>
      </c>
      <c r="B5" s="5139"/>
      <c r="C5" s="5139"/>
      <c r="D5" s="5142"/>
      <c r="E5" s="864" t="s">
        <v>175</v>
      </c>
      <c r="F5" s="332">
        <v>30744</v>
      </c>
      <c r="G5" s="333">
        <v>30744</v>
      </c>
      <c r="H5" s="333">
        <v>30744</v>
      </c>
      <c r="I5" s="333">
        <v>30744</v>
      </c>
      <c r="J5" s="334">
        <v>122976</v>
      </c>
      <c r="K5" s="877">
        <v>30744</v>
      </c>
      <c r="L5" s="877">
        <v>30744</v>
      </c>
      <c r="M5" s="877">
        <v>30744</v>
      </c>
      <c r="N5" s="877">
        <v>30744</v>
      </c>
      <c r="O5" s="876">
        <f t="shared" si="0"/>
        <v>122976</v>
      </c>
      <c r="P5" s="337">
        <v>31500</v>
      </c>
      <c r="Q5" s="337">
        <v>31500</v>
      </c>
      <c r="R5" s="337">
        <v>31500</v>
      </c>
      <c r="S5" s="337">
        <v>31500</v>
      </c>
      <c r="T5" s="334">
        <f t="shared" si="1"/>
        <v>126000</v>
      </c>
      <c r="U5" s="336">
        <v>31500</v>
      </c>
      <c r="V5" s="337">
        <v>31500</v>
      </c>
      <c r="W5" s="337">
        <v>31500</v>
      </c>
      <c r="X5" s="337">
        <v>31500</v>
      </c>
      <c r="Y5" s="334">
        <v>126000</v>
      </c>
    </row>
    <row r="6" spans="1:25" ht="15.75" thickBot="1" x14ac:dyDescent="0.3">
      <c r="A6" s="5138" t="s">
        <v>331</v>
      </c>
      <c r="B6" s="5139"/>
      <c r="C6" s="5139"/>
      <c r="D6" s="5142"/>
      <c r="E6" s="864" t="s">
        <v>175</v>
      </c>
      <c r="F6" s="332">
        <v>0</v>
      </c>
      <c r="G6" s="333">
        <v>0</v>
      </c>
      <c r="H6" s="333">
        <v>0</v>
      </c>
      <c r="I6" s="337">
        <v>0</v>
      </c>
      <c r="J6" s="334">
        <v>0</v>
      </c>
      <c r="K6" s="877">
        <v>0</v>
      </c>
      <c r="L6" s="878">
        <v>0</v>
      </c>
      <c r="M6" s="878">
        <v>0</v>
      </c>
      <c r="N6" s="879">
        <v>0</v>
      </c>
      <c r="O6" s="876">
        <f t="shared" si="0"/>
        <v>0</v>
      </c>
      <c r="P6" s="336"/>
      <c r="Q6" s="337"/>
      <c r="R6" s="337">
        <v>0</v>
      </c>
      <c r="S6" s="337"/>
      <c r="T6" s="334">
        <f t="shared" si="1"/>
        <v>0</v>
      </c>
      <c r="U6" s="336"/>
      <c r="V6" s="337"/>
      <c r="W6" s="337">
        <v>0</v>
      </c>
      <c r="X6" s="337"/>
      <c r="Y6" s="334">
        <v>0</v>
      </c>
    </row>
    <row r="7" spans="1:25" ht="15.75" thickBot="1" x14ac:dyDescent="0.3">
      <c r="A7" s="5138" t="s">
        <v>332</v>
      </c>
      <c r="B7" s="5139"/>
      <c r="C7" s="5139"/>
      <c r="D7" s="5142"/>
      <c r="E7" s="864" t="s">
        <v>175</v>
      </c>
      <c r="F7" s="332">
        <v>171360</v>
      </c>
      <c r="G7" s="337">
        <v>171360</v>
      </c>
      <c r="H7" s="337">
        <v>171360</v>
      </c>
      <c r="I7" s="337">
        <v>171360</v>
      </c>
      <c r="J7" s="334">
        <v>685440</v>
      </c>
      <c r="K7" s="877">
        <v>171360</v>
      </c>
      <c r="L7" s="877">
        <v>171360</v>
      </c>
      <c r="M7" s="877">
        <v>171360</v>
      </c>
      <c r="N7" s="877">
        <v>171360</v>
      </c>
      <c r="O7" s="876">
        <f t="shared" si="0"/>
        <v>685440</v>
      </c>
      <c r="P7" s="337">
        <v>104100</v>
      </c>
      <c r="Q7" s="337">
        <v>104100</v>
      </c>
      <c r="R7" s="337">
        <v>104100</v>
      </c>
      <c r="S7" s="337">
        <v>104100</v>
      </c>
      <c r="T7" s="334">
        <f t="shared" si="1"/>
        <v>416400</v>
      </c>
      <c r="U7" s="336">
        <v>104100</v>
      </c>
      <c r="V7" s="337">
        <v>104100</v>
      </c>
      <c r="W7" s="337">
        <v>104100</v>
      </c>
      <c r="X7" s="337">
        <v>104100</v>
      </c>
      <c r="Y7" s="334">
        <v>416400</v>
      </c>
    </row>
    <row r="8" spans="1:25" ht="15.75" thickBot="1" x14ac:dyDescent="0.3">
      <c r="A8" s="5138" t="s">
        <v>333</v>
      </c>
      <c r="B8" s="5139"/>
      <c r="C8" s="5139"/>
      <c r="D8" s="5142"/>
      <c r="E8" s="864" t="s">
        <v>175</v>
      </c>
      <c r="F8" s="332">
        <v>0</v>
      </c>
      <c r="G8" s="337">
        <v>0</v>
      </c>
      <c r="H8" s="337">
        <v>0</v>
      </c>
      <c r="I8" s="337">
        <v>0</v>
      </c>
      <c r="J8" s="334">
        <v>0</v>
      </c>
      <c r="K8" s="877">
        <v>0</v>
      </c>
      <c r="L8" s="878">
        <v>0</v>
      </c>
      <c r="M8" s="878">
        <v>0</v>
      </c>
      <c r="N8" s="879">
        <v>0</v>
      </c>
      <c r="O8" s="876">
        <f t="shared" si="0"/>
        <v>0</v>
      </c>
      <c r="P8" s="336"/>
      <c r="Q8" s="337"/>
      <c r="R8" s="337">
        <v>0</v>
      </c>
      <c r="S8" s="337"/>
      <c r="T8" s="334">
        <f t="shared" si="1"/>
        <v>0</v>
      </c>
      <c r="U8" s="336"/>
      <c r="V8" s="337"/>
      <c r="W8" s="337">
        <v>0</v>
      </c>
      <c r="X8" s="337"/>
      <c r="Y8" s="334">
        <v>0</v>
      </c>
    </row>
    <row r="9" spans="1:25" ht="15.75" thickBot="1" x14ac:dyDescent="0.3">
      <c r="A9" s="5138" t="s">
        <v>334</v>
      </c>
      <c r="B9" s="5139"/>
      <c r="C9" s="5139"/>
      <c r="D9" s="5142"/>
      <c r="E9" s="864" t="s">
        <v>175</v>
      </c>
      <c r="F9" s="332">
        <v>233244</v>
      </c>
      <c r="G9" s="337">
        <v>233244</v>
      </c>
      <c r="H9" s="337">
        <v>233244</v>
      </c>
      <c r="I9" s="337">
        <v>233244</v>
      </c>
      <c r="J9" s="334">
        <v>932976</v>
      </c>
      <c r="K9" s="877">
        <f>SUM(K3:K8)</f>
        <v>233244</v>
      </c>
      <c r="L9" s="877">
        <f>SUM(L3:L8)</f>
        <v>233244</v>
      </c>
      <c r="M9" s="877">
        <f>SUM(M3:M8)</f>
        <v>233244</v>
      </c>
      <c r="N9" s="877">
        <f>SUM(N3:N8)</f>
        <v>233244</v>
      </c>
      <c r="O9" s="876">
        <f t="shared" si="0"/>
        <v>932976</v>
      </c>
      <c r="P9" s="337">
        <f>SUM(P3:P8)</f>
        <v>135600</v>
      </c>
      <c r="Q9" s="337">
        <f>SUM(Q3:Q8)</f>
        <v>135600</v>
      </c>
      <c r="R9" s="337">
        <f>SUM(R3:R8)</f>
        <v>135600</v>
      </c>
      <c r="S9" s="337">
        <f>SUM(S3:S8)</f>
        <v>135600</v>
      </c>
      <c r="T9" s="334">
        <f t="shared" si="1"/>
        <v>542400</v>
      </c>
      <c r="U9" s="336">
        <v>135600</v>
      </c>
      <c r="V9" s="337">
        <v>135600</v>
      </c>
      <c r="W9" s="337">
        <v>135600</v>
      </c>
      <c r="X9" s="337">
        <v>135600</v>
      </c>
      <c r="Y9" s="334">
        <v>542400</v>
      </c>
    </row>
    <row r="10" spans="1:25" ht="15.75" thickBot="1" x14ac:dyDescent="0.3">
      <c r="A10" s="5143" t="s">
        <v>335</v>
      </c>
      <c r="B10" s="5144"/>
      <c r="C10" s="5144"/>
      <c r="D10" s="5145"/>
      <c r="E10" s="865" t="s">
        <v>175</v>
      </c>
      <c r="F10" s="866">
        <v>39879</v>
      </c>
      <c r="G10" s="869">
        <v>39879</v>
      </c>
      <c r="H10" s="869">
        <v>39879</v>
      </c>
      <c r="I10" s="869">
        <v>39879</v>
      </c>
      <c r="J10" s="868">
        <v>159516</v>
      </c>
      <c r="K10" s="880">
        <v>39879</v>
      </c>
      <c r="L10" s="881">
        <v>39879</v>
      </c>
      <c r="M10" s="881">
        <v>39879</v>
      </c>
      <c r="N10" s="882">
        <v>39879</v>
      </c>
      <c r="O10" s="876">
        <f t="shared" si="0"/>
        <v>159516</v>
      </c>
      <c r="P10" s="871"/>
      <c r="Q10" s="869"/>
      <c r="R10" s="869">
        <v>0</v>
      </c>
      <c r="S10" s="869"/>
      <c r="T10" s="868">
        <f t="shared" si="1"/>
        <v>0</v>
      </c>
      <c r="U10" s="871"/>
      <c r="V10" s="869"/>
      <c r="W10" s="869">
        <v>0</v>
      </c>
      <c r="X10" s="869"/>
      <c r="Y10" s="868">
        <v>0</v>
      </c>
    </row>
    <row r="11" spans="1:25" x14ac:dyDescent="0.25">
      <c r="A11" s="872"/>
      <c r="B11" s="872"/>
      <c r="C11" s="872"/>
      <c r="D11" s="872"/>
      <c r="F11" s="337"/>
      <c r="G11" s="337"/>
      <c r="H11" s="337"/>
      <c r="I11" s="337"/>
      <c r="J11" s="337"/>
      <c r="K11" s="883"/>
      <c r="L11" s="883"/>
      <c r="M11" s="883"/>
      <c r="N11" s="883"/>
      <c r="O11" s="883"/>
      <c r="P11" s="337"/>
      <c r="Q11" s="337"/>
      <c r="R11" s="337"/>
      <c r="S11" s="337"/>
      <c r="T11" s="337"/>
      <c r="U11" s="337"/>
      <c r="V11" s="337"/>
      <c r="W11" s="337"/>
      <c r="X11" s="337"/>
      <c r="Y11" s="337"/>
    </row>
    <row r="12" spans="1:25" x14ac:dyDescent="0.25">
      <c r="A12" s="872"/>
      <c r="B12" s="872"/>
      <c r="C12" s="872"/>
      <c r="D12" s="872"/>
      <c r="F12" s="1"/>
      <c r="G12" s="1"/>
      <c r="H12" s="1"/>
      <c r="I12" s="1"/>
      <c r="J12" s="1"/>
      <c r="K12" s="1"/>
      <c r="L12" s="1"/>
      <c r="M12" s="1"/>
      <c r="N12" s="1"/>
      <c r="O12" s="1"/>
      <c r="P12" s="1"/>
      <c r="Q12" s="1"/>
      <c r="R12" s="1"/>
      <c r="S12" s="1"/>
      <c r="T12" s="1"/>
      <c r="U12" s="1"/>
      <c r="V12" s="1"/>
      <c r="W12" s="1"/>
      <c r="X12" s="1"/>
      <c r="Y12" s="1"/>
    </row>
    <row r="13" spans="1:25" ht="15.75" thickBot="1" x14ac:dyDescent="0.3">
      <c r="A13" s="872"/>
      <c r="B13" s="872"/>
      <c r="C13" s="872"/>
      <c r="D13" s="872"/>
    </row>
    <row r="14" spans="1:25" ht="15.75" thickBot="1" x14ac:dyDescent="0.3">
      <c r="A14" s="872"/>
      <c r="B14" s="872"/>
      <c r="C14" s="872"/>
      <c r="D14" s="872"/>
      <c r="F14" s="5154" t="s">
        <v>91</v>
      </c>
      <c r="G14" s="4995"/>
      <c r="H14" s="4995"/>
      <c r="I14" s="4995"/>
      <c r="J14" s="4996"/>
      <c r="M14" s="1"/>
      <c r="N14" s="872"/>
      <c r="O14" s="872"/>
      <c r="P14" s="872"/>
      <c r="Q14" s="872"/>
      <c r="R14" s="9"/>
      <c r="S14" s="260"/>
      <c r="T14" s="260"/>
      <c r="U14" s="260"/>
      <c r="V14" s="260"/>
      <c r="W14" s="260"/>
    </row>
    <row r="15" spans="1:25" ht="30.75" thickBot="1" x14ac:dyDescent="0.3">
      <c r="A15" s="5152" t="s">
        <v>327</v>
      </c>
      <c r="B15" s="5153"/>
      <c r="C15" s="5153"/>
      <c r="D15" s="5153"/>
      <c r="E15" s="862" t="s">
        <v>1</v>
      </c>
      <c r="F15" s="189" t="s">
        <v>3</v>
      </c>
      <c r="G15" s="189" t="s">
        <v>4</v>
      </c>
      <c r="H15" s="189" t="s">
        <v>5</v>
      </c>
      <c r="I15" s="189" t="s">
        <v>6</v>
      </c>
      <c r="J15" s="190" t="s">
        <v>7</v>
      </c>
      <c r="M15" s="904"/>
      <c r="N15" s="5152" t="s">
        <v>327</v>
      </c>
      <c r="O15" s="5153"/>
      <c r="P15" s="5153"/>
      <c r="Q15" s="5153"/>
      <c r="R15" s="862" t="s">
        <v>1</v>
      </c>
      <c r="S15" s="3105" t="s">
        <v>1114</v>
      </c>
      <c r="T15" s="188" t="s">
        <v>3</v>
      </c>
      <c r="U15" s="189" t="s">
        <v>4</v>
      </c>
      <c r="V15" s="189" t="s">
        <v>5</v>
      </c>
      <c r="W15" s="189" t="s">
        <v>6</v>
      </c>
      <c r="X15" s="190" t="s">
        <v>7</v>
      </c>
    </row>
    <row r="16" spans="1:25" ht="22.5" x14ac:dyDescent="0.25">
      <c r="A16" s="5149" t="s">
        <v>328</v>
      </c>
      <c r="B16" s="5150"/>
      <c r="C16" s="5150"/>
      <c r="D16" s="5151"/>
      <c r="E16" s="863" t="s">
        <v>175</v>
      </c>
      <c r="F16" s="326">
        <f>F3+K3+P3+U3</f>
        <v>62280</v>
      </c>
      <c r="G16" s="326">
        <f>G3+L3+Q3+V3</f>
        <v>62280</v>
      </c>
      <c r="H16" s="326">
        <f>H3+M3+R3+W3</f>
        <v>62280</v>
      </c>
      <c r="I16" s="326">
        <f>I3+N3+S3+X3</f>
        <v>62280</v>
      </c>
      <c r="J16" s="327">
        <f>J3+O3+T3+Y3</f>
        <v>249120</v>
      </c>
      <c r="M16" s="1"/>
      <c r="N16" s="5149" t="s">
        <v>328</v>
      </c>
      <c r="O16" s="5150"/>
      <c r="P16" s="5150"/>
      <c r="Q16" s="5151"/>
      <c r="R16" s="3106" t="s">
        <v>1117</v>
      </c>
      <c r="S16" s="3108">
        <v>0.10097</v>
      </c>
      <c r="T16" s="3109">
        <f>F16*S16</f>
        <v>6288.4116000000004</v>
      </c>
      <c r="U16" s="3110">
        <f>S16*G16</f>
        <v>6288.4116000000004</v>
      </c>
      <c r="V16" s="3110">
        <f>S16*H16</f>
        <v>6288.4116000000004</v>
      </c>
      <c r="W16" s="3110">
        <f>S16*I16</f>
        <v>6288.4116000000004</v>
      </c>
      <c r="X16" s="3111">
        <f>S16*J16</f>
        <v>25153.646400000001</v>
      </c>
      <c r="Y16" s="73">
        <f>J28+O28+T28+Y28</f>
        <v>25153.646400000001</v>
      </c>
    </row>
    <row r="17" spans="1:30" x14ac:dyDescent="0.25">
      <c r="A17" s="5138" t="s">
        <v>329</v>
      </c>
      <c r="B17" s="5139"/>
      <c r="C17" s="5139"/>
      <c r="D17" s="5142"/>
      <c r="E17" s="864" t="s">
        <v>175</v>
      </c>
      <c r="F17" s="332"/>
      <c r="G17" s="333">
        <f t="shared" ref="G17:J21" si="2">G4+L4+Q4+V4</f>
        <v>0</v>
      </c>
      <c r="H17" s="333">
        <f t="shared" si="2"/>
        <v>0</v>
      </c>
      <c r="I17" s="333">
        <f t="shared" si="2"/>
        <v>0</v>
      </c>
      <c r="J17" s="333">
        <f t="shared" si="2"/>
        <v>0</v>
      </c>
      <c r="M17" s="1"/>
      <c r="N17" s="5138" t="s">
        <v>329</v>
      </c>
      <c r="O17" s="5139"/>
      <c r="P17" s="5139"/>
      <c r="Q17" s="5142"/>
      <c r="R17" s="3107" t="s">
        <v>1118</v>
      </c>
      <c r="S17" s="169" t="s">
        <v>445</v>
      </c>
      <c r="T17" s="3112">
        <v>0</v>
      </c>
      <c r="U17" s="3113">
        <v>0</v>
      </c>
      <c r="V17" s="3113">
        <v>0</v>
      </c>
      <c r="W17" s="3113">
        <v>0</v>
      </c>
      <c r="X17" s="3114">
        <v>0</v>
      </c>
      <c r="Y17" s="73">
        <f t="shared" ref="Y17:Y23" si="3">J29+O29+T29+Y29</f>
        <v>0</v>
      </c>
    </row>
    <row r="18" spans="1:30" x14ac:dyDescent="0.25">
      <c r="A18" s="5138" t="s">
        <v>330</v>
      </c>
      <c r="B18" s="5139"/>
      <c r="C18" s="5139"/>
      <c r="D18" s="5142"/>
      <c r="E18" s="864" t="s">
        <v>175</v>
      </c>
      <c r="F18" s="332">
        <f t="shared" ref="F18:F23" si="4">F5+K5+P5+U5</f>
        <v>124488</v>
      </c>
      <c r="G18" s="333">
        <f t="shared" si="2"/>
        <v>124488</v>
      </c>
      <c r="H18" s="333">
        <f t="shared" si="2"/>
        <v>124488</v>
      </c>
      <c r="I18" s="333">
        <f t="shared" si="2"/>
        <v>124488</v>
      </c>
      <c r="J18" s="334">
        <f t="shared" si="2"/>
        <v>497952</v>
      </c>
      <c r="N18" s="5138" t="s">
        <v>330</v>
      </c>
      <c r="O18" s="5139"/>
      <c r="P18" s="5139"/>
      <c r="Q18" s="5142"/>
      <c r="R18" s="3107" t="s">
        <v>1118</v>
      </c>
      <c r="S18" s="169">
        <v>0.21482000000000001</v>
      </c>
      <c r="T18" s="3112">
        <f>S18*F18</f>
        <v>26742.512160000002</v>
      </c>
      <c r="U18" s="3113">
        <f>S18*G18</f>
        <v>26742.512160000002</v>
      </c>
      <c r="V18" s="3113">
        <f>S18*H18</f>
        <v>26742.512160000002</v>
      </c>
      <c r="W18" s="3113">
        <f>S18*I18</f>
        <v>26742.512160000002</v>
      </c>
      <c r="X18" s="3114">
        <f>S18*J18</f>
        <v>106970.04864000001</v>
      </c>
      <c r="Y18" s="73">
        <f t="shared" si="3"/>
        <v>106970.04863999999</v>
      </c>
    </row>
    <row r="19" spans="1:30" x14ac:dyDescent="0.25">
      <c r="A19" s="5138" t="s">
        <v>331</v>
      </c>
      <c r="B19" s="5139"/>
      <c r="C19" s="5139"/>
      <c r="D19" s="5142"/>
      <c r="E19" s="864" t="s">
        <v>175</v>
      </c>
      <c r="F19" s="332">
        <f t="shared" si="4"/>
        <v>0</v>
      </c>
      <c r="G19" s="332">
        <f t="shared" si="2"/>
        <v>0</v>
      </c>
      <c r="H19" s="332">
        <f t="shared" si="2"/>
        <v>0</v>
      </c>
      <c r="I19" s="332">
        <f t="shared" si="2"/>
        <v>0</v>
      </c>
      <c r="J19" s="332">
        <f t="shared" si="2"/>
        <v>0</v>
      </c>
      <c r="N19" s="5138" t="s">
        <v>331</v>
      </c>
      <c r="O19" s="5139"/>
      <c r="P19" s="5139"/>
      <c r="Q19" s="5142"/>
      <c r="R19" s="3107" t="s">
        <v>1118</v>
      </c>
      <c r="S19" s="169" t="s">
        <v>445</v>
      </c>
      <c r="T19" s="3112">
        <v>0</v>
      </c>
      <c r="U19" s="3113">
        <v>0</v>
      </c>
      <c r="V19" s="3113">
        <v>0</v>
      </c>
      <c r="W19" s="3113">
        <v>0</v>
      </c>
      <c r="X19" s="3114">
        <v>0</v>
      </c>
      <c r="Y19" s="73">
        <f t="shared" si="3"/>
        <v>0</v>
      </c>
    </row>
    <row r="20" spans="1:30" x14ac:dyDescent="0.25">
      <c r="A20" s="5138" t="s">
        <v>332</v>
      </c>
      <c r="B20" s="5139"/>
      <c r="C20" s="5139"/>
      <c r="D20" s="5142"/>
      <c r="E20" s="864" t="s">
        <v>175</v>
      </c>
      <c r="F20" s="332">
        <f t="shared" si="4"/>
        <v>550920</v>
      </c>
      <c r="G20" s="333">
        <f t="shared" si="2"/>
        <v>550920</v>
      </c>
      <c r="H20" s="333">
        <f t="shared" si="2"/>
        <v>550920</v>
      </c>
      <c r="I20" s="333">
        <f t="shared" si="2"/>
        <v>550920</v>
      </c>
      <c r="J20" s="334">
        <f t="shared" si="2"/>
        <v>2203680</v>
      </c>
      <c r="N20" s="5138" t="s">
        <v>1115</v>
      </c>
      <c r="O20" s="5139"/>
      <c r="P20" s="5139"/>
      <c r="Q20" s="5142"/>
      <c r="R20" s="3107" t="s">
        <v>1118</v>
      </c>
      <c r="S20" s="169">
        <v>0.18368000000000001</v>
      </c>
      <c r="T20" s="3112">
        <f>0.7*S20*F20</f>
        <v>70835.089919999999</v>
      </c>
      <c r="U20" s="3113">
        <f>0.7*S20*G20</f>
        <v>70835.089919999999</v>
      </c>
      <c r="V20" s="3113">
        <f>0.7*S20*H20</f>
        <v>70835.089919999999</v>
      </c>
      <c r="W20" s="3113">
        <f>0.7*S20*I20</f>
        <v>70835.089919999999</v>
      </c>
      <c r="X20" s="3114">
        <f>0.7*S20*J20</f>
        <v>283340.35967999999</v>
      </c>
      <c r="Y20" s="73">
        <f t="shared" si="3"/>
        <v>283340.35967999999</v>
      </c>
    </row>
    <row r="21" spans="1:30" ht="15.75" thickBot="1" x14ac:dyDescent="0.3">
      <c r="A21" s="5138" t="s">
        <v>333</v>
      </c>
      <c r="B21" s="5139"/>
      <c r="C21" s="5139"/>
      <c r="D21" s="5142"/>
      <c r="E21" s="864" t="s">
        <v>175</v>
      </c>
      <c r="F21" s="332">
        <f t="shared" si="4"/>
        <v>0</v>
      </c>
      <c r="G21" s="332">
        <f t="shared" si="2"/>
        <v>0</v>
      </c>
      <c r="H21" s="332">
        <f t="shared" si="2"/>
        <v>0</v>
      </c>
      <c r="I21" s="332">
        <f t="shared" si="2"/>
        <v>0</v>
      </c>
      <c r="J21" s="332">
        <f t="shared" si="2"/>
        <v>0</v>
      </c>
      <c r="N21" s="5138" t="s">
        <v>1116</v>
      </c>
      <c r="O21" s="5139"/>
      <c r="P21" s="5139"/>
      <c r="Q21" s="5142"/>
      <c r="R21" s="3107" t="s">
        <v>1118</v>
      </c>
      <c r="S21" s="169">
        <v>0.17752999999999999</v>
      </c>
      <c r="T21" s="3112">
        <f>0.3*S21*F20</f>
        <v>29341.448279999997</v>
      </c>
      <c r="U21" s="3113">
        <f>0.3*S21*G20</f>
        <v>29341.448279999997</v>
      </c>
      <c r="V21" s="3113">
        <f>0.3*S21*H20</f>
        <v>29341.448279999997</v>
      </c>
      <c r="W21" s="3113">
        <f>0.3*S21*I20</f>
        <v>29341.448279999997</v>
      </c>
      <c r="X21" s="3114">
        <f>0.3*S21*J20</f>
        <v>117365.79311999999</v>
      </c>
      <c r="Y21" s="73">
        <f t="shared" si="3"/>
        <v>117365.79311999999</v>
      </c>
    </row>
    <row r="22" spans="1:30" ht="15.75" thickBot="1" x14ac:dyDescent="0.3">
      <c r="A22" s="5138" t="s">
        <v>334</v>
      </c>
      <c r="B22" s="5139"/>
      <c r="C22" s="5139"/>
      <c r="D22" s="5142"/>
      <c r="E22" s="864" t="s">
        <v>175</v>
      </c>
      <c r="F22" s="332">
        <f t="shared" si="4"/>
        <v>737688</v>
      </c>
      <c r="G22" s="333">
        <f t="shared" ref="G22:J23" si="5">G9+L9+Q9+V9</f>
        <v>737688</v>
      </c>
      <c r="H22" s="333">
        <f t="shared" si="5"/>
        <v>737688</v>
      </c>
      <c r="I22" s="333">
        <f t="shared" si="5"/>
        <v>737688</v>
      </c>
      <c r="J22" s="334">
        <f t="shared" si="5"/>
        <v>2950752</v>
      </c>
      <c r="N22" s="5138" t="s">
        <v>334</v>
      </c>
      <c r="O22" s="5139"/>
      <c r="P22" s="5139"/>
      <c r="Q22" s="5142"/>
      <c r="R22" s="3107" t="s">
        <v>1118</v>
      </c>
      <c r="S22" s="169"/>
      <c r="T22" s="3115">
        <f>SUM(T16:T21)</f>
        <v>133207.46195999999</v>
      </c>
      <c r="U22" s="3115">
        <f>SUM(U16:U21)</f>
        <v>133207.46195999999</v>
      </c>
      <c r="V22" s="3115">
        <f>SUM(V16:V21)</f>
        <v>133207.46195999999</v>
      </c>
      <c r="W22" s="3115">
        <f>SUM(W16:W21)</f>
        <v>133207.46195999999</v>
      </c>
      <c r="X22" s="3115">
        <f>SUM(X16:X21)</f>
        <v>532829.84783999994</v>
      </c>
      <c r="Y22" s="73">
        <f t="shared" si="3"/>
        <v>532829.84783999994</v>
      </c>
    </row>
    <row r="23" spans="1:30" ht="15.75" thickBot="1" x14ac:dyDescent="0.3">
      <c r="A23" s="5143" t="s">
        <v>335</v>
      </c>
      <c r="B23" s="5144"/>
      <c r="C23" s="5144"/>
      <c r="D23" s="5145"/>
      <c r="E23" s="865" t="s">
        <v>175</v>
      </c>
      <c r="F23" s="866">
        <f t="shared" si="4"/>
        <v>79758</v>
      </c>
      <c r="G23" s="867">
        <f t="shared" si="5"/>
        <v>79758</v>
      </c>
      <c r="H23" s="867">
        <f t="shared" si="5"/>
        <v>79758</v>
      </c>
      <c r="I23" s="867">
        <f t="shared" si="5"/>
        <v>79758</v>
      </c>
      <c r="J23" s="868">
        <f t="shared" si="5"/>
        <v>319032</v>
      </c>
      <c r="N23" s="5143" t="s">
        <v>335</v>
      </c>
      <c r="O23" s="5144"/>
      <c r="P23" s="5144"/>
      <c r="Q23" s="5145"/>
      <c r="R23" s="3107" t="s">
        <v>1118</v>
      </c>
      <c r="S23" s="170"/>
      <c r="T23" s="3117"/>
      <c r="U23" s="3118"/>
      <c r="V23" s="3118"/>
      <c r="W23" s="3118"/>
      <c r="X23" s="3119"/>
      <c r="Y23" s="73">
        <f t="shared" si="3"/>
        <v>0</v>
      </c>
    </row>
    <row r="24" spans="1:30" x14ac:dyDescent="0.25">
      <c r="A24" s="872"/>
      <c r="B24" s="872"/>
      <c r="C24" s="872"/>
      <c r="D24" s="872"/>
      <c r="E24" s="9"/>
      <c r="F24" s="333"/>
      <c r="G24" s="333"/>
      <c r="H24" s="333"/>
      <c r="I24" s="337"/>
      <c r="J24" s="337"/>
      <c r="T24" s="3090">
        <f>F34+K34+P34+U34</f>
        <v>133207.46195999999</v>
      </c>
      <c r="U24" s="3090">
        <f>G34+L34+Q34+V34</f>
        <v>133207.46195999999</v>
      </c>
      <c r="V24" s="3090">
        <f>H34+M34+R34+W34</f>
        <v>133207.46195999999</v>
      </c>
      <c r="W24" s="3090">
        <f>I34+N34+S34+X34</f>
        <v>133207.46195999999</v>
      </c>
      <c r="X24" s="3090">
        <f>J34+O34+T34+Y34</f>
        <v>532829.84783999994</v>
      </c>
    </row>
    <row r="25" spans="1:30" ht="15.75" thickBot="1" x14ac:dyDescent="0.3"/>
    <row r="26" spans="1:30" ht="15.75" customHeight="1" thickBot="1" x14ac:dyDescent="0.3">
      <c r="A26" s="5155" t="s">
        <v>1119</v>
      </c>
      <c r="B26" s="5156"/>
      <c r="C26" s="872">
        <v>0.7</v>
      </c>
      <c r="D26" s="872"/>
      <c r="E26" s="9"/>
      <c r="F26" s="5157" t="s">
        <v>2</v>
      </c>
      <c r="G26" s="5158"/>
      <c r="H26" s="5158"/>
      <c r="I26" s="5158"/>
      <c r="J26" s="5159"/>
      <c r="K26" s="5157" t="s">
        <v>8</v>
      </c>
      <c r="L26" s="5158"/>
      <c r="M26" s="5158"/>
      <c r="N26" s="5158"/>
      <c r="O26" s="5159"/>
      <c r="P26" s="5157" t="s">
        <v>9</v>
      </c>
      <c r="Q26" s="5158"/>
      <c r="R26" s="5158"/>
      <c r="S26" s="5158"/>
      <c r="T26" s="5159"/>
      <c r="U26" s="5157" t="s">
        <v>223</v>
      </c>
      <c r="V26" s="5158"/>
      <c r="W26" s="5158"/>
      <c r="X26" s="5158"/>
      <c r="Y26" s="5159"/>
    </row>
    <row r="27" spans="1:30" ht="30.75" customHeight="1" thickBot="1" x14ac:dyDescent="0.3">
      <c r="A27" s="5160" t="s">
        <v>327</v>
      </c>
      <c r="B27" s="5161"/>
      <c r="C27" s="5161"/>
      <c r="D27" s="862" t="s">
        <v>1</v>
      </c>
      <c r="E27" s="3120" t="s">
        <v>1114</v>
      </c>
      <c r="F27" s="189" t="s">
        <v>3</v>
      </c>
      <c r="G27" s="189" t="s">
        <v>4</v>
      </c>
      <c r="H27" s="189" t="s">
        <v>5</v>
      </c>
      <c r="I27" s="189" t="s">
        <v>6</v>
      </c>
      <c r="J27" s="190" t="s">
        <v>7</v>
      </c>
      <c r="K27" s="153" t="s">
        <v>3</v>
      </c>
      <c r="L27" s="154" t="s">
        <v>4</v>
      </c>
      <c r="M27" s="154" t="s">
        <v>5</v>
      </c>
      <c r="N27" s="154" t="s">
        <v>6</v>
      </c>
      <c r="O27" s="155" t="s">
        <v>7</v>
      </c>
      <c r="P27" s="188" t="s">
        <v>3</v>
      </c>
      <c r="Q27" s="189" t="s">
        <v>4</v>
      </c>
      <c r="R27" s="189" t="s">
        <v>5</v>
      </c>
      <c r="S27" s="189" t="s">
        <v>6</v>
      </c>
      <c r="T27" s="190" t="s">
        <v>7</v>
      </c>
      <c r="U27" s="188" t="s">
        <v>3</v>
      </c>
      <c r="V27" s="189" t="s">
        <v>4</v>
      </c>
      <c r="W27" s="189" t="s">
        <v>5</v>
      </c>
      <c r="X27" s="189" t="s">
        <v>6</v>
      </c>
      <c r="Y27" s="190" t="s">
        <v>7</v>
      </c>
      <c r="Z27" s="4987"/>
      <c r="AA27" s="4987"/>
      <c r="AB27" s="4987"/>
      <c r="AC27" s="4987"/>
      <c r="AD27" s="4987"/>
    </row>
    <row r="28" spans="1:30" ht="46.5" customHeight="1" x14ac:dyDescent="0.25">
      <c r="A28" s="5162" t="s">
        <v>328</v>
      </c>
      <c r="B28" s="5163"/>
      <c r="C28" s="5163"/>
      <c r="D28" s="3106" t="s">
        <v>1117</v>
      </c>
      <c r="E28" s="106">
        <v>0.10097</v>
      </c>
      <c r="F28" s="3109">
        <f>F3*E28</f>
        <v>3144.2058000000002</v>
      </c>
      <c r="G28" s="3110">
        <f>E28*G3</f>
        <v>3144.2058000000002</v>
      </c>
      <c r="H28" s="3110">
        <f>H3*E28</f>
        <v>3144.2058000000002</v>
      </c>
      <c r="I28" s="3110">
        <f>I3*E28</f>
        <v>3144.2058000000002</v>
      </c>
      <c r="J28" s="3111">
        <f>J3*E28</f>
        <v>12576.823200000001</v>
      </c>
      <c r="K28" s="3121">
        <f>K3*E28</f>
        <v>3144.2058000000002</v>
      </c>
      <c r="L28" s="3122">
        <f>L3*0.10097</f>
        <v>3144.2058000000002</v>
      </c>
      <c r="M28" s="3122">
        <f>M3*0.10097</f>
        <v>3144.2058000000002</v>
      </c>
      <c r="N28" s="3122">
        <f>N3*0.10097</f>
        <v>3144.2058000000002</v>
      </c>
      <c r="O28" s="3123">
        <f>O3*0.10097</f>
        <v>12576.823200000001</v>
      </c>
      <c r="P28" s="3110">
        <v>0</v>
      </c>
      <c r="Q28" s="3110">
        <v>0</v>
      </c>
      <c r="R28" s="3110">
        <v>0</v>
      </c>
      <c r="S28" s="3110">
        <v>0</v>
      </c>
      <c r="T28" s="3111">
        <v>0</v>
      </c>
      <c r="U28" s="3109">
        <v>0</v>
      </c>
      <c r="V28" s="3110">
        <v>0</v>
      </c>
      <c r="W28" s="3110">
        <v>0</v>
      </c>
      <c r="X28" s="3110">
        <v>0</v>
      </c>
      <c r="Y28" s="3111">
        <v>0</v>
      </c>
      <c r="Z28" s="298"/>
      <c r="AA28" s="298"/>
      <c r="AB28" s="298"/>
      <c r="AC28" s="298"/>
      <c r="AD28" s="298"/>
    </row>
    <row r="29" spans="1:30" ht="33" customHeight="1" x14ac:dyDescent="0.25">
      <c r="A29" s="5138" t="s">
        <v>329</v>
      </c>
      <c r="B29" s="5139"/>
      <c r="C29" s="5139"/>
      <c r="D29" s="3107" t="s">
        <v>1118</v>
      </c>
      <c r="E29" s="951" t="s">
        <v>445</v>
      </c>
      <c r="F29" s="3112">
        <v>0</v>
      </c>
      <c r="G29" s="3113">
        <v>0</v>
      </c>
      <c r="H29" s="3113">
        <v>0</v>
      </c>
      <c r="I29" s="3113">
        <v>0</v>
      </c>
      <c r="J29" s="3114">
        <v>0</v>
      </c>
      <c r="K29" s="3124">
        <v>0</v>
      </c>
      <c r="L29" s="3125">
        <v>0</v>
      </c>
      <c r="M29" s="3125">
        <v>0</v>
      </c>
      <c r="N29" s="3126">
        <v>0</v>
      </c>
      <c r="O29" s="3127">
        <v>0</v>
      </c>
      <c r="P29" s="3113">
        <v>0</v>
      </c>
      <c r="Q29" s="3113">
        <v>0</v>
      </c>
      <c r="R29" s="3113">
        <v>0</v>
      </c>
      <c r="S29" s="3113">
        <v>0</v>
      </c>
      <c r="T29" s="3114">
        <v>0</v>
      </c>
      <c r="U29" s="3112">
        <v>0</v>
      </c>
      <c r="V29" s="3113">
        <v>0</v>
      </c>
      <c r="W29" s="3113">
        <v>0</v>
      </c>
      <c r="X29" s="3113">
        <v>0</v>
      </c>
      <c r="Y29" s="3114">
        <v>0</v>
      </c>
      <c r="Z29" s="44"/>
      <c r="AA29" s="44"/>
      <c r="AB29" s="44"/>
      <c r="AC29" s="44"/>
      <c r="AD29" s="44"/>
    </row>
    <row r="30" spans="1:30" x14ac:dyDescent="0.25">
      <c r="A30" s="5138" t="s">
        <v>330</v>
      </c>
      <c r="B30" s="5139"/>
      <c r="C30" s="5139"/>
      <c r="D30" s="3107" t="s">
        <v>1118</v>
      </c>
      <c r="E30" s="951">
        <v>0.21482000000000001</v>
      </c>
      <c r="F30" s="3112">
        <f>F5*E30</f>
        <v>6604.4260800000002</v>
      </c>
      <c r="G30" s="3113">
        <f>G5*E30</f>
        <v>6604.4260800000002</v>
      </c>
      <c r="H30" s="3113">
        <f>H5*E30</f>
        <v>6604.4260800000002</v>
      </c>
      <c r="I30" s="3113">
        <f>I5*E30</f>
        <v>6604.4260800000002</v>
      </c>
      <c r="J30" s="3114">
        <f>J5*E30</f>
        <v>26417.704320000001</v>
      </c>
      <c r="K30" s="3124">
        <f>K5*E30</f>
        <v>6604.4260800000002</v>
      </c>
      <c r="L30" s="3125">
        <f>L5*E30</f>
        <v>6604.4260800000002</v>
      </c>
      <c r="M30" s="3125">
        <f>M5*E30</f>
        <v>6604.4260800000002</v>
      </c>
      <c r="N30" s="3125">
        <f>N5*E30</f>
        <v>6604.4260800000002</v>
      </c>
      <c r="O30" s="3127">
        <f>O5*E30</f>
        <v>26417.704320000001</v>
      </c>
      <c r="P30" s="3113">
        <f>P5*E30</f>
        <v>6766.83</v>
      </c>
      <c r="Q30" s="3113">
        <f>Q5*E30</f>
        <v>6766.83</v>
      </c>
      <c r="R30" s="3113">
        <f>R5*E30</f>
        <v>6766.83</v>
      </c>
      <c r="S30" s="3113">
        <f>S5*E30</f>
        <v>6766.83</v>
      </c>
      <c r="T30" s="3114">
        <f>T5*E30</f>
        <v>27067.32</v>
      </c>
      <c r="U30" s="3112">
        <f>U5*E30</f>
        <v>6766.83</v>
      </c>
      <c r="V30" s="3113">
        <f>V5*E30</f>
        <v>6766.83</v>
      </c>
      <c r="W30" s="3113">
        <f>W5*E30</f>
        <v>6766.83</v>
      </c>
      <c r="X30" s="3113">
        <f>X5*E30</f>
        <v>6766.83</v>
      </c>
      <c r="Y30" s="3114">
        <f>Y5*E30</f>
        <v>27067.32</v>
      </c>
      <c r="Z30" s="44"/>
      <c r="AA30" s="44"/>
      <c r="AB30" s="44"/>
      <c r="AC30" s="44"/>
      <c r="AD30" s="44"/>
    </row>
    <row r="31" spans="1:30" ht="32.25" customHeight="1" x14ac:dyDescent="0.25">
      <c r="A31" s="3102" t="s">
        <v>331</v>
      </c>
      <c r="B31" s="3103"/>
      <c r="C31" s="3103"/>
      <c r="D31" s="3107" t="s">
        <v>1118</v>
      </c>
      <c r="E31" s="951" t="s">
        <v>445</v>
      </c>
      <c r="F31" s="3112">
        <v>0</v>
      </c>
      <c r="G31" s="3113">
        <v>0</v>
      </c>
      <c r="H31" s="3113">
        <v>0</v>
      </c>
      <c r="I31" s="3113">
        <v>0</v>
      </c>
      <c r="J31" s="3114">
        <v>0</v>
      </c>
      <c r="K31" s="3124">
        <v>0</v>
      </c>
      <c r="L31" s="3125">
        <v>0</v>
      </c>
      <c r="M31" s="3125">
        <v>0</v>
      </c>
      <c r="N31" s="3126">
        <v>0</v>
      </c>
      <c r="O31" s="3127">
        <v>0</v>
      </c>
      <c r="P31" s="3113">
        <v>0</v>
      </c>
      <c r="Q31" s="3113">
        <v>0</v>
      </c>
      <c r="R31" s="3113">
        <v>0</v>
      </c>
      <c r="S31" s="3113">
        <v>0</v>
      </c>
      <c r="T31" s="3114">
        <v>0</v>
      </c>
      <c r="U31" s="3112">
        <v>0</v>
      </c>
      <c r="V31" s="3113">
        <v>0</v>
      </c>
      <c r="W31" s="3113">
        <v>0</v>
      </c>
      <c r="X31" s="3113">
        <v>0</v>
      </c>
      <c r="Y31" s="3114">
        <v>0</v>
      </c>
      <c r="Z31" s="44"/>
      <c r="AA31" s="44"/>
      <c r="AB31" s="44"/>
      <c r="AC31" s="44"/>
      <c r="AD31" s="44"/>
    </row>
    <row r="32" spans="1:30" x14ac:dyDescent="0.25">
      <c r="A32" s="5138" t="s">
        <v>1115</v>
      </c>
      <c r="B32" s="5139"/>
      <c r="C32" s="5139"/>
      <c r="D32" s="3107" t="s">
        <v>1118</v>
      </c>
      <c r="E32" s="951">
        <v>0.18368000000000001</v>
      </c>
      <c r="F32" s="3112">
        <f>0.7*F7*E32</f>
        <v>22032.783359999998</v>
      </c>
      <c r="G32" s="3113">
        <f>C26*G7*E32</f>
        <v>22032.783359999998</v>
      </c>
      <c r="H32" s="3113">
        <f>C26*E32*H7</f>
        <v>22032.783359999998</v>
      </c>
      <c r="I32" s="3113">
        <f>C26*E32*I7</f>
        <v>22032.783359999998</v>
      </c>
      <c r="J32" s="3113">
        <f>J7*C26*E32</f>
        <v>88131.133439999991</v>
      </c>
      <c r="K32" s="3124">
        <f>K7*E32*C26</f>
        <v>22032.783359999998</v>
      </c>
      <c r="L32" s="3125">
        <f>0.7*E32*L7</f>
        <v>22032.783359999998</v>
      </c>
      <c r="M32" s="3125">
        <f>M7*E32*0.7</f>
        <v>22032.783359999998</v>
      </c>
      <c r="N32" s="3125">
        <f>N7*E32*0.7</f>
        <v>22032.783359999998</v>
      </c>
      <c r="O32" s="3127">
        <f>O7*E32*0.7</f>
        <v>88131.133439999991</v>
      </c>
      <c r="P32" s="3113">
        <f>0.7*E32*P7</f>
        <v>13384.7616</v>
      </c>
      <c r="Q32" s="3113">
        <f>0.7*E32*Q7</f>
        <v>13384.7616</v>
      </c>
      <c r="R32" s="3113">
        <f>0.7*E32*R7</f>
        <v>13384.7616</v>
      </c>
      <c r="S32" s="3113">
        <f>0.7*E32*S7</f>
        <v>13384.7616</v>
      </c>
      <c r="T32" s="3114">
        <f>0.7*E32*T7</f>
        <v>53539.046399999999</v>
      </c>
      <c r="U32" s="3112">
        <f>0.7*U7*E32</f>
        <v>13384.7616</v>
      </c>
      <c r="V32" s="3113">
        <f>0.7*V7*E32</f>
        <v>13384.7616</v>
      </c>
      <c r="W32" s="3113">
        <f>0.7*E32*W7</f>
        <v>13384.7616</v>
      </c>
      <c r="X32" s="3113">
        <f>0.7*E32*X7</f>
        <v>13384.7616</v>
      </c>
      <c r="Y32" s="3114">
        <f>0.7*E32*Y7</f>
        <v>53539.046399999999</v>
      </c>
      <c r="Z32" s="44"/>
      <c r="AA32" s="44"/>
      <c r="AB32" s="44"/>
      <c r="AC32" s="44"/>
      <c r="AD32" s="44"/>
    </row>
    <row r="33" spans="1:30" ht="42" customHeight="1" thickBot="1" x14ac:dyDescent="0.3">
      <c r="A33" s="5138" t="s">
        <v>1120</v>
      </c>
      <c r="B33" s="5139"/>
      <c r="C33" s="5139"/>
      <c r="D33" s="3107" t="s">
        <v>1118</v>
      </c>
      <c r="E33" s="951">
        <v>0.17752999999999999</v>
      </c>
      <c r="F33" s="3112">
        <f>0.3*E33*F7</f>
        <v>9126.4622399999989</v>
      </c>
      <c r="G33" s="3113">
        <f>0.3*E33*G7</f>
        <v>9126.4622399999989</v>
      </c>
      <c r="H33" s="3113">
        <f>0.3*E33*H7</f>
        <v>9126.4622399999989</v>
      </c>
      <c r="I33" s="3113">
        <f>0.3*E33*I7</f>
        <v>9126.4622399999989</v>
      </c>
      <c r="J33" s="3114">
        <f>0.3*E33*J7</f>
        <v>36505.848959999996</v>
      </c>
      <c r="K33" s="3124">
        <f>0.3*E33*K7</f>
        <v>9126.4622399999989</v>
      </c>
      <c r="L33" s="3125">
        <f>0.3*E33*L7</f>
        <v>9126.4622399999989</v>
      </c>
      <c r="M33" s="3125">
        <f>0.3*E33*M7</f>
        <v>9126.4622399999989</v>
      </c>
      <c r="N33" s="3126">
        <f>0.3*E33*N7</f>
        <v>9126.4622399999989</v>
      </c>
      <c r="O33" s="3127">
        <f>0.3*E33*O7</f>
        <v>36505.848959999996</v>
      </c>
      <c r="P33" s="3113">
        <f>0.3*E33*P7</f>
        <v>5544.2618999999995</v>
      </c>
      <c r="Q33" s="3113">
        <f>0.3*E33*Q7</f>
        <v>5544.2618999999995</v>
      </c>
      <c r="R33" s="3113">
        <f>0.3*E33*R7</f>
        <v>5544.2618999999995</v>
      </c>
      <c r="S33" s="3113">
        <f>0.3*E33*S7</f>
        <v>5544.2618999999995</v>
      </c>
      <c r="T33" s="3114">
        <f>0.3*E33*T7</f>
        <v>22177.047599999998</v>
      </c>
      <c r="U33" s="3112">
        <f>0.3*E33*U7</f>
        <v>5544.2618999999995</v>
      </c>
      <c r="V33" s="3113">
        <f>0.3*E33*V7</f>
        <v>5544.2618999999995</v>
      </c>
      <c r="W33" s="3113">
        <f>0.3*E33*W7</f>
        <v>5544.2618999999995</v>
      </c>
      <c r="X33" s="3113">
        <f>0.3*E33*X7</f>
        <v>5544.2618999999995</v>
      </c>
      <c r="Y33" s="3114">
        <f>0.3*E33*Y7</f>
        <v>22177.047599999998</v>
      </c>
      <c r="Z33" s="44"/>
      <c r="AA33" s="44"/>
      <c r="AB33" s="44"/>
      <c r="AC33" s="44"/>
      <c r="AD33" s="44"/>
    </row>
    <row r="34" spans="1:30" ht="28.5" customHeight="1" thickBot="1" x14ac:dyDescent="0.3">
      <c r="A34" s="5138" t="s">
        <v>334</v>
      </c>
      <c r="B34" s="5139"/>
      <c r="C34" s="5139"/>
      <c r="D34" s="3107" t="s">
        <v>1118</v>
      </c>
      <c r="E34" s="106"/>
      <c r="F34" s="3115">
        <f>SUM(F28:F33)</f>
        <v>40907.877479999996</v>
      </c>
      <c r="G34" s="3115">
        <f t="shared" ref="G34:Y34" si="6">SUM(G28:G33)</f>
        <v>40907.877479999996</v>
      </c>
      <c r="H34" s="3115">
        <f t="shared" si="6"/>
        <v>40907.877479999996</v>
      </c>
      <c r="I34" s="3115">
        <f t="shared" si="6"/>
        <v>40907.877479999996</v>
      </c>
      <c r="J34" s="3115">
        <f t="shared" si="6"/>
        <v>163631.50991999998</v>
      </c>
      <c r="K34" s="3115">
        <f t="shared" si="6"/>
        <v>40907.877479999996</v>
      </c>
      <c r="L34" s="3115">
        <f t="shared" si="6"/>
        <v>40907.877479999996</v>
      </c>
      <c r="M34" s="3115">
        <f t="shared" si="6"/>
        <v>40907.877479999996</v>
      </c>
      <c r="N34" s="3115">
        <f t="shared" si="6"/>
        <v>40907.877479999996</v>
      </c>
      <c r="O34" s="3115">
        <f t="shared" si="6"/>
        <v>163631.50991999998</v>
      </c>
      <c r="P34" s="3115">
        <f t="shared" si="6"/>
        <v>25695.853499999997</v>
      </c>
      <c r="Q34" s="3115">
        <f t="shared" si="6"/>
        <v>25695.853499999997</v>
      </c>
      <c r="R34" s="3115">
        <f t="shared" si="6"/>
        <v>25695.853499999997</v>
      </c>
      <c r="S34" s="3115">
        <f t="shared" si="6"/>
        <v>25695.853499999997</v>
      </c>
      <c r="T34" s="3115">
        <f t="shared" si="6"/>
        <v>102783.41399999999</v>
      </c>
      <c r="U34" s="3115">
        <f t="shared" si="6"/>
        <v>25695.853499999997</v>
      </c>
      <c r="V34" s="3115">
        <f t="shared" si="6"/>
        <v>25695.853499999997</v>
      </c>
      <c r="W34" s="3115">
        <f t="shared" si="6"/>
        <v>25695.853499999997</v>
      </c>
      <c r="X34" s="3115">
        <f t="shared" si="6"/>
        <v>25695.853499999997</v>
      </c>
      <c r="Y34" s="3116">
        <f t="shared" si="6"/>
        <v>102783.41399999999</v>
      </c>
      <c r="Z34" s="44"/>
      <c r="AA34" s="44"/>
      <c r="AB34" s="44"/>
      <c r="AC34" s="44"/>
      <c r="AD34" s="44"/>
    </row>
    <row r="35" spans="1:30" ht="15.75" customHeight="1" thickBot="1" x14ac:dyDescent="0.3">
      <c r="A35" s="5140" t="s">
        <v>335</v>
      </c>
      <c r="B35" s="5141"/>
      <c r="C35" s="5141"/>
      <c r="D35" s="3107" t="s">
        <v>1118</v>
      </c>
      <c r="E35" s="106"/>
      <c r="F35" s="3117"/>
      <c r="G35" s="3118"/>
      <c r="H35" s="3118"/>
      <c r="I35" s="3118"/>
      <c r="J35" s="3119"/>
      <c r="K35" s="3128"/>
      <c r="L35" s="3129"/>
      <c r="M35" s="3129"/>
      <c r="N35" s="3130"/>
      <c r="O35" s="3131"/>
      <c r="P35" s="3118"/>
      <c r="Q35" s="3118"/>
      <c r="R35" s="3118"/>
      <c r="S35" s="3118"/>
      <c r="T35" s="3119"/>
      <c r="U35" s="3117"/>
      <c r="V35" s="3118"/>
      <c r="W35" s="3118"/>
      <c r="X35" s="3118"/>
      <c r="Y35" s="3119"/>
      <c r="Z35" s="44"/>
      <c r="AA35" s="44"/>
      <c r="AB35" s="44"/>
      <c r="AC35" s="44"/>
      <c r="AD35" s="44"/>
    </row>
    <row r="36" spans="1:30" x14ac:dyDescent="0.25">
      <c r="A36" s="5137"/>
      <c r="B36" s="5137"/>
      <c r="C36" s="5137"/>
      <c r="D36" s="5137"/>
      <c r="E36" s="3104"/>
      <c r="F36" s="333"/>
      <c r="G36" s="337"/>
      <c r="H36" s="337"/>
      <c r="I36" s="337"/>
      <c r="J36" s="337"/>
      <c r="K36" s="878"/>
      <c r="L36" s="878"/>
      <c r="M36" s="878"/>
      <c r="N36" s="879"/>
      <c r="O36" s="883"/>
      <c r="P36" s="337"/>
      <c r="Q36" s="337"/>
      <c r="R36" s="337"/>
      <c r="S36" s="337"/>
      <c r="T36" s="337"/>
      <c r="U36" s="337"/>
      <c r="V36" s="337"/>
      <c r="W36" s="337"/>
      <c r="X36" s="337"/>
      <c r="Y36" s="337"/>
      <c r="Z36" s="44"/>
      <c r="AA36" s="44"/>
      <c r="AB36" s="44"/>
      <c r="AC36" s="44"/>
      <c r="AD36" s="44"/>
    </row>
    <row r="38" spans="1:30" x14ac:dyDescent="0.25">
      <c r="A38" s="39"/>
      <c r="B38" s="39"/>
      <c r="C38" s="39"/>
      <c r="D38" s="39"/>
      <c r="E38" s="39"/>
      <c r="F38" s="39"/>
      <c r="G38" s="39"/>
      <c r="H38" s="39"/>
      <c r="I38" s="39"/>
      <c r="J38" s="39"/>
      <c r="K38" s="39"/>
      <c r="L38" s="39"/>
    </row>
    <row r="39" spans="1:30" ht="15.75" thickBot="1" x14ac:dyDescent="0.3">
      <c r="A39" s="2900" t="s">
        <v>1561</v>
      </c>
      <c r="B39" s="2900"/>
      <c r="C39" s="2900"/>
      <c r="D39" s="2900"/>
      <c r="E39" s="2900"/>
      <c r="F39" s="2900"/>
      <c r="G39" s="2900"/>
      <c r="H39" s="2900"/>
      <c r="I39" s="225"/>
      <c r="J39" s="225"/>
      <c r="K39" s="39"/>
      <c r="L39" s="39"/>
    </row>
    <row r="40" spans="1:30" ht="48.75" thickBot="1" x14ac:dyDescent="0.3">
      <c r="A40" s="4790" t="s">
        <v>1550</v>
      </c>
      <c r="B40" s="4791" t="s">
        <v>1551</v>
      </c>
      <c r="C40" s="4791" t="s">
        <v>1552</v>
      </c>
      <c r="D40" s="4791" t="s">
        <v>1553</v>
      </c>
      <c r="E40" s="4791" t="s">
        <v>1554</v>
      </c>
      <c r="F40" s="4791" t="s">
        <v>1555</v>
      </c>
      <c r="G40" s="4792"/>
      <c r="H40" s="2900"/>
      <c r="I40" s="904"/>
      <c r="J40" s="904"/>
      <c r="K40" s="39"/>
      <c r="L40" s="39"/>
    </row>
    <row r="41" spans="1:30" x14ac:dyDescent="0.25">
      <c r="A41" s="312" t="s">
        <v>528</v>
      </c>
      <c r="B41" s="4793">
        <v>48</v>
      </c>
      <c r="C41" s="4793">
        <v>8</v>
      </c>
      <c r="D41" s="4794">
        <f>245*48*8</f>
        <v>94080</v>
      </c>
      <c r="E41" s="4793"/>
      <c r="F41" s="4793"/>
      <c r="G41" s="4795"/>
      <c r="H41" s="2900"/>
      <c r="I41" s="337"/>
      <c r="J41" s="337"/>
      <c r="K41" s="39"/>
      <c r="L41" s="39"/>
    </row>
    <row r="42" spans="1:30" ht="24.75" x14ac:dyDescent="0.25">
      <c r="A42" s="4796" t="s">
        <v>1556</v>
      </c>
      <c r="B42" s="2900">
        <v>61</v>
      </c>
      <c r="C42" s="2900">
        <v>10</v>
      </c>
      <c r="D42" s="4797">
        <f>B42*245*C42</f>
        <v>149450</v>
      </c>
      <c r="E42" s="2900"/>
      <c r="F42" s="2900"/>
      <c r="G42" s="4798"/>
      <c r="H42" s="2900"/>
      <c r="I42" s="337"/>
      <c r="J42" s="337"/>
      <c r="K42" s="39"/>
      <c r="L42" s="39"/>
    </row>
    <row r="43" spans="1:30" x14ac:dyDescent="0.25">
      <c r="A43" s="4796" t="s">
        <v>1557</v>
      </c>
      <c r="B43" s="2900">
        <v>30</v>
      </c>
      <c r="C43" s="2900">
        <v>90</v>
      </c>
      <c r="D43" s="4797">
        <f>B43*C43*245</f>
        <v>661500</v>
      </c>
      <c r="E43" s="2900"/>
      <c r="F43" s="2900"/>
      <c r="G43" s="4798"/>
      <c r="H43" s="2900"/>
      <c r="I43" s="337"/>
      <c r="J43" s="337"/>
      <c r="K43" s="39"/>
      <c r="L43" s="39"/>
    </row>
    <row r="44" spans="1:30" x14ac:dyDescent="0.25">
      <c r="A44" s="4799" t="s">
        <v>1558</v>
      </c>
      <c r="B44" s="2900">
        <v>11</v>
      </c>
      <c r="C44" s="2900">
        <v>90</v>
      </c>
      <c r="D44" s="4797">
        <f>B44*C44*245</f>
        <v>242550</v>
      </c>
      <c r="E44" s="2900"/>
      <c r="F44" s="2900"/>
      <c r="G44" s="4798"/>
      <c r="H44" s="2900"/>
      <c r="I44" s="337"/>
      <c r="J44" s="337"/>
      <c r="K44" s="39"/>
      <c r="L44" s="39"/>
    </row>
    <row r="45" spans="1:30" ht="15.75" thickBot="1" x14ac:dyDescent="0.3">
      <c r="A45" s="4799" t="s">
        <v>1559</v>
      </c>
      <c r="B45" s="2900">
        <v>10</v>
      </c>
      <c r="C45" s="2900">
        <v>10</v>
      </c>
      <c r="D45" s="4797">
        <f>B45*C45*245</f>
        <v>24500</v>
      </c>
      <c r="E45" s="2900"/>
      <c r="F45" s="2900"/>
      <c r="G45" s="4798"/>
      <c r="H45" s="2900"/>
      <c r="I45" s="337"/>
      <c r="J45" s="337"/>
      <c r="K45" s="39"/>
      <c r="L45" s="39"/>
    </row>
    <row r="46" spans="1:30" ht="15.75" thickBot="1" x14ac:dyDescent="0.3">
      <c r="A46" s="4800" t="s">
        <v>389</v>
      </c>
      <c r="B46" s="4801">
        <f>SUM(B41:B45)</f>
        <v>160</v>
      </c>
      <c r="C46" s="4801"/>
      <c r="D46" s="4802">
        <f>SUM(D41:D45)</f>
        <v>1172080</v>
      </c>
      <c r="E46" s="4803">
        <f>D46*0.18071/1000</f>
        <v>211.80657680000002</v>
      </c>
      <c r="F46" s="4804">
        <f>E46/3756.41</f>
        <v>5.6385372416748979E-2</v>
      </c>
      <c r="G46" s="4805"/>
      <c r="H46" s="2900"/>
      <c r="I46" s="337"/>
      <c r="J46" s="337"/>
      <c r="K46" s="39"/>
      <c r="L46" s="39"/>
    </row>
    <row r="47" spans="1:30" ht="15.75" thickBot="1" x14ac:dyDescent="0.3">
      <c r="A47" s="4806" t="s">
        <v>340</v>
      </c>
      <c r="B47" s="4807">
        <v>3</v>
      </c>
      <c r="C47" s="4807" t="s">
        <v>1178</v>
      </c>
      <c r="D47" s="4807"/>
      <c r="E47" s="4807"/>
      <c r="F47" s="4807"/>
      <c r="G47" s="4808"/>
      <c r="H47" s="2900"/>
      <c r="I47" s="337"/>
      <c r="J47" s="337"/>
      <c r="K47" s="39"/>
      <c r="L47" s="39"/>
    </row>
    <row r="48" spans="1:30" x14ac:dyDescent="0.25">
      <c r="A48" s="2900"/>
      <c r="B48" s="2900"/>
      <c r="C48" s="2900"/>
      <c r="D48" s="2900"/>
      <c r="E48" s="2900"/>
      <c r="F48" s="2900"/>
      <c r="G48" s="2900"/>
      <c r="H48" s="2900"/>
      <c r="I48" s="337"/>
      <c r="J48" s="337"/>
      <c r="K48" s="39"/>
      <c r="L48" s="39"/>
    </row>
    <row r="49" spans="1:12" x14ac:dyDescent="0.25">
      <c r="A49" s="4809" t="s">
        <v>1560</v>
      </c>
      <c r="B49" s="2900"/>
      <c r="C49" s="2900"/>
      <c r="D49" s="2900"/>
      <c r="E49" s="2900"/>
      <c r="F49" s="2900"/>
      <c r="G49" s="2900"/>
      <c r="H49" s="2900"/>
      <c r="I49" s="39"/>
      <c r="J49" s="39"/>
      <c r="K49" s="39"/>
      <c r="L49" s="39"/>
    </row>
    <row r="50" spans="1:12" x14ac:dyDescent="0.25">
      <c r="A50" s="39"/>
      <c r="B50" s="39"/>
      <c r="C50" s="39"/>
      <c r="D50" s="39"/>
      <c r="E50" s="39"/>
      <c r="F50" s="39"/>
      <c r="G50" s="39"/>
      <c r="H50" s="39"/>
      <c r="I50" s="39"/>
      <c r="J50" s="39"/>
      <c r="K50" s="39"/>
      <c r="L50" s="39"/>
    </row>
  </sheetData>
  <mergeCells count="47">
    <mergeCell ref="U26:Y26"/>
    <mergeCell ref="A27:C27"/>
    <mergeCell ref="A28:C28"/>
    <mergeCell ref="A29:C29"/>
    <mergeCell ref="A30:C30"/>
    <mergeCell ref="N21:Q21"/>
    <mergeCell ref="N22:Q22"/>
    <mergeCell ref="N23:Q23"/>
    <mergeCell ref="A26:B26"/>
    <mergeCell ref="F26:J26"/>
    <mergeCell ref="K26:O26"/>
    <mergeCell ref="P26:T26"/>
    <mergeCell ref="A22:D22"/>
    <mergeCell ref="A23:D23"/>
    <mergeCell ref="A21:D21"/>
    <mergeCell ref="N16:Q16"/>
    <mergeCell ref="N17:Q17"/>
    <mergeCell ref="N18:Q18"/>
    <mergeCell ref="N19:Q19"/>
    <mergeCell ref="N20:Q20"/>
    <mergeCell ref="F14:J14"/>
    <mergeCell ref="A15:D15"/>
    <mergeCell ref="A16:D16"/>
    <mergeCell ref="A17:D17"/>
    <mergeCell ref="A18:D18"/>
    <mergeCell ref="A19:D19"/>
    <mergeCell ref="A20:D20"/>
    <mergeCell ref="K1:O1"/>
    <mergeCell ref="P1:T1"/>
    <mergeCell ref="U1:Y1"/>
    <mergeCell ref="A7:D7"/>
    <mergeCell ref="A8:D8"/>
    <mergeCell ref="A9:D9"/>
    <mergeCell ref="A10:D10"/>
    <mergeCell ref="F1:J1"/>
    <mergeCell ref="A2:D2"/>
    <mergeCell ref="A3:D3"/>
    <mergeCell ref="A4:D4"/>
    <mergeCell ref="A5:D5"/>
    <mergeCell ref="A6:D6"/>
    <mergeCell ref="N15:Q15"/>
    <mergeCell ref="Z27:AD27"/>
    <mergeCell ref="A36:D36"/>
    <mergeCell ref="A32:C32"/>
    <mergeCell ref="A33:C33"/>
    <mergeCell ref="A34:C34"/>
    <mergeCell ref="A35:C35"/>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tabColor rgb="FF92D050"/>
  </sheetPr>
  <dimension ref="A1:AM258"/>
  <sheetViews>
    <sheetView workbookViewId="0">
      <selection activeCell="H57" sqref="H57"/>
    </sheetView>
  </sheetViews>
  <sheetFormatPr defaultRowHeight="15" x14ac:dyDescent="0.25"/>
  <cols>
    <col min="1" max="1" width="9.85546875" customWidth="1"/>
    <col min="2" max="2" width="18.5703125" customWidth="1"/>
    <col min="3" max="3" width="11.5703125" customWidth="1"/>
    <col min="4" max="4" width="11.7109375" customWidth="1"/>
    <col min="5" max="5" width="13.28515625" customWidth="1"/>
    <col min="6" max="6" width="12.28515625" customWidth="1"/>
    <col min="7" max="7" width="9.140625" style="9"/>
    <col min="9" max="9" width="9.28515625" style="9" bestFit="1" customWidth="1"/>
    <col min="11" max="11" width="9.140625" style="9"/>
    <col min="12" max="12" width="11" customWidth="1"/>
    <col min="13" max="13" width="11" style="9" customWidth="1"/>
    <col min="15" max="15" width="9.140625" style="9"/>
    <col min="17" max="17" width="9.28515625" style="9" bestFit="1" customWidth="1"/>
    <col min="18" max="18" width="10" bestFit="1" customWidth="1"/>
    <col min="19" max="19" width="9.140625" style="9"/>
    <col min="21" max="21" width="9.140625" style="9"/>
    <col min="22" max="22" width="13.42578125" customWidth="1"/>
    <col min="23" max="23" width="13.42578125" style="9" customWidth="1"/>
    <col min="25" max="25" width="9.140625" style="9"/>
    <col min="26" max="26" width="12.28515625" customWidth="1"/>
    <col min="29" max="29" width="10.7109375" customWidth="1"/>
  </cols>
  <sheetData>
    <row r="1" spans="1:39" x14ac:dyDescent="0.25">
      <c r="A1" s="1632" t="s">
        <v>336</v>
      </c>
      <c r="B1" s="1632"/>
      <c r="C1" s="1632"/>
      <c r="D1" s="1632"/>
      <c r="E1" s="594"/>
      <c r="F1" s="298"/>
      <c r="G1" s="298"/>
      <c r="H1" s="298"/>
      <c r="I1" s="298"/>
      <c r="J1" s="298"/>
      <c r="K1" s="298"/>
      <c r="L1" s="298"/>
      <c r="M1" s="298"/>
      <c r="N1" s="298"/>
      <c r="O1" s="298"/>
      <c r="P1" s="298"/>
      <c r="Q1" s="298"/>
      <c r="R1" s="298"/>
      <c r="S1" s="298"/>
      <c r="T1" s="298"/>
      <c r="U1" s="298"/>
      <c r="V1" s="298"/>
      <c r="W1" s="298"/>
      <c r="X1" s="298"/>
      <c r="Y1" s="298"/>
      <c r="Z1" s="298"/>
      <c r="AA1" s="298"/>
      <c r="AB1" s="298"/>
      <c r="AC1" s="298"/>
      <c r="AD1" s="298"/>
      <c r="AE1" s="298"/>
      <c r="AF1" s="298"/>
      <c r="AG1" s="298"/>
      <c r="AH1" s="298"/>
      <c r="AI1" s="9"/>
      <c r="AJ1" s="9"/>
      <c r="AK1" s="9"/>
      <c r="AL1" s="9"/>
      <c r="AM1" s="9"/>
    </row>
    <row r="2" spans="1:39" ht="15.75" thickBot="1" x14ac:dyDescent="0.3">
      <c r="A2" s="14"/>
      <c r="B2" s="14"/>
      <c r="C2" s="16"/>
      <c r="D2" s="812"/>
      <c r="E2" s="918"/>
      <c r="F2" s="14"/>
      <c r="G2" s="16"/>
      <c r="H2" s="16"/>
      <c r="I2" s="16"/>
      <c r="J2" s="14"/>
      <c r="K2" s="16"/>
      <c r="L2" s="812"/>
      <c r="M2" s="16"/>
      <c r="N2" s="16"/>
      <c r="O2" s="16"/>
      <c r="P2" s="16"/>
      <c r="Q2" s="16"/>
      <c r="R2" s="14"/>
      <c r="S2" s="16"/>
      <c r="T2" s="812"/>
      <c r="U2" s="16"/>
      <c r="V2" s="16"/>
      <c r="W2" s="16"/>
      <c r="X2" s="812"/>
      <c r="Y2" s="16"/>
    </row>
    <row r="3" spans="1:39" s="9" customFormat="1" ht="15" customHeight="1" thickBot="1" x14ac:dyDescent="0.3">
      <c r="A3" s="5185" t="s">
        <v>634</v>
      </c>
      <c r="B3" s="5189" t="s">
        <v>635</v>
      </c>
      <c r="C3" s="5190"/>
      <c r="D3" s="5193" t="s">
        <v>661</v>
      </c>
      <c r="E3" s="5187" t="s">
        <v>660</v>
      </c>
      <c r="F3" s="5195" t="s">
        <v>880</v>
      </c>
      <c r="G3" s="5196"/>
      <c r="H3" s="5196"/>
      <c r="I3" s="5197"/>
      <c r="J3" s="4981" t="s">
        <v>881</v>
      </c>
      <c r="K3" s="4982"/>
      <c r="L3" s="4982"/>
      <c r="M3" s="4983"/>
      <c r="N3" s="5154" t="s">
        <v>882</v>
      </c>
      <c r="O3" s="4995"/>
      <c r="P3" s="4995"/>
      <c r="Q3" s="5198"/>
      <c r="R3" s="5199" t="s">
        <v>883</v>
      </c>
      <c r="S3" s="4995"/>
      <c r="T3" s="4995"/>
      <c r="U3" s="5198"/>
      <c r="V3" s="5200" t="s">
        <v>884</v>
      </c>
      <c r="W3" s="5201"/>
      <c r="X3" s="5201"/>
      <c r="Y3" s="5202"/>
      <c r="Z3" s="5154" t="s">
        <v>885</v>
      </c>
      <c r="AA3" s="4995"/>
      <c r="AB3" s="4995"/>
      <c r="AC3" s="4996"/>
    </row>
    <row r="4" spans="1:39" s="9" customFormat="1" ht="49.5" customHeight="1" thickBot="1" x14ac:dyDescent="0.3">
      <c r="A4" s="5186"/>
      <c r="B4" s="5191"/>
      <c r="C4" s="5192"/>
      <c r="D4" s="5194"/>
      <c r="E4" s="5188"/>
      <c r="F4" s="3419" t="s">
        <v>662</v>
      </c>
      <c r="G4" s="3420" t="s">
        <v>637</v>
      </c>
      <c r="H4" s="3420" t="s">
        <v>636</v>
      </c>
      <c r="I4" s="1705" t="s">
        <v>673</v>
      </c>
      <c r="J4" s="1706" t="s">
        <v>290</v>
      </c>
      <c r="K4" s="1707" t="s">
        <v>637</v>
      </c>
      <c r="L4" s="1707" t="s">
        <v>636</v>
      </c>
      <c r="M4" s="1708" t="s">
        <v>663</v>
      </c>
      <c r="N4" s="3416" t="s">
        <v>290</v>
      </c>
      <c r="O4" s="1709" t="s">
        <v>637</v>
      </c>
      <c r="P4" s="1709" t="s">
        <v>636</v>
      </c>
      <c r="Q4" s="1710" t="s">
        <v>663</v>
      </c>
      <c r="R4" s="1711" t="s">
        <v>290</v>
      </c>
      <c r="S4" s="1712" t="s">
        <v>637</v>
      </c>
      <c r="T4" s="1712" t="s">
        <v>636</v>
      </c>
      <c r="U4" s="1713" t="s">
        <v>663</v>
      </c>
      <c r="V4" s="3436" t="s">
        <v>290</v>
      </c>
      <c r="W4" s="3437" t="s">
        <v>637</v>
      </c>
      <c r="X4" s="3437" t="s">
        <v>636</v>
      </c>
      <c r="Y4" s="3438" t="s">
        <v>663</v>
      </c>
      <c r="Z4" s="3421" t="s">
        <v>290</v>
      </c>
      <c r="AA4" s="3422" t="s">
        <v>637</v>
      </c>
      <c r="AB4" s="3422" t="s">
        <v>636</v>
      </c>
      <c r="AC4" s="3423" t="s">
        <v>663</v>
      </c>
      <c r="AF4" s="1"/>
    </row>
    <row r="5" spans="1:39" x14ac:dyDescent="0.25">
      <c r="A5" s="3023">
        <v>43647</v>
      </c>
      <c r="B5" s="10"/>
      <c r="C5" s="15"/>
      <c r="D5" s="1177"/>
      <c r="E5" s="1"/>
      <c r="F5" s="3424">
        <v>13224</v>
      </c>
      <c r="G5" s="3425">
        <v>0</v>
      </c>
      <c r="H5" s="3425">
        <v>0</v>
      </c>
      <c r="I5" s="3426">
        <v>0</v>
      </c>
      <c r="J5" s="2185">
        <v>9272</v>
      </c>
      <c r="K5" s="3370">
        <v>0</v>
      </c>
      <c r="L5" s="3370">
        <v>0</v>
      </c>
      <c r="M5" s="3371">
        <v>0</v>
      </c>
      <c r="N5" s="3428">
        <v>5472</v>
      </c>
      <c r="O5" s="3429">
        <v>0</v>
      </c>
      <c r="P5" s="3429">
        <v>0</v>
      </c>
      <c r="Q5" s="3430">
        <v>0</v>
      </c>
      <c r="R5" s="3432">
        <v>27965</v>
      </c>
      <c r="S5" s="3433">
        <v>25958</v>
      </c>
      <c r="T5" s="3433">
        <v>0</v>
      </c>
      <c r="U5" s="3434">
        <v>0</v>
      </c>
      <c r="V5" s="3439">
        <v>32378</v>
      </c>
      <c r="W5" s="3440">
        <v>0</v>
      </c>
      <c r="X5" s="3038">
        <v>89660</v>
      </c>
      <c r="Y5" s="3441">
        <v>8340</v>
      </c>
      <c r="Z5" s="3037">
        <f>F5+J5+N5+R5+V5</f>
        <v>88311</v>
      </c>
      <c r="AA5" s="3038">
        <f t="shared" ref="AA5:AC19" si="0">G5+K5+O5+S5+W5</f>
        <v>25958</v>
      </c>
      <c r="AB5" s="3038">
        <f t="shared" si="0"/>
        <v>89660</v>
      </c>
      <c r="AC5" s="3039">
        <f t="shared" si="0"/>
        <v>8340</v>
      </c>
    </row>
    <row r="6" spans="1:39" s="9" customFormat="1" x14ac:dyDescent="0.25">
      <c r="A6" s="3023">
        <v>43678</v>
      </c>
      <c r="B6" s="12"/>
      <c r="C6" s="1"/>
      <c r="D6" s="322"/>
      <c r="E6" s="1"/>
      <c r="F6" s="3372">
        <v>9120</v>
      </c>
      <c r="G6" s="3373">
        <v>0</v>
      </c>
      <c r="H6" s="3373">
        <v>0</v>
      </c>
      <c r="I6" s="3374">
        <v>0</v>
      </c>
      <c r="J6" s="3427">
        <v>8208</v>
      </c>
      <c r="K6" s="3417">
        <v>0</v>
      </c>
      <c r="L6" s="3417">
        <v>0</v>
      </c>
      <c r="M6" s="3375">
        <v>0</v>
      </c>
      <c r="N6" s="3431">
        <v>7162</v>
      </c>
      <c r="O6" s="3376">
        <v>0</v>
      </c>
      <c r="P6" s="3376">
        <v>0</v>
      </c>
      <c r="Q6" s="3377">
        <v>0</v>
      </c>
      <c r="R6" s="3435">
        <v>22977</v>
      </c>
      <c r="S6" s="3378">
        <v>27219</v>
      </c>
      <c r="T6" s="3378">
        <v>0</v>
      </c>
      <c r="U6" s="3379">
        <v>0</v>
      </c>
      <c r="V6" s="3442">
        <v>43510</v>
      </c>
      <c r="W6" s="3418">
        <v>5026</v>
      </c>
      <c r="X6" s="3418">
        <v>64758</v>
      </c>
      <c r="Y6" s="3443">
        <v>29002</v>
      </c>
      <c r="Z6" s="3040">
        <f>F6+J6+N6+R6+V6</f>
        <v>90977</v>
      </c>
      <c r="AA6" s="3036">
        <f t="shared" si="0"/>
        <v>32245</v>
      </c>
      <c r="AB6" s="3036">
        <f t="shared" si="0"/>
        <v>64758</v>
      </c>
      <c r="AC6" s="3041">
        <f t="shared" si="0"/>
        <v>29002</v>
      </c>
      <c r="AG6" s="9">
        <v>912</v>
      </c>
    </row>
    <row r="7" spans="1:39" s="9" customFormat="1" ht="15.75" thickBot="1" x14ac:dyDescent="0.3">
      <c r="A7" s="2171" t="s">
        <v>1069</v>
      </c>
      <c r="B7" s="12"/>
      <c r="C7" s="1"/>
      <c r="D7" s="322"/>
      <c r="E7" s="1"/>
      <c r="F7" s="3372">
        <v>10676</v>
      </c>
      <c r="G7" s="3373">
        <v>0</v>
      </c>
      <c r="H7" s="3373">
        <v>0</v>
      </c>
      <c r="I7" s="3374">
        <v>0</v>
      </c>
      <c r="J7" s="3427">
        <v>6384</v>
      </c>
      <c r="K7" s="3417">
        <v>0</v>
      </c>
      <c r="L7" s="3417">
        <v>0</v>
      </c>
      <c r="M7" s="3375">
        <v>0</v>
      </c>
      <c r="N7" s="3431">
        <v>3648</v>
      </c>
      <c r="O7" s="3376">
        <v>0</v>
      </c>
      <c r="P7" s="3376">
        <v>0</v>
      </c>
      <c r="Q7" s="3377">
        <v>0</v>
      </c>
      <c r="R7" s="3435">
        <v>36666</v>
      </c>
      <c r="S7" s="3378">
        <v>37053</v>
      </c>
      <c r="T7" s="3378">
        <v>0</v>
      </c>
      <c r="U7" s="3379">
        <v>0</v>
      </c>
      <c r="V7" s="3442">
        <v>21486</v>
      </c>
      <c r="W7" s="3418">
        <v>57182</v>
      </c>
      <c r="X7" s="3418">
        <v>114936</v>
      </c>
      <c r="Y7" s="3443">
        <v>710</v>
      </c>
      <c r="Z7" s="3040">
        <f>F7+J7+N7+R7+V7</f>
        <v>78860</v>
      </c>
      <c r="AA7" s="3036">
        <f t="shared" si="0"/>
        <v>94235</v>
      </c>
      <c r="AB7" s="3036">
        <f t="shared" si="0"/>
        <v>114936</v>
      </c>
      <c r="AC7" s="3041">
        <f t="shared" si="0"/>
        <v>710</v>
      </c>
      <c r="AG7" s="9">
        <v>912</v>
      </c>
    </row>
    <row r="8" spans="1:39" s="9" customFormat="1" ht="15.75" thickBot="1" x14ac:dyDescent="0.3">
      <c r="A8" s="3025" t="s">
        <v>92</v>
      </c>
      <c r="B8" s="3026"/>
      <c r="C8" s="3027"/>
      <c r="D8" s="3028"/>
      <c r="E8" s="3027"/>
      <c r="F8" s="2209">
        <f>SUM(F5:F7)</f>
        <v>33020</v>
      </c>
      <c r="G8" s="3414">
        <f t="shared" ref="G8:Y8" si="1">SUM(G5:G7)</f>
        <v>0</v>
      </c>
      <c r="H8" s="3414">
        <f t="shared" si="1"/>
        <v>0</v>
      </c>
      <c r="I8" s="2210">
        <f t="shared" si="1"/>
        <v>0</v>
      </c>
      <c r="J8" s="2209">
        <f t="shared" si="1"/>
        <v>23864</v>
      </c>
      <c r="K8" s="3414">
        <f t="shared" si="1"/>
        <v>0</v>
      </c>
      <c r="L8" s="3414">
        <f t="shared" si="1"/>
        <v>0</v>
      </c>
      <c r="M8" s="2210">
        <f t="shared" si="1"/>
        <v>0</v>
      </c>
      <c r="N8" s="2209">
        <f t="shared" si="1"/>
        <v>16282</v>
      </c>
      <c r="O8" s="3414">
        <f t="shared" si="1"/>
        <v>0</v>
      </c>
      <c r="P8" s="3414">
        <f t="shared" si="1"/>
        <v>0</v>
      </c>
      <c r="Q8" s="2210">
        <f t="shared" si="1"/>
        <v>0</v>
      </c>
      <c r="R8" s="2209">
        <f t="shared" si="1"/>
        <v>87608</v>
      </c>
      <c r="S8" s="3414">
        <f t="shared" si="1"/>
        <v>90230</v>
      </c>
      <c r="T8" s="3414">
        <f t="shared" si="1"/>
        <v>0</v>
      </c>
      <c r="U8" s="2210">
        <f t="shared" si="1"/>
        <v>0</v>
      </c>
      <c r="V8" s="2209">
        <f t="shared" si="1"/>
        <v>97374</v>
      </c>
      <c r="W8" s="3414">
        <f t="shared" si="1"/>
        <v>62208</v>
      </c>
      <c r="X8" s="3414">
        <f>SUM(X5:X7)</f>
        <v>269354</v>
      </c>
      <c r="Y8" s="2210">
        <f t="shared" si="1"/>
        <v>38052</v>
      </c>
      <c r="Z8" s="2209">
        <f>F8+J8+N8+R8+V8</f>
        <v>258148</v>
      </c>
      <c r="AA8" s="2209">
        <f>G8+K8+O8+S8+W8</f>
        <v>152438</v>
      </c>
      <c r="AB8" s="2209">
        <f>H8+L8+P8+T8+X8</f>
        <v>269354</v>
      </c>
      <c r="AC8" s="2209">
        <f>I8+M8+Q8+U8+Y8</f>
        <v>38052</v>
      </c>
      <c r="AG8" s="9">
        <v>912</v>
      </c>
    </row>
    <row r="9" spans="1:39" x14ac:dyDescent="0.25">
      <c r="A9" s="3024">
        <v>43739</v>
      </c>
      <c r="B9" s="12"/>
      <c r="C9" s="1"/>
      <c r="D9" s="322"/>
      <c r="E9" s="1700"/>
      <c r="F9" s="3372">
        <v>11400</v>
      </c>
      <c r="G9" s="3373">
        <v>2513</v>
      </c>
      <c r="H9" s="3373">
        <v>0</v>
      </c>
      <c r="I9" s="3374">
        <v>0</v>
      </c>
      <c r="J9" s="3427">
        <v>3252</v>
      </c>
      <c r="K9" s="3417">
        <v>0</v>
      </c>
      <c r="L9" s="3417">
        <v>0</v>
      </c>
      <c r="M9" s="3375">
        <v>0</v>
      </c>
      <c r="N9" s="3431">
        <v>10032</v>
      </c>
      <c r="O9" s="3376">
        <v>0</v>
      </c>
      <c r="P9" s="3376">
        <v>0</v>
      </c>
      <c r="Q9" s="3377">
        <v>0</v>
      </c>
      <c r="R9" s="3435">
        <v>33189</v>
      </c>
      <c r="S9" s="3378">
        <v>35403</v>
      </c>
      <c r="T9" s="3378">
        <v>0</v>
      </c>
      <c r="U9" s="3379">
        <v>0</v>
      </c>
      <c r="V9" s="3442">
        <v>63190</v>
      </c>
      <c r="W9" s="3418">
        <v>80384</v>
      </c>
      <c r="X9" s="3418">
        <v>18260</v>
      </c>
      <c r="Y9" s="3443">
        <v>37440</v>
      </c>
      <c r="Z9" s="3040">
        <f t="shared" ref="Z9:Z19" si="2">F9+J9+N9+R9+V9</f>
        <v>121063</v>
      </c>
      <c r="AA9" s="3036">
        <f t="shared" si="0"/>
        <v>118300</v>
      </c>
      <c r="AB9" s="3036">
        <f t="shared" si="0"/>
        <v>18260</v>
      </c>
      <c r="AC9" s="3041">
        <f t="shared" si="0"/>
        <v>37440</v>
      </c>
      <c r="AG9">
        <v>912</v>
      </c>
    </row>
    <row r="10" spans="1:39" s="9" customFormat="1" x14ac:dyDescent="0.25">
      <c r="A10" s="3411">
        <v>43770</v>
      </c>
      <c r="B10" s="12"/>
      <c r="C10" s="1"/>
      <c r="D10" s="322"/>
      <c r="E10" s="1700"/>
      <c r="F10" s="3372">
        <v>8208</v>
      </c>
      <c r="G10" s="3373">
        <v>0</v>
      </c>
      <c r="H10" s="3373">
        <v>0</v>
      </c>
      <c r="I10" s="3374">
        <v>0</v>
      </c>
      <c r="J10" s="3427">
        <v>8038</v>
      </c>
      <c r="K10" s="3417">
        <v>0</v>
      </c>
      <c r="L10" s="3417">
        <v>0</v>
      </c>
      <c r="M10" s="3375">
        <v>0</v>
      </c>
      <c r="N10" s="3431">
        <v>5928</v>
      </c>
      <c r="O10" s="3376">
        <v>0</v>
      </c>
      <c r="P10" s="3376">
        <v>0</v>
      </c>
      <c r="Q10" s="3377">
        <v>0</v>
      </c>
      <c r="R10" s="3435">
        <v>37231</v>
      </c>
      <c r="S10" s="3378">
        <v>18133</v>
      </c>
      <c r="T10" s="3378">
        <v>0</v>
      </c>
      <c r="U10" s="3379">
        <v>0</v>
      </c>
      <c r="V10" s="3442">
        <v>22269</v>
      </c>
      <c r="W10" s="3418">
        <v>77733</v>
      </c>
      <c r="X10" s="3418">
        <v>90368</v>
      </c>
      <c r="Y10" s="3443">
        <v>60628</v>
      </c>
      <c r="Z10" s="3040">
        <f t="shared" si="2"/>
        <v>81674</v>
      </c>
      <c r="AA10" s="3036">
        <f t="shared" si="0"/>
        <v>95866</v>
      </c>
      <c r="AB10" s="3036">
        <f t="shared" si="0"/>
        <v>90368</v>
      </c>
      <c r="AC10" s="3041">
        <f t="shared" si="0"/>
        <v>60628</v>
      </c>
      <c r="AG10" s="9">
        <v>912</v>
      </c>
    </row>
    <row r="11" spans="1:39" s="9" customFormat="1" ht="15.75" thickBot="1" x14ac:dyDescent="0.3">
      <c r="A11" s="3411">
        <v>43800</v>
      </c>
      <c r="B11" s="12"/>
      <c r="C11" s="1"/>
      <c r="D11" s="322"/>
      <c r="E11" s="1700"/>
      <c r="F11" s="3372">
        <v>2550</v>
      </c>
      <c r="G11" s="3373">
        <v>0</v>
      </c>
      <c r="H11" s="3373">
        <f t="shared" ref="H11:Q11" si="3">(H9+H10)/2</f>
        <v>0</v>
      </c>
      <c r="I11" s="3374">
        <f t="shared" si="3"/>
        <v>0</v>
      </c>
      <c r="J11" s="3372">
        <v>0</v>
      </c>
      <c r="K11" s="3373">
        <f t="shared" si="3"/>
        <v>0</v>
      </c>
      <c r="L11" s="3373">
        <f t="shared" si="3"/>
        <v>0</v>
      </c>
      <c r="M11" s="3374">
        <f t="shared" si="3"/>
        <v>0</v>
      </c>
      <c r="N11" s="3372">
        <v>1824</v>
      </c>
      <c r="O11" s="3373">
        <f t="shared" si="3"/>
        <v>0</v>
      </c>
      <c r="P11" s="3373">
        <f t="shared" si="3"/>
        <v>0</v>
      </c>
      <c r="Q11" s="3374">
        <f t="shared" si="3"/>
        <v>0</v>
      </c>
      <c r="R11" s="3435">
        <v>23968</v>
      </c>
      <c r="S11" s="3378">
        <v>47299</v>
      </c>
      <c r="T11" s="3378">
        <v>0</v>
      </c>
      <c r="U11" s="3379">
        <v>0</v>
      </c>
      <c r="V11" s="3442">
        <v>0</v>
      </c>
      <c r="W11" s="3418">
        <v>0</v>
      </c>
      <c r="X11" s="3418">
        <v>53382</v>
      </c>
      <c r="Y11" s="3443">
        <v>73</v>
      </c>
      <c r="Z11" s="3040">
        <f>F11+J11+N11+R11+V11</f>
        <v>28342</v>
      </c>
      <c r="AA11" s="3036">
        <f t="shared" si="0"/>
        <v>47299</v>
      </c>
      <c r="AB11" s="3036">
        <f t="shared" si="0"/>
        <v>53382</v>
      </c>
      <c r="AC11" s="3041">
        <f t="shared" si="0"/>
        <v>73</v>
      </c>
      <c r="AG11" s="9">
        <v>912</v>
      </c>
    </row>
    <row r="12" spans="1:39" s="9" customFormat="1" ht="15.75" thickBot="1" x14ac:dyDescent="0.3">
      <c r="A12" s="3031" t="s">
        <v>93</v>
      </c>
      <c r="B12" s="3026"/>
      <c r="C12" s="3027"/>
      <c r="D12" s="3028"/>
      <c r="E12" s="3032"/>
      <c r="F12" s="2209">
        <f>SUM(F9:F11)</f>
        <v>22158</v>
      </c>
      <c r="G12" s="3414">
        <f t="shared" ref="G12:Y12" si="4">SUM(G9:G11)</f>
        <v>2513</v>
      </c>
      <c r="H12" s="3414">
        <f t="shared" si="4"/>
        <v>0</v>
      </c>
      <c r="I12" s="2210">
        <f t="shared" si="4"/>
        <v>0</v>
      </c>
      <c r="J12" s="2209">
        <f t="shared" si="4"/>
        <v>11290</v>
      </c>
      <c r="K12" s="3414">
        <f t="shared" si="4"/>
        <v>0</v>
      </c>
      <c r="L12" s="3414">
        <f t="shared" si="4"/>
        <v>0</v>
      </c>
      <c r="M12" s="2210">
        <f t="shared" si="4"/>
        <v>0</v>
      </c>
      <c r="N12" s="2209">
        <f t="shared" si="4"/>
        <v>17784</v>
      </c>
      <c r="O12" s="3414">
        <f t="shared" si="4"/>
        <v>0</v>
      </c>
      <c r="P12" s="3414">
        <f t="shared" si="4"/>
        <v>0</v>
      </c>
      <c r="Q12" s="2210">
        <f t="shared" si="4"/>
        <v>0</v>
      </c>
      <c r="R12" s="2209">
        <f t="shared" si="4"/>
        <v>94388</v>
      </c>
      <c r="S12" s="3414">
        <f t="shared" si="4"/>
        <v>100835</v>
      </c>
      <c r="T12" s="3414">
        <f t="shared" si="4"/>
        <v>0</v>
      </c>
      <c r="U12" s="2210">
        <f t="shared" si="4"/>
        <v>0</v>
      </c>
      <c r="V12" s="2209">
        <f t="shared" si="4"/>
        <v>85459</v>
      </c>
      <c r="W12" s="3414">
        <f t="shared" si="4"/>
        <v>158117</v>
      </c>
      <c r="X12" s="3414">
        <f t="shared" si="4"/>
        <v>162010</v>
      </c>
      <c r="Y12" s="2210">
        <f t="shared" si="4"/>
        <v>98141</v>
      </c>
      <c r="Z12" s="2209">
        <f>F12+J12+N12+R12+V12</f>
        <v>231079</v>
      </c>
      <c r="AA12" s="3414">
        <f t="shared" ref="AA12:AC13" si="5">G12+K12+O12+S12+W12</f>
        <v>261465</v>
      </c>
      <c r="AB12" s="3414">
        <f t="shared" si="5"/>
        <v>162010</v>
      </c>
      <c r="AC12" s="2210">
        <f t="shared" si="5"/>
        <v>98141</v>
      </c>
      <c r="AG12" s="9">
        <v>912</v>
      </c>
    </row>
    <row r="13" spans="1:39" s="9" customFormat="1" x14ac:dyDescent="0.25">
      <c r="A13" s="3024">
        <v>43831</v>
      </c>
      <c r="B13" s="12"/>
      <c r="C13" s="1"/>
      <c r="D13" s="322"/>
      <c r="E13" s="1700"/>
      <c r="F13" s="3372">
        <v>0</v>
      </c>
      <c r="G13" s="3373">
        <v>0</v>
      </c>
      <c r="H13" s="3373">
        <v>0</v>
      </c>
      <c r="I13" s="3374">
        <v>0</v>
      </c>
      <c r="J13" s="3427">
        <v>8934</v>
      </c>
      <c r="K13" s="3417">
        <v>0</v>
      </c>
      <c r="L13" s="3417">
        <v>0</v>
      </c>
      <c r="M13" s="3375">
        <v>0</v>
      </c>
      <c r="N13" s="3431">
        <v>6384</v>
      </c>
      <c r="O13" s="3376">
        <v>0</v>
      </c>
      <c r="P13" s="3376">
        <v>0</v>
      </c>
      <c r="Q13" s="3377">
        <v>0</v>
      </c>
      <c r="R13" s="3435">
        <v>30705</v>
      </c>
      <c r="S13" s="3378">
        <v>52933</v>
      </c>
      <c r="T13" s="3378">
        <v>0</v>
      </c>
      <c r="U13" s="3379">
        <v>0</v>
      </c>
      <c r="V13" s="3442">
        <v>14592</v>
      </c>
      <c r="W13" s="3418">
        <v>65580</v>
      </c>
      <c r="X13" s="3418">
        <v>35588</v>
      </c>
      <c r="Y13" s="3443">
        <v>0</v>
      </c>
      <c r="Z13" s="3040">
        <f>F13+J13+N13+R13+V13</f>
        <v>60615</v>
      </c>
      <c r="AA13" s="3036">
        <f t="shared" si="5"/>
        <v>118513</v>
      </c>
      <c r="AB13" s="3036">
        <f t="shared" si="5"/>
        <v>35588</v>
      </c>
      <c r="AC13" s="3041">
        <f t="shared" si="5"/>
        <v>0</v>
      </c>
      <c r="AG13" s="9">
        <v>778</v>
      </c>
    </row>
    <row r="14" spans="1:39" s="9" customFormat="1" x14ac:dyDescent="0.25">
      <c r="A14" s="3024">
        <v>43862</v>
      </c>
      <c r="B14" s="12"/>
      <c r="C14" s="1"/>
      <c r="D14" s="322"/>
      <c r="E14" s="39"/>
      <c r="F14" s="3372">
        <v>2550</v>
      </c>
      <c r="G14" s="3373">
        <v>0</v>
      </c>
      <c r="H14" s="3373">
        <v>0</v>
      </c>
      <c r="I14" s="3374">
        <v>0</v>
      </c>
      <c r="J14" s="3427">
        <v>7110</v>
      </c>
      <c r="K14" s="3417">
        <v>6558</v>
      </c>
      <c r="L14" s="3417">
        <v>0</v>
      </c>
      <c r="M14" s="3375">
        <v>0</v>
      </c>
      <c r="N14" s="3431">
        <v>4560</v>
      </c>
      <c r="O14" s="3376">
        <v>13116</v>
      </c>
      <c r="P14" s="3376">
        <v>0</v>
      </c>
      <c r="Q14" s="3377">
        <v>0</v>
      </c>
      <c r="R14" s="3435">
        <v>26381</v>
      </c>
      <c r="S14" s="3378">
        <v>27219</v>
      </c>
      <c r="T14" s="3378">
        <v>0</v>
      </c>
      <c r="U14" s="3379">
        <v>0</v>
      </c>
      <c r="V14" s="3442">
        <v>32646</v>
      </c>
      <c r="W14" s="3418">
        <v>45906</v>
      </c>
      <c r="X14" s="3418">
        <v>36054</v>
      </c>
      <c r="Y14" s="3443">
        <v>0</v>
      </c>
      <c r="Z14" s="3040">
        <f t="shared" si="2"/>
        <v>73247</v>
      </c>
      <c r="AA14" s="3036">
        <f t="shared" si="0"/>
        <v>92799</v>
      </c>
      <c r="AB14" s="3036">
        <f t="shared" si="0"/>
        <v>36054</v>
      </c>
      <c r="AC14" s="3041">
        <f t="shared" si="0"/>
        <v>0</v>
      </c>
      <c r="AG14" s="9">
        <v>778</v>
      </c>
    </row>
    <row r="15" spans="1:39" s="9" customFormat="1" ht="15.75" thickBot="1" x14ac:dyDescent="0.3">
      <c r="A15" s="3024">
        <v>43891</v>
      </c>
      <c r="B15" s="12"/>
      <c r="C15" s="1"/>
      <c r="D15" s="322"/>
      <c r="E15" s="39"/>
      <c r="F15" s="3372">
        <v>1824</v>
      </c>
      <c r="G15" s="3373">
        <v>0</v>
      </c>
      <c r="H15" s="3373">
        <v>0</v>
      </c>
      <c r="I15" s="3374">
        <v>0</v>
      </c>
      <c r="J15" s="3427">
        <v>2736</v>
      </c>
      <c r="K15" s="3417">
        <v>0</v>
      </c>
      <c r="L15" s="3417">
        <v>0</v>
      </c>
      <c r="M15" s="3375">
        <v>0</v>
      </c>
      <c r="N15" s="3431">
        <f>(N7+N11)/2</f>
        <v>2736</v>
      </c>
      <c r="O15" s="3376">
        <v>0</v>
      </c>
      <c r="P15" s="3376">
        <v>0</v>
      </c>
      <c r="Q15" s="3377">
        <v>0</v>
      </c>
      <c r="R15" s="3435">
        <v>48436</v>
      </c>
      <c r="S15" s="3378">
        <v>32310</v>
      </c>
      <c r="T15" s="3378">
        <v>0</v>
      </c>
      <c r="U15" s="3379">
        <v>0</v>
      </c>
      <c r="V15" s="3442">
        <v>15318</v>
      </c>
      <c r="W15" s="3418">
        <v>65580</v>
      </c>
      <c r="X15" s="3418">
        <v>0</v>
      </c>
      <c r="Y15" s="3443">
        <v>0</v>
      </c>
      <c r="Z15" s="3040">
        <f t="shared" si="2"/>
        <v>71050</v>
      </c>
      <c r="AA15" s="3036">
        <f t="shared" si="0"/>
        <v>97890</v>
      </c>
      <c r="AB15" s="3036">
        <f t="shared" si="0"/>
        <v>0</v>
      </c>
      <c r="AC15" s="3041">
        <f t="shared" si="0"/>
        <v>0</v>
      </c>
      <c r="AG15" s="9">
        <v>912</v>
      </c>
    </row>
    <row r="16" spans="1:39" s="9" customFormat="1" ht="15.75" thickBot="1" x14ac:dyDescent="0.3">
      <c r="A16" s="3031" t="s">
        <v>94</v>
      </c>
      <c r="B16" s="3026"/>
      <c r="C16" s="3027"/>
      <c r="D16" s="3028"/>
      <c r="E16" s="3027"/>
      <c r="F16" s="2209">
        <f>SUM(F13:F15)</f>
        <v>4374</v>
      </c>
      <c r="G16" s="3414">
        <f t="shared" ref="G16:Y16" si="6">SUM(G13:G15)</f>
        <v>0</v>
      </c>
      <c r="H16" s="3414">
        <f t="shared" si="6"/>
        <v>0</v>
      </c>
      <c r="I16" s="2210">
        <f t="shared" si="6"/>
        <v>0</v>
      </c>
      <c r="J16" s="2209">
        <f t="shared" si="6"/>
        <v>18780</v>
      </c>
      <c r="K16" s="3414">
        <f t="shared" si="6"/>
        <v>6558</v>
      </c>
      <c r="L16" s="3414">
        <f t="shared" si="6"/>
        <v>0</v>
      </c>
      <c r="M16" s="2210">
        <f t="shared" si="6"/>
        <v>0</v>
      </c>
      <c r="N16" s="2209">
        <f t="shared" si="6"/>
        <v>13680</v>
      </c>
      <c r="O16" s="3414">
        <f t="shared" si="6"/>
        <v>13116</v>
      </c>
      <c r="P16" s="3414">
        <f t="shared" si="6"/>
        <v>0</v>
      </c>
      <c r="Q16" s="2210">
        <f t="shared" si="6"/>
        <v>0</v>
      </c>
      <c r="R16" s="2209">
        <f t="shared" si="6"/>
        <v>105522</v>
      </c>
      <c r="S16" s="3414">
        <f t="shared" si="6"/>
        <v>112462</v>
      </c>
      <c r="T16" s="3414">
        <f t="shared" si="6"/>
        <v>0</v>
      </c>
      <c r="U16" s="2210">
        <f t="shared" si="6"/>
        <v>0</v>
      </c>
      <c r="V16" s="2209">
        <f t="shared" si="6"/>
        <v>62556</v>
      </c>
      <c r="W16" s="3414">
        <f t="shared" si="6"/>
        <v>177066</v>
      </c>
      <c r="X16" s="3414">
        <f t="shared" si="6"/>
        <v>71642</v>
      </c>
      <c r="Y16" s="2210">
        <f t="shared" si="6"/>
        <v>0</v>
      </c>
      <c r="Z16" s="2209">
        <f>F16+J16+N16+R16+V16</f>
        <v>204912</v>
      </c>
      <c r="AA16" s="3414">
        <f>G16+K16+O16+S16+W16</f>
        <v>309202</v>
      </c>
      <c r="AB16" s="3414">
        <f>H16+L16+P16+T16+X16</f>
        <v>71642</v>
      </c>
      <c r="AC16" s="2210">
        <f>I16+M16+Q16+U16+Y16</f>
        <v>0</v>
      </c>
      <c r="AG16" s="9">
        <v>912</v>
      </c>
    </row>
    <row r="17" spans="1:33" s="9" customFormat="1" x14ac:dyDescent="0.25">
      <c r="A17" s="3024">
        <v>43922</v>
      </c>
      <c r="B17" s="12"/>
      <c r="C17" s="1"/>
      <c r="D17" s="322"/>
      <c r="E17" s="39"/>
      <c r="F17" s="3372">
        <v>0</v>
      </c>
      <c r="G17" s="3373">
        <v>0</v>
      </c>
      <c r="H17" s="3373">
        <v>0</v>
      </c>
      <c r="I17" s="3374"/>
      <c r="J17" s="3427">
        <v>0</v>
      </c>
      <c r="K17" s="3417">
        <v>0</v>
      </c>
      <c r="L17" s="3417">
        <v>0</v>
      </c>
      <c r="M17" s="3375">
        <v>0</v>
      </c>
      <c r="N17" s="3431">
        <v>0</v>
      </c>
      <c r="O17" s="3376">
        <v>0</v>
      </c>
      <c r="P17" s="3376">
        <v>0</v>
      </c>
      <c r="Q17" s="3377">
        <v>0</v>
      </c>
      <c r="R17" s="3435">
        <v>0</v>
      </c>
      <c r="S17" s="3378">
        <v>0</v>
      </c>
      <c r="T17" s="3378">
        <v>0</v>
      </c>
      <c r="U17" s="3379">
        <v>0</v>
      </c>
      <c r="V17" s="3442">
        <v>0</v>
      </c>
      <c r="W17" s="3418">
        <v>0</v>
      </c>
      <c r="X17" s="3418">
        <v>0</v>
      </c>
      <c r="Y17" s="3443">
        <v>0</v>
      </c>
      <c r="Z17" s="3040">
        <f t="shared" si="2"/>
        <v>0</v>
      </c>
      <c r="AA17" s="3036">
        <f t="shared" si="0"/>
        <v>0</v>
      </c>
      <c r="AB17" s="3036">
        <f t="shared" si="0"/>
        <v>0</v>
      </c>
      <c r="AC17" s="3041">
        <f t="shared" si="0"/>
        <v>0</v>
      </c>
      <c r="AG17" s="9">
        <v>912</v>
      </c>
    </row>
    <row r="18" spans="1:33" s="9" customFormat="1" x14ac:dyDescent="0.25">
      <c r="A18" s="3024">
        <v>43952</v>
      </c>
      <c r="B18" s="12"/>
      <c r="C18" s="1"/>
      <c r="D18" s="322"/>
      <c r="E18" s="39"/>
      <c r="F18" s="3372">
        <v>0</v>
      </c>
      <c r="G18" s="3373">
        <v>0</v>
      </c>
      <c r="H18" s="3373">
        <v>0</v>
      </c>
      <c r="I18" s="3374">
        <v>0</v>
      </c>
      <c r="J18" s="3427">
        <v>0</v>
      </c>
      <c r="K18" s="3417">
        <v>0</v>
      </c>
      <c r="L18" s="3417">
        <v>0</v>
      </c>
      <c r="M18" s="3375">
        <v>0</v>
      </c>
      <c r="N18" s="3431">
        <v>0</v>
      </c>
      <c r="O18" s="3376">
        <v>0</v>
      </c>
      <c r="P18" s="3376">
        <v>0</v>
      </c>
      <c r="Q18" s="3377">
        <v>0</v>
      </c>
      <c r="R18" s="3435">
        <v>851</v>
      </c>
      <c r="S18" s="3378">
        <v>2817</v>
      </c>
      <c r="T18" s="3378">
        <v>0</v>
      </c>
      <c r="U18" s="3379">
        <v>0</v>
      </c>
      <c r="V18" s="3442">
        <v>0</v>
      </c>
      <c r="W18" s="3418">
        <v>0</v>
      </c>
      <c r="X18" s="3418">
        <v>0</v>
      </c>
      <c r="Y18" s="3443">
        <v>0</v>
      </c>
      <c r="Z18" s="3040">
        <f t="shared" si="2"/>
        <v>851</v>
      </c>
      <c r="AA18" s="3036">
        <f t="shared" si="0"/>
        <v>2817</v>
      </c>
      <c r="AB18" s="3036">
        <f t="shared" si="0"/>
        <v>0</v>
      </c>
      <c r="AC18" s="3041">
        <f t="shared" si="0"/>
        <v>0</v>
      </c>
      <c r="AE18" s="3035"/>
      <c r="AG18" s="9">
        <f>SUM(AG6:AG17)</f>
        <v>10676</v>
      </c>
    </row>
    <row r="19" spans="1:33" s="9" customFormat="1" ht="15.75" thickBot="1" x14ac:dyDescent="0.3">
      <c r="A19" s="3024">
        <v>43983</v>
      </c>
      <c r="B19" s="12"/>
      <c r="C19" s="1"/>
      <c r="D19" s="322"/>
      <c r="E19" s="39"/>
      <c r="F19" s="3380">
        <v>0</v>
      </c>
      <c r="G19" s="3381">
        <v>0</v>
      </c>
      <c r="H19" s="3381">
        <v>0</v>
      </c>
      <c r="I19" s="3382">
        <v>0</v>
      </c>
      <c r="J19" s="3444">
        <v>0</v>
      </c>
      <c r="K19" s="3445">
        <v>0</v>
      </c>
      <c r="L19" s="3445">
        <v>0</v>
      </c>
      <c r="M19" s="3383">
        <v>0</v>
      </c>
      <c r="N19" s="3446">
        <v>0</v>
      </c>
      <c r="O19" s="3384">
        <v>0</v>
      </c>
      <c r="P19" s="3384">
        <v>0</v>
      </c>
      <c r="Q19" s="3385">
        <v>0</v>
      </c>
      <c r="R19" s="3447">
        <v>3404</v>
      </c>
      <c r="S19" s="3386">
        <v>0</v>
      </c>
      <c r="T19" s="3386">
        <v>0</v>
      </c>
      <c r="U19" s="3387">
        <v>0</v>
      </c>
      <c r="V19" s="3448">
        <v>0</v>
      </c>
      <c r="W19" s="3449">
        <v>0</v>
      </c>
      <c r="X19" s="3449">
        <v>0</v>
      </c>
      <c r="Y19" s="3450">
        <v>0</v>
      </c>
      <c r="Z19" s="3451">
        <f t="shared" si="2"/>
        <v>3404</v>
      </c>
      <c r="AA19" s="3452">
        <f t="shared" si="0"/>
        <v>0</v>
      </c>
      <c r="AB19" s="3452">
        <f t="shared" si="0"/>
        <v>0</v>
      </c>
      <c r="AC19" s="3453">
        <f t="shared" si="0"/>
        <v>0</v>
      </c>
    </row>
    <row r="20" spans="1:33" s="9" customFormat="1" ht="15.75" thickBot="1" x14ac:dyDescent="0.3">
      <c r="A20" s="3031" t="s">
        <v>1070</v>
      </c>
      <c r="B20" s="3027"/>
      <c r="C20" s="3027"/>
      <c r="D20" s="3033"/>
      <c r="E20" s="3027"/>
      <c r="F20" s="3029">
        <f>SUM(F17:F19)</f>
        <v>0</v>
      </c>
      <c r="G20" s="3042">
        <f t="shared" ref="G20:Y20" si="7">SUM(G17:G19)</f>
        <v>0</v>
      </c>
      <c r="H20" s="3042">
        <f t="shared" si="7"/>
        <v>0</v>
      </c>
      <c r="I20" s="3030">
        <f t="shared" si="7"/>
        <v>0</v>
      </c>
      <c r="J20" s="3029">
        <f t="shared" si="7"/>
        <v>0</v>
      </c>
      <c r="K20" s="3042">
        <f t="shared" si="7"/>
        <v>0</v>
      </c>
      <c r="L20" s="3042">
        <f t="shared" si="7"/>
        <v>0</v>
      </c>
      <c r="M20" s="3030">
        <f t="shared" si="7"/>
        <v>0</v>
      </c>
      <c r="N20" s="3029">
        <f t="shared" si="7"/>
        <v>0</v>
      </c>
      <c r="O20" s="3042">
        <f t="shared" si="7"/>
        <v>0</v>
      </c>
      <c r="P20" s="3042">
        <f t="shared" si="7"/>
        <v>0</v>
      </c>
      <c r="Q20" s="3030">
        <f t="shared" si="7"/>
        <v>0</v>
      </c>
      <c r="R20" s="3029">
        <f t="shared" si="7"/>
        <v>4255</v>
      </c>
      <c r="S20" s="3042">
        <f t="shared" si="7"/>
        <v>2817</v>
      </c>
      <c r="T20" s="3042">
        <f t="shared" si="7"/>
        <v>0</v>
      </c>
      <c r="U20" s="3030">
        <f t="shared" si="7"/>
        <v>0</v>
      </c>
      <c r="V20" s="3029">
        <f t="shared" si="7"/>
        <v>0</v>
      </c>
      <c r="W20" s="3042">
        <f t="shared" si="7"/>
        <v>0</v>
      </c>
      <c r="X20" s="3042">
        <f t="shared" si="7"/>
        <v>0</v>
      </c>
      <c r="Y20" s="3030">
        <f t="shared" si="7"/>
        <v>0</v>
      </c>
      <c r="Z20" s="3029">
        <f>F20+J20+N20+R20+V20</f>
        <v>4255</v>
      </c>
      <c r="AA20" s="3042">
        <f>G20+K20+O20+S20+W20</f>
        <v>2817</v>
      </c>
      <c r="AB20" s="3042">
        <f>H20+L20+P20+T20+X20</f>
        <v>0</v>
      </c>
      <c r="AC20" s="3030">
        <f>I20+M20+Q20+U20+Y20</f>
        <v>0</v>
      </c>
    </row>
    <row r="21" spans="1:33" s="9" customFormat="1" ht="15.75" thickBot="1" x14ac:dyDescent="0.3">
      <c r="A21" s="17" t="s">
        <v>967</v>
      </c>
      <c r="B21" s="3034"/>
      <c r="C21" s="3034"/>
      <c r="D21" s="3034"/>
      <c r="E21" s="3415"/>
      <c r="F21" s="3454">
        <f>F8+F12+F16+F20</f>
        <v>59552</v>
      </c>
      <c r="G21" s="3455">
        <f>G8+G12+G16+G20</f>
        <v>2513</v>
      </c>
      <c r="H21" s="3455">
        <f t="shared" ref="H21:Y21" si="8">H8+H12+H16+H20</f>
        <v>0</v>
      </c>
      <c r="I21" s="3456">
        <f t="shared" si="8"/>
        <v>0</v>
      </c>
      <c r="J21" s="3454">
        <f>J8+J12+J16+J20</f>
        <v>53934</v>
      </c>
      <c r="K21" s="3455">
        <f t="shared" si="8"/>
        <v>6558</v>
      </c>
      <c r="L21" s="3455">
        <f t="shared" si="8"/>
        <v>0</v>
      </c>
      <c r="M21" s="3456">
        <f t="shared" si="8"/>
        <v>0</v>
      </c>
      <c r="N21" s="3454">
        <f>N8+N12+N16+N20</f>
        <v>47746</v>
      </c>
      <c r="O21" s="3455">
        <f t="shared" si="8"/>
        <v>13116</v>
      </c>
      <c r="P21" s="3455">
        <f t="shared" si="8"/>
        <v>0</v>
      </c>
      <c r="Q21" s="3456">
        <f t="shared" si="8"/>
        <v>0</v>
      </c>
      <c r="R21" s="3454">
        <f>R8+R12+R16+R20</f>
        <v>291773</v>
      </c>
      <c r="S21" s="3455">
        <f>S8+S12+S16+S20</f>
        <v>306344</v>
      </c>
      <c r="T21" s="3455">
        <f t="shared" si="8"/>
        <v>0</v>
      </c>
      <c r="U21" s="3456">
        <f t="shared" si="8"/>
        <v>0</v>
      </c>
      <c r="V21" s="3454">
        <f>V8+V12+V16+V20</f>
        <v>245389</v>
      </c>
      <c r="W21" s="3455">
        <f>W8+W12+W16+W20</f>
        <v>397391</v>
      </c>
      <c r="X21" s="3455">
        <f>X8+X12+X16+X20</f>
        <v>503006</v>
      </c>
      <c r="Y21" s="3456">
        <f t="shared" si="8"/>
        <v>136193</v>
      </c>
      <c r="Z21" s="3454">
        <f>Z8+Z12+Z16+Z20</f>
        <v>698394</v>
      </c>
      <c r="AA21" s="3455">
        <f>AA8+AA12+AA16+AA20</f>
        <v>725922</v>
      </c>
      <c r="AB21" s="3455">
        <f>AB8+AB12+AB16+AB20</f>
        <v>503006</v>
      </c>
      <c r="AC21" s="3456">
        <f>AC8+AC12+AC16+AC20</f>
        <v>136193</v>
      </c>
      <c r="AE21" s="9">
        <v>85122</v>
      </c>
    </row>
    <row r="22" spans="1:33" s="9" customFormat="1" ht="15.75" thickBot="1" x14ac:dyDescent="0.3">
      <c r="A22" s="1"/>
      <c r="B22" s="1"/>
      <c r="C22" s="1"/>
      <c r="D22" s="1"/>
      <c r="E22" s="1"/>
      <c r="F22" s="1"/>
      <c r="G22" s="1"/>
      <c r="H22" s="1"/>
      <c r="I22" s="1"/>
      <c r="J22" s="1"/>
      <c r="K22" s="1"/>
      <c r="L22" s="1"/>
      <c r="M22" s="1"/>
      <c r="N22" s="1"/>
      <c r="O22" s="1"/>
      <c r="P22" s="1"/>
      <c r="Q22" s="1"/>
      <c r="R22" s="1"/>
      <c r="S22" s="1"/>
      <c r="T22" s="1"/>
      <c r="U22" s="1"/>
      <c r="V22" s="1"/>
      <c r="W22" s="1"/>
      <c r="X22" s="1"/>
      <c r="Y22" s="39"/>
      <c r="Z22" s="54"/>
      <c r="AA22" s="54"/>
      <c r="AB22" s="54"/>
      <c r="AC22" s="54"/>
    </row>
    <row r="23" spans="1:33" s="9" customFormat="1" ht="15.75" thickBot="1" x14ac:dyDescent="0.3">
      <c r="A23" s="1683" t="s">
        <v>659</v>
      </c>
      <c r="B23" s="1684"/>
      <c r="C23" s="1684"/>
      <c r="D23" s="1685"/>
      <c r="E23" s="1"/>
      <c r="F23" s="1"/>
      <c r="G23" s="1"/>
      <c r="H23" s="1"/>
      <c r="I23" s="1"/>
      <c r="J23" s="1"/>
      <c r="K23" s="1"/>
      <c r="L23" s="1"/>
      <c r="M23" s="1"/>
      <c r="N23" s="1"/>
      <c r="O23" s="1"/>
      <c r="P23" s="1"/>
      <c r="Q23" s="1"/>
      <c r="R23" s="1"/>
      <c r="S23" s="1"/>
      <c r="T23" s="1"/>
      <c r="U23" s="1"/>
      <c r="V23" s="1"/>
      <c r="W23" s="1"/>
      <c r="X23" s="1"/>
      <c r="Y23" s="1"/>
    </row>
    <row r="24" spans="1:33" ht="15.75" thickBot="1" x14ac:dyDescent="0.3">
      <c r="G24" s="40" t="s">
        <v>1211</v>
      </c>
      <c r="H24" s="40"/>
      <c r="I24" s="40"/>
      <c r="J24" s="40"/>
      <c r="K24" s="40"/>
      <c r="O24" s="9">
        <v>2</v>
      </c>
    </row>
    <row r="25" spans="1:33" ht="15.75" thickBot="1" x14ac:dyDescent="0.3">
      <c r="A25" s="1681" t="s">
        <v>644</v>
      </c>
      <c r="B25" s="1682"/>
      <c r="C25" s="5167" t="s">
        <v>658</v>
      </c>
      <c r="D25" s="5168"/>
      <c r="G25" s="9" t="s">
        <v>876</v>
      </c>
      <c r="L25" s="1681" t="s">
        <v>644</v>
      </c>
      <c r="M25" s="1682"/>
      <c r="N25" s="5167" t="s">
        <v>658</v>
      </c>
      <c r="O25" s="5168"/>
      <c r="Q25" s="1681" t="s">
        <v>644</v>
      </c>
      <c r="R25" s="3046"/>
      <c r="S25" s="319" t="s">
        <v>658</v>
      </c>
      <c r="T25" s="320"/>
      <c r="U25" s="1681" t="s">
        <v>644</v>
      </c>
      <c r="V25" s="3046"/>
      <c r="W25" s="319" t="s">
        <v>658</v>
      </c>
      <c r="X25" s="320"/>
    </row>
    <row r="26" spans="1:33" ht="45.75" thickBot="1" x14ac:dyDescent="0.3">
      <c r="A26" s="318" t="s">
        <v>645</v>
      </c>
      <c r="B26" s="319"/>
      <c r="C26" s="2177" t="s">
        <v>175</v>
      </c>
      <c r="D26" s="2176" t="s">
        <v>873</v>
      </c>
      <c r="E26" s="71">
        <v>1.8520000000000001</v>
      </c>
      <c r="G26" s="9" t="s">
        <v>877</v>
      </c>
      <c r="L26" s="2897" t="s">
        <v>1238</v>
      </c>
      <c r="M26" s="2898"/>
      <c r="N26" s="2177" t="s">
        <v>175</v>
      </c>
      <c r="O26" s="3051" t="s">
        <v>1078</v>
      </c>
      <c r="P26" s="318">
        <v>1.8520000000000001</v>
      </c>
      <c r="Q26" s="3044" t="s">
        <v>1239</v>
      </c>
      <c r="R26" s="3045"/>
      <c r="S26" s="3045" t="s">
        <v>175</v>
      </c>
      <c r="T26" s="3045" t="s">
        <v>874</v>
      </c>
      <c r="U26" s="3044" t="s">
        <v>1239</v>
      </c>
      <c r="V26" s="3045"/>
      <c r="W26" s="3050" t="s">
        <v>175</v>
      </c>
      <c r="X26" s="3050" t="s">
        <v>1078</v>
      </c>
    </row>
    <row r="27" spans="1:33" ht="25.5" customHeight="1" x14ac:dyDescent="0.25">
      <c r="A27" s="10" t="s">
        <v>646</v>
      </c>
      <c r="B27" s="11"/>
      <c r="C27" s="2180">
        <v>389</v>
      </c>
      <c r="D27" s="10"/>
      <c r="E27" s="71">
        <f>C27*$F$27</f>
        <v>778</v>
      </c>
      <c r="F27" s="40">
        <v>2</v>
      </c>
      <c r="G27" s="9" t="s">
        <v>878</v>
      </c>
      <c r="L27" s="5174" t="s">
        <v>652</v>
      </c>
      <c r="M27" s="5175"/>
      <c r="N27" s="2180">
        <v>9130</v>
      </c>
      <c r="O27" s="71">
        <f>N27*$O$24</f>
        <v>18260</v>
      </c>
      <c r="P27" s="15"/>
      <c r="Q27" s="3048" t="s">
        <v>862</v>
      </c>
      <c r="R27" s="3049"/>
      <c r="S27" s="2180">
        <f>T27*$P$26</f>
        <v>344.47200000000004</v>
      </c>
      <c r="T27" s="71">
        <v>186</v>
      </c>
      <c r="U27" s="10" t="s">
        <v>1076</v>
      </c>
      <c r="V27" s="11"/>
      <c r="W27" s="71">
        <v>8340</v>
      </c>
      <c r="X27" s="71">
        <f t="shared" ref="X27:X32" si="9">W27*$O$24</f>
        <v>16680</v>
      </c>
      <c r="Z27">
        <v>389</v>
      </c>
    </row>
    <row r="28" spans="1:33" ht="21.75" customHeight="1" x14ac:dyDescent="0.25">
      <c r="A28" s="1680" t="s">
        <v>647</v>
      </c>
      <c r="B28" s="13"/>
      <c r="C28" s="2179">
        <v>1275</v>
      </c>
      <c r="D28" s="12"/>
      <c r="E28" s="159">
        <f t="shared" ref="E28:E39" si="10">C28*$F$27</f>
        <v>2550</v>
      </c>
      <c r="G28" s="9" t="s">
        <v>879</v>
      </c>
      <c r="L28" s="5176" t="s">
        <v>653</v>
      </c>
      <c r="M28" s="5177"/>
      <c r="N28" s="2179">
        <v>8897</v>
      </c>
      <c r="O28" s="159">
        <f t="shared" ref="O28:O41" si="11">N28*$O$24</f>
        <v>17794</v>
      </c>
      <c r="P28" s="1"/>
      <c r="Q28" s="2172" t="s">
        <v>864</v>
      </c>
      <c r="R28" s="3407"/>
      <c r="S28" s="2179">
        <f t="shared" ref="S28:S35" si="12">T28*$P$26</f>
        <v>8847.0040000000008</v>
      </c>
      <c r="T28" s="159">
        <v>4777</v>
      </c>
      <c r="U28" s="12" t="s">
        <v>1080</v>
      </c>
      <c r="V28" s="13"/>
      <c r="W28" s="159">
        <v>997</v>
      </c>
      <c r="X28" s="159">
        <f t="shared" si="9"/>
        <v>1994</v>
      </c>
      <c r="Z28">
        <v>912</v>
      </c>
    </row>
    <row r="29" spans="1:33" ht="27" customHeight="1" x14ac:dyDescent="0.25">
      <c r="A29" s="1680" t="s">
        <v>648</v>
      </c>
      <c r="B29" s="13"/>
      <c r="C29" s="2179">
        <v>516</v>
      </c>
      <c r="D29" s="12"/>
      <c r="E29" s="159">
        <f t="shared" si="10"/>
        <v>1032</v>
      </c>
      <c r="L29" s="12" t="s">
        <v>654</v>
      </c>
      <c r="M29" s="13"/>
      <c r="N29" s="2179">
        <v>14501</v>
      </c>
      <c r="O29" s="159">
        <f t="shared" si="11"/>
        <v>29002</v>
      </c>
      <c r="P29" s="1"/>
      <c r="Q29" s="2172" t="s">
        <v>865</v>
      </c>
      <c r="R29" s="3043"/>
      <c r="S29" s="2179">
        <f t="shared" si="12"/>
        <v>8325.6660000000011</v>
      </c>
      <c r="T29" s="159">
        <v>4495.5</v>
      </c>
      <c r="U29" s="12" t="s">
        <v>1077</v>
      </c>
      <c r="V29" s="13"/>
      <c r="W29" s="159">
        <v>1500</v>
      </c>
      <c r="X29" s="159">
        <f t="shared" si="9"/>
        <v>3000</v>
      </c>
      <c r="Z29">
        <v>912</v>
      </c>
    </row>
    <row r="30" spans="1:33" ht="24" customHeight="1" x14ac:dyDescent="0.25">
      <c r="A30" s="1680" t="s">
        <v>649</v>
      </c>
      <c r="B30" s="13"/>
      <c r="C30" s="2179">
        <v>456</v>
      </c>
      <c r="D30" s="12"/>
      <c r="E30" s="159">
        <f t="shared" si="10"/>
        <v>912</v>
      </c>
      <c r="G30" s="40" t="s">
        <v>1212</v>
      </c>
      <c r="H30" s="40"/>
      <c r="I30" s="40"/>
      <c r="J30" s="40"/>
      <c r="L30" s="1680" t="s">
        <v>655</v>
      </c>
      <c r="M30" s="13"/>
      <c r="N30" s="2179">
        <v>2428</v>
      </c>
      <c r="O30" s="159">
        <f>N30*$O$24</f>
        <v>4856</v>
      </c>
      <c r="P30" s="1"/>
      <c r="Q30" s="2172" t="s">
        <v>867</v>
      </c>
      <c r="R30" s="13"/>
      <c r="S30" s="2179">
        <f t="shared" si="12"/>
        <v>10671.5944</v>
      </c>
      <c r="T30" s="159">
        <v>5762.2</v>
      </c>
      <c r="U30" s="12" t="s">
        <v>1081</v>
      </c>
      <c r="V30" s="13"/>
      <c r="W30" s="159">
        <v>4219</v>
      </c>
      <c r="X30" s="159">
        <f t="shared" si="9"/>
        <v>8438</v>
      </c>
      <c r="Z30">
        <v>912</v>
      </c>
    </row>
    <row r="31" spans="1:33" ht="20.25" customHeight="1" x14ac:dyDescent="0.25">
      <c r="A31" s="1680" t="s">
        <v>650</v>
      </c>
      <c r="B31" s="13"/>
      <c r="C31" s="2179">
        <v>827</v>
      </c>
      <c r="D31" s="12"/>
      <c r="E31" s="159">
        <f t="shared" si="10"/>
        <v>1654</v>
      </c>
      <c r="F31" s="3403" t="s">
        <v>1213</v>
      </c>
      <c r="G31" s="594"/>
      <c r="H31" s="594"/>
      <c r="L31" s="1680" t="s">
        <v>656</v>
      </c>
      <c r="M31" s="13"/>
      <c r="N31" s="2179">
        <v>7241</v>
      </c>
      <c r="O31" s="159">
        <f t="shared" si="11"/>
        <v>14482</v>
      </c>
      <c r="P31" s="1"/>
      <c r="Q31" s="2172" t="s">
        <v>868</v>
      </c>
      <c r="R31" s="13"/>
      <c r="S31" s="2179">
        <f t="shared" si="12"/>
        <v>533.5612000000001</v>
      </c>
      <c r="T31" s="159">
        <v>288.10000000000002</v>
      </c>
      <c r="U31" s="12" t="s">
        <v>1241</v>
      </c>
      <c r="V31" s="13"/>
      <c r="W31" s="159">
        <v>352</v>
      </c>
      <c r="X31" s="159">
        <f t="shared" si="9"/>
        <v>704</v>
      </c>
      <c r="Z31">
        <v>912</v>
      </c>
    </row>
    <row r="32" spans="1:33" ht="24.75" customHeight="1" x14ac:dyDescent="0.25">
      <c r="A32" s="1680" t="s">
        <v>651</v>
      </c>
      <c r="B32" s="13"/>
      <c r="C32" s="2179">
        <v>452</v>
      </c>
      <c r="D32" s="12"/>
      <c r="E32" s="159">
        <f t="shared" si="10"/>
        <v>904</v>
      </c>
      <c r="G32" s="594" t="s">
        <v>877</v>
      </c>
      <c r="H32" s="594"/>
      <c r="L32" s="1680" t="s">
        <v>657</v>
      </c>
      <c r="M32" s="13"/>
      <c r="N32" s="2179">
        <v>7528</v>
      </c>
      <c r="O32" s="159">
        <f t="shared" si="11"/>
        <v>15056</v>
      </c>
      <c r="P32" s="1"/>
      <c r="Q32" s="5178" t="s">
        <v>869</v>
      </c>
      <c r="R32" s="5179"/>
      <c r="S32" s="2179">
        <f t="shared" si="12"/>
        <v>5554.3332</v>
      </c>
      <c r="T32" s="159">
        <v>2999.1</v>
      </c>
      <c r="U32" s="12" t="s">
        <v>1242</v>
      </c>
      <c r="V32" s="13"/>
      <c r="W32" s="159">
        <v>6390</v>
      </c>
      <c r="X32" s="159">
        <f t="shared" si="9"/>
        <v>12780</v>
      </c>
      <c r="Z32">
        <v>912</v>
      </c>
    </row>
    <row r="33" spans="1:33" s="9" customFormat="1" ht="24.75" customHeight="1" x14ac:dyDescent="0.25">
      <c r="A33" s="5180" t="s">
        <v>860</v>
      </c>
      <c r="B33" s="5181"/>
      <c r="C33" s="2179">
        <f>D33*E26</f>
        <v>1264.5455999999999</v>
      </c>
      <c r="D33" s="12">
        <v>682.8</v>
      </c>
      <c r="E33" s="159">
        <f t="shared" si="10"/>
        <v>2529.0911999999998</v>
      </c>
      <c r="F33" s="3402"/>
      <c r="G33" s="594" t="s">
        <v>1214</v>
      </c>
      <c r="H33" s="594"/>
      <c r="L33" s="1714" t="s">
        <v>665</v>
      </c>
      <c r="M33" s="13"/>
      <c r="N33" s="2179">
        <v>8690</v>
      </c>
      <c r="O33" s="159">
        <f t="shared" si="11"/>
        <v>17380</v>
      </c>
      <c r="P33" s="1"/>
      <c r="Q33" s="2172" t="s">
        <v>870</v>
      </c>
      <c r="R33" s="13"/>
      <c r="S33" s="2179">
        <f t="shared" si="12"/>
        <v>300.39440000000002</v>
      </c>
      <c r="T33" s="159">
        <v>162.19999999999999</v>
      </c>
      <c r="U33" s="12"/>
      <c r="V33" s="13"/>
      <c r="W33" s="159">
        <f t="shared" ref="W33:W40" si="13">X33*$P$26</f>
        <v>0</v>
      </c>
      <c r="X33" s="159"/>
      <c r="Z33" s="9">
        <v>912</v>
      </c>
    </row>
    <row r="34" spans="1:33" s="9" customFormat="1" ht="24.75" customHeight="1" x14ac:dyDescent="0.25">
      <c r="A34" s="5180" t="s">
        <v>861</v>
      </c>
      <c r="B34" s="5182"/>
      <c r="C34" s="2179">
        <f>D34*E26</f>
        <v>1039.5275999999999</v>
      </c>
      <c r="D34" s="12">
        <v>561.29999999999995</v>
      </c>
      <c r="E34" s="159">
        <f t="shared" si="10"/>
        <v>2079.0551999999998</v>
      </c>
      <c r="F34" s="3395"/>
      <c r="G34" s="594" t="s">
        <v>879</v>
      </c>
      <c r="H34" s="594"/>
      <c r="L34" s="1714" t="s">
        <v>666</v>
      </c>
      <c r="M34" s="13"/>
      <c r="N34" s="2179">
        <v>304</v>
      </c>
      <c r="O34" s="159">
        <f t="shared" si="11"/>
        <v>608</v>
      </c>
      <c r="P34" s="1"/>
      <c r="Q34" s="2172" t="s">
        <v>871</v>
      </c>
      <c r="R34" s="13"/>
      <c r="S34" s="2179">
        <f t="shared" si="12"/>
        <v>717.65000000000009</v>
      </c>
      <c r="T34" s="159">
        <v>387.5</v>
      </c>
      <c r="U34" s="12"/>
      <c r="V34" s="13"/>
      <c r="W34" s="159">
        <f t="shared" si="13"/>
        <v>0</v>
      </c>
      <c r="X34" s="159"/>
      <c r="Z34" s="9">
        <v>778</v>
      </c>
    </row>
    <row r="35" spans="1:33" s="9" customFormat="1" ht="24.75" customHeight="1" x14ac:dyDescent="0.25">
      <c r="A35" s="5180" t="s">
        <v>863</v>
      </c>
      <c r="B35" s="5181"/>
      <c r="C35" s="2179">
        <f>D35*E26</f>
        <v>547.26600000000008</v>
      </c>
      <c r="D35" s="12">
        <v>295.5</v>
      </c>
      <c r="E35" s="159">
        <f t="shared" si="10"/>
        <v>1094.5320000000002</v>
      </c>
      <c r="L35" s="1714" t="s">
        <v>667</v>
      </c>
      <c r="M35" s="13"/>
      <c r="N35" s="3357">
        <v>7671</v>
      </c>
      <c r="O35" s="159">
        <f t="shared" si="11"/>
        <v>15342</v>
      </c>
      <c r="P35" s="1"/>
      <c r="Q35" s="2172" t="s">
        <v>872</v>
      </c>
      <c r="R35" s="13"/>
      <c r="S35" s="2179">
        <f t="shared" si="12"/>
        <v>5723.2356000000009</v>
      </c>
      <c r="T35" s="159">
        <v>3090.3</v>
      </c>
      <c r="U35" s="12"/>
      <c r="V35" s="13"/>
      <c r="W35" s="159">
        <f t="shared" si="13"/>
        <v>0</v>
      </c>
      <c r="X35" s="159"/>
      <c r="Z35" s="9">
        <v>0</v>
      </c>
    </row>
    <row r="36" spans="1:33" x14ac:dyDescent="0.25">
      <c r="A36" s="12" t="s">
        <v>664</v>
      </c>
      <c r="B36" s="13"/>
      <c r="C36" s="2179">
        <v>154</v>
      </c>
      <c r="D36" s="12"/>
      <c r="E36" s="159">
        <f t="shared" si="10"/>
        <v>308</v>
      </c>
      <c r="L36" s="1714" t="s">
        <v>668</v>
      </c>
      <c r="M36" s="13"/>
      <c r="N36" s="3357">
        <v>1756</v>
      </c>
      <c r="O36" s="159">
        <f t="shared" si="11"/>
        <v>3512</v>
      </c>
      <c r="P36" s="1"/>
      <c r="Q36" s="2172" t="s">
        <v>1072</v>
      </c>
      <c r="R36" s="13"/>
      <c r="S36" s="2179">
        <v>6420</v>
      </c>
      <c r="T36" s="159"/>
      <c r="U36" s="12"/>
      <c r="V36" s="13"/>
      <c r="W36" s="159">
        <f t="shared" si="13"/>
        <v>0</v>
      </c>
      <c r="X36" s="159"/>
      <c r="Z36">
        <v>912</v>
      </c>
    </row>
    <row r="37" spans="1:33" s="9" customFormat="1" x14ac:dyDescent="0.25">
      <c r="A37" s="5171" t="s">
        <v>866</v>
      </c>
      <c r="B37" s="5172"/>
      <c r="C37" s="2179">
        <f>+D37*E26</f>
        <v>908.96160000000009</v>
      </c>
      <c r="D37" s="12">
        <v>490.8</v>
      </c>
      <c r="E37" s="159">
        <f t="shared" si="10"/>
        <v>1817.9232000000002</v>
      </c>
      <c r="L37" s="1714" t="s">
        <v>669</v>
      </c>
      <c r="M37" s="13"/>
      <c r="N37" s="3357">
        <v>2867</v>
      </c>
      <c r="O37" s="159">
        <f t="shared" si="11"/>
        <v>5734</v>
      </c>
      <c r="P37" s="1"/>
      <c r="Q37" s="2172" t="s">
        <v>1073</v>
      </c>
      <c r="R37" s="13"/>
      <c r="S37" s="2179">
        <v>4220</v>
      </c>
      <c r="T37" s="159"/>
      <c r="U37" s="12"/>
      <c r="V37" s="13"/>
      <c r="W37" s="159">
        <f t="shared" si="13"/>
        <v>0</v>
      </c>
      <c r="X37" s="159"/>
      <c r="Z37" s="1">
        <v>2513</v>
      </c>
    </row>
    <row r="38" spans="1:33" ht="20.25" customHeight="1" x14ac:dyDescent="0.25">
      <c r="A38" s="1714" t="s">
        <v>1067</v>
      </c>
      <c r="B38" s="22"/>
      <c r="C38" s="158">
        <v>551</v>
      </c>
      <c r="D38" s="21">
        <v>297.41000000000003</v>
      </c>
      <c r="E38" s="159">
        <f t="shared" si="10"/>
        <v>1102</v>
      </c>
      <c r="L38" s="1714" t="s">
        <v>670</v>
      </c>
      <c r="M38" s="13"/>
      <c r="N38" s="3357">
        <v>9114</v>
      </c>
      <c r="O38" s="159">
        <f t="shared" si="11"/>
        <v>18228</v>
      </c>
      <c r="P38" s="1"/>
      <c r="Q38" s="2172" t="s">
        <v>1074</v>
      </c>
      <c r="R38" s="13"/>
      <c r="S38" s="2179">
        <v>355</v>
      </c>
      <c r="T38" s="159"/>
      <c r="U38" s="12"/>
      <c r="V38" s="13"/>
      <c r="W38" s="159">
        <f t="shared" si="13"/>
        <v>0</v>
      </c>
      <c r="X38" s="159"/>
      <c r="Z38">
        <v>5026</v>
      </c>
    </row>
    <row r="39" spans="1:33" ht="33.75" customHeight="1" x14ac:dyDescent="0.25">
      <c r="A39" s="5183" t="s">
        <v>1079</v>
      </c>
      <c r="B39" s="5184"/>
      <c r="C39" s="3357">
        <v>574</v>
      </c>
      <c r="D39" s="21"/>
      <c r="E39" s="159">
        <f t="shared" si="10"/>
        <v>1148</v>
      </c>
      <c r="L39" s="1714" t="s">
        <v>671</v>
      </c>
      <c r="M39" s="13"/>
      <c r="N39" s="3357">
        <v>370</v>
      </c>
      <c r="O39" s="159">
        <f t="shared" si="11"/>
        <v>740</v>
      </c>
      <c r="P39" s="1"/>
      <c r="Q39" s="2172" t="s">
        <v>1075</v>
      </c>
      <c r="R39" s="13"/>
      <c r="S39" s="2179">
        <v>4560</v>
      </c>
      <c r="T39" s="159"/>
      <c r="U39" s="12"/>
      <c r="V39" s="13"/>
      <c r="W39" s="159">
        <f t="shared" si="13"/>
        <v>0</v>
      </c>
      <c r="X39" s="159"/>
      <c r="Z39">
        <v>5026</v>
      </c>
      <c r="AG39">
        <v>912</v>
      </c>
    </row>
    <row r="40" spans="1:33" ht="32.25" customHeight="1" thickBot="1" x14ac:dyDescent="0.3">
      <c r="A40" s="5169" t="s">
        <v>1068</v>
      </c>
      <c r="B40" s="5170"/>
      <c r="C40" s="3358"/>
      <c r="D40" s="23"/>
      <c r="E40" s="160"/>
      <c r="L40" s="1714" t="s">
        <v>672</v>
      </c>
      <c r="M40" s="13"/>
      <c r="N40" s="3357">
        <v>282</v>
      </c>
      <c r="O40" s="159">
        <f t="shared" si="11"/>
        <v>564</v>
      </c>
      <c r="P40" s="1"/>
      <c r="Q40" s="2172" t="s">
        <v>1071</v>
      </c>
      <c r="R40" s="13"/>
      <c r="S40" s="159">
        <v>4170</v>
      </c>
      <c r="T40" s="159"/>
      <c r="U40" s="12"/>
      <c r="V40" s="13"/>
      <c r="W40" s="159">
        <f t="shared" si="13"/>
        <v>0</v>
      </c>
      <c r="X40" s="159"/>
      <c r="Z40">
        <v>5026</v>
      </c>
      <c r="AG40">
        <v>912</v>
      </c>
    </row>
    <row r="41" spans="1:33" ht="19.5" customHeight="1" thickBot="1" x14ac:dyDescent="0.3">
      <c r="A41" s="39"/>
      <c r="B41" s="39"/>
      <c r="C41" s="53"/>
      <c r="D41" s="39"/>
      <c r="E41" s="39"/>
      <c r="L41" s="3047" t="s">
        <v>1240</v>
      </c>
      <c r="M41" s="3409"/>
      <c r="N41" s="3410">
        <v>600</v>
      </c>
      <c r="O41" s="160">
        <f t="shared" si="11"/>
        <v>1200</v>
      </c>
      <c r="P41" s="9"/>
      <c r="Q41" s="14"/>
      <c r="R41" s="812"/>
      <c r="S41" s="918"/>
      <c r="T41" s="918"/>
      <c r="U41" s="14"/>
      <c r="V41" s="812"/>
      <c r="W41" s="918"/>
      <c r="X41" s="918"/>
      <c r="Z41">
        <v>389</v>
      </c>
      <c r="AG41">
        <v>456</v>
      </c>
    </row>
    <row r="42" spans="1:33" ht="19.5" customHeight="1" thickBot="1" x14ac:dyDescent="0.3">
      <c r="A42" s="3368" t="s">
        <v>1227</v>
      </c>
      <c r="B42" s="39"/>
      <c r="C42" s="53"/>
      <c r="D42" s="39"/>
      <c r="E42" s="39"/>
      <c r="M42" s="2178"/>
      <c r="N42" s="161"/>
      <c r="O42" s="1"/>
      <c r="P42" s="9"/>
      <c r="Z42">
        <v>912</v>
      </c>
      <c r="AG42">
        <v>912</v>
      </c>
    </row>
    <row r="43" spans="1:33" ht="18" customHeight="1" thickBot="1" x14ac:dyDescent="0.3">
      <c r="A43" s="3365" t="s">
        <v>1215</v>
      </c>
      <c r="B43" s="3366"/>
      <c r="C43" s="3361" t="s">
        <v>175</v>
      </c>
      <c r="D43" s="3360" t="s">
        <v>1078</v>
      </c>
      <c r="E43" s="3362"/>
      <c r="M43" s="1700"/>
      <c r="N43" s="161"/>
      <c r="O43" s="1"/>
      <c r="P43" s="9"/>
      <c r="Z43">
        <v>912</v>
      </c>
      <c r="AG43">
        <v>912</v>
      </c>
    </row>
    <row r="44" spans="1:33" ht="21" customHeight="1" x14ac:dyDescent="0.25">
      <c r="A44" s="3359" t="s">
        <v>1222</v>
      </c>
      <c r="B44" s="137"/>
      <c r="C44" s="3364"/>
      <c r="D44" s="137"/>
      <c r="E44" s="3363"/>
      <c r="M44" s="1"/>
      <c r="N44" s="161"/>
      <c r="O44" s="1"/>
      <c r="P44" s="9"/>
      <c r="Z44">
        <v>912</v>
      </c>
      <c r="AG44">
        <f>SUM(AG2:AG43)</f>
        <v>25456</v>
      </c>
    </row>
    <row r="45" spans="1:33" x14ac:dyDescent="0.25">
      <c r="A45" s="1714" t="s">
        <v>1216</v>
      </c>
      <c r="B45" s="22"/>
      <c r="C45" s="3369">
        <v>851</v>
      </c>
      <c r="D45" s="3408">
        <f>C45*2</f>
        <v>1702</v>
      </c>
      <c r="E45" s="158"/>
      <c r="F45" s="1700" t="s">
        <v>1226</v>
      </c>
      <c r="L45" s="1701"/>
      <c r="M45" s="1"/>
      <c r="N45" s="161"/>
      <c r="O45" s="1"/>
      <c r="P45" s="9"/>
      <c r="Z45">
        <v>912</v>
      </c>
    </row>
    <row r="46" spans="1:33" x14ac:dyDescent="0.25">
      <c r="A46" s="1714" t="s">
        <v>1217</v>
      </c>
      <c r="B46" s="22"/>
      <c r="C46" s="3367">
        <v>473</v>
      </c>
      <c r="D46" s="3408">
        <f t="shared" ref="D46:D51" si="14">C46*2</f>
        <v>946</v>
      </c>
      <c r="E46" s="158"/>
      <c r="F46" s="1701" t="s">
        <v>1223</v>
      </c>
      <c r="L46" s="1701"/>
      <c r="M46" s="1"/>
      <c r="N46" s="161"/>
      <c r="O46" s="1"/>
      <c r="P46" s="9"/>
      <c r="Z46">
        <v>0</v>
      </c>
    </row>
    <row r="47" spans="1:33" x14ac:dyDescent="0.25">
      <c r="A47" s="1714" t="s">
        <v>1218</v>
      </c>
      <c r="B47" s="22"/>
      <c r="C47" s="3367">
        <v>448</v>
      </c>
      <c r="D47" s="3408">
        <f t="shared" si="14"/>
        <v>896</v>
      </c>
      <c r="E47" s="158"/>
      <c r="F47" s="1701" t="s">
        <v>1225</v>
      </c>
      <c r="L47" s="1701"/>
      <c r="M47" s="1"/>
      <c r="N47" s="161"/>
      <c r="O47" s="1"/>
      <c r="P47" s="54"/>
      <c r="Z47">
        <v>0</v>
      </c>
    </row>
    <row r="48" spans="1:33" x14ac:dyDescent="0.25">
      <c r="A48" s="1714" t="s">
        <v>1219</v>
      </c>
      <c r="B48" s="22"/>
      <c r="C48" s="3367">
        <v>390</v>
      </c>
      <c r="D48" s="3408">
        <f t="shared" si="14"/>
        <v>780</v>
      </c>
      <c r="E48" s="158"/>
      <c r="F48" s="1701" t="s">
        <v>1224</v>
      </c>
      <c r="L48" s="1701"/>
      <c r="M48" s="1"/>
      <c r="N48" s="161"/>
      <c r="O48" s="1"/>
      <c r="P48" s="9"/>
      <c r="Z48">
        <v>0</v>
      </c>
    </row>
    <row r="49" spans="1:26" x14ac:dyDescent="0.25">
      <c r="A49" s="1714" t="s">
        <v>1220</v>
      </c>
      <c r="B49" s="22"/>
      <c r="C49" s="3367">
        <v>665</v>
      </c>
      <c r="D49" s="3408">
        <f t="shared" si="14"/>
        <v>1330</v>
      </c>
      <c r="E49" s="158"/>
      <c r="F49" s="1701" t="s">
        <v>1243</v>
      </c>
      <c r="L49" s="1701"/>
      <c r="M49" s="1"/>
      <c r="N49" s="161"/>
      <c r="O49" s="1"/>
      <c r="P49" s="9"/>
      <c r="Z49">
        <v>0</v>
      </c>
    </row>
    <row r="50" spans="1:26" s="9" customFormat="1" x14ac:dyDescent="0.25">
      <c r="A50" s="1714" t="s">
        <v>1221</v>
      </c>
      <c r="B50" s="22"/>
      <c r="C50" s="3367">
        <v>2900</v>
      </c>
      <c r="D50" s="3408">
        <f t="shared" si="14"/>
        <v>5800</v>
      </c>
      <c r="E50" s="158"/>
      <c r="F50" s="1701" t="s">
        <v>1244</v>
      </c>
      <c r="G50" s="9" t="s">
        <v>1245</v>
      </c>
      <c r="L50" s="1701"/>
      <c r="M50" s="1"/>
      <c r="N50" s="161"/>
      <c r="O50" s="1"/>
      <c r="Z50" s="9">
        <v>778</v>
      </c>
    </row>
    <row r="51" spans="1:26" s="9" customFormat="1" x14ac:dyDescent="0.25">
      <c r="A51" s="1714" t="s">
        <v>655</v>
      </c>
      <c r="B51" s="22"/>
      <c r="C51" s="3367">
        <v>2428</v>
      </c>
      <c r="D51" s="3408">
        <f t="shared" si="14"/>
        <v>4856</v>
      </c>
      <c r="E51" s="158"/>
      <c r="F51" s="1701" t="s">
        <v>1246</v>
      </c>
      <c r="L51" s="1701"/>
      <c r="M51" s="1"/>
      <c r="N51" s="161"/>
      <c r="O51" s="1"/>
      <c r="Z51" s="9">
        <v>912</v>
      </c>
    </row>
    <row r="52" spans="1:26" s="9" customFormat="1" ht="15.75" thickBot="1" x14ac:dyDescent="0.3">
      <c r="A52" s="3047" t="s">
        <v>1247</v>
      </c>
      <c r="B52" s="24"/>
      <c r="C52" s="3412">
        <v>73</v>
      </c>
      <c r="D52" s="3413">
        <v>146</v>
      </c>
      <c r="E52" s="160"/>
      <c r="F52" s="1701" t="s">
        <v>1248</v>
      </c>
      <c r="L52" s="1701"/>
      <c r="M52" s="1"/>
      <c r="N52" s="161"/>
      <c r="O52" s="1"/>
      <c r="Z52" s="9">
        <v>912</v>
      </c>
    </row>
    <row r="53" spans="1:26" s="9" customFormat="1" x14ac:dyDescent="0.25">
      <c r="A53" s="2899"/>
      <c r="B53" s="39"/>
      <c r="C53" s="53">
        <f>C50+C49</f>
        <v>3565</v>
      </c>
      <c r="D53" s="39"/>
      <c r="E53" s="39"/>
      <c r="L53" s="1701"/>
      <c r="M53" s="1"/>
      <c r="N53" s="161"/>
      <c r="O53" s="1"/>
      <c r="Z53" s="9">
        <v>912</v>
      </c>
    </row>
    <row r="54" spans="1:26" s="9" customFormat="1" x14ac:dyDescent="0.25">
      <c r="A54" s="2899"/>
      <c r="B54" s="39"/>
      <c r="C54" s="53"/>
      <c r="D54" s="39"/>
      <c r="E54" s="39"/>
      <c r="L54" s="1701"/>
      <c r="M54" s="1"/>
      <c r="N54" s="1"/>
      <c r="O54" s="1"/>
      <c r="Z54" s="9">
        <v>912</v>
      </c>
    </row>
    <row r="55" spans="1:26" ht="15.75" thickBot="1" x14ac:dyDescent="0.3">
      <c r="A55" s="2899"/>
      <c r="B55" s="39"/>
      <c r="C55" s="53"/>
      <c r="D55" s="39"/>
      <c r="E55" s="39"/>
      <c r="Z55">
        <v>912</v>
      </c>
    </row>
    <row r="56" spans="1:26" ht="19.5" thickBot="1" x14ac:dyDescent="0.35">
      <c r="A56" s="5164" t="s">
        <v>1051</v>
      </c>
      <c r="B56" s="5165"/>
      <c r="C56" s="5165"/>
      <c r="D56" s="5165"/>
      <c r="E56" s="5165"/>
      <c r="F56" s="5165"/>
      <c r="G56" s="5165"/>
      <c r="H56" s="5165"/>
      <c r="I56" s="5165"/>
      <c r="J56" s="5165"/>
      <c r="K56" s="5165"/>
      <c r="L56" s="5165"/>
      <c r="M56" s="5165"/>
      <c r="N56" s="5165"/>
      <c r="O56" s="5165"/>
      <c r="P56" s="5165"/>
      <c r="Q56" s="5165"/>
      <c r="R56" s="5166"/>
      <c r="Z56">
        <v>912</v>
      </c>
    </row>
    <row r="57" spans="1:26" ht="15.75" thickBot="1" x14ac:dyDescent="0.3">
      <c r="A57" s="2961"/>
      <c r="B57" s="2957" t="s">
        <v>206</v>
      </c>
      <c r="C57" s="2958" t="s">
        <v>207</v>
      </c>
      <c r="D57" s="2959" t="s">
        <v>1047</v>
      </c>
      <c r="E57" s="4163" t="s">
        <v>92</v>
      </c>
      <c r="F57" s="2959" t="s">
        <v>209</v>
      </c>
      <c r="G57" s="2959" t="s">
        <v>210</v>
      </c>
      <c r="H57" s="2959" t="s">
        <v>211</v>
      </c>
      <c r="I57" s="4163" t="s">
        <v>93</v>
      </c>
      <c r="J57" s="2959" t="s">
        <v>212</v>
      </c>
      <c r="K57" s="2959" t="s">
        <v>213</v>
      </c>
      <c r="L57" s="2960" t="s">
        <v>1048</v>
      </c>
      <c r="M57" s="4163" t="s">
        <v>94</v>
      </c>
      <c r="N57" s="2959" t="s">
        <v>1049</v>
      </c>
      <c r="O57" s="2959" t="s">
        <v>1050</v>
      </c>
      <c r="P57" s="2959" t="s">
        <v>683</v>
      </c>
      <c r="Q57" s="4163" t="s">
        <v>95</v>
      </c>
      <c r="R57" s="4165" t="s">
        <v>1045</v>
      </c>
      <c r="S57" s="432" t="s">
        <v>1347</v>
      </c>
      <c r="Z57">
        <v>456</v>
      </c>
    </row>
    <row r="58" spans="1:26" ht="15.75" thickBot="1" x14ac:dyDescent="0.3">
      <c r="A58" s="2962" t="s">
        <v>99</v>
      </c>
      <c r="B58" s="4159">
        <v>789</v>
      </c>
      <c r="C58" s="2955">
        <v>226</v>
      </c>
      <c r="D58" s="2955">
        <v>1137</v>
      </c>
      <c r="E58" s="4164">
        <f t="shared" ref="E58:E63" si="15">SUM(B58:D58)</f>
        <v>2152</v>
      </c>
      <c r="F58" s="4161">
        <v>1957</v>
      </c>
      <c r="G58" s="2955">
        <v>1389</v>
      </c>
      <c r="H58" s="2955">
        <f>(E58+G58+F58)/5</f>
        <v>1099.5999999999999</v>
      </c>
      <c r="I58" s="4164">
        <f t="shared" ref="I58:I63" si="16">H58+G58+F58</f>
        <v>4445.6000000000004</v>
      </c>
      <c r="J58" s="4161"/>
      <c r="K58" s="4161"/>
      <c r="L58" s="4161"/>
      <c r="M58" s="4164">
        <f>(E58+I58)/2</f>
        <v>3298.8</v>
      </c>
      <c r="N58" s="4161">
        <v>0</v>
      </c>
      <c r="O58" s="4161">
        <v>0</v>
      </c>
      <c r="P58" s="4161">
        <v>0</v>
      </c>
      <c r="Q58" s="4164">
        <f t="shared" ref="Q58:Q63" si="17">SUM(N58:P58)</f>
        <v>0</v>
      </c>
      <c r="R58" s="4166">
        <f t="shared" ref="R58:R63" si="18">E58+I58+M58+Q58</f>
        <v>9896.4000000000015</v>
      </c>
      <c r="Z58">
        <v>456</v>
      </c>
    </row>
    <row r="59" spans="1:26" ht="15.75" thickBot="1" x14ac:dyDescent="0.3">
      <c r="A59" s="2962" t="s">
        <v>100</v>
      </c>
      <c r="B59" s="4160">
        <v>973</v>
      </c>
      <c r="C59" s="2956">
        <v>2675</v>
      </c>
      <c r="D59" s="2956">
        <v>1364</v>
      </c>
      <c r="E59" s="4164">
        <f t="shared" si="15"/>
        <v>5012</v>
      </c>
      <c r="F59" s="4162">
        <v>1802</v>
      </c>
      <c r="G59" s="2955">
        <v>0</v>
      </c>
      <c r="H59" s="2955">
        <f>(E59+G59+F59)/5</f>
        <v>1362.8</v>
      </c>
      <c r="I59" s="4164">
        <f t="shared" si="16"/>
        <v>3164.8</v>
      </c>
      <c r="J59" s="4162"/>
      <c r="K59" s="4162"/>
      <c r="L59" s="4162"/>
      <c r="M59" s="4164">
        <f>(E59+I59)/2</f>
        <v>4088.4</v>
      </c>
      <c r="N59" s="4162">
        <v>0</v>
      </c>
      <c r="O59" s="4162">
        <v>0</v>
      </c>
      <c r="P59" s="4162">
        <v>0</v>
      </c>
      <c r="Q59" s="4164">
        <f t="shared" si="17"/>
        <v>0</v>
      </c>
      <c r="R59" s="4166">
        <f t="shared" si="18"/>
        <v>12265.2</v>
      </c>
      <c r="Z59">
        <v>912</v>
      </c>
    </row>
    <row r="60" spans="1:26" ht="15.75" thickBot="1" x14ac:dyDescent="0.3">
      <c r="A60" s="2962" t="s">
        <v>101</v>
      </c>
      <c r="B60" s="4160">
        <v>1235</v>
      </c>
      <c r="C60" s="2956">
        <v>1625</v>
      </c>
      <c r="D60" s="2956">
        <v>608</v>
      </c>
      <c r="E60" s="4164">
        <f t="shared" si="15"/>
        <v>3468</v>
      </c>
      <c r="F60" s="4162">
        <v>1231</v>
      </c>
      <c r="G60" s="2955">
        <v>3062</v>
      </c>
      <c r="H60" s="2955">
        <f>(E60+G60+F60)/5</f>
        <v>1552.2</v>
      </c>
      <c r="I60" s="4164">
        <f t="shared" si="16"/>
        <v>5845.2</v>
      </c>
      <c r="J60" s="4162"/>
      <c r="K60" s="4162"/>
      <c r="L60" s="4162"/>
      <c r="M60" s="4164">
        <f>(E60+I60)/2</f>
        <v>4656.6000000000004</v>
      </c>
      <c r="N60" s="4162">
        <v>0</v>
      </c>
      <c r="O60" s="4162">
        <v>0</v>
      </c>
      <c r="P60" s="4162">
        <v>0</v>
      </c>
      <c r="Q60" s="4164">
        <f t="shared" si="17"/>
        <v>0</v>
      </c>
      <c r="R60" s="4166">
        <f t="shared" si="18"/>
        <v>13969.800000000001</v>
      </c>
      <c r="Z60">
        <v>912</v>
      </c>
    </row>
    <row r="61" spans="1:26" s="849" customFormat="1" ht="15.75" thickBot="1" x14ac:dyDescent="0.3">
      <c r="A61" s="2962" t="s">
        <v>103</v>
      </c>
      <c r="B61" s="4160">
        <v>1607</v>
      </c>
      <c r="C61" s="2956">
        <v>1411.44</v>
      </c>
      <c r="D61" s="2956">
        <v>2107.88</v>
      </c>
      <c r="E61" s="4164">
        <f t="shared" si="15"/>
        <v>5126.32</v>
      </c>
      <c r="F61" s="2956">
        <v>1570.0400000000002</v>
      </c>
      <c r="G61" s="2955">
        <v>2333.84</v>
      </c>
      <c r="H61" s="2955">
        <v>696.43999999999994</v>
      </c>
      <c r="I61" s="4164">
        <f t="shared" si="16"/>
        <v>4600.3200000000006</v>
      </c>
      <c r="J61" s="2956">
        <v>1227.9200000000003</v>
      </c>
      <c r="K61" s="2956">
        <v>1521.24</v>
      </c>
      <c r="L61" s="2956">
        <v>800.39999999999986</v>
      </c>
      <c r="M61" s="4164">
        <f>SUM(J61:L61)</f>
        <v>3549.5600000000004</v>
      </c>
      <c r="N61" s="2956">
        <v>0</v>
      </c>
      <c r="O61" s="2956">
        <v>0</v>
      </c>
      <c r="P61" s="2956">
        <v>152.76</v>
      </c>
      <c r="Q61" s="4164">
        <f t="shared" si="17"/>
        <v>152.76</v>
      </c>
      <c r="R61" s="4166">
        <f t="shared" si="18"/>
        <v>13428.960000000001</v>
      </c>
      <c r="S61" s="849" t="s">
        <v>1346</v>
      </c>
      <c r="Z61" s="849">
        <v>912</v>
      </c>
    </row>
    <row r="62" spans="1:26" ht="15.75" thickBot="1" x14ac:dyDescent="0.3">
      <c r="A62" s="2962" t="s">
        <v>1046</v>
      </c>
      <c r="B62" s="4160">
        <v>5546</v>
      </c>
      <c r="C62" s="2956">
        <v>6817</v>
      </c>
      <c r="D62" s="2956">
        <v>4919</v>
      </c>
      <c r="E62" s="4164">
        <f t="shared" si="15"/>
        <v>17282</v>
      </c>
      <c r="F62" s="4162">
        <v>5155</v>
      </c>
      <c r="G62" s="2955">
        <v>7189</v>
      </c>
      <c r="H62" s="2955">
        <f>(E62+G62+F62)/5</f>
        <v>5925.2</v>
      </c>
      <c r="I62" s="4164">
        <f t="shared" si="16"/>
        <v>18269.2</v>
      </c>
      <c r="J62" s="4162"/>
      <c r="K62" s="4162"/>
      <c r="L62" s="4162"/>
      <c r="M62" s="4164">
        <f>(E62+I62)/2</f>
        <v>17775.599999999999</v>
      </c>
      <c r="N62" s="4162">
        <v>0</v>
      </c>
      <c r="O62" s="4162">
        <v>0</v>
      </c>
      <c r="P62" s="4162">
        <v>0</v>
      </c>
      <c r="Q62" s="4164">
        <f t="shared" si="17"/>
        <v>0</v>
      </c>
      <c r="R62" s="4166">
        <f t="shared" si="18"/>
        <v>53326.799999999996</v>
      </c>
    </row>
    <row r="63" spans="1:26" x14ac:dyDescent="0.25">
      <c r="A63" s="4167" t="s">
        <v>143</v>
      </c>
      <c r="B63" s="4168">
        <f>SUM(B58:B62)</f>
        <v>10150</v>
      </c>
      <c r="C63" s="4168">
        <f>SUM(C58:C62)</f>
        <v>12754.44</v>
      </c>
      <c r="D63" s="4168">
        <f>SUM(D58:D62)</f>
        <v>10135.880000000001</v>
      </c>
      <c r="E63" s="4171">
        <f t="shared" si="15"/>
        <v>33040.320000000007</v>
      </c>
      <c r="F63" s="4169">
        <f>SUM(F58:F62)</f>
        <v>11715.04</v>
      </c>
      <c r="G63" s="4169">
        <f>SUM(G58:G62)</f>
        <v>13973.84</v>
      </c>
      <c r="H63" s="4169">
        <f>SUM(H58:H62)</f>
        <v>10636.239999999998</v>
      </c>
      <c r="I63" s="4171">
        <f t="shared" si="16"/>
        <v>36325.119999999995</v>
      </c>
      <c r="J63" s="4169"/>
      <c r="K63" s="4169"/>
      <c r="L63" s="4169"/>
      <c r="M63" s="4172">
        <f>SUM(M58:M62)</f>
        <v>33368.959999999999</v>
      </c>
      <c r="N63" s="4169">
        <f>SUM(N58:N62)</f>
        <v>0</v>
      </c>
      <c r="O63" s="4169">
        <f>SUM(O58:O62)</f>
        <v>0</v>
      </c>
      <c r="P63" s="4169">
        <f>SUM(P58:P62)</f>
        <v>152.76</v>
      </c>
      <c r="Q63" s="4173">
        <f t="shared" si="17"/>
        <v>152.76</v>
      </c>
      <c r="R63" s="4170">
        <f t="shared" si="18"/>
        <v>102887.15999999999</v>
      </c>
    </row>
    <row r="64" spans="1:26" x14ac:dyDescent="0.25">
      <c r="A64" s="4174"/>
      <c r="B64" s="4175"/>
      <c r="C64" s="4175"/>
      <c r="D64" s="4175"/>
      <c r="E64" s="4176">
        <f>SUM(E58:E62)</f>
        <v>33040.32</v>
      </c>
      <c r="F64" s="4176"/>
      <c r="G64" s="4176"/>
      <c r="H64" s="4176"/>
      <c r="I64" s="4176">
        <f>SUM(I58:I62)</f>
        <v>36325.120000000003</v>
      </c>
      <c r="J64" s="4176"/>
      <c r="K64" s="4176"/>
      <c r="L64" s="4176"/>
      <c r="M64" s="4176">
        <v>33369</v>
      </c>
      <c r="N64" s="4176"/>
      <c r="O64" s="4176"/>
      <c r="P64" s="4176"/>
      <c r="Q64" s="4176">
        <f>SUM(Q58:Q62)</f>
        <v>152.76</v>
      </c>
      <c r="R64" s="4177">
        <f>SUM(R58:R62)</f>
        <v>102887.16</v>
      </c>
    </row>
    <row r="65" spans="1:34" x14ac:dyDescent="0.25">
      <c r="A65" s="2950"/>
      <c r="B65" s="2950"/>
      <c r="C65" s="2950"/>
      <c r="D65" s="2950"/>
      <c r="E65" s="2950"/>
      <c r="F65" s="2951"/>
      <c r="G65" s="2951"/>
      <c r="H65" s="2952"/>
      <c r="I65" s="1"/>
      <c r="J65" s="1"/>
      <c r="K65" s="1"/>
    </row>
    <row r="66" spans="1:34" x14ac:dyDescent="0.25">
      <c r="A66" s="2953"/>
      <c r="B66" s="2953"/>
      <c r="C66" s="2953"/>
      <c r="D66" s="2953"/>
      <c r="E66" s="2953"/>
      <c r="F66" s="2954"/>
      <c r="G66" s="2954"/>
      <c r="H66" s="1"/>
      <c r="I66" s="1"/>
      <c r="J66" s="1"/>
      <c r="K66" s="1"/>
      <c r="X66" s="1"/>
      <c r="Y66" s="1"/>
      <c r="Z66" s="1"/>
      <c r="AA66" s="1"/>
      <c r="AB66" s="1"/>
      <c r="AC66" s="1"/>
    </row>
    <row r="67" spans="1:34" x14ac:dyDescent="0.25">
      <c r="A67" s="39"/>
      <c r="B67" s="39"/>
      <c r="C67" s="39"/>
      <c r="D67" s="39"/>
      <c r="E67" s="39"/>
      <c r="F67" s="1615"/>
      <c r="G67" s="1615"/>
      <c r="H67" s="1615"/>
      <c r="I67" s="1615"/>
      <c r="J67" s="1615"/>
      <c r="K67" s="1615"/>
      <c r="L67" s="1615"/>
      <c r="M67" s="3457"/>
      <c r="N67" s="1615"/>
      <c r="O67" s="1615"/>
      <c r="P67" s="1615"/>
      <c r="Q67" s="1615"/>
      <c r="R67" s="1615"/>
      <c r="S67" s="1615"/>
      <c r="T67" s="1615"/>
      <c r="U67" s="1615"/>
      <c r="V67" s="1615"/>
      <c r="W67" s="1615"/>
      <c r="X67" s="1615"/>
      <c r="Y67" s="1615"/>
      <c r="Z67" s="5173"/>
      <c r="AA67" s="5173"/>
      <c r="AB67" s="5173"/>
      <c r="AC67" s="5173"/>
    </row>
    <row r="68" spans="1:34" ht="15.75" x14ac:dyDescent="0.25">
      <c r="A68" s="1630"/>
      <c r="B68" s="1630"/>
      <c r="C68" s="1630"/>
      <c r="D68" s="1630"/>
      <c r="E68" s="1628"/>
      <c r="F68" s="904"/>
      <c r="G68" s="904"/>
      <c r="H68" s="904"/>
      <c r="I68" s="904"/>
      <c r="J68" s="904"/>
      <c r="K68" s="904"/>
      <c r="L68" s="904"/>
      <c r="M68" s="904"/>
      <c r="N68" s="904"/>
      <c r="O68" s="904"/>
      <c r="P68" s="904"/>
      <c r="Q68" s="904"/>
      <c r="R68" s="904"/>
      <c r="S68" s="904"/>
      <c r="T68" s="904"/>
      <c r="U68" s="904"/>
      <c r="V68" s="904"/>
      <c r="W68" s="904"/>
      <c r="X68" s="298"/>
      <c r="Y68" s="298"/>
      <c r="Z68" s="298"/>
      <c r="AA68" s="298"/>
      <c r="AB68" s="298"/>
      <c r="AC68" s="298"/>
    </row>
    <row r="69" spans="1:34" x14ac:dyDescent="0.25">
      <c r="A69" s="1631"/>
      <c r="B69" s="1631"/>
      <c r="C69" s="1631"/>
      <c r="D69" s="1631"/>
      <c r="E69" s="1629"/>
      <c r="F69" s="337"/>
      <c r="G69" s="337"/>
      <c r="H69" s="337"/>
      <c r="I69" s="337"/>
      <c r="J69" s="337"/>
      <c r="K69" s="337"/>
      <c r="L69" s="337"/>
      <c r="M69" s="337"/>
      <c r="N69" s="337"/>
      <c r="O69" s="337"/>
      <c r="P69" s="338"/>
      <c r="Q69" s="338"/>
      <c r="R69" s="337"/>
      <c r="S69" s="337"/>
      <c r="T69" s="337"/>
      <c r="U69" s="337"/>
      <c r="V69" s="337"/>
      <c r="W69" s="337"/>
      <c r="X69" s="333"/>
      <c r="Y69" s="333"/>
      <c r="Z69" s="337"/>
      <c r="AA69" s="337"/>
      <c r="AB69" s="337"/>
      <c r="AC69" s="337"/>
    </row>
    <row r="70" spans="1:34" x14ac:dyDescent="0.25">
      <c r="A70" s="1631"/>
      <c r="B70" s="1631"/>
      <c r="C70" s="1631"/>
      <c r="D70" s="1631"/>
      <c r="E70" s="1629"/>
      <c r="F70" s="337"/>
      <c r="G70" s="337"/>
      <c r="H70" s="337"/>
      <c r="I70" s="337"/>
      <c r="J70" s="337"/>
      <c r="K70" s="337"/>
      <c r="L70" s="337"/>
      <c r="M70" s="337"/>
      <c r="N70" s="337"/>
      <c r="O70" s="337"/>
      <c r="P70" s="338"/>
      <c r="Q70" s="338"/>
      <c r="R70" s="337"/>
      <c r="S70" s="337"/>
      <c r="T70" s="337"/>
      <c r="U70" s="337"/>
      <c r="V70" s="337"/>
      <c r="W70" s="337"/>
      <c r="X70" s="333"/>
      <c r="Y70" s="333"/>
      <c r="Z70" s="337"/>
      <c r="AA70" s="337"/>
      <c r="AB70" s="337"/>
      <c r="AC70" s="337"/>
    </row>
    <row r="71" spans="1:34" x14ac:dyDescent="0.25">
      <c r="A71" s="1631"/>
      <c r="B71" s="1631"/>
      <c r="C71" s="1631"/>
      <c r="D71" s="1631"/>
      <c r="E71" s="1629"/>
      <c r="F71" s="337"/>
      <c r="G71" s="337"/>
      <c r="H71" s="337"/>
      <c r="I71" s="337"/>
      <c r="J71" s="337"/>
      <c r="K71" s="337"/>
      <c r="L71" s="337"/>
      <c r="M71" s="337"/>
      <c r="N71" s="337"/>
      <c r="O71" s="337"/>
      <c r="P71" s="338"/>
      <c r="Q71" s="338"/>
      <c r="R71" s="337"/>
      <c r="S71" s="337"/>
      <c r="T71" s="337"/>
      <c r="U71" s="337"/>
      <c r="V71" s="337"/>
      <c r="W71" s="337"/>
      <c r="X71" s="333"/>
      <c r="Y71" s="333"/>
      <c r="Z71" s="337"/>
      <c r="AA71" s="337"/>
      <c r="AB71" s="337"/>
      <c r="AC71" s="337"/>
    </row>
    <row r="72" spans="1:34" x14ac:dyDescent="0.25">
      <c r="A72" s="1631"/>
      <c r="B72" s="1631"/>
      <c r="C72" s="1631"/>
      <c r="D72" s="1631"/>
      <c r="E72" s="1629"/>
      <c r="F72" s="337"/>
      <c r="G72" s="337"/>
      <c r="H72" s="337"/>
      <c r="I72" s="337"/>
      <c r="J72" s="337"/>
      <c r="K72" s="337"/>
      <c r="L72" s="337"/>
      <c r="M72" s="337"/>
      <c r="N72" s="337"/>
      <c r="O72" s="337"/>
      <c r="P72" s="338"/>
      <c r="Q72" s="338"/>
      <c r="R72" s="337"/>
      <c r="S72" s="337"/>
      <c r="T72" s="337"/>
      <c r="U72" s="337"/>
      <c r="V72" s="337"/>
      <c r="W72" s="337"/>
      <c r="X72" s="333"/>
      <c r="Y72" s="333"/>
      <c r="Z72" s="337"/>
      <c r="AA72" s="337"/>
      <c r="AB72" s="337"/>
      <c r="AC72" s="337"/>
    </row>
    <row r="73" spans="1:34" x14ac:dyDescent="0.25">
      <c r="A73" s="39"/>
      <c r="B73" s="39"/>
      <c r="C73" s="39"/>
      <c r="D73" s="39"/>
      <c r="E73" s="39"/>
      <c r="F73" s="39"/>
      <c r="G73" s="39"/>
      <c r="H73" s="39"/>
      <c r="I73" s="39"/>
      <c r="J73" s="39"/>
      <c r="K73" s="39"/>
      <c r="L73" s="39"/>
      <c r="M73" s="39"/>
      <c r="N73" s="39"/>
      <c r="O73" s="39"/>
      <c r="P73" s="39"/>
      <c r="Q73" s="39"/>
      <c r="R73" s="39"/>
      <c r="S73" s="39"/>
      <c r="T73" s="39"/>
      <c r="U73" s="39"/>
      <c r="V73" s="39"/>
      <c r="W73" s="39"/>
      <c r="X73" s="1"/>
      <c r="Y73" s="1"/>
      <c r="Z73" s="1"/>
      <c r="AA73" s="1"/>
      <c r="AB73" s="1"/>
      <c r="AC73" s="1"/>
      <c r="AD73" s="1"/>
      <c r="AE73" s="1"/>
      <c r="AF73" s="1"/>
      <c r="AG73" s="1"/>
      <c r="AH73" s="1"/>
    </row>
    <row r="74" spans="1:34" x14ac:dyDescent="0.25">
      <c r="A74" s="39"/>
      <c r="B74" s="39"/>
      <c r="C74" s="39"/>
      <c r="D74" s="39"/>
      <c r="E74" s="39"/>
      <c r="F74" s="39"/>
      <c r="G74" s="39"/>
      <c r="H74" s="39"/>
      <c r="I74" s="39"/>
      <c r="J74" s="39"/>
      <c r="K74" s="39"/>
      <c r="L74" s="39"/>
      <c r="M74" s="39"/>
      <c r="N74" s="39"/>
      <c r="O74" s="39"/>
      <c r="P74" s="39"/>
      <c r="Q74" s="39"/>
      <c r="R74" s="39"/>
      <c r="S74" s="39"/>
      <c r="T74" s="39"/>
      <c r="U74" s="39"/>
      <c r="V74" s="39"/>
      <c r="W74" s="39"/>
    </row>
    <row r="75" spans="1:34" x14ac:dyDescent="0.25">
      <c r="A75" s="39"/>
      <c r="B75" s="39"/>
      <c r="C75" s="39"/>
      <c r="D75" s="39"/>
      <c r="E75" s="39"/>
      <c r="F75" s="39"/>
      <c r="G75" s="39"/>
      <c r="H75" s="39"/>
      <c r="I75" s="39"/>
      <c r="J75" s="39"/>
      <c r="K75" s="39"/>
      <c r="L75" s="39"/>
      <c r="M75" s="39"/>
      <c r="N75" s="39"/>
      <c r="O75" s="39"/>
      <c r="P75" s="39"/>
      <c r="Q75" s="39"/>
      <c r="R75" s="39"/>
      <c r="S75" s="39"/>
      <c r="T75" s="39"/>
      <c r="U75" s="39"/>
      <c r="V75" s="39"/>
      <c r="W75" s="39"/>
    </row>
    <row r="76" spans="1:34" x14ac:dyDescent="0.25">
      <c r="A76" s="39"/>
      <c r="B76" s="39"/>
      <c r="C76" s="39"/>
      <c r="D76" s="39"/>
      <c r="E76" s="39"/>
      <c r="F76" s="1615"/>
      <c r="G76" s="1615"/>
      <c r="H76" s="1615"/>
      <c r="I76" s="1615"/>
      <c r="J76" s="1615"/>
      <c r="K76" s="1615"/>
      <c r="L76" s="1615"/>
      <c r="M76" s="3457"/>
      <c r="N76" s="39"/>
      <c r="O76" s="39"/>
      <c r="P76" s="39"/>
      <c r="Q76" s="39"/>
      <c r="R76" s="39"/>
      <c r="S76" s="39"/>
      <c r="T76" s="39"/>
      <c r="U76" s="39"/>
      <c r="V76" s="39"/>
      <c r="W76" s="39"/>
    </row>
    <row r="77" spans="1:34" ht="15.75" x14ac:dyDescent="0.25">
      <c r="A77" s="1630"/>
      <c r="B77" s="1630"/>
      <c r="C77" s="1630"/>
      <c r="D77" s="1630"/>
      <c r="E77" s="1628"/>
      <c r="F77" s="904"/>
      <c r="G77" s="904"/>
      <c r="H77" s="904"/>
      <c r="I77" s="904"/>
      <c r="J77" s="904"/>
      <c r="K77" s="904"/>
      <c r="L77" s="904"/>
      <c r="M77" s="904"/>
      <c r="N77" s="39"/>
      <c r="O77" s="39"/>
      <c r="P77" s="39"/>
      <c r="Q77" s="39"/>
      <c r="R77" s="39"/>
      <c r="S77" s="39"/>
      <c r="T77" s="39"/>
      <c r="U77" s="39"/>
      <c r="V77" s="39"/>
      <c r="W77" s="39"/>
    </row>
    <row r="78" spans="1:34" x14ac:dyDescent="0.25">
      <c r="A78" s="1631"/>
      <c r="B78" s="1631"/>
      <c r="C78" s="1631"/>
      <c r="D78" s="1631"/>
      <c r="E78" s="1629"/>
      <c r="F78" s="337"/>
      <c r="G78" s="337"/>
      <c r="H78" s="337"/>
      <c r="I78" s="337"/>
      <c r="J78" s="337"/>
      <c r="K78" s="337"/>
      <c r="L78" s="337"/>
      <c r="M78" s="337"/>
      <c r="N78" s="39"/>
      <c r="O78" s="39"/>
      <c r="P78" s="39"/>
      <c r="Q78" s="39"/>
      <c r="R78" s="39"/>
      <c r="S78" s="39"/>
      <c r="T78" s="39"/>
      <c r="U78" s="39"/>
      <c r="V78" s="39"/>
      <c r="W78" s="39"/>
    </row>
    <row r="79" spans="1:34" x14ac:dyDescent="0.25">
      <c r="A79" s="1631"/>
      <c r="B79" s="1631"/>
      <c r="C79" s="1631"/>
      <c r="D79" s="1631"/>
      <c r="E79" s="1629"/>
      <c r="F79" s="337"/>
      <c r="G79" s="337"/>
      <c r="H79" s="337"/>
      <c r="I79" s="337"/>
      <c r="J79" s="337"/>
      <c r="K79" s="337"/>
      <c r="L79" s="337"/>
      <c r="M79" s="337"/>
      <c r="N79" s="39"/>
      <c r="O79" s="39"/>
      <c r="P79" s="39"/>
      <c r="Q79" s="39"/>
      <c r="R79" s="39"/>
      <c r="S79" s="39"/>
      <c r="T79" s="39"/>
      <c r="U79" s="39"/>
      <c r="V79" s="39"/>
      <c r="W79" s="39"/>
    </row>
    <row r="80" spans="1:34" x14ac:dyDescent="0.25">
      <c r="A80" s="1631"/>
      <c r="B80" s="1631"/>
      <c r="C80" s="1631"/>
      <c r="D80" s="1631"/>
      <c r="E80" s="1629"/>
      <c r="F80" s="337"/>
      <c r="G80" s="337"/>
      <c r="H80" s="337"/>
      <c r="I80" s="337"/>
      <c r="J80" s="337"/>
      <c r="K80" s="337"/>
      <c r="L80" s="337"/>
      <c r="M80" s="337"/>
      <c r="N80" s="39"/>
      <c r="O80" s="39"/>
      <c r="P80" s="39"/>
      <c r="Q80" s="39"/>
      <c r="R80" s="39"/>
      <c r="S80" s="39"/>
      <c r="T80" s="39"/>
      <c r="U80" s="39"/>
      <c r="V80" s="39"/>
      <c r="W80" s="39"/>
    </row>
    <row r="81" spans="1:23" x14ac:dyDescent="0.25">
      <c r="A81" s="1631"/>
      <c r="B81" s="1631"/>
      <c r="C81" s="1631"/>
      <c r="D81" s="1631"/>
      <c r="E81" s="1629"/>
      <c r="F81" s="337"/>
      <c r="G81" s="337"/>
      <c r="H81" s="337"/>
      <c r="I81" s="337"/>
      <c r="J81" s="337"/>
      <c r="K81" s="337"/>
      <c r="L81" s="337"/>
      <c r="M81" s="337"/>
      <c r="N81" s="39"/>
      <c r="O81" s="39"/>
      <c r="P81" s="39"/>
      <c r="Q81" s="39"/>
      <c r="R81" s="39"/>
      <c r="S81" s="39"/>
      <c r="T81" s="39"/>
      <c r="U81" s="39"/>
      <c r="V81" s="39"/>
      <c r="W81" s="39"/>
    </row>
    <row r="82" spans="1:23" x14ac:dyDescent="0.25">
      <c r="A82" s="3458"/>
      <c r="B82" s="3458"/>
      <c r="C82" s="3458"/>
      <c r="D82" s="3458"/>
      <c r="E82" s="3458"/>
      <c r="F82" s="3459"/>
      <c r="G82" s="3459"/>
      <c r="H82" s="39"/>
      <c r="I82" s="39"/>
      <c r="J82" s="39"/>
      <c r="K82" s="39"/>
      <c r="L82" s="39"/>
      <c r="M82" s="39"/>
      <c r="N82" s="39"/>
      <c r="O82" s="39"/>
      <c r="P82" s="39"/>
      <c r="Q82" s="39"/>
      <c r="R82" s="39"/>
      <c r="S82" s="39"/>
      <c r="T82" s="39"/>
      <c r="U82" s="39"/>
      <c r="V82" s="39"/>
      <c r="W82" s="39"/>
    </row>
    <row r="83" spans="1:23" x14ac:dyDescent="0.25">
      <c r="A83" s="3458"/>
      <c r="B83" s="3458"/>
      <c r="C83" s="3458"/>
      <c r="D83" s="3458"/>
      <c r="E83" s="3458"/>
      <c r="F83" s="3459"/>
      <c r="G83" s="3459"/>
      <c r="H83" s="39"/>
      <c r="I83" s="39"/>
      <c r="J83" s="39"/>
      <c r="K83" s="39"/>
      <c r="L83" s="39"/>
      <c r="M83" s="39"/>
      <c r="N83" s="39"/>
      <c r="O83" s="39"/>
      <c r="P83" s="39"/>
      <c r="Q83" s="39"/>
      <c r="R83" s="39"/>
      <c r="S83" s="39"/>
      <c r="T83" s="39"/>
      <c r="U83" s="39"/>
      <c r="V83" s="39"/>
      <c r="W83" s="39"/>
    </row>
    <row r="84" spans="1:23" x14ac:dyDescent="0.25">
      <c r="A84" s="2953"/>
      <c r="B84" s="2953"/>
      <c r="C84" s="2953"/>
      <c r="D84" s="2953"/>
      <c r="E84" s="2953"/>
      <c r="F84" s="2954"/>
      <c r="G84" s="2954"/>
      <c r="H84" s="1"/>
      <c r="I84" s="1"/>
      <c r="J84" s="1"/>
      <c r="K84" s="1"/>
    </row>
    <row r="85" spans="1:23" x14ac:dyDescent="0.25">
      <c r="A85" s="2953"/>
      <c r="B85" s="2953"/>
      <c r="C85" s="2953"/>
      <c r="D85" s="2953"/>
      <c r="E85" s="2953"/>
      <c r="F85" s="2954"/>
      <c r="G85" s="2954"/>
      <c r="H85" s="1"/>
      <c r="I85" s="1"/>
      <c r="J85" s="1"/>
      <c r="K85" s="1"/>
    </row>
    <row r="86" spans="1:23" x14ac:dyDescent="0.25">
      <c r="A86" s="2953"/>
      <c r="B86" s="2953"/>
      <c r="C86" s="2953"/>
      <c r="D86" s="2953"/>
      <c r="E86" s="2953"/>
      <c r="F86" s="2954"/>
      <c r="G86" s="2954"/>
      <c r="H86" s="1"/>
      <c r="I86" s="1"/>
      <c r="J86" s="1"/>
      <c r="K86" s="1"/>
    </row>
    <row r="87" spans="1:23" x14ac:dyDescent="0.25">
      <c r="A87" s="2953"/>
      <c r="B87" s="2953"/>
      <c r="C87" s="2953"/>
      <c r="D87" s="2953"/>
      <c r="E87" s="2953"/>
      <c r="F87" s="2954"/>
      <c r="G87" s="2954"/>
      <c r="H87" s="1"/>
      <c r="I87" s="1"/>
      <c r="J87" s="1"/>
      <c r="K87" s="1"/>
    </row>
    <row r="88" spans="1:23" x14ac:dyDescent="0.25">
      <c r="A88" s="2953"/>
      <c r="B88" s="2953"/>
      <c r="C88" s="2953"/>
      <c r="D88" s="2953"/>
      <c r="E88" s="2953"/>
      <c r="F88" s="2954"/>
      <c r="G88" s="2954"/>
      <c r="H88" s="1"/>
      <c r="I88" s="1"/>
      <c r="J88" s="1"/>
      <c r="K88" s="1"/>
    </row>
    <row r="89" spans="1:23" x14ac:dyDescent="0.25">
      <c r="A89" s="2953"/>
      <c r="B89" s="2953"/>
      <c r="C89" s="2953"/>
      <c r="D89" s="2953"/>
      <c r="E89" s="2953"/>
      <c r="F89" s="2954"/>
      <c r="G89" s="2954"/>
      <c r="H89" s="1"/>
      <c r="I89" s="1"/>
      <c r="J89" s="1"/>
      <c r="K89" s="1"/>
    </row>
    <row r="90" spans="1:23" x14ac:dyDescent="0.25">
      <c r="A90" s="2953"/>
      <c r="B90" s="2953"/>
      <c r="C90" s="2953"/>
      <c r="D90" s="2953"/>
      <c r="E90" s="2953"/>
      <c r="F90" s="2954"/>
      <c r="G90" s="2954"/>
      <c r="H90" s="1"/>
      <c r="I90" s="1"/>
      <c r="J90" s="1"/>
      <c r="K90" s="1"/>
    </row>
    <row r="91" spans="1:23" x14ac:dyDescent="0.25">
      <c r="A91" s="2953"/>
      <c r="B91" s="2953"/>
      <c r="C91" s="2953"/>
      <c r="D91" s="2953"/>
      <c r="E91" s="2953"/>
      <c r="F91" s="2954"/>
      <c r="G91" s="2954"/>
      <c r="H91" s="1"/>
      <c r="I91" s="1"/>
      <c r="J91" s="1"/>
      <c r="K91" s="1"/>
    </row>
    <row r="92" spans="1:23" x14ac:dyDescent="0.25">
      <c r="A92" s="2953"/>
      <c r="B92" s="2953"/>
      <c r="C92" s="2953"/>
      <c r="D92" s="2953"/>
      <c r="E92" s="2953"/>
      <c r="F92" s="2954"/>
      <c r="G92" s="2954"/>
      <c r="H92" s="1"/>
      <c r="I92" s="1"/>
      <c r="J92" s="1"/>
      <c r="K92" s="1"/>
    </row>
    <row r="93" spans="1:23" x14ac:dyDescent="0.25">
      <c r="A93" s="2953"/>
      <c r="B93" s="2953"/>
      <c r="C93" s="2953"/>
      <c r="D93" s="2953"/>
      <c r="E93" s="2953"/>
      <c r="F93" s="2954"/>
      <c r="G93" s="2954"/>
      <c r="H93" s="1"/>
      <c r="I93" s="1"/>
      <c r="J93" s="1"/>
      <c r="K93" s="1"/>
    </row>
    <row r="94" spans="1:23" x14ac:dyDescent="0.25">
      <c r="A94" s="2953"/>
      <c r="B94" s="2953"/>
      <c r="C94" s="2953"/>
      <c r="D94" s="2953"/>
      <c r="E94" s="2953"/>
      <c r="F94" s="2954"/>
      <c r="G94" s="2954"/>
      <c r="H94" s="1"/>
      <c r="I94" s="1"/>
      <c r="J94" s="1"/>
      <c r="K94" s="1"/>
    </row>
    <row r="95" spans="1:23" x14ac:dyDescent="0.25">
      <c r="A95" s="2953"/>
      <c r="B95" s="2953"/>
      <c r="C95" s="2953"/>
      <c r="D95" s="2953"/>
      <c r="E95" s="2953"/>
      <c r="F95" s="2954"/>
      <c r="G95" s="2954"/>
      <c r="H95" s="1"/>
      <c r="I95" s="1"/>
      <c r="J95" s="1"/>
      <c r="K95" s="1"/>
    </row>
    <row r="96" spans="1:23" x14ac:dyDescent="0.25">
      <c r="A96" s="2953"/>
      <c r="B96" s="2953"/>
      <c r="C96" s="2953"/>
      <c r="D96" s="2953"/>
      <c r="E96" s="2953"/>
      <c r="F96" s="2954"/>
      <c r="G96" s="2954"/>
      <c r="H96" s="1"/>
      <c r="I96" s="1"/>
      <c r="J96" s="1"/>
      <c r="K96" s="1"/>
    </row>
    <row r="97" spans="1:11" x14ac:dyDescent="0.25">
      <c r="A97" s="2953"/>
      <c r="B97" s="2953"/>
      <c r="C97" s="2953"/>
      <c r="D97" s="2953"/>
      <c r="E97" s="2953"/>
      <c r="F97" s="2954"/>
      <c r="G97" s="2954"/>
      <c r="H97" s="1"/>
      <c r="I97" s="1"/>
      <c r="J97" s="1"/>
      <c r="K97" s="1"/>
    </row>
    <row r="98" spans="1:11" x14ac:dyDescent="0.25">
      <c r="A98" s="2953"/>
      <c r="B98" s="2953"/>
      <c r="C98" s="2953"/>
      <c r="D98" s="2953"/>
      <c r="E98" s="2953"/>
      <c r="F98" s="2954"/>
      <c r="G98" s="2954"/>
      <c r="H98" s="1"/>
      <c r="I98" s="1"/>
      <c r="J98" s="1"/>
      <c r="K98" s="1"/>
    </row>
    <row r="99" spans="1:11" x14ac:dyDescent="0.25">
      <c r="A99" s="2953"/>
      <c r="B99" s="2953"/>
      <c r="C99" s="2953"/>
      <c r="D99" s="2953"/>
      <c r="E99" s="2953"/>
      <c r="F99" s="2954"/>
      <c r="G99" s="2954"/>
      <c r="H99" s="1"/>
      <c r="I99" s="1"/>
      <c r="J99" s="1"/>
      <c r="K99" s="1"/>
    </row>
    <row r="100" spans="1:11" x14ac:dyDescent="0.25">
      <c r="A100" s="2953"/>
      <c r="B100" s="2953"/>
      <c r="C100" s="2953"/>
      <c r="D100" s="2953"/>
      <c r="E100" s="2953"/>
      <c r="F100" s="2954"/>
      <c r="G100" s="2954"/>
      <c r="H100" s="1"/>
      <c r="I100" s="1"/>
      <c r="J100" s="1"/>
      <c r="K100" s="1"/>
    </row>
    <row r="101" spans="1:11" x14ac:dyDescent="0.25">
      <c r="A101" s="1"/>
      <c r="B101" s="1"/>
      <c r="C101" s="1"/>
      <c r="D101" s="1"/>
      <c r="E101" s="1"/>
      <c r="F101" s="1"/>
      <c r="G101" s="1"/>
      <c r="H101" s="1"/>
      <c r="I101" s="1"/>
      <c r="J101" s="1"/>
      <c r="K101" s="1"/>
    </row>
    <row r="102" spans="1:11" x14ac:dyDescent="0.25">
      <c r="A102" s="1"/>
      <c r="B102" s="1"/>
      <c r="C102" s="1"/>
      <c r="D102" s="1"/>
      <c r="E102" s="1"/>
      <c r="F102" s="1"/>
      <c r="G102" s="1"/>
      <c r="H102" s="1"/>
      <c r="I102" s="1"/>
      <c r="J102" s="1"/>
      <c r="K102" s="1"/>
    </row>
    <row r="103" spans="1:11" x14ac:dyDescent="0.25">
      <c r="A103" s="1"/>
      <c r="B103" s="1"/>
      <c r="C103" s="1"/>
      <c r="D103" s="1"/>
      <c r="E103" s="1"/>
      <c r="F103" s="1"/>
      <c r="G103" s="1"/>
      <c r="H103" s="1"/>
      <c r="I103" s="1"/>
      <c r="J103" s="1"/>
      <c r="K103" s="1"/>
    </row>
    <row r="104" spans="1:11" x14ac:dyDescent="0.25">
      <c r="A104" s="1"/>
      <c r="B104" s="1"/>
      <c r="C104" s="1"/>
      <c r="D104" s="1"/>
      <c r="E104" s="1"/>
      <c r="F104" s="1"/>
      <c r="G104" s="1"/>
      <c r="H104" s="1"/>
      <c r="I104" s="1"/>
      <c r="J104" s="1"/>
      <c r="K104" s="1"/>
    </row>
    <row r="258" spans="2:2" x14ac:dyDescent="0.25">
      <c r="B258" t="s">
        <v>1543</v>
      </c>
    </row>
  </sheetData>
  <mergeCells count="23">
    <mergeCell ref="Z3:AC3"/>
    <mergeCell ref="A3:A4"/>
    <mergeCell ref="E3:E4"/>
    <mergeCell ref="B3:C4"/>
    <mergeCell ref="D3:D4"/>
    <mergeCell ref="F3:I3"/>
    <mergeCell ref="J3:M3"/>
    <mergeCell ref="N3:Q3"/>
    <mergeCell ref="R3:U3"/>
    <mergeCell ref="V3:Y3"/>
    <mergeCell ref="A56:R56"/>
    <mergeCell ref="C25:D25"/>
    <mergeCell ref="A40:B40"/>
    <mergeCell ref="A37:B37"/>
    <mergeCell ref="Z67:AC67"/>
    <mergeCell ref="L27:M27"/>
    <mergeCell ref="L28:M28"/>
    <mergeCell ref="N25:O25"/>
    <mergeCell ref="Q32:R32"/>
    <mergeCell ref="A33:B33"/>
    <mergeCell ref="A34:B34"/>
    <mergeCell ref="A35:B35"/>
    <mergeCell ref="A39:B39"/>
  </mergeCells>
  <hyperlinks>
    <hyperlink ref="A42" r:id="rId1"/>
  </hyperlinks>
  <pageMargins left="0.7" right="0.7" top="0.75" bottom="0.75" header="0.3" footer="0.3"/>
  <pageSetup paperSize="9" orientation="portrait"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499984740745262"/>
  </sheetPr>
  <dimension ref="A1:AG209"/>
  <sheetViews>
    <sheetView topLeftCell="A69" zoomScale="75" zoomScaleNormal="75" workbookViewId="0">
      <selection activeCell="H91" sqref="H91"/>
    </sheetView>
  </sheetViews>
  <sheetFormatPr defaultRowHeight="15" x14ac:dyDescent="0.25"/>
  <cols>
    <col min="1" max="1" width="14.140625" customWidth="1"/>
    <col min="2" max="2" width="12.5703125" customWidth="1"/>
    <col min="3" max="3" width="13.85546875" customWidth="1"/>
    <col min="4" max="4" width="12.5703125" customWidth="1"/>
    <col min="5" max="5" width="12.42578125" bestFit="1" customWidth="1"/>
    <col min="6" max="6" width="11.7109375" bestFit="1" customWidth="1"/>
    <col min="7" max="7" width="17" bestFit="1" customWidth="1"/>
    <col min="8" max="8" width="13.85546875" customWidth="1"/>
    <col min="9" max="9" width="14.140625" customWidth="1"/>
    <col min="10" max="11" width="11.42578125" style="9" customWidth="1"/>
    <col min="12" max="12" width="13" style="9" customWidth="1"/>
    <col min="13" max="13" width="14.85546875" style="9" customWidth="1"/>
    <col min="14" max="14" width="13.5703125" customWidth="1"/>
    <col min="15" max="15" width="12" customWidth="1"/>
    <col min="16" max="16" width="12.28515625" style="9" customWidth="1"/>
    <col min="17" max="17" width="11.7109375" style="9" customWidth="1"/>
    <col min="18" max="18" width="12.85546875" bestFit="1" customWidth="1"/>
    <col min="19" max="19" width="14.5703125" bestFit="1" customWidth="1"/>
    <col min="20" max="20" width="14.42578125" bestFit="1" customWidth="1"/>
    <col min="21" max="21" width="14" bestFit="1" customWidth="1"/>
    <col min="22" max="22" width="11.42578125" bestFit="1" customWidth="1"/>
    <col min="23" max="23" width="11.28515625" customWidth="1"/>
    <col min="24" max="24" width="11.85546875" customWidth="1"/>
    <col min="25" max="25" width="12.5703125" customWidth="1"/>
    <col min="26" max="26" width="12.42578125" customWidth="1"/>
    <col min="27" max="28" width="11.7109375" customWidth="1"/>
    <col min="29" max="29" width="12.42578125" bestFit="1" customWidth="1"/>
    <col min="30" max="30" width="11.7109375" customWidth="1"/>
    <col min="31" max="31" width="10.42578125" customWidth="1"/>
    <col min="32" max="32" width="10" bestFit="1" customWidth="1"/>
  </cols>
  <sheetData>
    <row r="1" spans="1:32" s="9" customFormat="1" ht="36" customHeight="1" x14ac:dyDescent="0.3">
      <c r="A1" s="5242" t="s">
        <v>1306</v>
      </c>
      <c r="B1" s="5243"/>
      <c r="C1" s="5243"/>
      <c r="D1" s="5243"/>
      <c r="E1" s="5243"/>
      <c r="F1" s="5243"/>
      <c r="G1" s="5243"/>
      <c r="H1" s="5243"/>
      <c r="I1" s="5243"/>
      <c r="J1" s="5243"/>
      <c r="K1" s="5243"/>
      <c r="L1" s="5243"/>
      <c r="M1" s="5244"/>
      <c r="O1" s="5232" t="s">
        <v>1349</v>
      </c>
      <c r="P1" s="5232"/>
      <c r="Q1" s="5232"/>
      <c r="R1" s="5232"/>
      <c r="S1" s="5232"/>
      <c r="T1" s="5232"/>
      <c r="U1" s="5232"/>
      <c r="V1" s="5232"/>
      <c r="W1" s="5232"/>
      <c r="X1" s="5232"/>
      <c r="Y1" s="5232"/>
      <c r="Z1" s="5232"/>
      <c r="AA1" s="5232"/>
    </row>
    <row r="2" spans="1:32" s="9" customFormat="1" x14ac:dyDescent="0.25">
      <c r="A2" s="12"/>
      <c r="B2" s="3988" t="s">
        <v>1295</v>
      </c>
      <c r="C2" s="3989"/>
      <c r="D2" s="3990"/>
      <c r="E2" s="3990">
        <v>309100.86522799998</v>
      </c>
      <c r="F2" s="3990"/>
      <c r="G2" s="3991">
        <v>127252</v>
      </c>
      <c r="H2" s="3990"/>
      <c r="I2" s="3990">
        <v>72679</v>
      </c>
      <c r="J2" s="3990"/>
      <c r="K2" s="3990">
        <v>0</v>
      </c>
      <c r="L2" s="3990"/>
      <c r="M2" s="3996">
        <v>109170</v>
      </c>
      <c r="P2" s="3944" t="s">
        <v>1295</v>
      </c>
      <c r="Q2" s="3945"/>
      <c r="R2" s="3946"/>
      <c r="S2" s="3946">
        <v>309100.86522799998</v>
      </c>
      <c r="T2" s="3946"/>
      <c r="U2" s="3985">
        <v>127252</v>
      </c>
      <c r="V2" s="3946"/>
      <c r="W2" s="3946">
        <v>72679</v>
      </c>
      <c r="X2" s="3946"/>
      <c r="Y2" s="3946">
        <v>0</v>
      </c>
      <c r="Z2" s="3946"/>
      <c r="AA2" s="1213">
        <v>109170</v>
      </c>
    </row>
    <row r="3" spans="1:32" s="9" customFormat="1" x14ac:dyDescent="0.25">
      <c r="A3" s="12"/>
      <c r="B3" s="76"/>
      <c r="C3" s="2357"/>
      <c r="D3" s="4112" t="s">
        <v>119</v>
      </c>
      <c r="E3" s="4009"/>
      <c r="F3" s="4112" t="s">
        <v>99</v>
      </c>
      <c r="G3" s="4009"/>
      <c r="H3" s="4112" t="s">
        <v>100</v>
      </c>
      <c r="I3" s="4009"/>
      <c r="J3" s="4112" t="s">
        <v>101</v>
      </c>
      <c r="K3" s="4009"/>
      <c r="L3" s="4112" t="s">
        <v>103</v>
      </c>
      <c r="M3" s="4010"/>
      <c r="R3" s="5256" t="s">
        <v>119</v>
      </c>
      <c r="S3" s="5256"/>
      <c r="T3" s="5257" t="s">
        <v>99</v>
      </c>
      <c r="U3" s="5256"/>
      <c r="V3" s="5256" t="s">
        <v>100</v>
      </c>
      <c r="W3" s="5256"/>
      <c r="X3" s="5256" t="s">
        <v>101</v>
      </c>
      <c r="Y3" s="5256"/>
      <c r="Z3" s="5256" t="s">
        <v>103</v>
      </c>
      <c r="AA3" s="5256"/>
    </row>
    <row r="4" spans="1:32" x14ac:dyDescent="0.25">
      <c r="A4" s="12"/>
      <c r="B4" s="79"/>
      <c r="C4" s="3496" t="s">
        <v>364</v>
      </c>
      <c r="D4" s="4113" t="s">
        <v>1290</v>
      </c>
      <c r="E4" s="3992" t="s">
        <v>1291</v>
      </c>
      <c r="F4" s="4114" t="s">
        <v>1290</v>
      </c>
      <c r="G4" s="108" t="s">
        <v>1291</v>
      </c>
      <c r="H4" s="4115" t="s">
        <v>1290</v>
      </c>
      <c r="I4" s="108" t="s">
        <v>1291</v>
      </c>
      <c r="J4" s="4115" t="s">
        <v>1290</v>
      </c>
      <c r="K4" s="108" t="s">
        <v>1291</v>
      </c>
      <c r="L4" s="4115" t="s">
        <v>1290</v>
      </c>
      <c r="M4" s="2356" t="s">
        <v>1291</v>
      </c>
      <c r="Q4" s="2278" t="s">
        <v>364</v>
      </c>
      <c r="R4" s="3893" t="s">
        <v>1290</v>
      </c>
      <c r="S4" s="3894" t="s">
        <v>1291</v>
      </c>
      <c r="T4" s="107" t="s">
        <v>1290</v>
      </c>
      <c r="U4" s="108" t="s">
        <v>1291</v>
      </c>
      <c r="V4" s="106" t="s">
        <v>1290</v>
      </c>
      <c r="W4" s="108" t="s">
        <v>1291</v>
      </c>
      <c r="X4" s="106" t="s">
        <v>1290</v>
      </c>
      <c r="Y4" s="108" t="s">
        <v>1291</v>
      </c>
      <c r="Z4" s="106" t="s">
        <v>1290</v>
      </c>
      <c r="AA4" s="108" t="s">
        <v>1291</v>
      </c>
      <c r="AB4" s="116"/>
      <c r="AC4" s="116"/>
      <c r="AD4" s="116"/>
      <c r="AE4" s="116"/>
      <c r="AF4">
        <v>293305.641</v>
      </c>
    </row>
    <row r="5" spans="1:32" s="9" customFormat="1" ht="22.5" customHeight="1" x14ac:dyDescent="0.25">
      <c r="A5" s="5247" t="s">
        <v>19</v>
      </c>
      <c r="B5" s="5247"/>
      <c r="C5" s="3926" t="s">
        <v>107</v>
      </c>
      <c r="D5" s="3907">
        <v>12335870.86199107</v>
      </c>
      <c r="E5" s="3906">
        <v>12026769.996763071</v>
      </c>
      <c r="F5" s="3905">
        <v>4230231.6838950003</v>
      </c>
      <c r="G5" s="3906">
        <v>4102979.7186670001</v>
      </c>
      <c r="H5" s="3905">
        <v>2930929.67809607</v>
      </c>
      <c r="I5" s="3906">
        <v>2858250.77809607</v>
      </c>
      <c r="J5" s="3905">
        <v>891705</v>
      </c>
      <c r="K5" s="3906">
        <v>891705</v>
      </c>
      <c r="L5" s="3905">
        <v>4283004.5</v>
      </c>
      <c r="M5" s="3997">
        <v>4173834.5</v>
      </c>
      <c r="O5" s="5258" t="s">
        <v>19</v>
      </c>
      <c r="P5" s="5259"/>
      <c r="Q5" s="3926" t="s">
        <v>107</v>
      </c>
      <c r="R5" s="3907">
        <v>12335870.86199107</v>
      </c>
      <c r="S5" s="3906">
        <v>12026769.996763071</v>
      </c>
      <c r="T5" s="3905">
        <v>4230231.6838950003</v>
      </c>
      <c r="U5" s="3906">
        <v>4102979.7186670001</v>
      </c>
      <c r="V5" s="3905">
        <v>2930929.67809607</v>
      </c>
      <c r="W5" s="3906">
        <v>2858250.77809607</v>
      </c>
      <c r="X5" s="3905">
        <v>891705</v>
      </c>
      <c r="Y5" s="3906">
        <v>891705</v>
      </c>
      <c r="Z5" s="3905">
        <v>4283004.5</v>
      </c>
      <c r="AA5" s="3906">
        <v>4173834.5</v>
      </c>
      <c r="AB5" s="3986"/>
      <c r="AC5" s="116"/>
      <c r="AD5" s="116"/>
      <c r="AE5" s="116"/>
    </row>
    <row r="6" spans="1:32" s="9" customFormat="1" ht="35.25" customHeight="1" x14ac:dyDescent="0.25">
      <c r="A6" s="5248" t="s">
        <v>1284</v>
      </c>
      <c r="B6" s="5248"/>
      <c r="C6" s="3927" t="s">
        <v>973</v>
      </c>
      <c r="D6" s="3903">
        <v>0.96946477232628847</v>
      </c>
      <c r="E6" s="3900">
        <v>0.94712181572711829</v>
      </c>
      <c r="F6" s="3899">
        <f>'Water Mangt'!G16</f>
        <v>0.15973147813722674</v>
      </c>
      <c r="G6" s="3900">
        <v>0.14450668554428717</v>
      </c>
      <c r="H6" s="3899">
        <v>1.0938249470668182</v>
      </c>
      <c r="I6" s="3900">
        <v>1.0952355979363195</v>
      </c>
      <c r="J6" s="3899">
        <v>2.0821288056775131</v>
      </c>
      <c r="K6" s="3900">
        <v>1.957372299882435</v>
      </c>
      <c r="L6" s="3899">
        <v>1.4528990104960198</v>
      </c>
      <c r="M6" s="3998">
        <v>1.4185322872768433</v>
      </c>
      <c r="O6" s="5308" t="s">
        <v>1284</v>
      </c>
      <c r="P6" s="5309"/>
      <c r="Q6" s="3927" t="s">
        <v>973</v>
      </c>
      <c r="R6" s="3903">
        <v>0.96946477232628847</v>
      </c>
      <c r="S6" s="3900">
        <v>0.94712181572711829</v>
      </c>
      <c r="T6" s="3899">
        <v>0.15893006583057109</v>
      </c>
      <c r="U6" s="3900">
        <v>0.14450668554428717</v>
      </c>
      <c r="V6" s="3899">
        <v>1.0938249470668182</v>
      </c>
      <c r="W6" s="3900">
        <v>1.0952355979363195</v>
      </c>
      <c r="X6" s="3899">
        <v>2.0821288056775131</v>
      </c>
      <c r="Y6" s="3900">
        <v>1.957372299882435</v>
      </c>
      <c r="Z6" s="3899">
        <v>1.4528990104960198</v>
      </c>
      <c r="AA6" s="3900">
        <v>1.4185322872768433</v>
      </c>
      <c r="AB6" s="116"/>
      <c r="AC6" s="116"/>
      <c r="AD6" s="116"/>
      <c r="AE6" s="116"/>
      <c r="AF6" s="9">
        <v>309100.86522799998</v>
      </c>
    </row>
    <row r="7" spans="1:32" s="9" customFormat="1" ht="38.25" customHeight="1" x14ac:dyDescent="0.25">
      <c r="A7" s="5249" t="s">
        <v>1296</v>
      </c>
      <c r="B7" s="5249"/>
      <c r="C7" s="3928" t="s">
        <v>973</v>
      </c>
      <c r="D7" s="3904">
        <v>1.026</v>
      </c>
      <c r="E7" s="3902">
        <v>1.026</v>
      </c>
      <c r="F7" s="3901">
        <v>0.106</v>
      </c>
      <c r="G7" s="3902">
        <v>0.106</v>
      </c>
      <c r="H7" s="3901">
        <v>1.2310000000000001</v>
      </c>
      <c r="I7" s="3902">
        <v>1.2310000000000001</v>
      </c>
      <c r="J7" s="3901">
        <v>1.617</v>
      </c>
      <c r="K7" s="3902">
        <v>1.617</v>
      </c>
      <c r="L7" s="3901">
        <v>1.6459999999999999</v>
      </c>
      <c r="M7" s="3999">
        <v>1.6459999999999999</v>
      </c>
      <c r="O7" s="5310" t="s">
        <v>1282</v>
      </c>
      <c r="P7" s="5311"/>
      <c r="Q7" s="3928" t="s">
        <v>973</v>
      </c>
      <c r="R7" s="3904">
        <v>1.016</v>
      </c>
      <c r="S7" s="3902">
        <v>1.016</v>
      </c>
      <c r="T7" s="3901">
        <v>0.12903300000000001</v>
      </c>
      <c r="U7" s="3902">
        <v>0.12903300000000001</v>
      </c>
      <c r="V7" s="3901">
        <v>1.218</v>
      </c>
      <c r="W7" s="3902">
        <v>1.218</v>
      </c>
      <c r="X7" s="3901">
        <v>1.5935964289925515</v>
      </c>
      <c r="Y7" s="3902">
        <v>1.5935964289925515</v>
      </c>
      <c r="Z7" s="3901">
        <v>1.63</v>
      </c>
      <c r="AA7" s="3902">
        <v>1.63</v>
      </c>
    </row>
    <row r="8" spans="1:32" s="9" customFormat="1" ht="43.5" customHeight="1" x14ac:dyDescent="0.25">
      <c r="A8" s="5250" t="s">
        <v>1297</v>
      </c>
      <c r="B8" s="5250"/>
      <c r="C8" s="3929" t="s">
        <v>98</v>
      </c>
      <c r="D8" s="3922">
        <f>(D6-D7)/D7</f>
        <v>-5.510256108548884E-2</v>
      </c>
      <c r="E8" s="3911">
        <f t="shared" ref="E8:M8" si="0">(E6-E7)/E7</f>
        <v>-7.6879321903393499E-2</v>
      </c>
      <c r="F8" s="3912">
        <f t="shared" si="0"/>
        <v>0.50690073714364858</v>
      </c>
      <c r="G8" s="3913">
        <f t="shared" si="0"/>
        <v>0.36327061834233182</v>
      </c>
      <c r="H8" s="3910">
        <f t="shared" si="0"/>
        <v>-0.1114338366638358</v>
      </c>
      <c r="I8" s="3911">
        <f t="shared" si="0"/>
        <v>-0.11028789769592247</v>
      </c>
      <c r="J8" s="3912">
        <f t="shared" si="0"/>
        <v>0.28764923047465252</v>
      </c>
      <c r="K8" s="3913">
        <f t="shared" si="0"/>
        <v>0.21049616566631726</v>
      </c>
      <c r="L8" s="3910">
        <f t="shared" si="0"/>
        <v>-0.11731530346535854</v>
      </c>
      <c r="M8" s="4000">
        <f t="shared" si="0"/>
        <v>-0.13819423616230656</v>
      </c>
      <c r="O8" s="5312" t="s">
        <v>983</v>
      </c>
      <c r="P8" s="5313"/>
      <c r="Q8" s="3929" t="s">
        <v>98</v>
      </c>
      <c r="R8" s="3922">
        <v>-4.5802389442629474E-2</v>
      </c>
      <c r="S8" s="3911">
        <v>-6.7793488457560752E-2</v>
      </c>
      <c r="T8" s="3912">
        <v>0.23170092790659041</v>
      </c>
      <c r="U8" s="3913">
        <v>0.11992037342607827</v>
      </c>
      <c r="V8" s="3910">
        <v>-0.10194996135729209</v>
      </c>
      <c r="W8" s="3911">
        <v>-0.10079179151369495</v>
      </c>
      <c r="X8" s="3912">
        <v>0.30655965826542714</v>
      </c>
      <c r="Y8" s="3913">
        <v>0.2282735228767156</v>
      </c>
      <c r="Z8" s="3910">
        <v>-0.10865091380612278</v>
      </c>
      <c r="AA8" s="3911">
        <v>-0.12973479308169114</v>
      </c>
    </row>
    <row r="9" spans="1:32" s="9" customFormat="1" ht="35.25" customHeight="1" x14ac:dyDescent="0.25">
      <c r="A9" s="5251" t="s">
        <v>97</v>
      </c>
      <c r="B9" s="5251"/>
      <c r="C9" s="3930" t="s">
        <v>98</v>
      </c>
      <c r="D9" s="3923">
        <v>0.81120390434524703</v>
      </c>
      <c r="E9" s="3915">
        <f>81.5476059196829/100</f>
        <v>0.81547605919682897</v>
      </c>
      <c r="F9" s="3914">
        <v>0.97833494092670603</v>
      </c>
      <c r="G9" s="3915">
        <f>98.0635438378395/100</f>
        <v>0.98063543837839506</v>
      </c>
      <c r="H9" s="3914">
        <v>0.33873987150705698</v>
      </c>
      <c r="I9" s="3915">
        <f>33.7258531706799/100</f>
        <v>0.33725853170679898</v>
      </c>
      <c r="J9" s="3914">
        <v>0.49225455686424402</v>
      </c>
      <c r="K9" s="3915">
        <v>0.50770030939632904</v>
      </c>
      <c r="L9" s="3914">
        <v>0.73860550632906097</v>
      </c>
      <c r="M9" s="4001">
        <f>74.0801394669379/100</f>
        <v>0.74080139466937889</v>
      </c>
      <c r="O9" s="5314" t="s">
        <v>97</v>
      </c>
      <c r="P9" s="5315"/>
      <c r="Q9" s="3930" t="s">
        <v>98</v>
      </c>
      <c r="R9" s="3923">
        <v>0.81120390434524703</v>
      </c>
      <c r="S9" s="3915">
        <f>81.5476059196829/100</f>
        <v>0.81547605919682897</v>
      </c>
      <c r="T9" s="3914">
        <v>0.97833494092670603</v>
      </c>
      <c r="U9" s="3915">
        <f>98.0635438378395/100</f>
        <v>0.98063543837839506</v>
      </c>
      <c r="V9" s="3914">
        <v>0.33873987150705698</v>
      </c>
      <c r="W9" s="3915">
        <f>33.7258531706799/100</f>
        <v>0.33725853170679898</v>
      </c>
      <c r="X9" s="3914">
        <v>0.49225455686424402</v>
      </c>
      <c r="Y9" s="3915">
        <v>0.50770030939632904</v>
      </c>
      <c r="Z9" s="3914">
        <v>0.73860550632906097</v>
      </c>
      <c r="AA9" s="3915">
        <f>74.0801394669379/100</f>
        <v>0.74080139466937889</v>
      </c>
      <c r="AC9" s="3909"/>
    </row>
    <row r="10" spans="1:32" s="9" customFormat="1" ht="36.75" customHeight="1" x14ac:dyDescent="0.25">
      <c r="A10" s="5252" t="s">
        <v>1298</v>
      </c>
      <c r="B10" s="5252"/>
      <c r="C10" s="3931" t="s">
        <v>98</v>
      </c>
      <c r="D10" s="3924">
        <v>0.71555999999999997</v>
      </c>
      <c r="E10" s="3917">
        <v>0.71555999999999997</v>
      </c>
      <c r="F10" s="3916">
        <v>0.98321121735220396</v>
      </c>
      <c r="G10" s="3917">
        <v>0.98321121735220396</v>
      </c>
      <c r="H10" s="3916">
        <v>0.33214194355930199</v>
      </c>
      <c r="I10" s="3917">
        <v>0.33214194355930199</v>
      </c>
      <c r="J10" s="3916">
        <v>0.572259835782989</v>
      </c>
      <c r="K10" s="3917">
        <v>0.572259835782989</v>
      </c>
      <c r="L10" s="3916">
        <v>0.2341</v>
      </c>
      <c r="M10" s="4002">
        <v>0.2341</v>
      </c>
      <c r="O10" s="5316" t="s">
        <v>985</v>
      </c>
      <c r="P10" s="5317"/>
      <c r="Q10" s="3931" t="s">
        <v>98</v>
      </c>
      <c r="R10" s="3924">
        <v>0.72570000000000001</v>
      </c>
      <c r="S10" s="3917">
        <f>72.57/100</f>
        <v>0.7256999999999999</v>
      </c>
      <c r="T10" s="3916">
        <v>0.98</v>
      </c>
      <c r="U10" s="3917">
        <f>98/100</f>
        <v>0.98</v>
      </c>
      <c r="V10" s="3916">
        <v>0.342141943559302</v>
      </c>
      <c r="W10" s="3917">
        <v>0.342141943559302</v>
      </c>
      <c r="X10" s="3916">
        <v>0.58342000000000005</v>
      </c>
      <c r="Y10" s="3917">
        <v>0.58342000000000005</v>
      </c>
      <c r="Z10" s="3916">
        <v>0.24410000000000001</v>
      </c>
      <c r="AA10" s="3917">
        <v>0.24410000000000001</v>
      </c>
      <c r="AC10" s="854"/>
    </row>
    <row r="11" spans="1:32" s="9" customFormat="1" ht="41.25" customHeight="1" x14ac:dyDescent="0.25">
      <c r="A11" s="5253" t="s">
        <v>1299</v>
      </c>
      <c r="B11" s="5253"/>
      <c r="C11" s="3932" t="s">
        <v>98</v>
      </c>
      <c r="D11" s="3925">
        <f t="shared" ref="D11:M11" si="1">D9-D10</f>
        <v>9.5643904345247055E-2</v>
      </c>
      <c r="E11" s="3919">
        <f t="shared" si="1"/>
        <v>9.9916059196828999E-2</v>
      </c>
      <c r="F11" s="3993">
        <f t="shared" si="1"/>
        <v>-4.8762764254979274E-3</v>
      </c>
      <c r="G11" s="3994">
        <f t="shared" si="1"/>
        <v>-2.5757789738088954E-3</v>
      </c>
      <c r="H11" s="3918">
        <f t="shared" si="1"/>
        <v>6.597927947754989E-3</v>
      </c>
      <c r="I11" s="3919">
        <f t="shared" si="1"/>
        <v>5.1165881474969921E-3</v>
      </c>
      <c r="J11" s="3920">
        <f t="shared" si="1"/>
        <v>-8.0005278918744982E-2</v>
      </c>
      <c r="K11" s="3921">
        <f t="shared" si="1"/>
        <v>-6.455952638665996E-2</v>
      </c>
      <c r="L11" s="3918">
        <f t="shared" si="1"/>
        <v>0.50450550632906099</v>
      </c>
      <c r="M11" s="4003">
        <f t="shared" si="1"/>
        <v>0.50670139466937891</v>
      </c>
      <c r="O11" s="5318" t="s">
        <v>986</v>
      </c>
      <c r="P11" s="5319"/>
      <c r="Q11" s="3932" t="s">
        <v>98</v>
      </c>
      <c r="R11" s="3925">
        <f t="shared" ref="R11:AA11" si="2">R9-R10</f>
        <v>8.5503904345247017E-2</v>
      </c>
      <c r="S11" s="3919">
        <f t="shared" si="2"/>
        <v>8.9776059196829072E-2</v>
      </c>
      <c r="T11" s="3947">
        <f t="shared" si="2"/>
        <v>-1.6650590732939508E-3</v>
      </c>
      <c r="U11" s="3948">
        <f t="shared" si="2"/>
        <v>6.3543837839508122E-4</v>
      </c>
      <c r="V11" s="3920">
        <f t="shared" si="2"/>
        <v>-3.4020720522450199E-3</v>
      </c>
      <c r="W11" s="3921">
        <f t="shared" si="2"/>
        <v>-4.8834118525030168E-3</v>
      </c>
      <c r="X11" s="3920">
        <f t="shared" si="2"/>
        <v>-9.116544313575603E-2</v>
      </c>
      <c r="Y11" s="3921">
        <f t="shared" si="2"/>
        <v>-7.5719690603671008E-2</v>
      </c>
      <c r="Z11" s="3918">
        <f t="shared" si="2"/>
        <v>0.49450550632906098</v>
      </c>
      <c r="AA11" s="3919">
        <f t="shared" si="2"/>
        <v>0.4967013946693789</v>
      </c>
    </row>
    <row r="12" spans="1:32" ht="24" customHeight="1" x14ac:dyDescent="0.25">
      <c r="A12" s="5247" t="s">
        <v>159</v>
      </c>
      <c r="B12" s="5247"/>
      <c r="C12" s="3933" t="s">
        <v>1292</v>
      </c>
      <c r="D12" s="3955">
        <v>9402345.9603569377</v>
      </c>
      <c r="E12" s="3956">
        <v>9072223.1636902709</v>
      </c>
      <c r="F12" s="3957">
        <v>2411743</v>
      </c>
      <c r="G12" s="3956">
        <v>2271427</v>
      </c>
      <c r="H12" s="3957">
        <v>1854509.4500000002</v>
      </c>
      <c r="I12" s="3956">
        <v>1828000.7200000002</v>
      </c>
      <c r="J12" s="3957">
        <v>621224</v>
      </c>
      <c r="K12" s="3956">
        <v>594781</v>
      </c>
      <c r="L12" s="3957">
        <v>4451842</v>
      </c>
      <c r="M12" s="4004">
        <v>4315788</v>
      </c>
      <c r="O12" s="5265" t="s">
        <v>159</v>
      </c>
      <c r="P12" s="5258"/>
      <c r="Q12" s="3933" t="s">
        <v>1292</v>
      </c>
      <c r="R12" s="3955">
        <v>9402345.9603569377</v>
      </c>
      <c r="S12" s="3956">
        <v>9072223.1636902709</v>
      </c>
      <c r="T12" s="3957">
        <v>2411743</v>
      </c>
      <c r="U12" s="3956">
        <v>2271427</v>
      </c>
      <c r="V12" s="3957">
        <v>1854509.4500000002</v>
      </c>
      <c r="W12" s="3956">
        <v>1828000.7200000002</v>
      </c>
      <c r="X12" s="3957">
        <v>621224</v>
      </c>
      <c r="Y12" s="3956">
        <v>594781</v>
      </c>
      <c r="Z12" s="3957">
        <v>4451842</v>
      </c>
      <c r="AA12" s="3956">
        <v>4315788</v>
      </c>
    </row>
    <row r="13" spans="1:32" s="9" customFormat="1" ht="31.5" customHeight="1" x14ac:dyDescent="0.25">
      <c r="A13" s="5245" t="s">
        <v>991</v>
      </c>
      <c r="B13" s="5245"/>
      <c r="C13" s="3933" t="s">
        <v>994</v>
      </c>
      <c r="D13" s="3958">
        <v>0.76219555680719508</v>
      </c>
      <c r="E13" s="3959">
        <v>0.7543357997311001</v>
      </c>
      <c r="F13" s="3960">
        <v>0.57012078302514613</v>
      </c>
      <c r="G13" s="3959">
        <v>0.55360424758276761</v>
      </c>
      <c r="H13" s="3960">
        <v>0.63273761354953029</v>
      </c>
      <c r="I13" s="3959">
        <v>0.63955225133102667</v>
      </c>
      <c r="J13" s="3960">
        <v>0.69666986279094545</v>
      </c>
      <c r="K13" s="3959">
        <v>0.66701543671954289</v>
      </c>
      <c r="L13" s="3960">
        <v>1.0394203414915861</v>
      </c>
      <c r="M13" s="4005">
        <v>1.0340103327048544</v>
      </c>
      <c r="O13" s="5245" t="s">
        <v>991</v>
      </c>
      <c r="P13" s="5266"/>
      <c r="Q13" s="3933" t="s">
        <v>994</v>
      </c>
      <c r="R13" s="3958">
        <v>0.76219555680719508</v>
      </c>
      <c r="S13" s="3959">
        <v>0.7543357997311001</v>
      </c>
      <c r="T13" s="3960">
        <v>0.57012078302514613</v>
      </c>
      <c r="U13" s="3959">
        <v>0.55360424758276761</v>
      </c>
      <c r="V13" s="3960">
        <v>0.63273761354953029</v>
      </c>
      <c r="W13" s="3959">
        <v>0.63955225133102667</v>
      </c>
      <c r="X13" s="3960">
        <v>0.69666986279094545</v>
      </c>
      <c r="Y13" s="3959">
        <v>0.66701543671954289</v>
      </c>
      <c r="Z13" s="3960">
        <v>1.0394203414915861</v>
      </c>
      <c r="AA13" s="3959">
        <v>1.0340103327048544</v>
      </c>
    </row>
    <row r="14" spans="1:32" ht="33" customHeight="1" x14ac:dyDescent="0.25">
      <c r="A14" s="5246" t="s">
        <v>1300</v>
      </c>
      <c r="B14" s="5246"/>
      <c r="C14" s="3934" t="s">
        <v>994</v>
      </c>
      <c r="D14" s="4011">
        <v>0.83264712340975966</v>
      </c>
      <c r="E14" s="3962">
        <v>0.83264712340975966</v>
      </c>
      <c r="F14" s="3963">
        <v>0.55711658705026001</v>
      </c>
      <c r="G14" s="3962">
        <v>0.55711658705026001</v>
      </c>
      <c r="H14" s="3963">
        <v>0.85574537025217945</v>
      </c>
      <c r="I14" s="3962">
        <v>0.85574537025217945</v>
      </c>
      <c r="J14" s="3963">
        <v>0.82686379688346257</v>
      </c>
      <c r="K14" s="3962">
        <v>0.82686379688346257</v>
      </c>
      <c r="L14" s="3963">
        <v>1.0674016729982694</v>
      </c>
      <c r="M14" s="4006">
        <v>1.0674016729982694</v>
      </c>
      <c r="O14" s="5246" t="s">
        <v>992</v>
      </c>
      <c r="P14" s="5267"/>
      <c r="Q14" s="3934" t="s">
        <v>994</v>
      </c>
      <c r="R14" s="3961">
        <v>0.84499999999999997</v>
      </c>
      <c r="S14" s="3962">
        <v>0.84499999999999997</v>
      </c>
      <c r="T14" s="3963">
        <v>0.67954999999999999</v>
      </c>
      <c r="U14" s="3962">
        <v>0.68</v>
      </c>
      <c r="V14" s="3963">
        <v>0.84799999999999998</v>
      </c>
      <c r="W14" s="3962">
        <v>0.84847630794424866</v>
      </c>
      <c r="X14" s="3963">
        <v>0.85099999999999998</v>
      </c>
      <c r="Y14" s="3962">
        <v>0.85099999999999998</v>
      </c>
      <c r="Z14" s="3963">
        <v>1.0569999999999999</v>
      </c>
      <c r="AA14" s="3962">
        <v>1.056</v>
      </c>
    </row>
    <row r="15" spans="1:32" ht="39.75" customHeight="1" x14ac:dyDescent="0.25">
      <c r="A15" s="5254" t="s">
        <v>1305</v>
      </c>
      <c r="B15" s="5254"/>
      <c r="C15" s="3935" t="s">
        <v>98</v>
      </c>
      <c r="D15" s="3964">
        <f>(D13-D14)/D14</f>
        <v>-8.4611553468244158E-2</v>
      </c>
      <c r="E15" s="3965">
        <f t="shared" ref="E15:M15" si="3">(E13-E14)/E14</f>
        <v>-9.4051034918571669E-2</v>
      </c>
      <c r="F15" s="3995">
        <f t="shared" si="3"/>
        <v>2.3341965177771568E-2</v>
      </c>
      <c r="G15" s="3965">
        <f t="shared" si="3"/>
        <v>-6.3044963103486718E-3</v>
      </c>
      <c r="H15" s="3966">
        <f t="shared" si="3"/>
        <v>-0.26060059972855132</v>
      </c>
      <c r="I15" s="3965">
        <f t="shared" si="3"/>
        <v>-0.2526372054545184</v>
      </c>
      <c r="J15" s="3966">
        <f t="shared" si="3"/>
        <v>-0.15745511483660535</v>
      </c>
      <c r="K15" s="3965">
        <f t="shared" si="3"/>
        <v>-0.19331885222984138</v>
      </c>
      <c r="L15" s="3966">
        <f t="shared" si="3"/>
        <v>-2.621443474796635E-2</v>
      </c>
      <c r="M15" s="4007">
        <f t="shared" si="3"/>
        <v>-3.1282825517427393E-2</v>
      </c>
      <c r="O15" s="5254" t="s">
        <v>993</v>
      </c>
      <c r="P15" s="5268"/>
      <c r="Q15" s="3935" t="s">
        <v>98</v>
      </c>
      <c r="R15" s="3964">
        <v>-9.7993423896810525E-2</v>
      </c>
      <c r="S15" s="3965">
        <f>(S13-S14)/S14</f>
        <v>-0.10729491156082825</v>
      </c>
      <c r="T15" s="3965">
        <f t="shared" ref="T15:AA15" si="4">(T13-T14)/T14</f>
        <v>-0.16103188429821774</v>
      </c>
      <c r="U15" s="3965">
        <f t="shared" si="4"/>
        <v>-0.18587610649593006</v>
      </c>
      <c r="V15" s="3966">
        <v>-0.25384715383310108</v>
      </c>
      <c r="W15" s="3965">
        <f t="shared" si="4"/>
        <v>-0.24623440237172761</v>
      </c>
      <c r="X15" s="3966">
        <v>-0.18135151258408289</v>
      </c>
      <c r="Y15" s="3965">
        <f t="shared" si="4"/>
        <v>-0.21619807671029037</v>
      </c>
      <c r="Z15" s="3966">
        <v>-1.6631654217988467E-2</v>
      </c>
      <c r="AA15" s="3965">
        <f t="shared" si="4"/>
        <v>-2.0823548574948503E-2</v>
      </c>
    </row>
    <row r="16" spans="1:32" s="9" customFormat="1" ht="21.75" customHeight="1" x14ac:dyDescent="0.25">
      <c r="A16" s="5255" t="s">
        <v>1294</v>
      </c>
      <c r="B16" s="5255"/>
      <c r="C16" s="4013" t="s">
        <v>228</v>
      </c>
      <c r="D16" s="4019">
        <v>456616505.77810591</v>
      </c>
      <c r="E16" s="4020">
        <v>434016977.96710593</v>
      </c>
      <c r="F16" s="4021">
        <v>200656802.62</v>
      </c>
      <c r="G16" s="4020">
        <v>191850035.05000001</v>
      </c>
      <c r="H16" s="4021">
        <v>167037781.21410599</v>
      </c>
      <c r="I16" s="4020">
        <v>158279149.253106</v>
      </c>
      <c r="J16" s="4021">
        <v>43684260.399999999</v>
      </c>
      <c r="K16" s="4020">
        <v>40924969.119999997</v>
      </c>
      <c r="L16" s="4021">
        <v>44877590.54399997</v>
      </c>
      <c r="M16" s="4020">
        <v>42630554.54399997</v>
      </c>
      <c r="O16" s="5263" t="s">
        <v>1294</v>
      </c>
      <c r="P16" s="5264"/>
      <c r="Q16" s="3942" t="s">
        <v>228</v>
      </c>
      <c r="R16" s="3967">
        <v>456616505.77810591</v>
      </c>
      <c r="S16" s="3968">
        <v>434016977.96710593</v>
      </c>
      <c r="T16" s="3969">
        <v>200656802.62</v>
      </c>
      <c r="U16" s="3968">
        <v>191850035.05000001</v>
      </c>
      <c r="V16" s="3969">
        <v>167037781.21410599</v>
      </c>
      <c r="W16" s="3968">
        <v>158279149.253106</v>
      </c>
      <c r="X16" s="3969">
        <v>43684260.399999999</v>
      </c>
      <c r="Y16" s="3968">
        <v>40924969.119999997</v>
      </c>
      <c r="Z16" s="3969">
        <v>44877590.54399997</v>
      </c>
      <c r="AA16" s="3968">
        <v>42630554.54399997</v>
      </c>
    </row>
    <row r="17" spans="1:32" ht="27.75" customHeight="1" x14ac:dyDescent="0.25">
      <c r="A17" s="5274" t="s">
        <v>33</v>
      </c>
      <c r="B17" s="5274"/>
      <c r="C17" s="3933" t="s">
        <v>228</v>
      </c>
      <c r="D17" s="1998">
        <v>37.015344184983284</v>
      </c>
      <c r="E17" s="3970">
        <v>36.087576139222655</v>
      </c>
      <c r="F17" s="3971">
        <v>47.433998327780614</v>
      </c>
      <c r="G17" s="3972">
        <v>46.758709085778605</v>
      </c>
      <c r="H17" s="3971">
        <v>56.991398484392718</v>
      </c>
      <c r="I17" s="3972">
        <v>55.376228869091207</v>
      </c>
      <c r="J17" s="3971">
        <v>48.989587812112745</v>
      </c>
      <c r="K17" s="3972">
        <v>45.895188565725206</v>
      </c>
      <c r="L17" s="3971">
        <v>10.478062898136104</v>
      </c>
      <c r="M17" s="3972">
        <v>10.213762559104817</v>
      </c>
      <c r="O17" s="5274" t="s">
        <v>33</v>
      </c>
      <c r="P17" s="5320"/>
      <c r="Q17" s="3933" t="s">
        <v>228</v>
      </c>
      <c r="R17" s="1998">
        <v>37.015344184983284</v>
      </c>
      <c r="S17" s="3970">
        <v>36.087576139222655</v>
      </c>
      <c r="T17" s="3971">
        <v>47.433998327780614</v>
      </c>
      <c r="U17" s="3972">
        <v>46.758709085778605</v>
      </c>
      <c r="V17" s="3971">
        <v>56.991398484392718</v>
      </c>
      <c r="W17" s="3972">
        <v>55.376228869091207</v>
      </c>
      <c r="X17" s="3971">
        <v>48.989587812112745</v>
      </c>
      <c r="Y17" s="3972">
        <v>45.895188565725206</v>
      </c>
      <c r="Z17" s="3971">
        <v>10.478062898136104</v>
      </c>
      <c r="AA17" s="3972">
        <v>10.213762559104817</v>
      </c>
    </row>
    <row r="18" spans="1:32" ht="23.25" customHeight="1" x14ac:dyDescent="0.25">
      <c r="A18" s="5275" t="s">
        <v>1301</v>
      </c>
      <c r="B18" s="5275"/>
      <c r="C18" s="3936" t="s">
        <v>228</v>
      </c>
      <c r="D18" s="3973">
        <v>33.615134981618397</v>
      </c>
      <c r="E18" s="3974">
        <v>33.615134981618418</v>
      </c>
      <c r="F18" s="3975">
        <v>42.007795998974643</v>
      </c>
      <c r="G18" s="3974">
        <v>42.007795998974643</v>
      </c>
      <c r="H18" s="3975">
        <v>56.969000000000001</v>
      </c>
      <c r="I18" s="3974">
        <v>56.969000000000001</v>
      </c>
      <c r="J18" s="3975">
        <v>46.776357004814507</v>
      </c>
      <c r="K18" s="3974">
        <v>46.776357004814507</v>
      </c>
      <c r="L18" s="3975">
        <v>9.3958230820114075</v>
      </c>
      <c r="M18" s="3974">
        <v>9.3958230820114075</v>
      </c>
      <c r="O18" s="5321" t="s">
        <v>995</v>
      </c>
      <c r="P18" s="5322"/>
      <c r="Q18" s="3936" t="s">
        <v>228</v>
      </c>
      <c r="R18" s="3973">
        <v>33.21</v>
      </c>
      <c r="S18" s="3974">
        <v>33.21</v>
      </c>
      <c r="T18" s="3975">
        <v>51.239452399999998</v>
      </c>
      <c r="U18" s="3974">
        <v>51.238999999999997</v>
      </c>
      <c r="V18" s="3975">
        <v>56.113</v>
      </c>
      <c r="W18" s="3974">
        <v>56.112761587730624</v>
      </c>
      <c r="X18" s="3975">
        <v>46.308999999999997</v>
      </c>
      <c r="Y18" s="3974">
        <v>46.31</v>
      </c>
      <c r="Z18" s="3975">
        <v>9.3019999999999996</v>
      </c>
      <c r="AA18" s="3974">
        <v>9.3000000000000007</v>
      </c>
    </row>
    <row r="19" spans="1:32" ht="31.5" customHeight="1" x14ac:dyDescent="0.25">
      <c r="A19" s="5276" t="s">
        <v>1303</v>
      </c>
      <c r="B19" s="5276"/>
      <c r="C19" s="3937" t="s">
        <v>98</v>
      </c>
      <c r="D19" s="4022">
        <f>(D17-D18)/D18</f>
        <v>0.10115113936696098</v>
      </c>
      <c r="E19" s="4022">
        <f t="shared" ref="E19:M19" si="5">(E17-E18)/E18</f>
        <v>7.3551427324514057E-2</v>
      </c>
      <c r="F19" s="4022">
        <f t="shared" si="5"/>
        <v>0.12917131688933212</v>
      </c>
      <c r="G19" s="4022">
        <f t="shared" si="5"/>
        <v>0.11309598549088187</v>
      </c>
      <c r="H19" s="4022">
        <f t="shared" si="5"/>
        <v>3.9316969567162785E-4</v>
      </c>
      <c r="I19" s="4023">
        <f t="shared" si="5"/>
        <v>-2.7958558705766186E-2</v>
      </c>
      <c r="J19" s="4022">
        <f t="shared" si="5"/>
        <v>4.7315159816110501E-2</v>
      </c>
      <c r="K19" s="4022">
        <f t="shared" si="5"/>
        <v>-1.8837902211978702E-2</v>
      </c>
      <c r="L19" s="4022">
        <f t="shared" si="5"/>
        <v>0.11518307727576073</v>
      </c>
      <c r="M19" s="4024">
        <f t="shared" si="5"/>
        <v>8.7053520479688423E-2</v>
      </c>
      <c r="O19" s="5276" t="s">
        <v>996</v>
      </c>
      <c r="P19" s="5323"/>
      <c r="Q19" s="3937" t="s">
        <v>98</v>
      </c>
      <c r="R19" s="3976">
        <v>0.11458428741292634</v>
      </c>
      <c r="S19" s="3977">
        <f>(S17-S18)/S18</f>
        <v>8.6647881337628851E-2</v>
      </c>
      <c r="T19" s="3978">
        <v>-7.4268047256090181E-2</v>
      </c>
      <c r="U19" s="3979">
        <f t="shared" ref="U19:AA19" si="6">(U17-U18)/U18</f>
        <v>-8.7439077933242113E-2</v>
      </c>
      <c r="V19" s="3954">
        <v>1.565409948483807E-2</v>
      </c>
      <c r="W19" s="3980">
        <f t="shared" si="6"/>
        <v>-1.3125939586628079E-2</v>
      </c>
      <c r="X19" s="3954">
        <v>5.7884813148907296E-2</v>
      </c>
      <c r="Y19" s="3980">
        <f t="shared" si="6"/>
        <v>-8.9572756267500744E-3</v>
      </c>
      <c r="Z19" s="3954">
        <v>0.12643118664116362</v>
      </c>
      <c r="AA19" s="3981">
        <f t="shared" si="6"/>
        <v>9.8254038613421066E-2</v>
      </c>
      <c r="AD19" s="9"/>
    </row>
    <row r="20" spans="1:32" ht="22.5" customHeight="1" x14ac:dyDescent="0.25">
      <c r="A20" s="5277" t="s">
        <v>147</v>
      </c>
      <c r="B20" s="5277"/>
      <c r="C20" s="3930" t="s">
        <v>107</v>
      </c>
      <c r="D20" s="4016">
        <v>3009.4379999999996</v>
      </c>
      <c r="E20" s="3940">
        <v>2841.0879999999997</v>
      </c>
      <c r="F20" s="3941">
        <v>328.8</v>
      </c>
      <c r="G20" s="3940">
        <v>328.8</v>
      </c>
      <c r="H20" s="3941">
        <v>219.43299999999999</v>
      </c>
      <c r="I20" s="4017">
        <v>219.43299999999999</v>
      </c>
      <c r="J20" s="3941">
        <v>181.26000000000002</v>
      </c>
      <c r="K20" s="3940">
        <v>181.26000000000002</v>
      </c>
      <c r="L20" s="4017">
        <v>2279.9449999999997</v>
      </c>
      <c r="M20" s="3940">
        <v>2111.5949999999998</v>
      </c>
      <c r="O20" s="5277" t="s">
        <v>147</v>
      </c>
      <c r="P20" s="5277"/>
      <c r="Q20" s="3930" t="s">
        <v>107</v>
      </c>
      <c r="R20" s="3982">
        <v>3009.4379999999996</v>
      </c>
      <c r="S20" s="3940">
        <v>2841.0879999999997</v>
      </c>
      <c r="T20" s="3941">
        <v>328.8</v>
      </c>
      <c r="U20" s="3940">
        <v>328.8</v>
      </c>
      <c r="V20" s="3941">
        <v>219.43299999999999</v>
      </c>
      <c r="W20" s="3940">
        <v>219.43299999999999</v>
      </c>
      <c r="X20" s="3941">
        <v>181.26000000000002</v>
      </c>
      <c r="Y20" s="3940">
        <v>181.26000000000002</v>
      </c>
      <c r="Z20" s="3941">
        <v>2279.9449999999997</v>
      </c>
      <c r="AA20" s="3940">
        <v>2111.5949999999998</v>
      </c>
      <c r="AB20" s="445">
        <f>T20+V20+X20+Z20</f>
        <v>3009.4379999999996</v>
      </c>
    </row>
    <row r="21" spans="1:32" ht="23.25" customHeight="1" x14ac:dyDescent="0.25">
      <c r="A21" s="5278" t="s">
        <v>1302</v>
      </c>
      <c r="B21" s="5278"/>
      <c r="C21" s="3938" t="s">
        <v>107</v>
      </c>
      <c r="D21" s="4012">
        <v>3938.2972</v>
      </c>
      <c r="E21" s="3951">
        <v>3938.2972</v>
      </c>
      <c r="F21" s="3952">
        <v>508.87</v>
      </c>
      <c r="G21" s="3951">
        <v>508.87</v>
      </c>
      <c r="H21" s="3952">
        <v>1013.1242</v>
      </c>
      <c r="I21" s="3953">
        <v>1013.1242</v>
      </c>
      <c r="J21" s="3952">
        <v>163.78</v>
      </c>
      <c r="K21" s="3951">
        <v>163.78</v>
      </c>
      <c r="L21" s="3953">
        <v>2252.5230000000001</v>
      </c>
      <c r="M21" s="3951">
        <v>2252.5230000000001</v>
      </c>
      <c r="O21" s="5278" t="s">
        <v>998</v>
      </c>
      <c r="P21" s="5278"/>
      <c r="Q21" s="3938" t="s">
        <v>107</v>
      </c>
      <c r="R21" s="3939">
        <v>3919.6396800000002</v>
      </c>
      <c r="S21" s="3951">
        <v>3919.64</v>
      </c>
      <c r="T21" s="3952">
        <v>503.78129999999999</v>
      </c>
      <c r="U21" s="3951">
        <v>503.78</v>
      </c>
      <c r="V21" s="3952">
        <v>1023.7184099999999</v>
      </c>
      <c r="W21" s="3951">
        <v>1023.72</v>
      </c>
      <c r="X21" s="3952">
        <v>162</v>
      </c>
      <c r="Y21" s="3951">
        <v>162</v>
      </c>
      <c r="Z21" s="3952">
        <v>2229.9977699999999</v>
      </c>
      <c r="AA21" s="3953">
        <v>2229.9977699999999</v>
      </c>
    </row>
    <row r="22" spans="1:32" ht="40.5" customHeight="1" x14ac:dyDescent="0.25">
      <c r="A22" s="5270" t="s">
        <v>1304</v>
      </c>
      <c r="B22" s="5270"/>
      <c r="C22" s="3935" t="s">
        <v>98</v>
      </c>
      <c r="D22" s="4018">
        <f>(D20-D21)/D21</f>
        <v>-0.23585299758484463</v>
      </c>
      <c r="E22" s="3979">
        <f t="shared" ref="E22:M22" si="7">(E20-E21)/E21</f>
        <v>-0.27859989845357536</v>
      </c>
      <c r="F22" s="3978">
        <f t="shared" si="7"/>
        <v>-0.35386247961168865</v>
      </c>
      <c r="G22" s="3979">
        <f t="shared" si="7"/>
        <v>-0.35386247961168865</v>
      </c>
      <c r="H22" s="3978">
        <f t="shared" si="7"/>
        <v>-0.78340957604210815</v>
      </c>
      <c r="I22" s="4018">
        <f t="shared" si="7"/>
        <v>-0.78340957604210815</v>
      </c>
      <c r="J22" s="3983">
        <f t="shared" si="7"/>
        <v>0.10672853828306275</v>
      </c>
      <c r="K22" s="3977">
        <f t="shared" si="7"/>
        <v>0.10672853828306275</v>
      </c>
      <c r="L22" s="3976">
        <f t="shared" si="7"/>
        <v>1.2173904550585974E-2</v>
      </c>
      <c r="M22" s="3979">
        <f t="shared" si="7"/>
        <v>-6.2564510995004416E-2</v>
      </c>
      <c r="O22" s="5270" t="s">
        <v>1293</v>
      </c>
      <c r="P22" s="5270"/>
      <c r="Q22" s="3935" t="s">
        <v>98</v>
      </c>
      <c r="R22" s="3978">
        <v>-0.23221565100596198</v>
      </c>
      <c r="S22" s="3979">
        <v>-0.27516608668142994</v>
      </c>
      <c r="T22" s="3978">
        <v>-0.34733583799160467</v>
      </c>
      <c r="U22" s="3979">
        <v>-0.34730824202000948</v>
      </c>
      <c r="V22" s="3978">
        <v>-0.78565101706044338</v>
      </c>
      <c r="W22" s="3979">
        <v>-0.78565134997850972</v>
      </c>
      <c r="X22" s="3983">
        <v>0.1179076144273361</v>
      </c>
      <c r="Y22" s="3977">
        <v>0.118888888888889</v>
      </c>
      <c r="Z22" s="3950">
        <v>2.2397883384430363E-2</v>
      </c>
      <c r="AA22" s="3949">
        <v>-5.3079427433676045E-2</v>
      </c>
      <c r="AC22" s="445">
        <f>AA26+U26+O26+I26</f>
        <v>12335870.301991072</v>
      </c>
    </row>
    <row r="23" spans="1:32" x14ac:dyDescent="0.25">
      <c r="A23" s="4025"/>
      <c r="B23" s="4025"/>
      <c r="C23" s="4014"/>
      <c r="D23" s="4008">
        <v>456616505.77810591</v>
      </c>
      <c r="E23" s="4008"/>
      <c r="F23" s="4008"/>
      <c r="G23" s="4008"/>
      <c r="H23" s="4008"/>
      <c r="I23" s="4008"/>
      <c r="J23" s="4008"/>
      <c r="K23" s="4008"/>
      <c r="L23" s="4008"/>
      <c r="M23" s="4008"/>
      <c r="R23" s="39"/>
      <c r="S23" s="39"/>
      <c r="T23" s="39"/>
      <c r="U23" s="39"/>
      <c r="V23" s="39"/>
      <c r="W23" s="39"/>
      <c r="X23" s="39"/>
      <c r="Y23" s="39"/>
      <c r="Z23" s="39"/>
      <c r="AA23" s="39"/>
    </row>
    <row r="24" spans="1:32" s="9" customFormat="1" x14ac:dyDescent="0.25">
      <c r="A24" s="4025"/>
      <c r="B24" s="4025"/>
      <c r="C24" s="5233" t="s">
        <v>143</v>
      </c>
      <c r="D24" s="5234"/>
      <c r="E24" s="5234"/>
      <c r="F24" s="5234"/>
      <c r="G24" s="5234"/>
      <c r="H24" s="5235"/>
      <c r="I24" s="5236" t="s">
        <v>99</v>
      </c>
      <c r="J24" s="5237"/>
      <c r="K24" s="5237"/>
      <c r="L24" s="5237"/>
      <c r="M24" s="5237"/>
      <c r="N24" s="5238"/>
      <c r="O24" s="5239" t="s">
        <v>100</v>
      </c>
      <c r="P24" s="5240"/>
      <c r="Q24" s="5240"/>
      <c r="R24" s="5240"/>
      <c r="S24" s="5240"/>
      <c r="T24" s="5241"/>
      <c r="U24" s="5327" t="s">
        <v>101</v>
      </c>
      <c r="V24" s="5328"/>
      <c r="W24" s="5328"/>
      <c r="X24" s="5328"/>
      <c r="Y24" s="5328"/>
      <c r="Z24" s="5329"/>
      <c r="AA24" s="5327" t="s">
        <v>103</v>
      </c>
      <c r="AB24" s="5328"/>
      <c r="AC24" s="5328"/>
      <c r="AD24" s="5328"/>
      <c r="AE24" s="5328"/>
      <c r="AF24" s="5329"/>
    </row>
    <row r="25" spans="1:32" s="9" customFormat="1" ht="32.25" customHeight="1" x14ac:dyDescent="0.25">
      <c r="A25" s="5271" t="s">
        <v>1310</v>
      </c>
      <c r="B25" s="5271"/>
      <c r="C25" s="4031" t="s">
        <v>1312</v>
      </c>
      <c r="D25" s="4032" t="s">
        <v>1311</v>
      </c>
      <c r="E25" s="4111" t="s">
        <v>1327</v>
      </c>
      <c r="F25" s="4032" t="s">
        <v>1325</v>
      </c>
      <c r="G25" s="4047" t="s">
        <v>1313</v>
      </c>
      <c r="H25" s="4033" t="s">
        <v>146</v>
      </c>
      <c r="I25" s="4046" t="s">
        <v>1309</v>
      </c>
      <c r="J25" s="4032" t="s">
        <v>1260</v>
      </c>
      <c r="K25" s="4111" t="s">
        <v>1327</v>
      </c>
      <c r="L25" s="4032" t="s">
        <v>1314</v>
      </c>
      <c r="M25" s="4047" t="s">
        <v>155</v>
      </c>
      <c r="N25" s="4033" t="s">
        <v>146</v>
      </c>
      <c r="O25" s="4031" t="s">
        <v>1309</v>
      </c>
      <c r="P25" s="4032" t="s">
        <v>1260</v>
      </c>
      <c r="Q25" s="4111" t="s">
        <v>1327</v>
      </c>
      <c r="R25" s="4032" t="s">
        <v>1314</v>
      </c>
      <c r="S25" s="4047" t="s">
        <v>155</v>
      </c>
      <c r="T25" s="4033" t="s">
        <v>146</v>
      </c>
      <c r="U25" s="4031" t="s">
        <v>1309</v>
      </c>
      <c r="V25" s="4032" t="s">
        <v>1260</v>
      </c>
      <c r="W25" s="4111" t="s">
        <v>1327</v>
      </c>
      <c r="X25" s="4032" t="s">
        <v>1314</v>
      </c>
      <c r="Y25" s="4047" t="s">
        <v>155</v>
      </c>
      <c r="Z25" s="4033" t="s">
        <v>146</v>
      </c>
      <c r="AA25" s="4031" t="s">
        <v>1309</v>
      </c>
      <c r="AB25" s="4032" t="s">
        <v>1260</v>
      </c>
      <c r="AC25" s="4111" t="s">
        <v>1327</v>
      </c>
      <c r="AD25" s="4032" t="s">
        <v>1314</v>
      </c>
      <c r="AE25" s="4047" t="s">
        <v>155</v>
      </c>
      <c r="AF25" s="4033" t="s">
        <v>146</v>
      </c>
    </row>
    <row r="26" spans="1:32" s="9" customFormat="1" ht="22.5" customHeight="1" x14ac:dyDescent="0.25">
      <c r="A26" s="5272" t="s">
        <v>1308</v>
      </c>
      <c r="B26" s="5272"/>
      <c r="C26" s="4094">
        <v>12335870.86199107</v>
      </c>
      <c r="D26" s="4095">
        <v>14868682.94134178</v>
      </c>
      <c r="E26" s="4095"/>
      <c r="F26" s="4095">
        <v>13727745.407933742</v>
      </c>
      <c r="G26" s="4095">
        <v>19867391.518035099</v>
      </c>
      <c r="H26" s="4096">
        <v>4280589</v>
      </c>
      <c r="I26" s="4088">
        <v>4230231.6838950003</v>
      </c>
      <c r="J26" s="4098">
        <v>5075440.0253800005</v>
      </c>
      <c r="K26" s="4098"/>
      <c r="L26" s="4098">
        <v>4153834.617416</v>
      </c>
      <c r="M26" s="4098">
        <v>2389087</v>
      </c>
      <c r="N26" s="4089">
        <v>3320951</v>
      </c>
      <c r="O26" s="4102">
        <f>Production!L7</f>
        <v>2930929.1180960699</v>
      </c>
      <c r="P26" s="4103">
        <v>3297046.5959617784</v>
      </c>
      <c r="Q26" s="4103"/>
      <c r="R26" s="4098">
        <v>3879368</v>
      </c>
      <c r="S26" s="4098">
        <v>4863258</v>
      </c>
      <c r="T26" s="4104">
        <v>6047645</v>
      </c>
      <c r="U26" s="4088">
        <v>891705</v>
      </c>
      <c r="V26" s="4098">
        <v>1000726</v>
      </c>
      <c r="W26" s="4098"/>
      <c r="X26" s="4098">
        <v>649259</v>
      </c>
      <c r="Y26" s="4098">
        <v>2420760</v>
      </c>
      <c r="Z26" s="4104">
        <v>1128198</v>
      </c>
      <c r="AA26" s="4088">
        <v>4283004.5</v>
      </c>
      <c r="AB26" s="4103">
        <v>5495470.3200000003</v>
      </c>
      <c r="AC26" s="4103"/>
      <c r="AD26" s="4103">
        <v>5045284</v>
      </c>
      <c r="AE26" s="4103">
        <v>4071592</v>
      </c>
      <c r="AF26" s="4089">
        <v>4420632</v>
      </c>
    </row>
    <row r="27" spans="1:32" s="9" customFormat="1" ht="18.75" x14ac:dyDescent="0.3">
      <c r="A27" s="5273" t="s">
        <v>1307</v>
      </c>
      <c r="B27" s="5273"/>
      <c r="C27" s="4034"/>
      <c r="D27" s="4035"/>
      <c r="E27" s="4036"/>
      <c r="F27" s="4035"/>
      <c r="G27" s="4037"/>
      <c r="H27" s="4038"/>
      <c r="I27" s="4099"/>
      <c r="J27" s="4015"/>
      <c r="K27" s="4015"/>
      <c r="L27" s="4015"/>
      <c r="M27" s="4015"/>
      <c r="N27" s="4039"/>
      <c r="O27" s="4040"/>
      <c r="P27" s="1570"/>
      <c r="Q27" s="4126"/>
      <c r="R27" s="1570"/>
      <c r="S27" s="1570"/>
      <c r="T27" s="4039"/>
      <c r="U27" s="4040"/>
      <c r="V27" s="1570"/>
      <c r="W27" s="1570"/>
      <c r="X27" s="1570"/>
      <c r="Y27" s="1570"/>
      <c r="Z27" s="4039"/>
      <c r="AA27" s="4040"/>
      <c r="AB27" s="1570"/>
      <c r="AC27" s="1570"/>
      <c r="AD27" s="1570"/>
      <c r="AE27" s="1570"/>
      <c r="AF27" s="4039"/>
    </row>
    <row r="28" spans="1:32" s="9" customFormat="1" ht="23.25" customHeight="1" x14ac:dyDescent="0.25">
      <c r="A28" s="4065" t="s">
        <v>108</v>
      </c>
      <c r="B28" s="4065"/>
      <c r="C28" s="4041">
        <v>2545693</v>
      </c>
      <c r="D28" s="258">
        <v>1305011.3899999999</v>
      </c>
      <c r="E28" s="4124">
        <f>IF(ISERROR((C28-D28)/D28),0,((C28-D28)/D28))</f>
        <v>0.9507055796654772</v>
      </c>
      <c r="F28" s="2003">
        <v>1065203.4704</v>
      </c>
      <c r="G28" s="2003">
        <v>977070.96</v>
      </c>
      <c r="H28" s="4052">
        <v>962117</v>
      </c>
      <c r="I28" s="4100">
        <v>0</v>
      </c>
      <c r="J28" s="4008">
        <v>0</v>
      </c>
      <c r="K28" s="4125">
        <f>IF(ISERROR((I28-J28)/J28),0,((I28-J28)/J28))</f>
        <v>0</v>
      </c>
      <c r="L28" s="4008">
        <v>0</v>
      </c>
      <c r="M28" s="4008">
        <v>0</v>
      </c>
      <c r="N28" s="375">
        <v>0</v>
      </c>
      <c r="O28" s="4051">
        <v>1096059</v>
      </c>
      <c r="P28" s="389">
        <v>1237941</v>
      </c>
      <c r="Q28" s="4124">
        <f>IF(ISERROR((O28-P28)/P28),0,((O28-P28)/P28))</f>
        <v>-0.11461127792035324</v>
      </c>
      <c r="R28" s="2003">
        <v>1003671</v>
      </c>
      <c r="S28" s="2003">
        <v>927448</v>
      </c>
      <c r="T28" s="4052">
        <v>908179</v>
      </c>
      <c r="U28" s="4041">
        <v>0</v>
      </c>
      <c r="V28" s="258">
        <v>0</v>
      </c>
      <c r="W28" s="4127">
        <f>IF(ISERROR((U28-V28)/V28),0,((U28-V28)/V28))</f>
        <v>0</v>
      </c>
      <c r="X28" s="258">
        <v>0</v>
      </c>
      <c r="Y28" s="258">
        <v>0</v>
      </c>
      <c r="Z28" s="4030">
        <v>0</v>
      </c>
      <c r="AA28" s="4041">
        <v>1449634</v>
      </c>
      <c r="AB28" s="374">
        <v>67070.392736000009</v>
      </c>
      <c r="AC28" s="4127">
        <f>IF(ISERROR((AA28-AB28)/AB28),0,((AA28-AB28)/AB28))</f>
        <v>20.613620270660938</v>
      </c>
      <c r="AD28" s="374">
        <v>61532.470399999998</v>
      </c>
      <c r="AE28" s="374">
        <v>49622.96</v>
      </c>
      <c r="AF28" s="375">
        <v>53938</v>
      </c>
    </row>
    <row r="29" spans="1:32" s="9" customFormat="1" ht="23.25" customHeight="1" x14ac:dyDescent="0.25">
      <c r="A29" s="4065" t="s">
        <v>109</v>
      </c>
      <c r="B29" s="4065"/>
      <c r="C29" s="4041">
        <v>2916407.57</v>
      </c>
      <c r="D29" s="258">
        <v>3226719.21</v>
      </c>
      <c r="E29" s="4124">
        <f t="shared" ref="E29:E47" si="8">IF(ISERROR((C29-D29)/D29),0,((C29-D29)/D29))</f>
        <v>-9.6169396778717581E-2</v>
      </c>
      <c r="F29" s="2003">
        <v>3638252.3168000001</v>
      </c>
      <c r="G29" s="2003">
        <v>3287943.08</v>
      </c>
      <c r="H29" s="4052">
        <v>3725858</v>
      </c>
      <c r="I29" s="4100">
        <v>169192</v>
      </c>
      <c r="J29" s="4008">
        <v>182449</v>
      </c>
      <c r="K29" s="4125">
        <f t="shared" ref="K29:K47" si="9">IF(ISERROR((I29-J29)/J29),0,((I29-J29)/J29))</f>
        <v>-7.2661401268299633E-2</v>
      </c>
      <c r="L29" s="4008">
        <v>165310</v>
      </c>
      <c r="M29" s="4008">
        <v>188523</v>
      </c>
      <c r="N29" s="375">
        <v>194625</v>
      </c>
      <c r="O29" s="4051">
        <v>944141</v>
      </c>
      <c r="P29" s="389">
        <v>1536429</v>
      </c>
      <c r="Q29" s="4124">
        <f t="shared" ref="Q29:Q47" si="10">IF(ISERROR((O29-P29)/P29),0,((O29-P29)/P29))</f>
        <v>-0.38549649869925651</v>
      </c>
      <c r="R29" s="2003">
        <v>1988755</v>
      </c>
      <c r="S29" s="2003">
        <v>2824279</v>
      </c>
      <c r="T29" s="4052">
        <v>2212227</v>
      </c>
      <c r="U29" s="4041">
        <v>12410</v>
      </c>
      <c r="V29" s="258">
        <v>72163.64</v>
      </c>
      <c r="W29" s="4127">
        <f t="shared" ref="W29:W47" si="11">IF(ISERROR((U29-V29)/V29),0,((U29-V29)/V29))</f>
        <v>-0.8280297390763548</v>
      </c>
      <c r="X29" s="258">
        <v>71860</v>
      </c>
      <c r="Y29" s="258">
        <v>77935</v>
      </c>
      <c r="Z29" s="4030">
        <v>128798</v>
      </c>
      <c r="AA29" s="4041">
        <v>1789125</v>
      </c>
      <c r="AB29" s="374">
        <v>1434464.3253120002</v>
      </c>
      <c r="AC29" s="4127">
        <f t="shared" ref="AC29:AC47" si="12">IF(ISERROR((AA29-AB29)/AB29),0,((AA29-AB29)/AB29))</f>
        <v>0.24724258974572966</v>
      </c>
      <c r="AD29" s="374">
        <v>1316022.3168000001</v>
      </c>
      <c r="AE29" s="374">
        <v>1061308.32</v>
      </c>
      <c r="AF29" s="375">
        <v>1153596</v>
      </c>
    </row>
    <row r="30" spans="1:32" s="9" customFormat="1" ht="19.5" customHeight="1" x14ac:dyDescent="0.25">
      <c r="A30" s="5269" t="s">
        <v>21</v>
      </c>
      <c r="B30" s="5269"/>
      <c r="C30" s="4041">
        <v>6310356</v>
      </c>
      <c r="D30" s="258">
        <v>9493707.3000000007</v>
      </c>
      <c r="E30" s="4124">
        <f t="shared" si="8"/>
        <v>-0.33531171747837651</v>
      </c>
      <c r="F30" s="2003">
        <v>11067026.6032</v>
      </c>
      <c r="G30" s="2003">
        <v>10705490.359999999</v>
      </c>
      <c r="H30" s="4052">
        <v>10073226</v>
      </c>
      <c r="I30" s="4100">
        <v>270374</v>
      </c>
      <c r="J30" s="4079">
        <v>325555</v>
      </c>
      <c r="K30" s="4125">
        <f t="shared" si="9"/>
        <v>-0.16949824146457587</v>
      </c>
      <c r="L30" s="4079">
        <v>259264</v>
      </c>
      <c r="M30" s="4079">
        <v>297945</v>
      </c>
      <c r="N30" s="375">
        <v>271399</v>
      </c>
      <c r="O30" s="4051">
        <v>987666</v>
      </c>
      <c r="P30" s="389">
        <v>844650</v>
      </c>
      <c r="Q30" s="4124">
        <f t="shared" si="10"/>
        <v>0.1693198366187178</v>
      </c>
      <c r="R30" s="2003">
        <v>576320</v>
      </c>
      <c r="S30" s="2003">
        <v>0</v>
      </c>
      <c r="T30" s="4052">
        <v>0</v>
      </c>
      <c r="U30" s="4041">
        <v>618668</v>
      </c>
      <c r="V30" s="258">
        <v>711055</v>
      </c>
      <c r="W30" s="4127">
        <f t="shared" si="11"/>
        <v>-0.12992947099732088</v>
      </c>
      <c r="X30" s="258">
        <v>671516</v>
      </c>
      <c r="Y30" s="258">
        <v>404365</v>
      </c>
      <c r="Z30" s="4030">
        <v>2196120</v>
      </c>
      <c r="AA30" s="4041">
        <v>4433648</v>
      </c>
      <c r="AB30" s="374">
        <v>7612447.2974880002</v>
      </c>
      <c r="AC30" s="4127">
        <f t="shared" si="12"/>
        <v>-0.41757915336070162</v>
      </c>
      <c r="AD30" s="374">
        <v>6983896.6031999998</v>
      </c>
      <c r="AE30" s="374">
        <v>5632174.6799999997</v>
      </c>
      <c r="AF30" s="375">
        <v>6121929</v>
      </c>
    </row>
    <row r="31" spans="1:32" s="9" customFormat="1" ht="20.25" customHeight="1" x14ac:dyDescent="0.25">
      <c r="A31" s="4060" t="s">
        <v>968</v>
      </c>
      <c r="B31" s="4061"/>
      <c r="C31" s="4041">
        <v>11959192.236666668</v>
      </c>
      <c r="D31" s="4071">
        <f>D29+D30+D34</f>
        <v>15260743.510000002</v>
      </c>
      <c r="E31" s="4124">
        <f t="shared" si="8"/>
        <v>-0.21634275362598851</v>
      </c>
      <c r="F31" s="4071">
        <f>F29+F30+F34</f>
        <v>19500481.697777778</v>
      </c>
      <c r="G31" s="4071">
        <f>G29+G30+G34</f>
        <v>19477591.439999998</v>
      </c>
      <c r="H31" s="4097">
        <f>H29+H30+H34</f>
        <v>18187533</v>
      </c>
      <c r="I31" s="4100">
        <v>672311</v>
      </c>
      <c r="J31" s="4107">
        <f>J29+J30+J34</f>
        <v>536907</v>
      </c>
      <c r="K31" s="4125">
        <f t="shared" si="9"/>
        <v>0.25219265161378041</v>
      </c>
      <c r="L31" s="4107">
        <f>L29+L30+L34</f>
        <v>468623</v>
      </c>
      <c r="M31" s="4107">
        <f>M29+M30+M34</f>
        <v>577972</v>
      </c>
      <c r="N31" s="4109">
        <f>N29+N30+N34</f>
        <v>635184</v>
      </c>
      <c r="O31" s="4051">
        <v>3205924</v>
      </c>
      <c r="P31" s="4072">
        <f>P29+P30+P34</f>
        <v>4057223</v>
      </c>
      <c r="Q31" s="4124">
        <f t="shared" si="10"/>
        <v>-0.2098230735653426</v>
      </c>
      <c r="R31" s="4072">
        <f>R29+R30+R34</f>
        <v>4352562.78</v>
      </c>
      <c r="S31" s="4072">
        <f>S29+S30+S34</f>
        <v>4908856</v>
      </c>
      <c r="T31" s="4073">
        <f>T29+T30+T34</f>
        <v>4036132</v>
      </c>
      <c r="U31" s="4041">
        <v>1856644.6666666667</v>
      </c>
      <c r="V31" s="4071">
        <f>V29+V30+V34</f>
        <v>1618488.6400000001</v>
      </c>
      <c r="W31" s="4127">
        <f t="shared" si="11"/>
        <v>0.14714717223264948</v>
      </c>
      <c r="X31" s="4071">
        <f>X29+X30+X34</f>
        <v>1588876</v>
      </c>
      <c r="Y31" s="4071">
        <f>Y29+Y30+Y34</f>
        <v>1430249</v>
      </c>
      <c r="Z31" s="4097">
        <f>Z29+Z30+Z34</f>
        <v>3048918</v>
      </c>
      <c r="AA31" s="4041">
        <v>6222773</v>
      </c>
      <c r="AB31" s="4071">
        <f>AB29+AB30+AB34</f>
        <v>9046911.6228</v>
      </c>
      <c r="AC31" s="4127">
        <f t="shared" si="12"/>
        <v>-0.31216604522615365</v>
      </c>
      <c r="AD31" s="4071">
        <f>AD29+AD30+AD34</f>
        <v>8299918.9199999999</v>
      </c>
      <c r="AE31" s="4071">
        <f>AE29+AE30+AE34</f>
        <v>6693483</v>
      </c>
      <c r="AF31" s="4097">
        <f>AF29+AF30+AF34</f>
        <v>7275525</v>
      </c>
    </row>
    <row r="32" spans="1:32" s="9" customFormat="1" ht="26.25" customHeight="1" x14ac:dyDescent="0.25">
      <c r="A32" s="4060" t="s">
        <v>969</v>
      </c>
      <c r="B32" s="4061"/>
      <c r="C32" s="4041">
        <v>13138358.640000001</v>
      </c>
      <c r="D32" s="4071"/>
      <c r="E32" s="4124">
        <f t="shared" si="8"/>
        <v>0</v>
      </c>
      <c r="F32" s="4072"/>
      <c r="G32" s="4072"/>
      <c r="H32" s="4073"/>
      <c r="I32" s="4100">
        <v>770929.40333333332</v>
      </c>
      <c r="J32" s="4074"/>
      <c r="K32" s="4125">
        <f t="shared" si="9"/>
        <v>0</v>
      </c>
      <c r="L32" s="4074"/>
      <c r="M32" s="4074"/>
      <c r="N32" s="4092"/>
      <c r="O32" s="4051">
        <v>3205924</v>
      </c>
      <c r="P32" s="4072"/>
      <c r="Q32" s="4124">
        <f t="shared" si="10"/>
        <v>0</v>
      </c>
      <c r="R32" s="4072"/>
      <c r="S32" s="4072"/>
      <c r="T32" s="4073"/>
      <c r="U32" s="4041">
        <v>1487630.6666666667</v>
      </c>
      <c r="V32" s="4071"/>
      <c r="W32" s="4127">
        <f t="shared" si="11"/>
        <v>0</v>
      </c>
      <c r="X32" s="4071"/>
      <c r="Y32" s="4071"/>
      <c r="Z32" s="4092"/>
      <c r="AA32" s="4041">
        <v>7672335</v>
      </c>
      <c r="AB32" s="4071"/>
      <c r="AC32" s="4127">
        <f t="shared" si="12"/>
        <v>0</v>
      </c>
      <c r="AD32" s="4071"/>
      <c r="AE32" s="4071"/>
      <c r="AF32" s="4108"/>
    </row>
    <row r="33" spans="1:33" s="9" customFormat="1" ht="22.5" customHeight="1" x14ac:dyDescent="0.25">
      <c r="A33" s="4062" t="s">
        <v>22</v>
      </c>
      <c r="B33" s="4062"/>
      <c r="C33" s="4029">
        <v>51385296.934</v>
      </c>
      <c r="D33" s="4008">
        <v>38391412.390000001</v>
      </c>
      <c r="E33" s="4124">
        <f t="shared" si="8"/>
        <v>0.33845810130665005</v>
      </c>
      <c r="F33" s="1998">
        <v>27838472.198399998</v>
      </c>
      <c r="G33" s="2003">
        <v>21109860.280000001</v>
      </c>
      <c r="H33" s="3972">
        <v>21029818</v>
      </c>
      <c r="I33" s="4090">
        <v>30359729.933999997</v>
      </c>
      <c r="J33" s="4008">
        <v>31443196.100000001</v>
      </c>
      <c r="K33" s="4125">
        <f t="shared" si="9"/>
        <v>-3.4457889158411754E-2</v>
      </c>
      <c r="L33" s="4008">
        <v>19300000</v>
      </c>
      <c r="M33" s="4008">
        <v>15571200</v>
      </c>
      <c r="N33" s="4030">
        <v>16128000</v>
      </c>
      <c r="O33" s="4051">
        <v>1642280</v>
      </c>
      <c r="P33" s="389">
        <v>2017755</v>
      </c>
      <c r="Q33" s="4124">
        <f t="shared" si="10"/>
        <v>-0.18608552574519702</v>
      </c>
      <c r="R33" s="2003">
        <v>3264384</v>
      </c>
      <c r="S33" s="2003">
        <v>1408193</v>
      </c>
      <c r="T33" s="4052">
        <v>999789</v>
      </c>
      <c r="U33" s="4041">
        <v>1800000</v>
      </c>
      <c r="V33" s="258">
        <v>2165324</v>
      </c>
      <c r="W33" s="4127">
        <f t="shared" si="11"/>
        <v>-0.16871562870037002</v>
      </c>
      <c r="X33" s="258">
        <v>2160000</v>
      </c>
      <c r="Y33" s="258">
        <v>1751519</v>
      </c>
      <c r="Z33" s="4030">
        <v>1205947</v>
      </c>
      <c r="AA33" s="4041">
        <v>17583287</v>
      </c>
      <c r="AB33" s="374">
        <v>2765137.2862560004</v>
      </c>
      <c r="AC33" s="4127">
        <f t="shared" si="12"/>
        <v>5.3589200751069379</v>
      </c>
      <c r="AD33" s="374">
        <v>2536823.1984000001</v>
      </c>
      <c r="AE33" s="374">
        <v>2045825.16</v>
      </c>
      <c r="AF33" s="375">
        <v>2223723</v>
      </c>
    </row>
    <row r="34" spans="1:33" s="9" customFormat="1" ht="31.5" customHeight="1" x14ac:dyDescent="0.25">
      <c r="A34" s="4063" t="s">
        <v>1316</v>
      </c>
      <c r="B34" s="4063"/>
      <c r="C34" s="4042">
        <v>2732428.666666667</v>
      </c>
      <c r="D34" s="4043">
        <v>2540317</v>
      </c>
      <c r="E34" s="4124">
        <f t="shared" si="8"/>
        <v>7.5625076187998186E-2</v>
      </c>
      <c r="F34" s="1998">
        <v>4795202.777777778</v>
      </c>
      <c r="G34" s="2003">
        <v>5484158</v>
      </c>
      <c r="H34" s="3972">
        <v>4388449</v>
      </c>
      <c r="I34" s="4090">
        <v>232745</v>
      </c>
      <c r="J34" s="4008">
        <v>28903</v>
      </c>
      <c r="K34" s="4125">
        <f t="shared" si="9"/>
        <v>7.0526242950558764</v>
      </c>
      <c r="L34" s="4008">
        <v>44049</v>
      </c>
      <c r="M34" s="4008">
        <v>91504</v>
      </c>
      <c r="N34" s="4030">
        <v>169160</v>
      </c>
      <c r="O34" s="4051">
        <v>1274117</v>
      </c>
      <c r="P34" s="389">
        <v>1676144</v>
      </c>
      <c r="Q34" s="4124">
        <f t="shared" si="10"/>
        <v>-0.23985230385933429</v>
      </c>
      <c r="R34" s="2003">
        <v>1787487.78</v>
      </c>
      <c r="S34" s="2003">
        <v>2084577</v>
      </c>
      <c r="T34" s="4052">
        <v>1823905</v>
      </c>
      <c r="U34" s="4041">
        <v>1225566.6666666667</v>
      </c>
      <c r="V34" s="258">
        <v>835270</v>
      </c>
      <c r="W34" s="4127">
        <f t="shared" si="11"/>
        <v>0.46727006437040325</v>
      </c>
      <c r="X34" s="258">
        <v>845500</v>
      </c>
      <c r="Y34" s="258">
        <v>947949</v>
      </c>
      <c r="Z34" s="4030">
        <v>724000</v>
      </c>
      <c r="AA34" s="4041">
        <v>0</v>
      </c>
      <c r="AB34" s="374">
        <v>0</v>
      </c>
      <c r="AC34" s="4127">
        <f t="shared" si="12"/>
        <v>0</v>
      </c>
      <c r="AD34" s="374">
        <v>0</v>
      </c>
      <c r="AE34" s="374">
        <v>0</v>
      </c>
      <c r="AF34" s="375">
        <v>0</v>
      </c>
    </row>
    <row r="35" spans="1:33" s="9" customFormat="1" ht="31.5" customHeight="1" x14ac:dyDescent="0.25">
      <c r="A35" s="4064" t="s">
        <v>1315</v>
      </c>
      <c r="B35" s="4064"/>
      <c r="C35" s="4042">
        <v>247706</v>
      </c>
      <c r="D35" s="4075"/>
      <c r="E35" s="4124">
        <f t="shared" si="8"/>
        <v>0</v>
      </c>
      <c r="F35" s="4076"/>
      <c r="G35" s="4072"/>
      <c r="H35" s="4077"/>
      <c r="I35" s="4090">
        <v>0</v>
      </c>
      <c r="J35" s="4078"/>
      <c r="K35" s="4125">
        <f t="shared" si="9"/>
        <v>0</v>
      </c>
      <c r="L35" s="4078"/>
      <c r="M35" s="4078"/>
      <c r="N35" s="4092"/>
      <c r="O35" s="4051">
        <v>247706</v>
      </c>
      <c r="P35" s="4072"/>
      <c r="Q35" s="4124">
        <f t="shared" si="10"/>
        <v>0</v>
      </c>
      <c r="R35" s="4072"/>
      <c r="S35" s="4072"/>
      <c r="T35" s="4092"/>
      <c r="U35" s="4041">
        <v>0</v>
      </c>
      <c r="V35" s="4071"/>
      <c r="W35" s="4127">
        <f t="shared" si="11"/>
        <v>0</v>
      </c>
      <c r="X35" s="4071"/>
      <c r="Y35" s="4071"/>
      <c r="Z35" s="4092"/>
      <c r="AA35" s="4041">
        <v>0</v>
      </c>
      <c r="AB35" s="4071"/>
      <c r="AC35" s="4127">
        <f t="shared" si="12"/>
        <v>0</v>
      </c>
      <c r="AD35" s="4071"/>
      <c r="AE35" s="4071"/>
      <c r="AF35" s="4108"/>
    </row>
    <row r="36" spans="1:33" s="9" customFormat="1" ht="21.75" customHeight="1" x14ac:dyDescent="0.25">
      <c r="A36" s="4066" t="s">
        <v>356</v>
      </c>
      <c r="B36" s="4066"/>
      <c r="C36" s="4068">
        <f>C29+C30</f>
        <v>9226763.5700000003</v>
      </c>
      <c r="D36" s="4079">
        <v>12720426.609999999</v>
      </c>
      <c r="E36" s="4124">
        <f t="shared" si="8"/>
        <v>-0.27464983267569826</v>
      </c>
      <c r="F36" s="3967">
        <v>14705232.92</v>
      </c>
      <c r="G36" s="846">
        <v>13993433.439999999</v>
      </c>
      <c r="H36" s="3968">
        <v>19149650</v>
      </c>
      <c r="I36" s="4070">
        <f>I29+I30</f>
        <v>439566</v>
      </c>
      <c r="J36" s="4079">
        <v>508004</v>
      </c>
      <c r="K36" s="4125">
        <f t="shared" si="9"/>
        <v>-0.13471941165817591</v>
      </c>
      <c r="L36" s="4079">
        <v>424528</v>
      </c>
      <c r="M36" s="4079">
        <v>486468</v>
      </c>
      <c r="N36" s="375">
        <v>635184</v>
      </c>
      <c r="O36" s="4069">
        <f>O29+O30</f>
        <v>1931807</v>
      </c>
      <c r="P36" s="389">
        <v>2381079</v>
      </c>
      <c r="Q36" s="4124">
        <f t="shared" si="10"/>
        <v>-0.18868420577393694</v>
      </c>
      <c r="R36" s="2003">
        <v>2565075</v>
      </c>
      <c r="S36" s="2003">
        <v>4908856</v>
      </c>
      <c r="T36" s="4052">
        <v>4036132</v>
      </c>
      <c r="U36" s="4070">
        <f>U29+U30</f>
        <v>631078</v>
      </c>
      <c r="V36" s="258">
        <v>783218.64</v>
      </c>
      <c r="W36" s="4127">
        <f t="shared" si="11"/>
        <v>-0.19425053520176691</v>
      </c>
      <c r="X36" s="258">
        <v>743376</v>
      </c>
      <c r="Y36" s="258">
        <v>482300</v>
      </c>
      <c r="Z36" s="4030">
        <v>1072410</v>
      </c>
      <c r="AA36" s="4070">
        <f>AA29+AA30</f>
        <v>6222773</v>
      </c>
      <c r="AB36" s="374">
        <v>9046911.6228</v>
      </c>
      <c r="AC36" s="4127">
        <f t="shared" si="12"/>
        <v>-0.31216604522615365</v>
      </c>
      <c r="AD36" s="374">
        <v>8299918.9199999999</v>
      </c>
      <c r="AE36" s="374">
        <v>6693483</v>
      </c>
      <c r="AF36" s="375">
        <v>7275525</v>
      </c>
    </row>
    <row r="37" spans="1:33" s="9" customFormat="1" ht="18" customHeight="1" x14ac:dyDescent="0.25">
      <c r="A37" s="4065" t="s">
        <v>357</v>
      </c>
      <c r="B37" s="4065"/>
      <c r="C37" s="4044">
        <v>11959192.236666668</v>
      </c>
      <c r="D37" s="382">
        <v>53652156.000000007</v>
      </c>
      <c r="E37" s="4124">
        <f t="shared" si="8"/>
        <v>-0.77709763915793673</v>
      </c>
      <c r="F37" s="415">
        <v>47338953.898400001</v>
      </c>
      <c r="G37" s="846">
        <v>40587451.719999999</v>
      </c>
      <c r="H37" s="4052">
        <v>40179468</v>
      </c>
      <c r="I37" s="4091">
        <v>672311</v>
      </c>
      <c r="J37" s="258">
        <v>31980103.100000001</v>
      </c>
      <c r="K37" s="4125">
        <f t="shared" si="9"/>
        <v>-0.97897720973888913</v>
      </c>
      <c r="L37" s="258">
        <v>19768623</v>
      </c>
      <c r="M37" s="258">
        <v>16149172</v>
      </c>
      <c r="N37" s="375">
        <v>16763184</v>
      </c>
      <c r="O37" s="4051">
        <v>3205924</v>
      </c>
      <c r="P37" s="389">
        <v>6074978</v>
      </c>
      <c r="Q37" s="4124">
        <f t="shared" si="10"/>
        <v>-0.47227397366706514</v>
      </c>
      <c r="R37" s="2003">
        <v>7616946.7800000003</v>
      </c>
      <c r="S37" s="2003">
        <v>6317049</v>
      </c>
      <c r="T37" s="4052">
        <v>5035921</v>
      </c>
      <c r="U37" s="4041">
        <v>1856644.6666666667</v>
      </c>
      <c r="V37" s="258">
        <v>3783812.64</v>
      </c>
      <c r="W37" s="4127">
        <f t="shared" si="11"/>
        <v>-0.50931908016812732</v>
      </c>
      <c r="X37" s="258">
        <v>3748876</v>
      </c>
      <c r="Y37" s="258">
        <v>3181768</v>
      </c>
      <c r="Z37" s="4030">
        <v>2278357</v>
      </c>
      <c r="AA37" s="4041">
        <v>6222773</v>
      </c>
      <c r="AB37" s="374">
        <v>11812048.909056</v>
      </c>
      <c r="AC37" s="4127">
        <f t="shared" si="12"/>
        <v>-0.47318428429218939</v>
      </c>
      <c r="AD37" s="374">
        <v>10836742.1184</v>
      </c>
      <c r="AE37" s="374">
        <v>8739308.1600000001</v>
      </c>
      <c r="AF37" s="375">
        <v>9499248</v>
      </c>
    </row>
    <row r="38" spans="1:33" s="9" customFormat="1" ht="23.25" customHeight="1" x14ac:dyDescent="0.25">
      <c r="A38" s="921" t="s">
        <v>358</v>
      </c>
      <c r="B38" s="921"/>
      <c r="C38" s="4045">
        <f>'Water Mangt'!L45</f>
        <v>0.96888895365034389</v>
      </c>
      <c r="D38" s="374">
        <v>3.6084000319101786</v>
      </c>
      <c r="E38" s="4124">
        <f t="shared" si="8"/>
        <v>-0.73149070361319024</v>
      </c>
      <c r="F38" s="2003">
        <v>2.0854540899672274</v>
      </c>
      <c r="G38" s="4054">
        <v>2.0429179987295147</v>
      </c>
      <c r="H38" s="4052">
        <v>1.9731765247815445</v>
      </c>
      <c r="I38" s="4045">
        <f>'Water Mangt'!G16</f>
        <v>0.15973147813722674</v>
      </c>
      <c r="J38" s="258">
        <v>6.3</v>
      </c>
      <c r="K38" s="4125">
        <f t="shared" si="9"/>
        <v>-0.97464579712107513</v>
      </c>
      <c r="L38" s="258">
        <v>4.7591257235783315</v>
      </c>
      <c r="M38" s="258">
        <v>6.7595579399159593</v>
      </c>
      <c r="N38" s="4030">
        <v>5.0477059131555988</v>
      </c>
      <c r="O38" s="4051">
        <f>'Water Mangt'!L16</f>
        <v>1.0958381695994066</v>
      </c>
      <c r="P38" s="389">
        <v>1.84</v>
      </c>
      <c r="Q38" s="4124">
        <f t="shared" si="10"/>
        <v>-0.40443577739162689</v>
      </c>
      <c r="R38" s="2003">
        <v>1.96345043316334</v>
      </c>
      <c r="S38" s="2003">
        <v>1.2989335544196914</v>
      </c>
      <c r="T38" s="4052">
        <v>0.83270777302569843</v>
      </c>
      <c r="U38" s="4041">
        <f>'Water Mangt'!Q16</f>
        <v>2.0821288056775131</v>
      </c>
      <c r="V38" s="258">
        <v>3.78</v>
      </c>
      <c r="W38" s="4127">
        <f t="shared" si="11"/>
        <v>-0.4491722736302875</v>
      </c>
      <c r="X38" s="258">
        <v>5.7740839942149433</v>
      </c>
      <c r="Y38" s="258">
        <v>4.7644024371800224</v>
      </c>
      <c r="Z38" s="4030">
        <v>2.0194655548050964</v>
      </c>
      <c r="AA38" s="4041">
        <f>'Water Mangt'!V16</f>
        <v>1.4490713096378955</v>
      </c>
      <c r="AB38" s="374">
        <v>2.15</v>
      </c>
      <c r="AC38" s="4127">
        <f t="shared" si="12"/>
        <v>-0.32601334435446716</v>
      </c>
      <c r="AD38" s="2883">
        <v>2.6615491233895736</v>
      </c>
      <c r="AE38" s="2883">
        <v>2.1464105833786884</v>
      </c>
      <c r="AF38" s="4050">
        <v>2.1488438757173181</v>
      </c>
    </row>
    <row r="39" spans="1:33" s="9" customFormat="1" ht="23.25" customHeight="1" x14ac:dyDescent="0.25">
      <c r="A39" s="4433" t="s">
        <v>1409</v>
      </c>
      <c r="B39" s="921"/>
      <c r="C39" s="4418">
        <f>'Water Mangt'!L45</f>
        <v>0.96888895365034389</v>
      </c>
      <c r="D39" s="4419">
        <f>(D37-D33)/D26</f>
        <v>1.0263682176965465</v>
      </c>
      <c r="E39" s="4420">
        <f t="shared" si="8"/>
        <v>-5.6002575932448451E-2</v>
      </c>
      <c r="F39" s="4421"/>
      <c r="G39" s="4422"/>
      <c r="H39" s="4423"/>
      <c r="I39" s="4418">
        <v>0.15893010340064179</v>
      </c>
      <c r="J39" s="4424">
        <f>(J37-J33)/J26</f>
        <v>0.10578531069526362</v>
      </c>
      <c r="K39" s="4425">
        <f t="shared" si="9"/>
        <v>0.50238348175270475</v>
      </c>
      <c r="L39" s="4424"/>
      <c r="M39" s="4424"/>
      <c r="N39" s="4426"/>
      <c r="O39" s="4427">
        <v>1.0938251560592385</v>
      </c>
      <c r="P39" s="4428">
        <f>(P37-P33)/P26</f>
        <v>1.2305628331032037</v>
      </c>
      <c r="Q39" s="4420">
        <f t="shared" si="10"/>
        <v>-0.11111799687557883</v>
      </c>
      <c r="R39" s="4421"/>
      <c r="S39" s="4421"/>
      <c r="T39" s="4423"/>
      <c r="U39" s="4429">
        <v>2.0821288056775131</v>
      </c>
      <c r="V39" s="4424">
        <f>(V37-V33)/V26</f>
        <v>1.6173144696950015</v>
      </c>
      <c r="W39" s="4430">
        <f t="shared" si="11"/>
        <v>0.28739886069909948</v>
      </c>
      <c r="X39" s="4424"/>
      <c r="Y39" s="4424"/>
      <c r="Z39" s="4426"/>
      <c r="AA39" s="4429">
        <v>1.4528990104960198</v>
      </c>
      <c r="AB39" s="4419">
        <f>(AB37-AB33)/AB26</f>
        <v>1.6462488369512291</v>
      </c>
      <c r="AC39" s="4430">
        <f t="shared" si="12"/>
        <v>-0.11744872470997983</v>
      </c>
      <c r="AD39" s="4431"/>
      <c r="AE39" s="4431"/>
      <c r="AF39" s="4432"/>
    </row>
    <row r="40" spans="1:33" s="9" customFormat="1" ht="31.5" customHeight="1" x14ac:dyDescent="0.25">
      <c r="A40" s="921" t="s">
        <v>1317</v>
      </c>
      <c r="B40" s="921"/>
      <c r="C40" s="4045">
        <f>'Water Mangt'!L58</f>
        <v>0.22150271255020254</v>
      </c>
      <c r="D40" s="374">
        <v>0.17085016944821318</v>
      </c>
      <c r="E40" s="4124">
        <f t="shared" si="8"/>
        <v>0.29647347301778809</v>
      </c>
      <c r="F40" s="2003">
        <v>0.21112201397282407</v>
      </c>
      <c r="G40" s="4054">
        <v>0.27603815000180698</v>
      </c>
      <c r="H40" s="4052">
        <v>0.21551267296523299</v>
      </c>
      <c r="I40" s="4045">
        <f>'Water Mangt'!G29</f>
        <v>5.5019458131701504E-2</v>
      </c>
      <c r="J40" s="258">
        <v>5.6946786594795828E-3</v>
      </c>
      <c r="K40" s="4125">
        <f t="shared" si="9"/>
        <v>8.6615562390186813</v>
      </c>
      <c r="L40" s="258">
        <v>1.0604417363713292E-2</v>
      </c>
      <c r="M40" s="258">
        <v>3.8300823703783078E-2</v>
      </c>
      <c r="N40" s="375">
        <v>5.0937216478051016E-2</v>
      </c>
      <c r="O40" s="4051">
        <f>'Water Mangt'!L29</f>
        <v>0.43471436826410381</v>
      </c>
      <c r="P40" s="389">
        <v>0.50837740723863001</v>
      </c>
      <c r="Q40" s="4124">
        <f t="shared" si="10"/>
        <v>-0.14489833325726276</v>
      </c>
      <c r="R40" s="2003">
        <v>0.46076777970019861</v>
      </c>
      <c r="S40" s="2003">
        <v>0.42863796245233132</v>
      </c>
      <c r="T40" s="4052">
        <v>0.30158929632939763</v>
      </c>
      <c r="U40" s="4041">
        <f>'Water Mangt'!Q29</f>
        <v>1.3744082030118332</v>
      </c>
      <c r="V40" s="258">
        <v>0.83</v>
      </c>
      <c r="W40" s="4127">
        <f t="shared" si="11"/>
        <v>0.65591349760461837</v>
      </c>
      <c r="X40" s="258">
        <v>1.3022538001013464</v>
      </c>
      <c r="Y40" s="258">
        <v>1.4194656951488498</v>
      </c>
      <c r="Z40" s="4030">
        <v>0.64173132730247706</v>
      </c>
      <c r="AA40" s="4041">
        <v>0</v>
      </c>
      <c r="AB40" s="374">
        <v>0</v>
      </c>
      <c r="AC40" s="4127">
        <f t="shared" si="12"/>
        <v>0</v>
      </c>
      <c r="AD40" s="2883">
        <v>0</v>
      </c>
      <c r="AE40" s="2883">
        <v>0</v>
      </c>
      <c r="AF40" s="4050">
        <v>0</v>
      </c>
    </row>
    <row r="41" spans="1:33" s="9" customFormat="1" ht="24.75" customHeight="1" x14ac:dyDescent="0.25">
      <c r="A41" s="921" t="s">
        <v>360</v>
      </c>
      <c r="B41" s="921"/>
      <c r="C41" s="4045">
        <f>'Water Mangt'!L49</f>
        <v>0.23584096703353713</v>
      </c>
      <c r="D41" s="374">
        <v>0.21701446071112565</v>
      </c>
      <c r="E41" s="4124">
        <f t="shared" si="8"/>
        <v>8.6752312545070431E-2</v>
      </c>
      <c r="F41" s="2003">
        <v>0.16141029932293205</v>
      </c>
      <c r="G41" s="846">
        <v>0.16549445240535435</v>
      </c>
      <c r="H41" s="4052">
        <v>0.18297344156646164</v>
      </c>
      <c r="I41" s="4045">
        <v>3.9995918106361467E-2</v>
      </c>
      <c r="J41" s="258">
        <v>3.5947425068103327E-2</v>
      </c>
      <c r="K41" s="4125">
        <f t="shared" si="9"/>
        <v>0.11262261568354799</v>
      </c>
      <c r="L41" s="258">
        <v>3.9796958714055808E-2</v>
      </c>
      <c r="M41" s="258">
        <v>7.8910060621484271E-2</v>
      </c>
      <c r="N41" s="375">
        <v>5.8605200739185855E-2</v>
      </c>
      <c r="O41" s="4051">
        <v>0.32213021249056834</v>
      </c>
      <c r="P41" s="389">
        <v>0.46600160333852053</v>
      </c>
      <c r="Q41" s="4124">
        <f t="shared" si="10"/>
        <v>-0.30873582798263205</v>
      </c>
      <c r="R41" s="2003">
        <v>0.51264922533773538</v>
      </c>
      <c r="S41" s="2003">
        <v>0.58073805666900669</v>
      </c>
      <c r="T41" s="4052">
        <v>0.36579974519006986</v>
      </c>
      <c r="U41" s="4041">
        <v>1.3917158701588529E-2</v>
      </c>
      <c r="V41" s="258">
        <v>7.2111287205488817E-2</v>
      </c>
      <c r="W41" s="4127">
        <f t="shared" si="11"/>
        <v>-0.80700443382836728</v>
      </c>
      <c r="X41" s="258">
        <v>0.11068002137821732</v>
      </c>
      <c r="Y41" s="258">
        <v>0.11670043319991436</v>
      </c>
      <c r="Z41" s="4030">
        <v>0.11416258493633209</v>
      </c>
      <c r="AA41" s="4041">
        <v>0.41772662158071511</v>
      </c>
      <c r="AB41" s="374">
        <v>0.26</v>
      </c>
      <c r="AC41" s="4127">
        <f t="shared" si="12"/>
        <v>0.6066408522335196</v>
      </c>
      <c r="AD41" s="2883">
        <v>0.32322057730735304</v>
      </c>
      <c r="AE41" s="2883">
        <v>0.26066175589302665</v>
      </c>
      <c r="AF41" s="4050">
        <v>0.2609572567904318</v>
      </c>
    </row>
    <row r="42" spans="1:33" s="9" customFormat="1" ht="21.75" customHeight="1" x14ac:dyDescent="0.25">
      <c r="A42" s="921" t="s">
        <v>444</v>
      </c>
      <c r="B42" s="921"/>
      <c r="C42" s="4045"/>
      <c r="D42" s="374">
        <v>0.85551804824833277</v>
      </c>
      <c r="E42" s="4124">
        <f t="shared" si="8"/>
        <v>-1</v>
      </c>
      <c r="F42" s="2003">
        <v>0.64866663725848817</v>
      </c>
      <c r="G42" s="846">
        <v>0.70434175655606956</v>
      </c>
      <c r="H42" s="4052">
        <v>0.94042160632348104</v>
      </c>
      <c r="I42" s="4045"/>
      <c r="J42" s="258">
        <v>0.1039106207051213</v>
      </c>
      <c r="K42" s="4125">
        <f t="shared" si="9"/>
        <v>-1</v>
      </c>
      <c r="L42" s="258">
        <v>0.10220145961503045</v>
      </c>
      <c r="M42" s="258">
        <v>0.20362088111483592</v>
      </c>
      <c r="N42" s="375">
        <v>0.19126569467601298</v>
      </c>
      <c r="O42" s="4051"/>
      <c r="P42" s="389">
        <v>0.65911066186169998</v>
      </c>
      <c r="Q42" s="4124">
        <f t="shared" si="10"/>
        <v>-1</v>
      </c>
      <c r="R42" s="2003">
        <v>0.6612095062907154</v>
      </c>
      <c r="S42" s="2003">
        <v>1.0093760191213379</v>
      </c>
      <c r="T42" s="4052">
        <v>0.66738904151946754</v>
      </c>
      <c r="U42" s="4041"/>
      <c r="V42" s="258">
        <v>0.78265043578362115</v>
      </c>
      <c r="W42" s="4127">
        <f t="shared" si="11"/>
        <v>-1</v>
      </c>
      <c r="X42" s="258">
        <v>1.1449606397446936</v>
      </c>
      <c r="Y42" s="258">
        <v>0.72219951154575857</v>
      </c>
      <c r="Z42" s="4030">
        <v>0.95055123302824507</v>
      </c>
      <c r="AA42" s="4041"/>
      <c r="AB42" s="374">
        <v>1.65</v>
      </c>
      <c r="AC42" s="4127">
        <f t="shared" si="12"/>
        <v>-1</v>
      </c>
      <c r="AD42" s="2883">
        <v>2.0384947509475411</v>
      </c>
      <c r="AE42" s="2883">
        <v>1.6439473797964039</v>
      </c>
      <c r="AF42" s="4050">
        <v>1.6458110514514668</v>
      </c>
    </row>
    <row r="43" spans="1:33" s="9" customFormat="1" ht="18.75" customHeight="1" x14ac:dyDescent="0.25">
      <c r="A43" s="921" t="s">
        <v>361</v>
      </c>
      <c r="B43" s="921"/>
      <c r="C43" s="4193">
        <f>'Water Mangt'!L54</f>
        <v>81.129489075396293</v>
      </c>
      <c r="D43" s="3923">
        <v>0.71556140987139449</v>
      </c>
      <c r="E43" s="4124">
        <f>C43-D43</f>
        <v>80.413927665524895</v>
      </c>
      <c r="F43" s="4053">
        <v>0.58772113211812604</v>
      </c>
      <c r="G43" s="4055">
        <v>0.52010804781808562</v>
      </c>
      <c r="H43" s="4056">
        <v>0.5233971241231965</v>
      </c>
      <c r="I43" s="3914">
        <v>0.97833494092670603</v>
      </c>
      <c r="J43" s="4048">
        <v>0.98321121735220396</v>
      </c>
      <c r="K43" s="4125">
        <f>I43-J43</f>
        <v>-4.8762764254979274E-3</v>
      </c>
      <c r="L43" s="4048">
        <v>0.97629460585089811</v>
      </c>
      <c r="M43" s="4048">
        <v>0.96421042515368593</v>
      </c>
      <c r="N43" s="3915">
        <v>0.96210839181864261</v>
      </c>
      <c r="O43" s="4057">
        <v>0.33873987150705698</v>
      </c>
      <c r="P43" s="4058">
        <v>0.33210000000000001</v>
      </c>
      <c r="Q43" s="4124">
        <f>O43-P43</f>
        <v>6.6398715070569714E-3</v>
      </c>
      <c r="R43" s="4053">
        <v>0.42856857140860843</v>
      </c>
      <c r="S43" s="4053">
        <v>0.22291943595815072</v>
      </c>
      <c r="T43" s="4056">
        <v>0.19853150992638685</v>
      </c>
      <c r="U43" s="4059">
        <v>0.49225455686424402</v>
      </c>
      <c r="V43" s="4048">
        <v>0.572259835782989</v>
      </c>
      <c r="W43" s="4127">
        <f>U43-V43</f>
        <v>-8.0005278918744982E-2</v>
      </c>
      <c r="X43" s="4048">
        <v>0.57617269816339622</v>
      </c>
      <c r="Y43" s="4048">
        <v>0.55048608195192106</v>
      </c>
      <c r="Z43" s="4049">
        <v>0.52930554781362182</v>
      </c>
      <c r="AA43" s="4059">
        <v>0.73860550632906097</v>
      </c>
      <c r="AB43" s="3923">
        <v>0.23409463570168926</v>
      </c>
      <c r="AC43" s="4127">
        <f>AA43-AB43</f>
        <v>0.50451087062737177</v>
      </c>
      <c r="AD43" s="3923">
        <v>0.23409463570168923</v>
      </c>
      <c r="AE43" s="3923">
        <v>0.2340946357016892</v>
      </c>
      <c r="AF43" s="3915">
        <v>0.23409463570168923</v>
      </c>
    </row>
    <row r="44" spans="1:33" ht="25.5" customHeight="1" x14ac:dyDescent="0.25">
      <c r="A44" s="4093" t="s">
        <v>1324</v>
      </c>
      <c r="B44" s="4093"/>
      <c r="C44" s="4045">
        <f>'Water Mangt'!L50</f>
        <v>0.51154527406660411</v>
      </c>
      <c r="D44" s="374">
        <v>0.63850358081166192</v>
      </c>
      <c r="E44" s="4124">
        <f t="shared" si="8"/>
        <v>-0.19883726663469792</v>
      </c>
      <c r="F44" s="374"/>
      <c r="G44" s="374"/>
      <c r="H44" s="375"/>
      <c r="I44" s="4045">
        <v>6.3914702598759837E-2</v>
      </c>
      <c r="J44" s="258">
        <v>6.4143206967680708E-2</v>
      </c>
      <c r="K44" s="4125">
        <f t="shared" si="9"/>
        <v>-3.5624094853256246E-3</v>
      </c>
      <c r="L44" s="258"/>
      <c r="M44" s="258"/>
      <c r="N44" s="375"/>
      <c r="O44" s="4045">
        <v>0.3369804493711317</v>
      </c>
      <c r="P44" s="374">
        <v>0.25618382252605315</v>
      </c>
      <c r="Q44" s="4124">
        <f t="shared" si="10"/>
        <v>0.3153853590300838</v>
      </c>
      <c r="R44" s="374"/>
      <c r="S44" s="374"/>
      <c r="T44" s="375"/>
      <c r="U44" s="4045">
        <v>0.69380344396409122</v>
      </c>
      <c r="V44" s="258">
        <v>0.71053914857813227</v>
      </c>
      <c r="W44" s="4127">
        <f t="shared" si="11"/>
        <v>-2.3553529242591433E-2</v>
      </c>
      <c r="X44" s="258"/>
      <c r="Y44" s="258"/>
      <c r="Z44" s="4030"/>
      <c r="AA44" s="4041">
        <v>1.0351723889153046</v>
      </c>
      <c r="AB44" s="374">
        <v>1.39</v>
      </c>
      <c r="AC44" s="4127">
        <f t="shared" si="12"/>
        <v>-0.25527166265085993</v>
      </c>
      <c r="AD44" s="374"/>
      <c r="AE44" s="374"/>
      <c r="AF44" s="375"/>
    </row>
    <row r="45" spans="1:33" ht="22.5" x14ac:dyDescent="0.25">
      <c r="A45" s="4065" t="s">
        <v>1323</v>
      </c>
      <c r="B45" s="922"/>
      <c r="C45" s="4045">
        <f>'Water Mangt'!L51</f>
        <v>0.96888895365034389</v>
      </c>
      <c r="D45" s="374"/>
      <c r="E45" s="4124">
        <f t="shared" si="8"/>
        <v>0</v>
      </c>
      <c r="F45" s="374"/>
      <c r="G45" s="374"/>
      <c r="H45" s="375"/>
      <c r="I45" s="4041">
        <v>0.15893006583057109</v>
      </c>
      <c r="J45" s="258"/>
      <c r="K45" s="4125">
        <f t="shared" si="9"/>
        <v>0</v>
      </c>
      <c r="L45" s="258"/>
      <c r="M45" s="258"/>
      <c r="N45" s="4030"/>
      <c r="O45" s="4041">
        <v>1.0938249470668182</v>
      </c>
      <c r="P45" s="258"/>
      <c r="Q45" s="4124">
        <f t="shared" si="10"/>
        <v>0</v>
      </c>
      <c r="R45" s="258"/>
      <c r="S45" s="258"/>
      <c r="T45" s="4030"/>
      <c r="U45" s="4041">
        <v>2.0821288056775131</v>
      </c>
      <c r="V45" s="258"/>
      <c r="W45" s="4127">
        <f t="shared" si="11"/>
        <v>0</v>
      </c>
      <c r="X45" s="258"/>
      <c r="Y45" s="258"/>
      <c r="Z45" s="4030"/>
      <c r="AA45" s="4041">
        <v>1.4528990104960198</v>
      </c>
      <c r="AB45" s="374"/>
      <c r="AC45" s="4127">
        <f t="shared" si="12"/>
        <v>0</v>
      </c>
      <c r="AD45" s="374"/>
      <c r="AE45" s="374"/>
      <c r="AF45" s="4105"/>
    </row>
    <row r="46" spans="1:33" ht="33.75" x14ac:dyDescent="0.25">
      <c r="A46" s="4093" t="s">
        <v>295</v>
      </c>
      <c r="B46" s="922"/>
      <c r="C46" s="4045">
        <f>'Water Mangt'!L53</f>
        <v>4.1655186812117835</v>
      </c>
      <c r="D46" s="374">
        <v>2.5820318142136323</v>
      </c>
      <c r="E46" s="4124">
        <f t="shared" si="8"/>
        <v>0.61327163293702802</v>
      </c>
      <c r="F46" s="374"/>
      <c r="G46" s="374"/>
      <c r="H46" s="375"/>
      <c r="I46" s="4110">
        <v>7.1768480316534751</v>
      </c>
      <c r="J46" s="258">
        <v>6.2</v>
      </c>
      <c r="K46" s="4125">
        <f t="shared" si="9"/>
        <v>0.15755613413765723</v>
      </c>
      <c r="L46" s="258"/>
      <c r="M46" s="258"/>
      <c r="N46" s="4030"/>
      <c r="O46" s="4041">
        <v>0.56032732967746401</v>
      </c>
      <c r="P46" s="258">
        <v>0.61198862111058594</v>
      </c>
      <c r="Q46" s="4124">
        <f t="shared" si="10"/>
        <v>-8.4415444423413172E-2</v>
      </c>
      <c r="R46" s="258"/>
      <c r="S46" s="258"/>
      <c r="T46" s="4030"/>
      <c r="U46" s="4041">
        <v>2.0186048076437837</v>
      </c>
      <c r="V46" s="258">
        <v>2.1637531152383369</v>
      </c>
      <c r="W46" s="4127">
        <f t="shared" si="11"/>
        <v>-6.7081732463994709E-2</v>
      </c>
      <c r="X46" s="258"/>
      <c r="Y46" s="258"/>
      <c r="Z46" s="4030"/>
      <c r="AA46" s="4041">
        <v>4.1053627190912358</v>
      </c>
      <c r="AB46" s="374">
        <v>0.5</v>
      </c>
      <c r="AC46" s="4127">
        <f t="shared" si="12"/>
        <v>7.2107254381824717</v>
      </c>
      <c r="AD46" s="374"/>
      <c r="AE46" s="374"/>
      <c r="AF46" s="4105"/>
      <c r="AG46" s="1"/>
    </row>
    <row r="47" spans="1:33" ht="22.5" x14ac:dyDescent="0.25">
      <c r="A47" s="4065" t="s">
        <v>1326</v>
      </c>
      <c r="B47" s="922"/>
      <c r="C47" s="4080">
        <f>'Water Mangt'!L52</f>
        <v>1.0650532666119212</v>
      </c>
      <c r="D47" s="4081"/>
      <c r="E47" s="4124">
        <f t="shared" si="8"/>
        <v>0</v>
      </c>
      <c r="F47" s="4081"/>
      <c r="G47" s="4081"/>
      <c r="H47" s="4083"/>
      <c r="I47" s="4101">
        <v>0.1822428322941162</v>
      </c>
      <c r="J47" s="4082"/>
      <c r="K47" s="4125">
        <f t="shared" si="9"/>
        <v>0</v>
      </c>
      <c r="L47" s="4082"/>
      <c r="M47" s="4082"/>
      <c r="N47" s="4084"/>
      <c r="O47" s="4085">
        <v>1.0938249470668182</v>
      </c>
      <c r="P47" s="4082"/>
      <c r="Q47" s="4124">
        <f t="shared" si="10"/>
        <v>0</v>
      </c>
      <c r="R47" s="4082"/>
      <c r="S47" s="4082"/>
      <c r="T47" s="4084"/>
      <c r="U47" s="4085">
        <v>1.6682991198509223</v>
      </c>
      <c r="V47" s="4082"/>
      <c r="W47" s="4127">
        <f t="shared" si="11"/>
        <v>0</v>
      </c>
      <c r="X47" s="4082"/>
      <c r="Y47" s="4082"/>
      <c r="Z47" s="4084"/>
      <c r="AA47" s="4085">
        <v>1.7913441370421161</v>
      </c>
      <c r="AB47" s="4081"/>
      <c r="AC47" s="4127">
        <f t="shared" si="12"/>
        <v>0</v>
      </c>
      <c r="AD47" s="4081"/>
      <c r="AE47" s="4081"/>
      <c r="AF47" s="4106"/>
      <c r="AG47" s="1"/>
    </row>
    <row r="48" spans="1:33" x14ac:dyDescent="0.25">
      <c r="I48" s="427"/>
      <c r="J48" s="39"/>
      <c r="K48" s="427"/>
      <c r="L48" s="2003"/>
      <c r="M48" s="39"/>
      <c r="N48" s="116"/>
      <c r="O48" s="116"/>
      <c r="P48" s="116"/>
      <c r="Q48" s="116"/>
      <c r="R48" s="39"/>
      <c r="S48" s="39"/>
      <c r="T48" s="39"/>
      <c r="U48" s="39"/>
      <c r="V48" s="39"/>
      <c r="W48" s="39"/>
      <c r="X48" s="39"/>
      <c r="Y48" s="39"/>
      <c r="Z48" s="39"/>
      <c r="AA48" s="39"/>
    </row>
    <row r="49" spans="1:29" s="9" customFormat="1" ht="15.75" thickBot="1" x14ac:dyDescent="0.3">
      <c r="I49" s="427"/>
      <c r="J49" s="39"/>
      <c r="K49" s="427"/>
      <c r="L49" s="2003"/>
      <c r="M49" s="39"/>
      <c r="N49" s="116"/>
      <c r="O49" s="116"/>
      <c r="P49" s="116"/>
      <c r="Q49" s="116"/>
      <c r="R49" s="39"/>
      <c r="S49" s="39"/>
      <c r="T49" s="39"/>
      <c r="U49" s="39"/>
      <c r="V49" s="39"/>
      <c r="W49" s="39"/>
      <c r="X49" s="39"/>
      <c r="Y49" s="39"/>
      <c r="Z49" s="39"/>
      <c r="AA49" s="39"/>
    </row>
    <row r="50" spans="1:29" s="9" customFormat="1" ht="15" customHeight="1" x14ac:dyDescent="0.25">
      <c r="A50" s="5279" t="s">
        <v>1389</v>
      </c>
      <c r="B50" s="5280"/>
      <c r="C50" s="5280"/>
      <c r="D50" s="5280"/>
      <c r="E50" s="5280"/>
      <c r="F50" s="5280"/>
      <c r="G50" s="5280"/>
      <c r="H50" s="5281"/>
      <c r="J50" s="5279" t="s">
        <v>1389</v>
      </c>
      <c r="K50" s="5280"/>
      <c r="L50" s="5280"/>
      <c r="M50" s="5280"/>
      <c r="N50" s="5280"/>
      <c r="O50" s="5280"/>
      <c r="P50" s="5280"/>
      <c r="Q50" s="5281"/>
      <c r="S50" s="5279" t="s">
        <v>1389</v>
      </c>
      <c r="T50" s="5280"/>
      <c r="U50" s="5280"/>
      <c r="V50" s="5280"/>
      <c r="W50" s="5280"/>
      <c r="X50" s="5280"/>
      <c r="Y50" s="5280"/>
      <c r="Z50" s="5281"/>
      <c r="AA50" s="4473"/>
      <c r="AB50" s="4473"/>
      <c r="AC50" s="4473"/>
    </row>
    <row r="51" spans="1:29" s="9" customFormat="1" x14ac:dyDescent="0.25">
      <c r="A51" s="5282"/>
      <c r="B51" s="4990"/>
      <c r="C51" s="4990"/>
      <c r="D51" s="4990"/>
      <c r="E51" s="4990"/>
      <c r="F51" s="4990"/>
      <c r="G51" s="4990"/>
      <c r="H51" s="5283"/>
      <c r="J51" s="5282"/>
      <c r="K51" s="4990"/>
      <c r="L51" s="4990"/>
      <c r="M51" s="4990"/>
      <c r="N51" s="4990"/>
      <c r="O51" s="4990"/>
      <c r="P51" s="4990"/>
      <c r="Q51" s="5283"/>
      <c r="S51" s="5282"/>
      <c r="T51" s="4990"/>
      <c r="U51" s="4990"/>
      <c r="V51" s="4990"/>
      <c r="W51" s="4990"/>
      <c r="X51" s="4990"/>
      <c r="Y51" s="4990"/>
      <c r="Z51" s="5283"/>
      <c r="AA51" s="4473"/>
      <c r="AB51" s="4473"/>
      <c r="AC51" s="4473"/>
    </row>
    <row r="52" spans="1:29" s="9" customFormat="1" ht="15.75" thickBot="1" x14ac:dyDescent="0.3">
      <c r="A52" s="5284"/>
      <c r="B52" s="5285"/>
      <c r="C52" s="5285"/>
      <c r="D52" s="5285"/>
      <c r="E52" s="5285"/>
      <c r="F52" s="5285"/>
      <c r="G52" s="5285"/>
      <c r="H52" s="5286"/>
      <c r="J52" s="5284"/>
      <c r="K52" s="5285"/>
      <c r="L52" s="5285"/>
      <c r="M52" s="5285"/>
      <c r="N52" s="5285"/>
      <c r="O52" s="5285"/>
      <c r="P52" s="5285"/>
      <c r="Q52" s="5286"/>
      <c r="S52" s="5284"/>
      <c r="T52" s="5285"/>
      <c r="U52" s="5285"/>
      <c r="V52" s="5285"/>
      <c r="W52" s="5285"/>
      <c r="X52" s="5285"/>
      <c r="Y52" s="5285"/>
      <c r="Z52" s="5286"/>
      <c r="AA52" s="4473"/>
      <c r="AB52" s="4473"/>
      <c r="AC52" s="4473"/>
    </row>
    <row r="53" spans="1:29" s="9" customFormat="1" ht="33" customHeight="1" x14ac:dyDescent="0.25">
      <c r="A53" s="5287" t="s">
        <v>1388</v>
      </c>
      <c r="B53" s="5288"/>
      <c r="C53" s="5288"/>
      <c r="D53" s="5288"/>
      <c r="E53" s="5288"/>
      <c r="F53" s="5288"/>
      <c r="G53" s="5288"/>
      <c r="H53" s="5289"/>
      <c r="J53" s="5287" t="s">
        <v>848</v>
      </c>
      <c r="K53" s="5288"/>
      <c r="L53" s="5288"/>
      <c r="M53" s="5288"/>
      <c r="N53" s="5288"/>
      <c r="O53" s="5288"/>
      <c r="P53" s="5288"/>
      <c r="Q53" s="5289"/>
      <c r="S53" s="5287" t="s">
        <v>1430</v>
      </c>
      <c r="T53" s="5288"/>
      <c r="U53" s="5288"/>
      <c r="V53" s="5288"/>
      <c r="W53" s="5288"/>
      <c r="X53" s="5288"/>
      <c r="Y53" s="5288"/>
      <c r="Z53" s="5289"/>
      <c r="AA53" s="2113"/>
      <c r="AB53" s="2113"/>
      <c r="AC53" s="2113"/>
    </row>
    <row r="54" spans="1:29" s="9" customFormat="1" ht="24" thickBot="1" x14ac:dyDescent="0.3">
      <c r="A54" s="2135"/>
      <c r="B54" s="2136" t="s">
        <v>530</v>
      </c>
      <c r="C54" s="2136" t="s">
        <v>1412</v>
      </c>
      <c r="D54" s="2136" t="s">
        <v>1413</v>
      </c>
      <c r="E54" s="2136" t="s">
        <v>1411</v>
      </c>
      <c r="F54" s="2136" t="s">
        <v>1414</v>
      </c>
      <c r="G54" s="2137" t="s">
        <v>1415</v>
      </c>
      <c r="H54" s="4516" t="s">
        <v>1431</v>
      </c>
      <c r="J54" s="2135"/>
      <c r="K54" s="2136" t="s">
        <v>530</v>
      </c>
      <c r="L54" s="2136" t="s">
        <v>1412</v>
      </c>
      <c r="M54" s="2136" t="s">
        <v>1413</v>
      </c>
      <c r="N54" s="2136" t="s">
        <v>1411</v>
      </c>
      <c r="O54" s="2136" t="s">
        <v>1414</v>
      </c>
      <c r="P54" s="2137" t="s">
        <v>1415</v>
      </c>
      <c r="Q54" s="4471" t="s">
        <v>1416</v>
      </c>
      <c r="S54" s="2135"/>
      <c r="T54" s="2136" t="s">
        <v>530</v>
      </c>
      <c r="U54" s="2136" t="s">
        <v>1412</v>
      </c>
      <c r="V54" s="2136" t="s">
        <v>1413</v>
      </c>
      <c r="W54" s="2136" t="s">
        <v>1411</v>
      </c>
      <c r="X54" s="2136" t="s">
        <v>1414</v>
      </c>
      <c r="Y54" s="2137" t="s">
        <v>1415</v>
      </c>
      <c r="Z54" s="4471" t="s">
        <v>1429</v>
      </c>
      <c r="AA54" s="2116"/>
      <c r="AB54" s="2116"/>
      <c r="AC54" s="842"/>
    </row>
    <row r="55" spans="1:29" s="9" customFormat="1" x14ac:dyDescent="0.25">
      <c r="A55" s="4524" t="s">
        <v>528</v>
      </c>
      <c r="B55" s="4474">
        <f>'Water Mangt'!G6</f>
        <v>172582</v>
      </c>
      <c r="C55" s="4474">
        <f>'Water Mangt'!G7</f>
        <v>270374</v>
      </c>
      <c r="D55" s="4474">
        <f>'Water Mangt'!G11</f>
        <v>232745</v>
      </c>
      <c r="E55" s="4474">
        <f>'Water Mangt'!G14</f>
        <v>814.2</v>
      </c>
      <c r="F55" s="4474">
        <f>'Water Mangt'!G10</f>
        <v>30359729.933999997</v>
      </c>
      <c r="G55" s="4476">
        <f>'Water Mangt'!G13</f>
        <v>675701</v>
      </c>
      <c r="H55" s="4475">
        <f t="shared" ref="H55:H60" si="13">G55+F55</f>
        <v>31035430.933999997</v>
      </c>
      <c r="J55" s="4466" t="s">
        <v>528</v>
      </c>
      <c r="K55" s="4474">
        <v>182449</v>
      </c>
      <c r="L55" s="4474">
        <v>325555</v>
      </c>
      <c r="M55" s="4474">
        <v>28903</v>
      </c>
      <c r="N55" s="4474">
        <v>468</v>
      </c>
      <c r="O55" s="4474">
        <v>31443196.100000001</v>
      </c>
      <c r="P55" s="4475">
        <v>31980103.100000001</v>
      </c>
      <c r="Q55" s="4472"/>
      <c r="S55" s="4466" t="s">
        <v>528</v>
      </c>
      <c r="T55" s="4347">
        <v>165171</v>
      </c>
      <c r="U55" s="4347">
        <v>259264</v>
      </c>
      <c r="V55" s="4347">
        <v>44049</v>
      </c>
      <c r="W55" s="4347"/>
      <c r="X55" s="4348">
        <v>19300000</v>
      </c>
      <c r="Y55" s="4349">
        <v>19768484</v>
      </c>
      <c r="Z55" s="4472"/>
      <c r="AA55" s="843"/>
      <c r="AB55" s="2003"/>
      <c r="AC55" s="2003"/>
    </row>
    <row r="56" spans="1:29" s="9" customFormat="1" x14ac:dyDescent="0.25">
      <c r="A56" s="4525" t="s">
        <v>524</v>
      </c>
      <c r="B56" s="1245">
        <f>'Water Mangt'!L6</f>
        <v>950041</v>
      </c>
      <c r="C56" s="1245">
        <f>'Water Mangt'!L7</f>
        <v>987666</v>
      </c>
      <c r="D56" s="1245">
        <f>'Water Mangt'!L11</f>
        <v>1274117</v>
      </c>
      <c r="E56" s="1245">
        <f>'Water Mangt'!L14</f>
        <v>332.5</v>
      </c>
      <c r="F56" s="1245">
        <f>'Water Mangt'!L10</f>
        <v>1642280</v>
      </c>
      <c r="G56" s="4476">
        <f>'Water Mangt'!L13</f>
        <v>3211824</v>
      </c>
      <c r="H56" s="4475">
        <f t="shared" si="13"/>
        <v>4854104</v>
      </c>
      <c r="J56" s="4467" t="s">
        <v>524</v>
      </c>
      <c r="K56" s="1245">
        <v>1536429</v>
      </c>
      <c r="L56" s="1245">
        <v>844650</v>
      </c>
      <c r="M56" s="1245">
        <v>1676144</v>
      </c>
      <c r="N56" s="1245">
        <v>219</v>
      </c>
      <c r="O56" s="1245">
        <v>2017755</v>
      </c>
      <c r="P56" s="4475">
        <v>6074978</v>
      </c>
      <c r="Q56" s="4472"/>
      <c r="S56" s="4467" t="s">
        <v>524</v>
      </c>
      <c r="T56" s="1244">
        <v>1988118</v>
      </c>
      <c r="U56" s="1244">
        <v>576320</v>
      </c>
      <c r="V56" s="1244">
        <v>1787487.7777777778</v>
      </c>
      <c r="W56" s="1244"/>
      <c r="X56" s="4350">
        <v>3264384</v>
      </c>
      <c r="Y56" s="4349">
        <v>7616309.777777778</v>
      </c>
      <c r="Z56" s="4472"/>
      <c r="AA56" s="842"/>
      <c r="AB56" s="2003"/>
      <c r="AC56" s="2003"/>
    </row>
    <row r="57" spans="1:29" s="9" customFormat="1" x14ac:dyDescent="0.25">
      <c r="A57" s="4525" t="s">
        <v>525</v>
      </c>
      <c r="B57" s="1245">
        <f>'Water Mangt'!Q6</f>
        <v>12410</v>
      </c>
      <c r="C57" s="1245">
        <f>'Water Mangt'!Q7</f>
        <v>618668</v>
      </c>
      <c r="D57" s="1245">
        <f>'Water Mangt'!Q11</f>
        <v>1225566.6666666667</v>
      </c>
      <c r="E57" s="1245">
        <f>'Water Mangt'!Q14</f>
        <v>339</v>
      </c>
      <c r="F57" s="1245">
        <f>'Water Mangt'!Q10</f>
        <v>1800000</v>
      </c>
      <c r="G57" s="4476">
        <f>'Water Mangt'!Q13</f>
        <v>1856644.6666666667</v>
      </c>
      <c r="H57" s="4475">
        <f t="shared" si="13"/>
        <v>3656644.666666667</v>
      </c>
      <c r="J57" s="4467" t="s">
        <v>525</v>
      </c>
      <c r="K57" s="1245">
        <v>72163.64</v>
      </c>
      <c r="L57" s="1245">
        <v>711055</v>
      </c>
      <c r="M57" s="1245">
        <v>835270</v>
      </c>
      <c r="N57" s="1245">
        <v>419</v>
      </c>
      <c r="O57" s="1245">
        <v>2165324</v>
      </c>
      <c r="P57" s="4475">
        <v>3783812.6399999997</v>
      </c>
      <c r="Q57" s="4472"/>
      <c r="S57" s="4467" t="s">
        <v>525</v>
      </c>
      <c r="T57" s="4351">
        <v>71790</v>
      </c>
      <c r="U57" s="1244">
        <v>671516</v>
      </c>
      <c r="V57" s="4351">
        <v>845500</v>
      </c>
      <c r="W57" s="1244"/>
      <c r="X57" s="4350">
        <v>2160000</v>
      </c>
      <c r="Y57" s="4349">
        <v>3748806</v>
      </c>
      <c r="Z57" s="4472"/>
      <c r="AA57" s="842"/>
      <c r="AB57" s="2003"/>
      <c r="AC57" s="2003"/>
    </row>
    <row r="58" spans="1:29" s="9" customFormat="1" x14ac:dyDescent="0.25">
      <c r="A58" s="4525" t="s">
        <v>527</v>
      </c>
      <c r="B58" s="1245">
        <f>'Water Mangt'!V6</f>
        <v>1772730.94</v>
      </c>
      <c r="C58" s="1245">
        <f>'Water Mangt'!V7</f>
        <v>4433648</v>
      </c>
      <c r="D58" s="1245">
        <v>0</v>
      </c>
      <c r="E58" s="1245">
        <f>'Water Mangt'!V14</f>
        <v>808.1</v>
      </c>
      <c r="F58" s="1245">
        <f>'Water Mangt'!V10</f>
        <v>17583287</v>
      </c>
      <c r="G58" s="4476">
        <f>'Water Mangt'!V13</f>
        <v>6206378.9400000004</v>
      </c>
      <c r="H58" s="4475">
        <f t="shared" si="13"/>
        <v>23789665.940000001</v>
      </c>
      <c r="J58" s="4467" t="s">
        <v>527</v>
      </c>
      <c r="K58" s="1245">
        <v>1434464.325312</v>
      </c>
      <c r="L58" s="1245">
        <v>7612447</v>
      </c>
      <c r="M58" s="1245">
        <v>0</v>
      </c>
      <c r="N58" s="1245">
        <v>486</v>
      </c>
      <c r="O58" s="1245">
        <v>2765137.29</v>
      </c>
      <c r="P58" s="4475">
        <v>11812048.615311999</v>
      </c>
      <c r="Q58" s="4472"/>
      <c r="S58" s="4467" t="s">
        <v>527</v>
      </c>
      <c r="T58" s="4351">
        <v>1316022.3167999999</v>
      </c>
      <c r="U58" s="4351">
        <v>6983896.6031999998</v>
      </c>
      <c r="V58" s="1244">
        <v>0</v>
      </c>
      <c r="W58" s="4351"/>
      <c r="X58" s="4350">
        <v>2536823.1984000001</v>
      </c>
      <c r="Y58" s="4349">
        <v>10836742.1184</v>
      </c>
      <c r="Z58" s="4472"/>
      <c r="AA58" s="843"/>
      <c r="AB58" s="2003"/>
      <c r="AC58" s="2003"/>
    </row>
    <row r="59" spans="1:29" s="9" customFormat="1" ht="25.5" x14ac:dyDescent="0.25">
      <c r="A59" s="4526" t="s">
        <v>849</v>
      </c>
      <c r="B59" s="4350">
        <f>'Water Mangt'!AK6</f>
        <v>1539.57</v>
      </c>
      <c r="C59" s="4350">
        <v>0</v>
      </c>
      <c r="D59" s="4350">
        <v>0</v>
      </c>
      <c r="E59" s="4350">
        <v>0</v>
      </c>
      <c r="F59" s="4350">
        <v>0</v>
      </c>
      <c r="G59" s="4470">
        <f>'Water Mangt'!AK13</f>
        <v>1539.57</v>
      </c>
      <c r="H59" s="4475">
        <f t="shared" si="13"/>
        <v>1539.57</v>
      </c>
      <c r="J59" s="4468" t="s">
        <v>849</v>
      </c>
      <c r="K59" s="1245">
        <v>1213.3499999999999</v>
      </c>
      <c r="L59" s="1245">
        <v>0</v>
      </c>
      <c r="M59" s="1245">
        <v>0</v>
      </c>
      <c r="N59" s="1245">
        <v>0</v>
      </c>
      <c r="O59" s="1245">
        <v>0</v>
      </c>
      <c r="P59" s="4475">
        <v>1213.3499999999999</v>
      </c>
      <c r="Q59" s="4472"/>
      <c r="S59" s="4468" t="s">
        <v>849</v>
      </c>
      <c r="T59" s="1244">
        <v>0</v>
      </c>
      <c r="U59" s="1244">
        <v>0</v>
      </c>
      <c r="V59" s="1244">
        <v>0</v>
      </c>
      <c r="W59" s="4351">
        <v>0</v>
      </c>
      <c r="X59" s="4350">
        <v>0</v>
      </c>
      <c r="Y59" s="4349">
        <v>0</v>
      </c>
      <c r="Z59" s="4472">
        <v>0</v>
      </c>
      <c r="AA59" s="843"/>
      <c r="AB59" s="2003"/>
      <c r="AC59" s="2003"/>
    </row>
    <row r="60" spans="1:29" s="9" customFormat="1" ht="15.75" thickBot="1" x14ac:dyDescent="0.3">
      <c r="A60" s="4527" t="s">
        <v>143</v>
      </c>
      <c r="B60" s="4503">
        <f>'Water Mangt'!L35</f>
        <v>2909303.51</v>
      </c>
      <c r="C60" s="4503">
        <f>'Water Mangt'!L36</f>
        <v>6310356</v>
      </c>
      <c r="D60" s="4503">
        <f>'Water Mangt'!L40</f>
        <v>2732428.666666667</v>
      </c>
      <c r="E60" s="4503">
        <f>'Water Mangt'!L43</f>
        <v>2293.8000000000002</v>
      </c>
      <c r="F60" s="4503">
        <f>'Water Mangt'!L39</f>
        <v>51385296.934</v>
      </c>
      <c r="G60" s="4517">
        <f>'Water Mangt'!L42</f>
        <v>11952088.176666668</v>
      </c>
      <c r="H60" s="4518">
        <f t="shared" si="13"/>
        <v>63337385.11066667</v>
      </c>
      <c r="J60" s="4469" t="s">
        <v>143</v>
      </c>
      <c r="K60" s="1646">
        <v>3226719.315312</v>
      </c>
      <c r="L60" s="1646">
        <v>9493707</v>
      </c>
      <c r="M60" s="1646">
        <v>2540317</v>
      </c>
      <c r="N60" s="1646">
        <v>1591.8</v>
      </c>
      <c r="O60" s="1646">
        <v>38391412.390000001</v>
      </c>
      <c r="P60" s="1657">
        <v>53652155.705311999</v>
      </c>
      <c r="Q60" s="4477">
        <f>K60+L60</f>
        <v>12720426.315312</v>
      </c>
      <c r="S60" s="4501" t="s">
        <v>143</v>
      </c>
      <c r="T60" s="4502">
        <v>3666103.3168000001</v>
      </c>
      <c r="U60" s="4502">
        <v>9006202.6031999998</v>
      </c>
      <c r="V60" s="4502">
        <v>4795202.777777778</v>
      </c>
      <c r="W60" s="4502">
        <v>2546.4</v>
      </c>
      <c r="X60" s="4503">
        <v>27838472.198399998</v>
      </c>
      <c r="Y60" s="4504">
        <v>47366804.896177776</v>
      </c>
      <c r="Z60" s="4505">
        <f>Z61</f>
        <v>2060824</v>
      </c>
      <c r="AA60" s="843"/>
      <c r="AB60" s="2003"/>
      <c r="AC60" s="4465"/>
    </row>
    <row r="61" spans="1:29" s="9" customFormat="1" ht="33.75" customHeight="1" thickBot="1" x14ac:dyDescent="0.3">
      <c r="A61" s="5290" t="s">
        <v>1427</v>
      </c>
      <c r="B61" s="5290"/>
      <c r="C61" s="5290"/>
      <c r="D61" s="5290"/>
      <c r="E61" s="5290"/>
      <c r="F61" s="5290"/>
      <c r="G61" s="5290"/>
      <c r="H61" s="5290"/>
      <c r="I61" s="4464"/>
      <c r="J61" s="4528" t="s">
        <v>1427</v>
      </c>
      <c r="K61" s="4529">
        <f>K60/P61</f>
        <v>6.0141466319358509E-2</v>
      </c>
      <c r="L61" s="4529">
        <f>L60/P61</f>
        <v>0.17694921807326458</v>
      </c>
      <c r="M61" s="4529">
        <f>M60/P61</f>
        <v>4.7347901805714174E-2</v>
      </c>
      <c r="N61" s="4529"/>
      <c r="O61" s="4530">
        <f>O60/P61</f>
        <v>0.71556141380166272</v>
      </c>
      <c r="P61" s="4531">
        <f>P60</f>
        <v>53652155.705311999</v>
      </c>
      <c r="Q61" s="4478"/>
      <c r="R61" s="39"/>
      <c r="S61" s="4506" t="s">
        <v>154</v>
      </c>
      <c r="T61" s="4496">
        <v>125002</v>
      </c>
      <c r="U61" s="4496">
        <v>515206</v>
      </c>
      <c r="V61" s="4496">
        <v>2118166</v>
      </c>
      <c r="W61" s="4496"/>
      <c r="X61" s="4496">
        <v>577265</v>
      </c>
      <c r="Y61" s="4496">
        <v>5396463</v>
      </c>
      <c r="Z61" s="4496">
        <v>2060824</v>
      </c>
      <c r="AA61" s="39"/>
      <c r="AB61" s="39"/>
      <c r="AC61" s="39"/>
    </row>
    <row r="62" spans="1:29" s="9" customFormat="1" ht="22.5" x14ac:dyDescent="0.25">
      <c r="A62" s="4522" t="s">
        <v>119</v>
      </c>
      <c r="B62" s="4520">
        <f>B60/H60</f>
        <v>4.5933432599351863E-2</v>
      </c>
      <c r="C62" s="4520">
        <f>C60/H60</f>
        <v>9.9630826074903284E-2</v>
      </c>
      <c r="D62" s="4520">
        <f>D60/H60</f>
        <v>4.3140850571781776E-2</v>
      </c>
      <c r="E62" s="4520"/>
      <c r="F62" s="4520">
        <f>F60/H60</f>
        <v>0.81129489075396299</v>
      </c>
      <c r="G62" s="4534">
        <f>SUM(B62:F62)</f>
        <v>0.99999999999999989</v>
      </c>
      <c r="H62" s="4521"/>
      <c r="I62" s="4464"/>
      <c r="Q62" s="116"/>
      <c r="R62" s="39"/>
      <c r="S62" s="4519" t="s">
        <v>1428</v>
      </c>
      <c r="T62" s="4520">
        <f>T60/Y60</f>
        <v>7.7398155202480903E-2</v>
      </c>
      <c r="U62" s="4520">
        <f>U60/Y60</f>
        <v>0.19013743111743531</v>
      </c>
      <c r="V62" s="4520">
        <f>V60/Y60</f>
        <v>0.10123551268210457</v>
      </c>
      <c r="W62" s="4520"/>
      <c r="X62" s="4520">
        <f>X60/Y60</f>
        <v>0.58772113211812604</v>
      </c>
      <c r="Y62" s="4532">
        <v>47366804.896177776</v>
      </c>
      <c r="Z62" s="4533">
        <f>Z60/Y60</f>
        <v>4.3507768879853165E-2</v>
      </c>
      <c r="AA62" s="39"/>
    </row>
    <row r="63" spans="1:29" s="9" customFormat="1" x14ac:dyDescent="0.25">
      <c r="A63" s="4523" t="s">
        <v>528</v>
      </c>
      <c r="B63" s="4520">
        <f>B55/H55</f>
        <v>5.5608056600539293E-3</v>
      </c>
      <c r="C63" s="4520">
        <f>C55/H55</f>
        <v>8.711784945889034E-3</v>
      </c>
      <c r="D63" s="4520">
        <f>D55/H55</f>
        <v>7.4993319891370584E-3</v>
      </c>
      <c r="E63" s="4520"/>
      <c r="F63" s="4520">
        <f>F55/H55</f>
        <v>0.97822807740492002</v>
      </c>
      <c r="G63" s="4534">
        <f>SUM(B63:F63)</f>
        <v>1</v>
      </c>
      <c r="H63" s="4521"/>
      <c r="I63" s="4464"/>
      <c r="J63" s="843"/>
      <c r="K63" s="843"/>
      <c r="L63" s="843"/>
      <c r="M63" s="843"/>
      <c r="N63" s="2003"/>
      <c r="O63" s="4465"/>
      <c r="P63" s="4500"/>
      <c r="Q63" s="116"/>
      <c r="R63" s="39"/>
      <c r="S63" s="39"/>
      <c r="T63" s="4512"/>
      <c r="U63" s="4512"/>
      <c r="V63" s="4512"/>
      <c r="W63" s="4512"/>
      <c r="X63" s="4512"/>
      <c r="Y63" s="4512"/>
      <c r="Z63" s="843"/>
      <c r="AA63" s="39"/>
    </row>
    <row r="64" spans="1:29" s="9" customFormat="1" x14ac:dyDescent="0.25">
      <c r="A64" s="4523" t="s">
        <v>524</v>
      </c>
      <c r="B64" s="4520">
        <f>B56/H56</f>
        <v>0.1957191275671061</v>
      </c>
      <c r="C64" s="4520">
        <f>C56/H56</f>
        <v>0.20347030059512528</v>
      </c>
      <c r="D64" s="4520">
        <f>D56/H56</f>
        <v>0.26248242724094911</v>
      </c>
      <c r="E64" s="4520"/>
      <c r="F64" s="4520">
        <f>F56/H56</f>
        <v>0.33832814459681954</v>
      </c>
      <c r="G64" s="4534">
        <f>SUM(B64:F64)</f>
        <v>1</v>
      </c>
      <c r="H64" s="1254"/>
      <c r="I64" s="4464"/>
      <c r="J64" s="843"/>
      <c r="K64" s="843"/>
      <c r="L64" s="843"/>
      <c r="M64" s="843"/>
      <c r="N64" s="2003"/>
      <c r="O64" s="4465"/>
      <c r="P64" s="116"/>
      <c r="Q64" s="116"/>
      <c r="R64" s="39"/>
      <c r="S64" s="4514"/>
      <c r="T64" s="1897"/>
      <c r="U64" s="1897"/>
      <c r="V64" s="1897"/>
      <c r="W64" s="1897"/>
      <c r="X64" s="1897"/>
      <c r="Y64" s="4513"/>
      <c r="Z64" s="39"/>
      <c r="AA64" s="39"/>
    </row>
    <row r="65" spans="1:29" s="9" customFormat="1" x14ac:dyDescent="0.25">
      <c r="A65" s="4523" t="s">
        <v>525</v>
      </c>
      <c r="B65" s="4520">
        <f>B57/H57</f>
        <v>3.3938216948251462E-3</v>
      </c>
      <c r="C65" s="4520">
        <f>C57/H57</f>
        <v>0.16919007899227104</v>
      </c>
      <c r="D65" s="4520">
        <f>D57/H57</f>
        <v>0.33516154244866014</v>
      </c>
      <c r="E65" s="4520"/>
      <c r="F65" s="4520">
        <f>F57/H57</f>
        <v>0.49225455686424363</v>
      </c>
      <c r="G65" s="4534">
        <f>SUM(B65:F65)</f>
        <v>1</v>
      </c>
      <c r="H65" s="1254"/>
      <c r="I65" s="4464"/>
      <c r="J65" s="843"/>
      <c r="K65" s="843"/>
      <c r="L65" s="843"/>
      <c r="M65" s="843"/>
      <c r="N65" s="2003"/>
      <c r="O65" s="4465"/>
      <c r="P65" s="116"/>
      <c r="Q65" s="116"/>
      <c r="R65" s="39"/>
      <c r="S65" s="39"/>
      <c r="T65" s="39"/>
      <c r="U65" s="39"/>
      <c r="V65" s="39"/>
      <c r="W65" s="39"/>
      <c r="X65" s="39"/>
      <c r="Y65" s="39"/>
      <c r="Z65" s="39"/>
      <c r="AA65" s="39"/>
    </row>
    <row r="66" spans="1:29" s="9" customFormat="1" x14ac:dyDescent="0.25">
      <c r="A66" s="4523" t="s">
        <v>527</v>
      </c>
      <c r="B66" s="4520">
        <f>B58/H58</f>
        <v>7.4516848806158553E-2</v>
      </c>
      <c r="C66" s="4520">
        <f>C58/H58</f>
        <v>0.18636865314469395</v>
      </c>
      <c r="D66" s="4520">
        <f>D58/H58</f>
        <v>0</v>
      </c>
      <c r="E66" s="1695"/>
      <c r="F66" s="4520">
        <f>F58/H58</f>
        <v>0.73911449804914742</v>
      </c>
      <c r="G66" s="4534">
        <f>SUM(B66:F66)</f>
        <v>0.99999999999999989</v>
      </c>
      <c r="H66" s="1254"/>
      <c r="I66" s="427"/>
      <c r="J66" s="39"/>
      <c r="K66" s="427"/>
      <c r="L66" s="2003"/>
      <c r="M66" s="39"/>
      <c r="N66" s="116"/>
      <c r="O66" s="116"/>
      <c r="P66" s="116"/>
      <c r="Q66" s="116"/>
      <c r="R66" s="39"/>
      <c r="S66" s="39"/>
      <c r="T66" s="427"/>
      <c r="U66" s="39"/>
      <c r="V66" s="39"/>
      <c r="W66" s="39"/>
      <c r="X66" s="39"/>
      <c r="Y66" s="39"/>
      <c r="Z66" s="39"/>
      <c r="AA66" s="39"/>
    </row>
    <row r="67" spans="1:29" s="9" customFormat="1" x14ac:dyDescent="0.25">
      <c r="I67" s="427"/>
      <c r="J67" s="39"/>
      <c r="K67" s="427"/>
      <c r="L67" s="2003"/>
      <c r="M67" s="39"/>
      <c r="N67" s="116"/>
      <c r="O67" s="116"/>
      <c r="P67" s="116"/>
      <c r="Q67" s="116"/>
      <c r="R67" s="39"/>
      <c r="S67" s="39"/>
      <c r="T67" s="427"/>
      <c r="U67" s="39"/>
      <c r="V67" s="39"/>
      <c r="W67" s="39"/>
      <c r="X67" s="39"/>
      <c r="Y67" s="39"/>
      <c r="Z67" s="39"/>
      <c r="AA67" s="39"/>
    </row>
    <row r="68" spans="1:29" s="9" customFormat="1" ht="30" customHeight="1" x14ac:dyDescent="0.25">
      <c r="E68" s="5298" t="s">
        <v>371</v>
      </c>
      <c r="F68" s="5298" t="s">
        <v>1532</v>
      </c>
      <c r="G68" s="4775" t="s">
        <v>1533</v>
      </c>
      <c r="H68" s="4775" t="s">
        <v>1534</v>
      </c>
      <c r="I68" s="4775" t="s">
        <v>1535</v>
      </c>
      <c r="J68" s="39"/>
      <c r="K68" s="2047" t="s">
        <v>1476</v>
      </c>
      <c r="L68" s="4774"/>
      <c r="M68" s="3496"/>
      <c r="N68" s="109" t="s">
        <v>1319</v>
      </c>
      <c r="O68" s="109" t="s">
        <v>1318</v>
      </c>
      <c r="P68" s="109" t="s">
        <v>1320</v>
      </c>
      <c r="Q68" s="109" t="s">
        <v>1321</v>
      </c>
      <c r="R68" s="109" t="s">
        <v>1477</v>
      </c>
      <c r="S68" s="109" t="s">
        <v>1478</v>
      </c>
      <c r="T68" s="427"/>
      <c r="U68" s="39"/>
      <c r="V68" s="39"/>
      <c r="W68" s="39"/>
      <c r="X68" s="39"/>
      <c r="Y68" s="39"/>
      <c r="Z68" s="39"/>
      <c r="AA68" s="39"/>
    </row>
    <row r="69" spans="1:29" s="9" customFormat="1" ht="46.5" customHeight="1" x14ac:dyDescent="0.25">
      <c r="A69" s="4332" t="s">
        <v>1380</v>
      </c>
      <c r="B69" s="857"/>
      <c r="C69" s="857"/>
      <c r="E69" s="5298"/>
      <c r="F69" s="5298"/>
      <c r="G69" s="4775" t="s">
        <v>1538</v>
      </c>
      <c r="H69" s="4775" t="s">
        <v>1538</v>
      </c>
      <c r="I69" s="4775" t="s">
        <v>1536</v>
      </c>
      <c r="J69" s="39"/>
      <c r="K69" s="76"/>
      <c r="L69" s="76"/>
      <c r="M69" s="76"/>
      <c r="N69" s="76"/>
      <c r="O69" s="76"/>
      <c r="P69" s="76"/>
      <c r="Q69" s="76"/>
      <c r="R69" s="76"/>
      <c r="S69" s="76"/>
      <c r="T69" s="427"/>
      <c r="U69" s="39"/>
      <c r="V69" s="39"/>
      <c r="W69" s="39"/>
      <c r="X69" s="39"/>
      <c r="Y69" s="39"/>
      <c r="Z69" s="39"/>
      <c r="AA69" s="39"/>
    </row>
    <row r="70" spans="1:29" s="9" customFormat="1" ht="30" customHeight="1" x14ac:dyDescent="0.25">
      <c r="A70" s="4333" t="s">
        <v>1382</v>
      </c>
      <c r="B70" s="4334">
        <v>15.548</v>
      </c>
      <c r="C70" s="4334"/>
      <c r="E70" s="5298" t="s">
        <v>528</v>
      </c>
      <c r="F70" s="4775" t="s">
        <v>492</v>
      </c>
      <c r="G70" s="4776">
        <v>1245</v>
      </c>
      <c r="H70" s="4775">
        <v>140</v>
      </c>
      <c r="I70" s="4775">
        <v>11</v>
      </c>
      <c r="J70" s="39"/>
      <c r="K70" s="5331" t="s">
        <v>1479</v>
      </c>
      <c r="L70" s="5331"/>
      <c r="M70" s="3092" t="s">
        <v>1473</v>
      </c>
      <c r="N70" s="3092">
        <f>N88*1000000</f>
        <v>1852.4224480173166</v>
      </c>
      <c r="O70" s="3092">
        <f>O88*1000000</f>
        <v>1778.5528414737066</v>
      </c>
      <c r="P70" s="3092">
        <f>P88*1000000</f>
        <v>1841.3441049196258</v>
      </c>
      <c r="Q70" s="3092">
        <f>Q88*1000000</f>
        <v>701.36558000927312</v>
      </c>
      <c r="R70" s="3092">
        <f>R93*1000000</f>
        <v>3.0750580677908816</v>
      </c>
      <c r="S70" s="3092">
        <f>S88*1000000</f>
        <v>1624.1751016292424</v>
      </c>
      <c r="T70" s="427"/>
      <c r="U70" s="39"/>
      <c r="V70" s="39"/>
      <c r="W70" s="39"/>
      <c r="X70" s="39"/>
      <c r="Y70" s="39"/>
      <c r="Z70" s="39"/>
      <c r="AA70" s="39"/>
    </row>
    <row r="71" spans="1:29" s="9" customFormat="1" ht="24.75" x14ac:dyDescent="0.25">
      <c r="A71" s="4335" t="s">
        <v>1381</v>
      </c>
      <c r="B71" s="4334">
        <v>2296</v>
      </c>
      <c r="C71" s="4334"/>
      <c r="E71" s="5298"/>
      <c r="F71" s="4775" t="s">
        <v>496</v>
      </c>
      <c r="G71" s="4776">
        <v>1265</v>
      </c>
      <c r="H71" s="4775">
        <v>86</v>
      </c>
      <c r="I71" s="4775">
        <v>6</v>
      </c>
      <c r="J71" s="39"/>
      <c r="K71" s="5330" t="s">
        <v>1474</v>
      </c>
      <c r="L71" s="5330"/>
      <c r="M71" s="3092" t="s">
        <v>1473</v>
      </c>
      <c r="N71" s="3092">
        <f>N93*1000000</f>
        <v>1856.4574865909935</v>
      </c>
      <c r="O71" s="3092">
        <f>O93*1000000</f>
        <v>1785.0840100801006</v>
      </c>
      <c r="P71" s="3092">
        <f>P93*1000000</f>
        <v>1850.9922135156494</v>
      </c>
      <c r="Q71" s="3092">
        <f>Q93*1000000</f>
        <v>742.99965323873539</v>
      </c>
      <c r="R71" s="3092">
        <f>R93*1000000</f>
        <v>3.0750580677908816</v>
      </c>
      <c r="S71" s="3092">
        <f>S88*1000000</f>
        <v>1624.1751016292424</v>
      </c>
      <c r="T71" s="427"/>
      <c r="U71" s="39"/>
      <c r="V71" s="39"/>
      <c r="W71" s="39"/>
      <c r="X71" s="39"/>
      <c r="Y71" s="39"/>
      <c r="Z71" s="39"/>
      <c r="AA71" s="39"/>
    </row>
    <row r="72" spans="1:29" s="9" customFormat="1" x14ac:dyDescent="0.25">
      <c r="E72" s="4775" t="s">
        <v>524</v>
      </c>
      <c r="F72" s="4775" t="s">
        <v>498</v>
      </c>
      <c r="G72" s="4775">
        <v>672</v>
      </c>
      <c r="H72" s="4775">
        <v>6</v>
      </c>
      <c r="I72" s="4775">
        <v>1</v>
      </c>
      <c r="J72" s="39"/>
      <c r="K72" s="427"/>
      <c r="L72" s="2003"/>
      <c r="M72" s="39"/>
      <c r="N72" s="116"/>
      <c r="O72" s="116"/>
      <c r="P72" s="116"/>
      <c r="Q72" s="116"/>
      <c r="R72" s="39"/>
      <c r="S72" s="39"/>
      <c r="T72" s="427"/>
      <c r="U72" s="39"/>
      <c r="V72" s="39"/>
      <c r="W72" s="39"/>
      <c r="X72" s="39"/>
      <c r="Y72" s="39"/>
      <c r="Z72" s="39"/>
      <c r="AA72" s="39"/>
    </row>
    <row r="73" spans="1:29" s="9" customFormat="1" ht="30" x14ac:dyDescent="0.25">
      <c r="E73" s="4775" t="s">
        <v>525</v>
      </c>
      <c r="F73" s="4775" t="s">
        <v>505</v>
      </c>
      <c r="G73" s="4776">
        <v>4449</v>
      </c>
      <c r="H73" s="4775">
        <v>2</v>
      </c>
      <c r="I73" s="4775" t="s">
        <v>1537</v>
      </c>
      <c r="J73" s="39"/>
      <c r="K73" s="427"/>
      <c r="L73" s="2003"/>
      <c r="M73" s="39"/>
      <c r="N73" s="116"/>
      <c r="O73" s="116"/>
      <c r="P73" s="116"/>
      <c r="Q73" s="116"/>
      <c r="R73" s="39"/>
      <c r="S73" s="39"/>
      <c r="T73" s="427"/>
      <c r="U73" s="39"/>
      <c r="V73" s="39"/>
      <c r="W73" s="39"/>
      <c r="X73" s="39"/>
      <c r="Y73" s="39"/>
      <c r="Z73" s="39"/>
      <c r="AA73" s="39"/>
    </row>
    <row r="74" spans="1:29" s="9" customFormat="1" x14ac:dyDescent="0.25">
      <c r="E74" s="4778"/>
      <c r="F74" s="4778"/>
      <c r="G74" s="4779"/>
      <c r="H74" s="4778"/>
      <c r="I74" s="4778"/>
      <c r="J74" s="39"/>
      <c r="K74" s="427"/>
      <c r="L74" s="2003"/>
      <c r="M74" s="39"/>
      <c r="N74" s="116"/>
      <c r="O74" s="116"/>
      <c r="P74" s="116"/>
      <c r="Q74" s="116"/>
      <c r="R74" s="39"/>
      <c r="S74" s="39"/>
      <c r="T74" s="427"/>
      <c r="U74" s="39"/>
      <c r="V74" s="39"/>
      <c r="W74" s="39"/>
      <c r="X74" s="39"/>
      <c r="Y74" s="39"/>
      <c r="Z74" s="39"/>
      <c r="AA74" s="39"/>
    </row>
    <row r="75" spans="1:29" s="9" customFormat="1" ht="23.25" x14ac:dyDescent="0.25">
      <c r="A75" s="76"/>
      <c r="B75" s="1175" t="s">
        <v>389</v>
      </c>
      <c r="C75" s="1175" t="s">
        <v>1383</v>
      </c>
      <c r="D75" s="3944" t="s">
        <v>1385</v>
      </c>
      <c r="E75" s="1175" t="s">
        <v>1386</v>
      </c>
      <c r="F75" s="1175" t="s">
        <v>1387</v>
      </c>
      <c r="G75" s="4406" t="s">
        <v>1406</v>
      </c>
      <c r="H75" s="76"/>
      <c r="I75" s="3751" t="s">
        <v>1451</v>
      </c>
      <c r="J75" s="4777"/>
      <c r="K75" s="528" t="s">
        <v>1420</v>
      </c>
      <c r="L75" s="528" t="s">
        <v>1422</v>
      </c>
      <c r="M75" s="4607" t="s">
        <v>1424</v>
      </c>
      <c r="N75" s="1896" t="s">
        <v>1423</v>
      </c>
      <c r="O75" s="528" t="s">
        <v>1425</v>
      </c>
      <c r="P75" s="528" t="s">
        <v>1422</v>
      </c>
      <c r="Q75" s="4607" t="s">
        <v>1426</v>
      </c>
      <c r="R75" s="39"/>
      <c r="S75" s="39"/>
      <c r="T75" s="427"/>
      <c r="U75" s="39"/>
      <c r="V75" s="39"/>
      <c r="W75" s="39"/>
      <c r="X75" s="39"/>
      <c r="Y75" s="39"/>
      <c r="Z75" s="39"/>
      <c r="AA75" s="39"/>
    </row>
    <row r="76" spans="1:29" s="9" customFormat="1" ht="34.5" customHeight="1" x14ac:dyDescent="0.25">
      <c r="A76" s="4345" t="s">
        <v>1384</v>
      </c>
      <c r="B76" s="125">
        <f>C76+D76+E76+F76</f>
        <v>803.75759633439986</v>
      </c>
      <c r="C76" s="125">
        <f>'GHG '!X12/1000</f>
        <v>345.49188539999994</v>
      </c>
      <c r="D76" s="1402">
        <f>'GHG '!X26/1000</f>
        <v>23.671039199999999</v>
      </c>
      <c r="E76" s="125">
        <f>'GHG '!X31/1000</f>
        <v>415.98855771999996</v>
      </c>
      <c r="F76" s="125">
        <f>'GHG '!X28/1000</f>
        <v>18.606114014399999</v>
      </c>
      <c r="G76" s="123">
        <f>B76/D90</f>
        <v>1.6626103074285732E-3</v>
      </c>
      <c r="H76" s="76"/>
      <c r="I76" s="76"/>
      <c r="J76" s="108" t="s">
        <v>1421</v>
      </c>
      <c r="K76" s="109">
        <v>0.23</v>
      </c>
      <c r="L76" s="528">
        <v>0.1338</v>
      </c>
      <c r="M76" s="4608">
        <f>(L76-K76)/K76</f>
        <v>-0.41826086956521741</v>
      </c>
      <c r="N76" s="76" t="s">
        <v>1421</v>
      </c>
      <c r="O76" s="4609">
        <v>0.15250716512136062</v>
      </c>
      <c r="P76" s="4609">
        <v>0.1338</v>
      </c>
      <c r="Q76" s="4610">
        <f>(P76-O76)/O76</f>
        <v>-0.12266417191922763</v>
      </c>
      <c r="R76" s="39"/>
      <c r="S76" s="39"/>
      <c r="T76" s="427"/>
      <c r="U76" s="39"/>
      <c r="V76" s="39"/>
      <c r="W76" s="39"/>
      <c r="X76" s="39"/>
      <c r="Y76" s="39"/>
      <c r="Z76" s="39"/>
      <c r="AA76" s="39"/>
    </row>
    <row r="77" spans="1:29" s="9" customFormat="1" x14ac:dyDescent="0.25">
      <c r="A77" s="4344"/>
      <c r="I77" s="4780" t="s">
        <v>1452</v>
      </c>
      <c r="J77" s="109"/>
      <c r="K77" s="528"/>
      <c r="L77" s="1090"/>
      <c r="M77" s="109"/>
      <c r="N77" s="76"/>
      <c r="O77" s="109">
        <v>0.15989999999999999</v>
      </c>
      <c r="P77" s="109">
        <v>0.13489999999999999</v>
      </c>
      <c r="Q77" s="4610">
        <f>(P77-O77)/O77</f>
        <v>-0.15634771732332706</v>
      </c>
      <c r="R77" s="39"/>
      <c r="S77" s="39"/>
      <c r="T77" s="427"/>
      <c r="U77" s="39"/>
      <c r="V77" s="39"/>
      <c r="W77" s="39"/>
      <c r="X77" s="39"/>
      <c r="Y77" s="39"/>
      <c r="Z77" s="39"/>
      <c r="AA77" s="39"/>
    </row>
    <row r="78" spans="1:29" s="9" customFormat="1" ht="21" x14ac:dyDescent="0.35">
      <c r="A78" s="5260" t="s">
        <v>1339</v>
      </c>
      <c r="B78" s="5260"/>
      <c r="C78" s="5260"/>
      <c r="D78" s="5260"/>
      <c r="E78" s="5260"/>
      <c r="F78" s="5260"/>
      <c r="G78" s="5260"/>
      <c r="H78" s="5260"/>
      <c r="I78" s="5260"/>
      <c r="J78" s="39"/>
      <c r="K78" s="5291" t="s">
        <v>1340</v>
      </c>
      <c r="L78" s="5292"/>
      <c r="M78" s="5292"/>
      <c r="N78" s="5292"/>
      <c r="O78" s="5292"/>
      <c r="P78" s="5292"/>
      <c r="Q78" s="5292"/>
      <c r="R78" s="5292"/>
      <c r="S78" s="5292"/>
      <c r="T78" s="39">
        <f>(Q80-AA80)/AA80</f>
        <v>-0.25395658202322263</v>
      </c>
      <c r="U78" s="5291" t="s">
        <v>1348</v>
      </c>
      <c r="V78" s="5292"/>
      <c r="W78" s="5292"/>
      <c r="X78" s="5292"/>
      <c r="Y78" s="5292"/>
      <c r="Z78" s="5292"/>
      <c r="AA78" s="5292"/>
      <c r="AB78" s="5292"/>
      <c r="AC78" s="5292"/>
    </row>
    <row r="79" spans="1:29" s="9" customFormat="1" x14ac:dyDescent="0.25">
      <c r="A79" s="4128" t="s">
        <v>1329</v>
      </c>
      <c r="B79" s="4128"/>
      <c r="C79" s="4129" t="s">
        <v>572</v>
      </c>
      <c r="D79" s="4146">
        <v>295752342.98000002</v>
      </c>
      <c r="E79" s="4146">
        <v>463646102.92000002</v>
      </c>
      <c r="F79" s="4417">
        <f>(D79-E79)/E79</f>
        <v>-0.36211618922842381</v>
      </c>
      <c r="G79" s="4146">
        <v>576418479.27835989</v>
      </c>
      <c r="H79" s="4146">
        <v>477044416.67326009</v>
      </c>
      <c r="I79" s="4146">
        <v>442880625.28000009</v>
      </c>
      <c r="J79" s="39"/>
      <c r="K79" s="5261" t="s">
        <v>1329</v>
      </c>
      <c r="L79" s="5262"/>
      <c r="M79" s="4131" t="s">
        <v>572</v>
      </c>
      <c r="N79" s="4146">
        <v>116523347.03</v>
      </c>
      <c r="O79" s="4146">
        <v>101065064</v>
      </c>
      <c r="P79" s="4146">
        <v>25691892.43</v>
      </c>
      <c r="Q79" s="4146">
        <v>52472039.269999996</v>
      </c>
      <c r="R79" s="4146">
        <v>295752342.98000002</v>
      </c>
      <c r="S79" s="4146">
        <v>295752342.98000002</v>
      </c>
      <c r="T79" s="39"/>
      <c r="U79" s="5261" t="s">
        <v>1329</v>
      </c>
      <c r="V79" s="5262"/>
      <c r="W79" s="4131" t="s">
        <v>572</v>
      </c>
      <c r="X79" s="4146">
        <v>171353497.37</v>
      </c>
      <c r="Y79" s="4146">
        <v>170191332.06999999</v>
      </c>
      <c r="Z79" s="4146">
        <v>28914583.07</v>
      </c>
      <c r="AA79" s="4146">
        <v>93016967.210000008</v>
      </c>
      <c r="AB79" s="4146">
        <v>463646102.92000002</v>
      </c>
      <c r="AC79" s="4146">
        <v>463646102.92000002</v>
      </c>
    </row>
    <row r="80" spans="1:29" s="9" customFormat="1" x14ac:dyDescent="0.25">
      <c r="A80" s="5293" t="s">
        <v>248</v>
      </c>
      <c r="B80" s="5293"/>
      <c r="C80" s="4129" t="s">
        <v>804</v>
      </c>
      <c r="D80" s="4188">
        <v>3589175.55084525</v>
      </c>
      <c r="E80" s="4146">
        <v>3874946.2598581701</v>
      </c>
      <c r="F80" s="4417">
        <f>(D80-E80)/E80</f>
        <v>-7.3748302517976025E-2</v>
      </c>
      <c r="G80" s="4146">
        <v>4857767.3434534501</v>
      </c>
      <c r="H80" s="4146">
        <v>4149183.4120000005</v>
      </c>
      <c r="I80" s="4146">
        <v>3841526</v>
      </c>
      <c r="J80" s="39"/>
      <c r="K80" s="5293" t="s">
        <v>248</v>
      </c>
      <c r="L80" s="5293"/>
      <c r="M80" s="4131" t="s">
        <v>804</v>
      </c>
      <c r="N80" s="4146">
        <v>1578399.8671582511</v>
      </c>
      <c r="O80" s="4146">
        <v>1643568.1936870001</v>
      </c>
      <c r="P80" s="4146">
        <v>69077.350000000006</v>
      </c>
      <c r="Q80" s="4146">
        <v>298130.23000000004</v>
      </c>
      <c r="R80" s="4188">
        <v>3589175.55084525</v>
      </c>
      <c r="S80" s="4188">
        <v>3589175.55084525</v>
      </c>
      <c r="T80" s="39"/>
      <c r="U80" s="5293" t="s">
        <v>248</v>
      </c>
      <c r="V80" s="5293"/>
      <c r="W80" s="4131" t="s">
        <v>804</v>
      </c>
      <c r="X80" s="4146">
        <v>1655929.3498581699</v>
      </c>
      <c r="Y80" s="4146">
        <v>1755766.79</v>
      </c>
      <c r="Z80" s="4146">
        <v>63635</v>
      </c>
      <c r="AA80" s="4146">
        <v>399615.12</v>
      </c>
      <c r="AB80" s="4188">
        <v>3874946.2598581701</v>
      </c>
      <c r="AC80" s="4188">
        <v>3874946.2598581701</v>
      </c>
    </row>
    <row r="81" spans="1:30" s="9" customFormat="1" x14ac:dyDescent="0.25">
      <c r="A81" s="5300" t="s">
        <v>107</v>
      </c>
      <c r="B81" s="5301"/>
      <c r="C81" s="4130" t="s">
        <v>807</v>
      </c>
      <c r="D81" s="4146">
        <v>12335869.902106391</v>
      </c>
      <c r="E81" s="4146">
        <v>14868682.94134178</v>
      </c>
      <c r="F81" s="4417">
        <f>(D81-E81)/E81</f>
        <v>-0.17034548717109321</v>
      </c>
      <c r="G81" s="4146">
        <v>22712945.407933742</v>
      </c>
      <c r="H81" s="4146">
        <v>19867391.518035099</v>
      </c>
      <c r="I81" s="4146">
        <v>20362835</v>
      </c>
      <c r="J81" s="39"/>
      <c r="K81" s="5300" t="s">
        <v>107</v>
      </c>
      <c r="L81" s="5301"/>
      <c r="M81" s="4132" t="s">
        <v>807</v>
      </c>
      <c r="N81" s="4146">
        <v>4230231.6838950003</v>
      </c>
      <c r="O81" s="4146">
        <v>2930929.5465203905</v>
      </c>
      <c r="P81" s="4146">
        <v>891705</v>
      </c>
      <c r="Q81" s="4146">
        <v>4283004.5999999996</v>
      </c>
      <c r="R81" s="4146">
        <v>12335869.902106391</v>
      </c>
      <c r="S81" s="4146">
        <v>12335869.902106391</v>
      </c>
      <c r="T81" s="39"/>
      <c r="U81" s="5300" t="s">
        <v>107</v>
      </c>
      <c r="V81" s="5301"/>
      <c r="W81" s="4132" t="s">
        <v>807</v>
      </c>
      <c r="X81" s="4146">
        <v>5075440.0253800005</v>
      </c>
      <c r="Y81" s="4146">
        <v>3297046.5959617784</v>
      </c>
      <c r="Z81" s="4146">
        <v>1000726</v>
      </c>
      <c r="AA81" s="4146">
        <v>5495470.3200000003</v>
      </c>
      <c r="AB81" s="4146">
        <v>14868682.94134178</v>
      </c>
      <c r="AC81" s="4146">
        <v>14868682.94134178</v>
      </c>
    </row>
    <row r="82" spans="1:30" s="9" customFormat="1" ht="24.75" x14ac:dyDescent="0.25">
      <c r="A82" s="4119" t="s">
        <v>0</v>
      </c>
      <c r="B82" s="4119"/>
      <c r="C82" s="4120" t="s">
        <v>1</v>
      </c>
      <c r="D82" s="4121" t="s">
        <v>1337</v>
      </c>
      <c r="E82" s="4121" t="s">
        <v>1256</v>
      </c>
      <c r="F82" s="4122" t="s">
        <v>1257</v>
      </c>
      <c r="G82" s="4121" t="s">
        <v>1345</v>
      </c>
      <c r="H82" s="4121" t="s">
        <v>1338</v>
      </c>
      <c r="I82" s="4121" t="s">
        <v>1344</v>
      </c>
      <c r="J82" s="39"/>
      <c r="K82" s="5304" t="s">
        <v>0</v>
      </c>
      <c r="L82" s="5305"/>
      <c r="M82" s="4133" t="s">
        <v>1</v>
      </c>
      <c r="N82" s="4121" t="s">
        <v>99</v>
      </c>
      <c r="O82" s="4121" t="s">
        <v>100</v>
      </c>
      <c r="P82" s="4122" t="s">
        <v>101</v>
      </c>
      <c r="Q82" s="4121" t="s">
        <v>103</v>
      </c>
      <c r="R82" s="4121" t="s">
        <v>1341</v>
      </c>
      <c r="S82" s="4121" t="s">
        <v>120</v>
      </c>
      <c r="T82" s="39"/>
      <c r="U82" s="5304" t="s">
        <v>0</v>
      </c>
      <c r="V82" s="5305"/>
      <c r="W82" s="4133" t="s">
        <v>1</v>
      </c>
      <c r="X82" s="4121" t="s">
        <v>99</v>
      </c>
      <c r="Y82" s="4121" t="s">
        <v>100</v>
      </c>
      <c r="Z82" s="4122" t="s">
        <v>101</v>
      </c>
      <c r="AA82" s="4121" t="s">
        <v>103</v>
      </c>
      <c r="AB82" s="4121" t="s">
        <v>1341</v>
      </c>
      <c r="AC82" s="4121" t="s">
        <v>120</v>
      </c>
    </row>
    <row r="83" spans="1:30" s="9" customFormat="1" x14ac:dyDescent="0.25">
      <c r="A83" s="5294" t="s">
        <v>307</v>
      </c>
      <c r="B83" s="5295"/>
      <c r="C83" s="4139" t="s">
        <v>1328</v>
      </c>
      <c r="D83" s="4147">
        <f>'GHG '!X19/1000</f>
        <v>27796.453882502552</v>
      </c>
      <c r="E83" s="4147">
        <v>37213.785585916296</v>
      </c>
      <c r="F83" s="4158">
        <f>(D83-E83)/E83</f>
        <v>-0.25306029889573423</v>
      </c>
      <c r="G83" s="4147">
        <v>49752.769311927957</v>
      </c>
      <c r="H83" s="4147">
        <v>52580.222650792843</v>
      </c>
      <c r="I83" s="4208">
        <v>43803.63</v>
      </c>
      <c r="J83" s="39"/>
      <c r="K83" s="5302" t="s">
        <v>307</v>
      </c>
      <c r="L83" s="5303"/>
      <c r="M83" s="4134" t="s">
        <v>1328</v>
      </c>
      <c r="N83" s="4154">
        <v>7194.8658316839101</v>
      </c>
      <c r="O83" s="4154">
        <v>6030.2757698519899</v>
      </c>
      <c r="P83" s="4154">
        <v>1875.98385420966</v>
      </c>
      <c r="Q83" s="4154">
        <v>13158.0434440969</v>
      </c>
      <c r="R83" s="4147">
        <v>291.36748010670499</v>
      </c>
      <c r="S83" s="4181">
        <v>28550.5419547821</v>
      </c>
      <c r="T83" s="3134">
        <f>SUM(N83:R83)</f>
        <v>28550.536379949164</v>
      </c>
      <c r="U83" s="5302" t="s">
        <v>307</v>
      </c>
      <c r="V83" s="5303"/>
      <c r="W83" s="4134" t="s">
        <v>1328</v>
      </c>
      <c r="X83" s="4154">
        <v>8299.77628</v>
      </c>
      <c r="Y83" s="4154">
        <v>8759.4820302878998</v>
      </c>
      <c r="Z83" s="4154">
        <v>2430.508562815</v>
      </c>
      <c r="AA83" s="4154">
        <v>17572.165859733599</v>
      </c>
      <c r="AB83" s="4147">
        <v>151.852850754228</v>
      </c>
      <c r="AC83" s="4181">
        <v>37213.78559</v>
      </c>
      <c r="AD83" s="445">
        <f>SUM(X83:AB83)</f>
        <v>37213.785583590732</v>
      </c>
    </row>
    <row r="84" spans="1:30" s="9" customFormat="1" x14ac:dyDescent="0.25">
      <c r="A84" s="5296" t="s">
        <v>308</v>
      </c>
      <c r="B84" s="5297"/>
      <c r="C84" s="4140" t="s">
        <v>1328</v>
      </c>
      <c r="D84" s="4147">
        <f>'GHG '!X24/1000</f>
        <v>451800.07444664626</v>
      </c>
      <c r="E84" s="4147">
        <v>438117.86248162697</v>
      </c>
      <c r="F84" s="4158">
        <f t="shared" ref="F84:F94" si="14">(D84-E84)/E84</f>
        <v>3.1229523232673653E-2</v>
      </c>
      <c r="G84" s="4147">
        <v>586745.82575357903</v>
      </c>
      <c r="H84" s="4147">
        <v>576326.95331727993</v>
      </c>
      <c r="I84" s="4208">
        <v>559586.68000000005</v>
      </c>
      <c r="J84" s="39"/>
      <c r="K84" s="5302" t="s">
        <v>308</v>
      </c>
      <c r="L84" s="5303"/>
      <c r="M84" s="4135" t="s">
        <v>1328</v>
      </c>
      <c r="N84" s="4154">
        <v>208655.59792480001</v>
      </c>
      <c r="O84" s="4154">
        <v>173719.28098107001</v>
      </c>
      <c r="P84" s="4154">
        <v>45431.630815999997</v>
      </c>
      <c r="Q84" s="4154">
        <v>23644.038812776002</v>
      </c>
      <c r="R84" s="4147">
        <v>352.50122720000002</v>
      </c>
      <c r="S84" s="4181">
        <v>451803.04976184602</v>
      </c>
      <c r="T84" s="3134">
        <f t="shared" ref="T84:T94" si="15">SUM(N84:R84)</f>
        <v>451803.04976184596</v>
      </c>
      <c r="U84" s="5302" t="s">
        <v>308</v>
      </c>
      <c r="V84" s="5303"/>
      <c r="W84" s="4135" t="s">
        <v>1328</v>
      </c>
      <c r="X84" s="4154">
        <v>202536.40692000001</v>
      </c>
      <c r="Y84" s="4154">
        <v>178438.00089098699</v>
      </c>
      <c r="Z84" s="4154">
        <v>44469.800808</v>
      </c>
      <c r="AA84" s="4154">
        <v>12361.9842321408</v>
      </c>
      <c r="AB84" s="4147">
        <v>311.66963099999998</v>
      </c>
      <c r="AC84" s="4181">
        <v>438117.86248000001</v>
      </c>
      <c r="AD84" s="445">
        <f t="shared" ref="AD84:AD90" si="16">SUM(X84:AB84)</f>
        <v>438117.86248212785</v>
      </c>
    </row>
    <row r="85" spans="1:30" s="9" customFormat="1" ht="15" customHeight="1" thickBot="1" x14ac:dyDescent="0.3">
      <c r="A85" s="5204" t="s">
        <v>1336</v>
      </c>
      <c r="B85" s="5204"/>
      <c r="C85" s="4141" t="s">
        <v>1332</v>
      </c>
      <c r="D85" s="4148">
        <f>SUM(D83:D84)</f>
        <v>479596.52832914883</v>
      </c>
      <c r="E85" s="4148">
        <f>SUM(E83:E84)</f>
        <v>475331.64806754328</v>
      </c>
      <c r="F85" s="4158">
        <f t="shared" si="14"/>
        <v>8.9724306785470345E-3</v>
      </c>
      <c r="G85" s="4148">
        <v>636498.59506550687</v>
      </c>
      <c r="H85" s="4206">
        <v>628907.17596807273</v>
      </c>
      <c r="I85" s="4209">
        <v>603390.31000000006</v>
      </c>
      <c r="J85" s="39"/>
      <c r="K85" s="5204" t="s">
        <v>1336</v>
      </c>
      <c r="L85" s="5204"/>
      <c r="M85" s="4136" t="s">
        <v>1332</v>
      </c>
      <c r="N85" s="4182">
        <f>SUM(N83:N84)</f>
        <v>215850.46375648392</v>
      </c>
      <c r="O85" s="4182">
        <f t="shared" ref="O85:S85" si="17">SUM(O83:O84)</f>
        <v>179749.556750922</v>
      </c>
      <c r="P85" s="4182">
        <f t="shared" si="17"/>
        <v>47307.614670209659</v>
      </c>
      <c r="Q85" s="4182">
        <f t="shared" si="17"/>
        <v>36802.082256872905</v>
      </c>
      <c r="R85" s="4182">
        <f>SUM(R83:R84)</f>
        <v>643.86870730670501</v>
      </c>
      <c r="S85" s="4182">
        <f t="shared" si="17"/>
        <v>480353.59171662811</v>
      </c>
      <c r="T85" s="3134">
        <f t="shared" si="15"/>
        <v>480353.58614179515</v>
      </c>
      <c r="U85" s="5204" t="s">
        <v>1336</v>
      </c>
      <c r="V85" s="5204"/>
      <c r="W85" s="4136" t="s">
        <v>1332</v>
      </c>
      <c r="X85" s="4182">
        <f t="shared" ref="X85:AC85" si="18">SUM(X83:X84)</f>
        <v>210836.1832</v>
      </c>
      <c r="Y85" s="4182">
        <f t="shared" si="18"/>
        <v>187197.4829212749</v>
      </c>
      <c r="Z85" s="4182">
        <f t="shared" si="18"/>
        <v>46900.309370814997</v>
      </c>
      <c r="AA85" s="4182">
        <f t="shared" si="18"/>
        <v>29934.150091874399</v>
      </c>
      <c r="AB85" s="4182">
        <f t="shared" si="18"/>
        <v>463.52248175422801</v>
      </c>
      <c r="AC85" s="4182">
        <f t="shared" si="18"/>
        <v>475331.64807</v>
      </c>
      <c r="AD85" s="445">
        <f t="shared" si="16"/>
        <v>475331.64806571859</v>
      </c>
    </row>
    <row r="86" spans="1:30" s="9" customFormat="1" ht="15" customHeight="1" x14ac:dyDescent="0.25">
      <c r="A86" s="5204" t="s">
        <v>453</v>
      </c>
      <c r="B86" s="5204"/>
      <c r="C86" s="4141" t="s">
        <v>1333</v>
      </c>
      <c r="D86" s="4152">
        <f>D85/D80</f>
        <v>0.13362303446433652</v>
      </c>
      <c r="E86" s="4152">
        <f>E85/E80</f>
        <v>0.12266793297023461</v>
      </c>
      <c r="F86" s="4158">
        <f t="shared" si="14"/>
        <v>8.9306970687768605E-2</v>
      </c>
      <c r="G86" s="4152">
        <v>0.13102698216358211</v>
      </c>
      <c r="H86" s="4206">
        <v>0.15157372271112141</v>
      </c>
      <c r="I86" s="4210">
        <v>0.16</v>
      </c>
      <c r="J86" s="39"/>
      <c r="K86" s="5204" t="s">
        <v>453</v>
      </c>
      <c r="L86" s="5204"/>
      <c r="M86" s="4136" t="s">
        <v>1333</v>
      </c>
      <c r="N86" s="4189">
        <f t="shared" ref="N86:S86" si="19">N85/N80</f>
        <v>0.13675271282498319</v>
      </c>
      <c r="O86" s="4189">
        <f t="shared" si="19"/>
        <v>0.10936543883079874</v>
      </c>
      <c r="P86" s="4189">
        <f t="shared" si="19"/>
        <v>0.6848498772782925</v>
      </c>
      <c r="Q86" s="4189">
        <f>Q85/Q80</f>
        <v>0.12344297408844752</v>
      </c>
      <c r="R86" s="4189">
        <f t="shared" si="19"/>
        <v>1.7939181246096311E-4</v>
      </c>
      <c r="S86" s="4621">
        <f t="shared" si="19"/>
        <v>0.13383396407108172</v>
      </c>
      <c r="T86" s="4625">
        <f>T87/S81</f>
        <v>3.8887385066164598E-2</v>
      </c>
      <c r="U86" s="5203" t="s">
        <v>453</v>
      </c>
      <c r="V86" s="5204"/>
      <c r="W86" s="4136" t="s">
        <v>1333</v>
      </c>
      <c r="X86" s="4189">
        <f t="shared" ref="X86:AC86" si="20">X85/X80</f>
        <v>0.12732196770234072</v>
      </c>
      <c r="Y86" s="4189">
        <f t="shared" si="20"/>
        <v>0.10661864889315677</v>
      </c>
      <c r="Z86" s="4189">
        <f t="shared" si="20"/>
        <v>0.73702065484112511</v>
      </c>
      <c r="AA86" s="4189">
        <f t="shared" si="20"/>
        <v>7.4907451179210632E-2</v>
      </c>
      <c r="AB86" s="4189">
        <f t="shared" si="20"/>
        <v>1.1962036391472272E-4</v>
      </c>
      <c r="AC86" s="4189">
        <f t="shared" si="20"/>
        <v>0.1226679329708686</v>
      </c>
      <c r="AD86" s="445">
        <f t="shared" si="16"/>
        <v>1.0459883429797479</v>
      </c>
    </row>
    <row r="87" spans="1:30" s="9" customFormat="1" ht="15" customHeight="1" x14ac:dyDescent="0.25">
      <c r="A87" s="5204" t="s">
        <v>456</v>
      </c>
      <c r="B87" s="5204"/>
      <c r="C87" s="4141" t="s">
        <v>1334</v>
      </c>
      <c r="D87" s="4152">
        <f>D85/D81</f>
        <v>3.8878209006343048E-2</v>
      </c>
      <c r="E87" s="4152">
        <f>E85/E81</f>
        <v>3.1968645100764276E-2</v>
      </c>
      <c r="F87" s="4158">
        <f t="shared" si="14"/>
        <v>0.2161356505350796</v>
      </c>
      <c r="G87" s="4152">
        <v>2.802360432052E-2</v>
      </c>
      <c r="H87" s="4206">
        <v>3.1655246507684073E-2</v>
      </c>
      <c r="I87" s="4210">
        <v>0.03</v>
      </c>
      <c r="J87" s="39"/>
      <c r="K87" s="5204" t="s">
        <v>456</v>
      </c>
      <c r="L87" s="5204"/>
      <c r="M87" s="4136" t="s">
        <v>1334</v>
      </c>
      <c r="N87" s="4189">
        <f t="shared" ref="N87:S87" si="21">N85/N81</f>
        <v>5.1025683670767381E-2</v>
      </c>
      <c r="O87" s="4189">
        <f t="shared" si="21"/>
        <v>6.132851503179982E-2</v>
      </c>
      <c r="P87" s="4189">
        <f t="shared" si="21"/>
        <v>5.3052988006358222E-2</v>
      </c>
      <c r="Q87" s="4189">
        <f t="shared" si="21"/>
        <v>8.5925852745693775E-3</v>
      </c>
      <c r="R87" s="4189">
        <f t="shared" si="21"/>
        <v>5.2194836068817675E-5</v>
      </c>
      <c r="S87" s="4621">
        <f t="shared" si="21"/>
        <v>3.8939579902233415E-2</v>
      </c>
      <c r="T87" s="4623">
        <f>S85-R85</f>
        <v>479709.72300932143</v>
      </c>
      <c r="U87" s="5203" t="s">
        <v>456</v>
      </c>
      <c r="V87" s="5204"/>
      <c r="W87" s="4136" t="s">
        <v>1334</v>
      </c>
      <c r="X87" s="4189">
        <f t="shared" ref="X87:AC87" si="22">X85/X81</f>
        <v>4.154047376103407E-2</v>
      </c>
      <c r="Y87" s="4189">
        <f t="shared" si="22"/>
        <v>5.6777324030104492E-2</v>
      </c>
      <c r="Z87" s="4189">
        <f t="shared" si="22"/>
        <v>4.6866284448305526E-2</v>
      </c>
      <c r="AA87" s="4189">
        <f t="shared" si="22"/>
        <v>5.447058822778684E-3</v>
      </c>
      <c r="AB87" s="4189">
        <f t="shared" si="22"/>
        <v>3.1174414276157727E-5</v>
      </c>
      <c r="AC87" s="4189">
        <f t="shared" si="22"/>
        <v>3.1968645100929505E-2</v>
      </c>
      <c r="AD87" s="445">
        <f t="shared" si="16"/>
        <v>0.15066231547649891</v>
      </c>
    </row>
    <row r="88" spans="1:30" s="9" customFormat="1" ht="15" customHeight="1" thickBot="1" x14ac:dyDescent="0.3">
      <c r="A88" s="5204" t="s">
        <v>1342</v>
      </c>
      <c r="B88" s="5204"/>
      <c r="C88" s="4141" t="s">
        <v>1335</v>
      </c>
      <c r="D88" s="4152">
        <f>D85/D79</f>
        <v>1.6216153133284937E-3</v>
      </c>
      <c r="E88" s="4152">
        <f>E85/E79</f>
        <v>1.0252035875508254E-3</v>
      </c>
      <c r="F88" s="4158">
        <f t="shared" si="14"/>
        <v>0.58174955006007589</v>
      </c>
      <c r="G88" s="4153">
        <f>G85/G79</f>
        <v>1.1042300306929153E-3</v>
      </c>
      <c r="H88" s="4206">
        <f>H85/H79</f>
        <v>1.3183409216983401E-3</v>
      </c>
      <c r="I88" s="4211">
        <f>I85/I79</f>
        <v>1.3624220061975432E-3</v>
      </c>
      <c r="J88" s="39"/>
      <c r="K88" s="5204" t="s">
        <v>1475</v>
      </c>
      <c r="L88" s="5204"/>
      <c r="M88" s="4136" t="s">
        <v>1335</v>
      </c>
      <c r="N88" s="4189">
        <f>N85/N79</f>
        <v>1.8524224480173167E-3</v>
      </c>
      <c r="O88" s="4189">
        <f t="shared" ref="O88:R88" si="23">O85/O79</f>
        <v>1.7785528414737066E-3</v>
      </c>
      <c r="P88" s="4189">
        <f t="shared" si="23"/>
        <v>1.8413441049196259E-3</v>
      </c>
      <c r="Q88" s="4189">
        <f t="shared" si="23"/>
        <v>7.0136558000927316E-4</v>
      </c>
      <c r="R88" s="4189">
        <f t="shared" si="23"/>
        <v>2.1770536145853832E-6</v>
      </c>
      <c r="S88" s="4621">
        <f>S85/S79</f>
        <v>1.6241751016292424E-3</v>
      </c>
      <c r="T88" s="4624">
        <f>T87/S80</f>
        <v>0.13365457225862076</v>
      </c>
      <c r="U88" s="5203" t="s">
        <v>1342</v>
      </c>
      <c r="V88" s="5204"/>
      <c r="W88" s="4136" t="s">
        <v>1335</v>
      </c>
      <c r="X88" s="4189">
        <f t="shared" ref="X88:AC88" si="24">X85/X79</f>
        <v>1.2304165741347307E-3</v>
      </c>
      <c r="Y88" s="4189">
        <f t="shared" si="24"/>
        <v>1.0999237190545065E-3</v>
      </c>
      <c r="Z88" s="4189">
        <f t="shared" si="24"/>
        <v>1.6220295916864139E-3</v>
      </c>
      <c r="AA88" s="4189">
        <f t="shared" si="24"/>
        <v>3.2181386890730895E-4</v>
      </c>
      <c r="AB88" s="4189">
        <f t="shared" si="24"/>
        <v>9.9973337171391406E-7</v>
      </c>
      <c r="AC88" s="4189">
        <f t="shared" si="24"/>
        <v>1.0252035875561241E-3</v>
      </c>
      <c r="AD88" s="445">
        <f t="shared" si="16"/>
        <v>4.2751834871546735E-3</v>
      </c>
    </row>
    <row r="89" spans="1:30" s="9" customFormat="1" x14ac:dyDescent="0.25">
      <c r="A89" s="4123" t="s">
        <v>309</v>
      </c>
      <c r="B89" s="4123"/>
      <c r="C89" s="4142" t="s">
        <v>1330</v>
      </c>
      <c r="D89" s="4147">
        <f>'GHG '!X36/1000</f>
        <v>3834.6116939799999</v>
      </c>
      <c r="E89" s="4147">
        <v>4916.2123858499099</v>
      </c>
      <c r="F89" s="4158">
        <f t="shared" si="14"/>
        <v>-0.220006909177282</v>
      </c>
      <c r="G89" s="4147">
        <v>7642.3415549044603</v>
      </c>
      <c r="H89" s="4147">
        <v>8250.5367982999996</v>
      </c>
      <c r="I89" s="4212">
        <v>8701.07</v>
      </c>
      <c r="J89" s="39"/>
      <c r="K89" s="5306" t="s">
        <v>309</v>
      </c>
      <c r="L89" s="5307"/>
      <c r="M89" s="4137" t="s">
        <v>1330</v>
      </c>
      <c r="N89" s="4154">
        <v>470.17619999999999</v>
      </c>
      <c r="O89" s="4154">
        <v>660.07297319999998</v>
      </c>
      <c r="P89" s="4154">
        <v>247.87816820200001</v>
      </c>
      <c r="Q89" s="4154">
        <v>2184.6247254663999</v>
      </c>
      <c r="R89" s="4147">
        <v>265.58692104199997</v>
      </c>
      <c r="S89" s="4183">
        <v>3828.339833992</v>
      </c>
      <c r="T89" s="3134">
        <f t="shared" si="15"/>
        <v>3828.3389879104002</v>
      </c>
      <c r="U89" s="5306" t="s">
        <v>309</v>
      </c>
      <c r="V89" s="5307"/>
      <c r="W89" s="4137" t="s">
        <v>1330</v>
      </c>
      <c r="X89" s="4154">
        <v>715.75706000000002</v>
      </c>
      <c r="Y89" s="4154">
        <v>1443.7148816459601</v>
      </c>
      <c r="Z89" s="4154">
        <v>329.6649506764</v>
      </c>
      <c r="AA89" s="4154">
        <v>1923.3216903184</v>
      </c>
      <c r="AB89" s="4147">
        <v>503.75381191999998</v>
      </c>
      <c r="AC89" s="4183">
        <v>4916.2123899999997</v>
      </c>
      <c r="AD89" s="445">
        <f t="shared" si="16"/>
        <v>4916.21239456076</v>
      </c>
    </row>
    <row r="90" spans="1:30" s="9" customFormat="1" ht="15" customHeight="1" x14ac:dyDescent="0.25">
      <c r="A90" s="5299" t="s">
        <v>1331</v>
      </c>
      <c r="B90" s="5299"/>
      <c r="C90" s="4179" t="s">
        <v>1332</v>
      </c>
      <c r="D90" s="4180">
        <f>D85+D89</f>
        <v>483431.14002312883</v>
      </c>
      <c r="E90" s="4180">
        <v>480247.86045339348</v>
      </c>
      <c r="F90" s="4205">
        <f t="shared" si="14"/>
        <v>6.6284096856362154E-3</v>
      </c>
      <c r="G90" s="4180">
        <v>644399.48062041099</v>
      </c>
      <c r="H90" s="4180">
        <v>637157.71276637272</v>
      </c>
      <c r="I90" s="4213">
        <v>612091.38</v>
      </c>
      <c r="J90" s="39"/>
      <c r="K90" s="5299" t="s">
        <v>1331</v>
      </c>
      <c r="L90" s="5299"/>
      <c r="M90" s="4178" t="s">
        <v>1332</v>
      </c>
      <c r="N90" s="4184">
        <f t="shared" ref="N90:S90" si="25">N83+N84+N89</f>
        <v>216320.63995648391</v>
      </c>
      <c r="O90" s="4184">
        <f>O83+O84+O89</f>
        <v>180409.629724122</v>
      </c>
      <c r="P90" s="4184">
        <f>P83+P84+P89</f>
        <v>47555.492838411657</v>
      </c>
      <c r="Q90" s="4184">
        <f>Q83+Q84+Q89</f>
        <v>38986.706982339303</v>
      </c>
      <c r="R90" s="4184">
        <f t="shared" si="25"/>
        <v>909.45562834870498</v>
      </c>
      <c r="S90" s="4184">
        <f t="shared" si="25"/>
        <v>484181.93155062012</v>
      </c>
      <c r="T90" s="3134">
        <f t="shared" si="15"/>
        <v>484181.92512970557</v>
      </c>
      <c r="U90" s="5299" t="s">
        <v>1331</v>
      </c>
      <c r="V90" s="5299"/>
      <c r="W90" s="4178" t="s">
        <v>1332</v>
      </c>
      <c r="X90" s="4184">
        <f t="shared" ref="X90:AC90" si="26">X83+X84+X89</f>
        <v>211551.94026</v>
      </c>
      <c r="Y90" s="4184">
        <f t="shared" si="26"/>
        <v>188641.19780292085</v>
      </c>
      <c r="Z90" s="4184">
        <f t="shared" si="26"/>
        <v>47229.974321491398</v>
      </c>
      <c r="AA90" s="4184">
        <f t="shared" si="26"/>
        <v>31857.471782192799</v>
      </c>
      <c r="AB90" s="4184">
        <f t="shared" si="26"/>
        <v>967.27629367422799</v>
      </c>
      <c r="AC90" s="4184">
        <f t="shared" si="26"/>
        <v>480247.86046</v>
      </c>
      <c r="AD90" s="445">
        <f t="shared" si="16"/>
        <v>480247.86046027933</v>
      </c>
    </row>
    <row r="91" spans="1:30" s="9" customFormat="1" ht="15" customHeight="1" x14ac:dyDescent="0.25">
      <c r="A91" s="5229" t="s">
        <v>598</v>
      </c>
      <c r="B91" s="5229"/>
      <c r="C91" s="4145" t="s">
        <v>1333</v>
      </c>
      <c r="D91" s="4149">
        <f>D90/D80</f>
        <v>0.13469141678213006</v>
      </c>
      <c r="E91" s="4149">
        <v>0.12393665053588934</v>
      </c>
      <c r="F91" s="4158">
        <f t="shared" si="14"/>
        <v>8.6776318383127327E-2</v>
      </c>
      <c r="G91" s="4149">
        <v>0.13265342595890961</v>
      </c>
      <c r="H91" s="4149">
        <v>0.15356219513546362</v>
      </c>
      <c r="I91" s="4214">
        <v>0.15933547762009159</v>
      </c>
      <c r="J91" s="39"/>
      <c r="K91" s="5229" t="s">
        <v>1468</v>
      </c>
      <c r="L91" s="5229"/>
      <c r="M91" s="4144" t="s">
        <v>1333</v>
      </c>
      <c r="N91" s="4190">
        <f>N90/N80</f>
        <v>0.13705059437564912</v>
      </c>
      <c r="O91" s="4190">
        <f t="shared" ref="O91:S91" si="27">O90/O80</f>
        <v>0.10976704855757211</v>
      </c>
      <c r="P91" s="4190">
        <f t="shared" si="27"/>
        <v>0.68843829183388838</v>
      </c>
      <c r="Q91" s="4190">
        <f t="shared" si="27"/>
        <v>0.13077072721655666</v>
      </c>
      <c r="R91" s="4190">
        <f t="shared" si="27"/>
        <v>2.5338844964953815E-4</v>
      </c>
      <c r="S91" s="4190">
        <f t="shared" si="27"/>
        <v>0.13490059895136514</v>
      </c>
      <c r="T91" s="3134">
        <f t="shared" si="15"/>
        <v>1.0662800504333159</v>
      </c>
      <c r="U91" s="5229" t="s">
        <v>1448</v>
      </c>
      <c r="V91" s="5229"/>
      <c r="W91" s="4144" t="s">
        <v>1333</v>
      </c>
      <c r="X91" s="4190">
        <f t="shared" ref="X91:AB91" si="28">X90/X80</f>
        <v>0.12775420658986411</v>
      </c>
      <c r="Y91" s="4190">
        <f t="shared" si="28"/>
        <v>0.10744091919116482</v>
      </c>
      <c r="Z91" s="4190">
        <f t="shared" si="28"/>
        <v>0.74220121507804504</v>
      </c>
      <c r="AA91" s="4190">
        <f t="shared" si="28"/>
        <v>7.9720386411286939E-2</v>
      </c>
      <c r="AB91" s="4190">
        <f t="shared" si="28"/>
        <v>2.496231505697403E-4</v>
      </c>
      <c r="AC91" s="4190">
        <f>AC90/AC80</f>
        <v>0.12393665053759427</v>
      </c>
    </row>
    <row r="92" spans="1:30" s="9" customFormat="1" ht="15" customHeight="1" x14ac:dyDescent="0.25">
      <c r="A92" s="5229" t="s">
        <v>599</v>
      </c>
      <c r="B92" s="5229"/>
      <c r="C92" s="4145" t="s">
        <v>1334</v>
      </c>
      <c r="D92" s="4149">
        <f>D90/D81</f>
        <v>3.9189059536091683E-2</v>
      </c>
      <c r="E92" s="4149">
        <v>3.2299287189592525E-2</v>
      </c>
      <c r="F92" s="4158">
        <f t="shared" si="14"/>
        <v>0.21331035282782279</v>
      </c>
      <c r="G92" s="4150">
        <v>2.8371462575493157E-2</v>
      </c>
      <c r="H92" s="4149">
        <v>3.207052683227074E-2</v>
      </c>
      <c r="I92" s="4214">
        <v>3.005924175096444E-2</v>
      </c>
      <c r="J92" s="39"/>
      <c r="K92" s="5229" t="s">
        <v>1469</v>
      </c>
      <c r="L92" s="5229"/>
      <c r="M92" s="4144" t="s">
        <v>1334</v>
      </c>
      <c r="N92" s="4190">
        <f t="shared" ref="N92:R92" si="29">N90/N81</f>
        <v>5.1136830349042713E-2</v>
      </c>
      <c r="O92" s="4190">
        <f>O90/O81</f>
        <v>6.1553724462024319E-2</v>
      </c>
      <c r="P92" s="4190">
        <f t="shared" si="29"/>
        <v>5.3330970263048491E-2</v>
      </c>
      <c r="Q92" s="4190">
        <f t="shared" si="29"/>
        <v>9.1026535396061224E-3</v>
      </c>
      <c r="R92" s="4190">
        <f t="shared" si="29"/>
        <v>7.3724482794149143E-5</v>
      </c>
      <c r="S92" s="4190">
        <f>S90/S81</f>
        <v>3.9249922007360376E-2</v>
      </c>
      <c r="T92" s="3134">
        <f t="shared" si="15"/>
        <v>0.17519790309651581</v>
      </c>
      <c r="U92" s="5229" t="s">
        <v>1449</v>
      </c>
      <c r="V92" s="5229"/>
      <c r="W92" s="4144" t="s">
        <v>1334</v>
      </c>
      <c r="X92" s="4190">
        <f t="shared" ref="X92:AC92" si="30">X90/X81</f>
        <v>4.1681497407539757E-2</v>
      </c>
      <c r="Y92" s="4190">
        <f t="shared" si="30"/>
        <v>5.7215205279163642E-2</v>
      </c>
      <c r="Z92" s="4190">
        <f t="shared" si="30"/>
        <v>4.7195710235860167E-2</v>
      </c>
      <c r="AA92" s="4190">
        <f t="shared" si="30"/>
        <v>5.7970419140017842E-3</v>
      </c>
      <c r="AB92" s="4190">
        <f t="shared" si="30"/>
        <v>6.5054604869188161E-5</v>
      </c>
      <c r="AC92" s="4190">
        <f t="shared" si="30"/>
        <v>3.229928719003685E-2</v>
      </c>
    </row>
    <row r="93" spans="1:30" s="9" customFormat="1" ht="15" customHeight="1" x14ac:dyDescent="0.25">
      <c r="A93" s="5229" t="s">
        <v>460</v>
      </c>
      <c r="B93" s="5229"/>
      <c r="C93" s="4145" t="s">
        <v>1335</v>
      </c>
      <c r="D93" s="4157">
        <f>D90/D79</f>
        <v>1.6345809306262044E-3</v>
      </c>
      <c r="E93" s="4151">
        <f>E90/E79</f>
        <v>1.0358069601552502E-3</v>
      </c>
      <c r="F93" s="4158">
        <f t="shared" si="14"/>
        <v>0.5780748667504686</v>
      </c>
      <c r="G93" s="4151">
        <v>1.1179368880372264E-3</v>
      </c>
      <c r="H93" s="4207">
        <v>1.3184636812747857E-3</v>
      </c>
      <c r="I93" s="4214">
        <v>1.4003024135530286E-3</v>
      </c>
      <c r="J93" s="39"/>
      <c r="K93" s="5229" t="s">
        <v>1470</v>
      </c>
      <c r="L93" s="5229"/>
      <c r="M93" s="4144" t="s">
        <v>1335</v>
      </c>
      <c r="N93" s="4191">
        <f t="shared" ref="N93:S93" si="31">N90/N79</f>
        <v>1.8564574865909936E-3</v>
      </c>
      <c r="O93" s="4191">
        <f t="shared" si="31"/>
        <v>1.7850840100801005E-3</v>
      </c>
      <c r="P93" s="4191">
        <f>P90/P79</f>
        <v>1.8509922135156495E-3</v>
      </c>
      <c r="Q93" s="4191">
        <f t="shared" si="31"/>
        <v>7.4299965323873539E-4</v>
      </c>
      <c r="R93" s="4191">
        <f t="shared" si="31"/>
        <v>3.0750580677908815E-6</v>
      </c>
      <c r="S93" s="4191">
        <f t="shared" si="31"/>
        <v>1.6371195124677761E-3</v>
      </c>
      <c r="T93" s="3134">
        <f t="shared" si="15"/>
        <v>6.2386084214932696E-3</v>
      </c>
      <c r="U93" s="5229" t="s">
        <v>460</v>
      </c>
      <c r="V93" s="5229"/>
      <c r="W93" s="4144" t="s">
        <v>1335</v>
      </c>
      <c r="X93" s="4191">
        <f t="shared" ref="X93:AC93" si="32">X90/X79</f>
        <v>1.2345936529279023E-3</v>
      </c>
      <c r="Y93" s="4191">
        <f t="shared" si="32"/>
        <v>1.108406612184764E-3</v>
      </c>
      <c r="Z93" s="4191">
        <f t="shared" si="32"/>
        <v>1.6334309302386007E-3</v>
      </c>
      <c r="AA93" s="4191">
        <f t="shared" si="32"/>
        <v>3.424909749021347E-4</v>
      </c>
      <c r="AB93" s="4191">
        <f t="shared" si="32"/>
        <v>2.0862383778973054E-6</v>
      </c>
      <c r="AC93" s="4191">
        <f t="shared" si="32"/>
        <v>1.0358069601694993E-3</v>
      </c>
    </row>
    <row r="94" spans="1:30" s="9" customFormat="1" x14ac:dyDescent="0.25">
      <c r="A94" s="4117">
        <v>-22</v>
      </c>
      <c r="B94" s="4118"/>
      <c r="C94" s="4143" t="s">
        <v>1332</v>
      </c>
      <c r="D94" s="4155">
        <f>'GHG '!X40/1000</f>
        <v>171.95</v>
      </c>
      <c r="E94" s="4154">
        <v>227.00399999999999</v>
      </c>
      <c r="F94" s="4158">
        <f t="shared" si="14"/>
        <v>-0.24252436080421491</v>
      </c>
      <c r="G94" s="4154"/>
      <c r="H94" s="4156"/>
      <c r="I94" s="4156"/>
      <c r="J94" s="39"/>
      <c r="K94" s="5209">
        <v>-22</v>
      </c>
      <c r="L94" s="5210"/>
      <c r="M94" s="4138" t="s">
        <v>1332</v>
      </c>
      <c r="N94" s="4185">
        <v>25.158999999999999</v>
      </c>
      <c r="O94" s="4186">
        <v>114.03</v>
      </c>
      <c r="P94" s="4186">
        <v>0</v>
      </c>
      <c r="Q94" s="4186">
        <v>32.761000000000003</v>
      </c>
      <c r="R94" s="4187">
        <v>0</v>
      </c>
      <c r="S94" s="4186">
        <v>171.95</v>
      </c>
      <c r="T94" s="3134">
        <f t="shared" si="15"/>
        <v>171.95</v>
      </c>
      <c r="U94" s="5230">
        <v>-22</v>
      </c>
      <c r="V94" s="5230"/>
      <c r="W94" s="4138" t="s">
        <v>1332</v>
      </c>
      <c r="X94" s="4185">
        <v>19.007999999999999</v>
      </c>
      <c r="Y94" s="4186">
        <v>119.68</v>
      </c>
      <c r="Z94" s="4186">
        <v>0</v>
      </c>
      <c r="AA94" s="4186">
        <v>88.316000000000003</v>
      </c>
      <c r="AB94" s="4186"/>
      <c r="AC94" s="4186">
        <v>227.00479999999999</v>
      </c>
    </row>
    <row r="95" spans="1:30" s="9" customFormat="1" ht="24" customHeight="1" x14ac:dyDescent="0.25">
      <c r="A95" s="4067"/>
      <c r="B95" s="4067"/>
      <c r="C95" s="4067"/>
      <c r="D95" s="4116"/>
      <c r="E95" s="3908"/>
      <c r="F95" s="3908"/>
      <c r="G95" s="3908"/>
      <c r="H95" s="39"/>
      <c r="I95" s="39"/>
      <c r="J95" s="39"/>
      <c r="K95" s="5220" t="s">
        <v>1350</v>
      </c>
      <c r="L95" s="5220"/>
      <c r="M95" s="4136" t="s">
        <v>1332</v>
      </c>
      <c r="N95" s="4194">
        <f>IF(ISERROR((N85-X85)/X85),0,((N85-X85)/X85))</f>
        <v>2.3782827408364515E-2</v>
      </c>
      <c r="O95" s="4194">
        <f t="shared" ref="O95:S98" si="33">IF(ISERROR((O85-Y85)/Y85),0,((O85-Y85)/Y85))</f>
        <v>-3.9786465363346249E-2</v>
      </c>
      <c r="P95" s="4194">
        <f t="shared" si="33"/>
        <v>8.6844906751962492E-3</v>
      </c>
      <c r="Q95" s="4194">
        <f t="shared" si="33"/>
        <v>0.22943468058786815</v>
      </c>
      <c r="R95" s="4194">
        <f t="shared" si="33"/>
        <v>0.38907762331170243</v>
      </c>
      <c r="S95" s="4194">
        <f t="shared" si="33"/>
        <v>1.0565136293825231E-2</v>
      </c>
      <c r="T95" s="4620">
        <f>T87/S79</f>
        <v>1.6219980480146573E-3</v>
      </c>
      <c r="U95" s="5231" t="s">
        <v>1343</v>
      </c>
      <c r="V95" s="5231"/>
      <c r="W95" s="5231"/>
      <c r="X95" s="5231"/>
      <c r="Y95" s="5231"/>
      <c r="Z95" s="5231"/>
      <c r="AA95" s="5231"/>
      <c r="AB95" s="5231"/>
      <c r="AC95" s="5231"/>
    </row>
    <row r="96" spans="1:30" x14ac:dyDescent="0.25">
      <c r="A96" s="4067"/>
      <c r="B96" s="4067"/>
      <c r="C96" s="4067"/>
      <c r="D96" s="4116"/>
      <c r="K96" s="5220"/>
      <c r="L96" s="5220"/>
      <c r="M96" s="4136" t="s">
        <v>1333</v>
      </c>
      <c r="N96" s="4194">
        <f>IF(ISERROR((N86-X86)/X86),0,((N86-X86)/X86))</f>
        <v>7.4070054781827668E-2</v>
      </c>
      <c r="O96" s="4194">
        <f t="shared" si="33"/>
        <v>2.5762753197093629E-2</v>
      </c>
      <c r="P96" s="4196">
        <f t="shared" si="33"/>
        <v>-7.0786045438684136E-2</v>
      </c>
      <c r="Q96" s="4194">
        <f t="shared" si="33"/>
        <v>0.64793985304771862</v>
      </c>
      <c r="R96" s="4194">
        <f t="shared" si="33"/>
        <v>0.49967619718036815</v>
      </c>
      <c r="S96" s="4194">
        <f t="shared" si="33"/>
        <v>9.1026487768933476E-2</v>
      </c>
      <c r="T96" s="3134"/>
      <c r="U96" s="4201"/>
      <c r="V96" s="4201"/>
      <c r="W96" s="4199"/>
      <c r="X96" s="842"/>
      <c r="Y96" s="842"/>
      <c r="Z96" s="842"/>
      <c r="AA96" s="842"/>
      <c r="AB96" s="2900"/>
      <c r="AC96" s="4200"/>
    </row>
    <row r="97" spans="1:30" x14ac:dyDescent="0.25">
      <c r="A97" s="39"/>
      <c r="B97" s="39"/>
      <c r="C97" s="39"/>
      <c r="D97" s="39"/>
      <c r="E97" s="39"/>
      <c r="F97" s="39"/>
      <c r="G97" s="39"/>
      <c r="H97" s="39"/>
      <c r="I97" s="39"/>
      <c r="K97" s="5220"/>
      <c r="L97" s="5220"/>
      <c r="M97" s="4136" t="s">
        <v>1334</v>
      </c>
      <c r="N97" s="4194">
        <f>IF(ISERROR((N87-X87)/X87),0,((N87-X87)/X87))</f>
        <v>0.22833658480396674</v>
      </c>
      <c r="O97" s="4194">
        <f t="shared" si="33"/>
        <v>8.01586034467245E-2</v>
      </c>
      <c r="P97" s="4194">
        <f t="shared" si="33"/>
        <v>0.13200755363649017</v>
      </c>
      <c r="Q97" s="4194">
        <f t="shared" si="33"/>
        <v>0.57747245883165987</v>
      </c>
      <c r="R97" s="4194">
        <f t="shared" si="33"/>
        <v>0.67428441819150453</v>
      </c>
      <c r="S97" s="4194">
        <f t="shared" si="33"/>
        <v>0.21805537204644393</v>
      </c>
      <c r="T97" s="3134"/>
      <c r="U97" s="4201"/>
      <c r="V97" s="4201"/>
      <c r="W97" s="4199"/>
      <c r="X97" s="842"/>
      <c r="Y97" s="842"/>
      <c r="Z97" s="4638" t="s">
        <v>1471</v>
      </c>
      <c r="AA97" s="4639" t="s">
        <v>967</v>
      </c>
      <c r="AB97" s="4644" t="s">
        <v>684</v>
      </c>
      <c r="AC97" s="4640" t="s">
        <v>1401</v>
      </c>
      <c r="AD97" s="4641" t="s">
        <v>1472</v>
      </c>
    </row>
    <row r="98" spans="1:30" ht="15.75" customHeight="1" x14ac:dyDescent="0.35">
      <c r="A98" s="5217" t="s">
        <v>1259</v>
      </c>
      <c r="B98" s="5218"/>
      <c r="C98" s="5218"/>
      <c r="D98" s="5218"/>
      <c r="E98" s="5218"/>
      <c r="F98" s="5218"/>
      <c r="G98" s="5218"/>
      <c r="H98" s="5219"/>
      <c r="I98" s="842" t="s">
        <v>1435</v>
      </c>
      <c r="K98" s="5220"/>
      <c r="L98" s="5220"/>
      <c r="M98" s="4136" t="s">
        <v>1335</v>
      </c>
      <c r="N98" s="4194">
        <f>IF(ISERROR((N88-X88)/X88),0,((N88-X88)/X88))</f>
        <v>0.50552462227680972</v>
      </c>
      <c r="O98" s="4194">
        <f t="shared" si="33"/>
        <v>0.6169783510101492</v>
      </c>
      <c r="P98" s="4194">
        <f t="shared" si="33"/>
        <v>0.13520993350385924</v>
      </c>
      <c r="Q98" s="4194">
        <f t="shared" si="33"/>
        <v>1.1794137785009051</v>
      </c>
      <c r="R98" s="4194">
        <f t="shared" si="33"/>
        <v>1.177634233468775</v>
      </c>
      <c r="S98" s="4194">
        <f t="shared" si="33"/>
        <v>0.58424640856060994</v>
      </c>
      <c r="T98" s="3134"/>
      <c r="U98" s="39" t="s">
        <v>832</v>
      </c>
      <c r="V98" s="39"/>
      <c r="W98" s="4199"/>
      <c r="X98" s="842"/>
      <c r="Y98" s="842"/>
      <c r="Z98" s="4642"/>
      <c r="AA98" s="3991">
        <v>23644.038812776002</v>
      </c>
      <c r="AB98" s="4082">
        <v>12361.9842321408</v>
      </c>
      <c r="AC98" s="4643">
        <f>AA98-AB98</f>
        <v>11282.054580635202</v>
      </c>
      <c r="AD98" s="4645">
        <f>AC98/AB98</f>
        <v>0.91264107515217407</v>
      </c>
    </row>
    <row r="99" spans="1:30" ht="15" customHeight="1" x14ac:dyDescent="0.25">
      <c r="A99" s="3294"/>
      <c r="B99" s="3488" t="s">
        <v>449</v>
      </c>
      <c r="C99" s="107" t="s">
        <v>99</v>
      </c>
      <c r="D99" s="107" t="s">
        <v>100</v>
      </c>
      <c r="E99" s="4232" t="s">
        <v>101</v>
      </c>
      <c r="F99" s="4232" t="s">
        <v>103</v>
      </c>
      <c r="G99" s="4232" t="s">
        <v>1341</v>
      </c>
      <c r="H99" s="860" t="s">
        <v>143</v>
      </c>
      <c r="I99" s="842"/>
      <c r="K99" s="5208" t="s">
        <v>1351</v>
      </c>
      <c r="L99" s="5208"/>
      <c r="M99" s="4144" t="s">
        <v>1332</v>
      </c>
      <c r="N99" s="4195">
        <f t="shared" ref="N99:S102" si="34">IF(ISERROR((N90-X90)/X90),0,((N90-X90)/X90))</f>
        <v>2.2541507729133155E-2</v>
      </c>
      <c r="O99" s="4195">
        <f t="shared" si="34"/>
        <v>-4.3636110110998237E-2</v>
      </c>
      <c r="P99" s="4195">
        <f t="shared" si="34"/>
        <v>6.8922018611417392E-3</v>
      </c>
      <c r="Q99" s="4195">
        <f t="shared" si="34"/>
        <v>0.22378534143853482</v>
      </c>
      <c r="R99" s="4195">
        <f t="shared" si="34"/>
        <v>-5.9776783224873092E-2</v>
      </c>
      <c r="S99" s="4195">
        <f t="shared" si="34"/>
        <v>8.1917514153044269E-3</v>
      </c>
      <c r="T99" s="3134"/>
      <c r="U99" s="39" t="s">
        <v>1418</v>
      </c>
      <c r="V99" s="427"/>
      <c r="W99" s="4199"/>
      <c r="X99" s="842"/>
      <c r="Y99" s="842"/>
      <c r="Z99" s="842"/>
      <c r="AA99" s="842"/>
      <c r="AB99" s="2900"/>
      <c r="AC99" s="4200"/>
    </row>
    <row r="100" spans="1:30" ht="15.75" thickBot="1" x14ac:dyDescent="0.3">
      <c r="A100" s="409" t="s">
        <v>588</v>
      </c>
      <c r="B100" s="4231" t="s">
        <v>27</v>
      </c>
      <c r="C100" s="4235">
        <f>Energy!G11</f>
        <v>2215778</v>
      </c>
      <c r="D100" s="408">
        <f>Energy!L11</f>
        <v>1852569.44</v>
      </c>
      <c r="E100" s="408">
        <f>Energy!Q11</f>
        <v>624027</v>
      </c>
      <c r="F100" s="408">
        <f>Energy!V11</f>
        <v>4454621</v>
      </c>
      <c r="G100" s="408">
        <f>Energy!AK11</f>
        <v>63027.510356939252</v>
      </c>
      <c r="H100" s="4236">
        <f>Energy!L33</f>
        <v>9210022.9503569379</v>
      </c>
      <c r="I100" s="843">
        <f>SUM(C100:G100)</f>
        <v>9210022.9503569379</v>
      </c>
      <c r="K100" s="5208"/>
      <c r="L100" s="5208"/>
      <c r="M100" s="4144" t="s">
        <v>1333</v>
      </c>
      <c r="N100" s="4195">
        <f t="shared" si="34"/>
        <v>7.2767762674380509E-2</v>
      </c>
      <c r="O100" s="4195">
        <f t="shared" si="34"/>
        <v>2.1650311482057517E-2</v>
      </c>
      <c r="P100" s="4198">
        <f t="shared" si="34"/>
        <v>-7.2437126417939507E-2</v>
      </c>
      <c r="Q100" s="4197">
        <f t="shared" si="34"/>
        <v>0.64036745308652865</v>
      </c>
      <c r="R100" s="4195">
        <f t="shared" si="34"/>
        <v>1.508393380663582E-2</v>
      </c>
      <c r="S100" s="4197">
        <f t="shared" si="34"/>
        <v>8.8464133621596636E-2</v>
      </c>
      <c r="T100" s="3134"/>
      <c r="U100" s="39" t="s">
        <v>1417</v>
      </c>
      <c r="V100" s="427"/>
      <c r="W100" s="4199"/>
      <c r="X100" s="842"/>
      <c r="Y100" s="842"/>
      <c r="Z100" s="842"/>
      <c r="AA100" s="842"/>
      <c r="AB100" s="2900"/>
      <c r="AC100" s="4200"/>
    </row>
    <row r="101" spans="1:30" ht="33.75" x14ac:dyDescent="0.25">
      <c r="A101" s="4216" t="s">
        <v>1355</v>
      </c>
      <c r="B101" s="4225">
        <v>38100000</v>
      </c>
      <c r="C101" s="4233">
        <f>B101*C100</f>
        <v>84421141800000</v>
      </c>
      <c r="D101" s="3485">
        <f>B101*D100</f>
        <v>70582895664000</v>
      </c>
      <c r="E101" s="3485">
        <f>B101*E100</f>
        <v>23775428700000</v>
      </c>
      <c r="F101" s="3485">
        <f>B101*F100</f>
        <v>169721060100000</v>
      </c>
      <c r="G101" s="3485">
        <f>B101*G100</f>
        <v>2401348144599.3857</v>
      </c>
      <c r="H101" s="4234">
        <f>H100*B101</f>
        <v>350901874408599.31</v>
      </c>
      <c r="I101" s="3486">
        <f t="shared" ref="I101:I113" si="35">SUM(C101:G101)</f>
        <v>350901874408599.37</v>
      </c>
      <c r="K101" s="5208"/>
      <c r="L101" s="5208"/>
      <c r="M101" s="4144" t="s">
        <v>1334</v>
      </c>
      <c r="N101" s="4195">
        <f t="shared" si="34"/>
        <v>0.22684724709032605</v>
      </c>
      <c r="O101" s="4195">
        <f t="shared" si="34"/>
        <v>7.5828080344940374E-2</v>
      </c>
      <c r="P101" s="4195">
        <f t="shared" si="34"/>
        <v>0.12999613728721135</v>
      </c>
      <c r="Q101" s="4197">
        <f t="shared" si="34"/>
        <v>0.5702238615215437</v>
      </c>
      <c r="R101" s="4195">
        <f t="shared" si="34"/>
        <v>0.13327077986861002</v>
      </c>
      <c r="S101" s="4626">
        <f t="shared" si="34"/>
        <v>0.21519468143146955</v>
      </c>
      <c r="T101" s="4622">
        <f>S90-R90</f>
        <v>483272.47592227143</v>
      </c>
      <c r="U101" s="9"/>
      <c r="V101" s="9"/>
      <c r="W101" s="4199"/>
      <c r="X101" s="842"/>
      <c r="Y101" s="842"/>
      <c r="Z101" s="842"/>
      <c r="AA101" s="842"/>
      <c r="AB101" s="2900"/>
      <c r="AC101" s="4200"/>
    </row>
    <row r="102" spans="1:30" x14ac:dyDescent="0.25">
      <c r="A102" s="394" t="s">
        <v>587</v>
      </c>
      <c r="B102" s="4226" t="s">
        <v>27</v>
      </c>
      <c r="C102" s="4235">
        <f>Energy!G15</f>
        <v>14310</v>
      </c>
      <c r="D102" s="408">
        <f>Energy!L15</f>
        <v>22121.45</v>
      </c>
      <c r="E102" s="408">
        <f>Energy!Q15</f>
        <v>2150.2199999999998</v>
      </c>
      <c r="F102" s="408">
        <f>Energy!V15</f>
        <v>16063.29</v>
      </c>
      <c r="G102" s="408">
        <f>Energy!AK15</f>
        <v>10050.774326129471</v>
      </c>
      <c r="H102" s="4236">
        <f>Energy!L37</f>
        <v>64695.734326129474</v>
      </c>
      <c r="I102" s="843">
        <f t="shared" si="35"/>
        <v>64695.734326129474</v>
      </c>
      <c r="K102" s="5208"/>
      <c r="L102" s="5208"/>
      <c r="M102" s="4144" t="s">
        <v>1335</v>
      </c>
      <c r="N102" s="4195">
        <f t="shared" si="34"/>
        <v>0.50369919867019342</v>
      </c>
      <c r="O102" s="4195">
        <f t="shared" si="34"/>
        <v>0.61049563441483601</v>
      </c>
      <c r="P102" s="4195">
        <f t="shared" si="34"/>
        <v>0.13319282698122339</v>
      </c>
      <c r="Q102" s="4195">
        <f t="shared" si="34"/>
        <v>1.1693992183328168</v>
      </c>
      <c r="R102" s="4195">
        <f t="shared" si="34"/>
        <v>0.47397253370930487</v>
      </c>
      <c r="S102" s="4626">
        <f t="shared" si="34"/>
        <v>0.58052569196858672</v>
      </c>
      <c r="T102" s="4628">
        <f>T101/S81</f>
        <v>3.9176197524566227E-2</v>
      </c>
      <c r="U102" s="4201"/>
      <c r="V102" s="4201"/>
      <c r="W102" s="4199"/>
      <c r="X102" s="842"/>
      <c r="Y102" s="842"/>
      <c r="Z102" s="842"/>
      <c r="AA102" s="842"/>
      <c r="AB102" s="2900"/>
      <c r="AC102" s="4200"/>
    </row>
    <row r="103" spans="1:30" ht="25.5" customHeight="1" x14ac:dyDescent="0.25">
      <c r="A103" s="4216" t="s">
        <v>1356</v>
      </c>
      <c r="B103" s="4225">
        <v>34200000</v>
      </c>
      <c r="C103" s="4233">
        <f>B103*C102</f>
        <v>489402000000</v>
      </c>
      <c r="D103" s="3485">
        <f>B103*D102</f>
        <v>756553590000</v>
      </c>
      <c r="E103" s="3485">
        <f>B103*E102</f>
        <v>73537524000</v>
      </c>
      <c r="F103" s="3485">
        <f>B103*F102</f>
        <v>549364518000</v>
      </c>
      <c r="G103" s="3485">
        <f>B103*G102</f>
        <v>343736481953.62793</v>
      </c>
      <c r="H103" s="4234">
        <f>B103*H102</f>
        <v>2212594113953.6279</v>
      </c>
      <c r="I103" s="3486">
        <f t="shared" si="35"/>
        <v>2212594113953.6279</v>
      </c>
      <c r="K103" s="5211" t="s">
        <v>1352</v>
      </c>
      <c r="L103" s="5211"/>
      <c r="M103" s="4138" t="s">
        <v>1332</v>
      </c>
      <c r="N103" s="4203">
        <f>IF(ISERROR((N83-X83)/X83),0,((N83-X83)/X83))</f>
        <v>-0.13312532904996446</v>
      </c>
      <c r="O103" s="4203">
        <f t="shared" ref="O103:S105" si="36">IF(ISERROR((O83-Y83)/Y83),0,((O83-Y83)/Y83))</f>
        <v>-0.31157164898552892</v>
      </c>
      <c r="P103" s="4203">
        <f t="shared" si="36"/>
        <v>-0.22815171980430834</v>
      </c>
      <c r="Q103" s="4203">
        <f t="shared" si="36"/>
        <v>-0.25119967856390463</v>
      </c>
      <c r="R103" s="4203">
        <f t="shared" si="36"/>
        <v>0.91874883256738937</v>
      </c>
      <c r="S103" s="4627">
        <f t="shared" si="36"/>
        <v>-0.2327966235594657</v>
      </c>
      <c r="T103" s="4628">
        <f>T101/S80</f>
        <v>0.1346472105017156</v>
      </c>
      <c r="U103" s="4202"/>
      <c r="V103" s="4202"/>
      <c r="W103" s="4202"/>
      <c r="X103" s="4202"/>
      <c r="Y103" s="4202"/>
      <c r="Z103" s="4202"/>
      <c r="AA103" s="4202"/>
      <c r="AB103" s="4202"/>
      <c r="AC103" s="4202"/>
    </row>
    <row r="104" spans="1:30" ht="22.5" customHeight="1" thickBot="1" x14ac:dyDescent="0.3">
      <c r="A104" s="4217" t="s">
        <v>592</v>
      </c>
      <c r="B104" s="4226" t="s">
        <v>1361</v>
      </c>
      <c r="C104" s="4235">
        <f>Energy!G16/0.555</f>
        <v>172.97297297297297</v>
      </c>
      <c r="D104" s="408">
        <f>Energy!L16/0.555</f>
        <v>432.43243243243239</v>
      </c>
      <c r="E104" s="408">
        <f>Energy!Q16/0.555</f>
        <v>86.486486486486484</v>
      </c>
      <c r="F104" s="408">
        <f>Energy!V16/0.555</f>
        <v>594.59459459459458</v>
      </c>
      <c r="G104" s="408">
        <f>Energy!AK16</f>
        <v>0</v>
      </c>
      <c r="H104" s="4236">
        <f>Energy!L38/0.555</f>
        <v>1286.4864864864865</v>
      </c>
      <c r="I104" s="843">
        <f t="shared" si="35"/>
        <v>1286.4864864864865</v>
      </c>
      <c r="J104" s="594"/>
      <c r="K104" s="5211" t="s">
        <v>1353</v>
      </c>
      <c r="L104" s="5211"/>
      <c r="M104" s="4138" t="s">
        <v>1332</v>
      </c>
      <c r="N104" s="4203">
        <f>IF(ISERROR((N84-X84)/X84),0,((N84-X84)/X84))</f>
        <v>3.0212795308534442E-2</v>
      </c>
      <c r="O104" s="4203">
        <f t="shared" si="36"/>
        <v>-2.6444590761806313E-2</v>
      </c>
      <c r="P104" s="4203">
        <f t="shared" si="36"/>
        <v>2.1628835536114353E-2</v>
      </c>
      <c r="Q104" s="4204">
        <f t="shared" si="36"/>
        <v>0.91264107515217407</v>
      </c>
      <c r="R104" s="4203">
        <f t="shared" si="36"/>
        <v>0.13100922303206383</v>
      </c>
      <c r="S104" s="4627">
        <f t="shared" si="36"/>
        <v>3.1236314366138714E-2</v>
      </c>
      <c r="T104" s="4629">
        <f>T101/S79</f>
        <v>1.6340444543999852E-3</v>
      </c>
      <c r="U104" s="1"/>
      <c r="V104" s="1"/>
      <c r="W104" s="1"/>
      <c r="X104" s="1"/>
      <c r="Y104" s="1"/>
      <c r="Z104" s="1"/>
      <c r="AA104" s="1"/>
      <c r="AB104" s="1"/>
      <c r="AC104" s="1"/>
    </row>
    <row r="105" spans="1:30" ht="27" customHeight="1" x14ac:dyDescent="0.25">
      <c r="A105" s="4216" t="s">
        <v>593</v>
      </c>
      <c r="B105" s="4225">
        <v>46100000</v>
      </c>
      <c r="C105" s="4233">
        <f>B105*C104</f>
        <v>7974054054.0540543</v>
      </c>
      <c r="D105" s="3485">
        <f>B105*D104</f>
        <v>19935135135.135132</v>
      </c>
      <c r="E105" s="3485">
        <f>B105*E104</f>
        <v>3987027027.0270271</v>
      </c>
      <c r="F105" s="3485">
        <f>B105*F104</f>
        <v>27410810810.81081</v>
      </c>
      <c r="G105" s="3485">
        <v>0</v>
      </c>
      <c r="H105" s="4234">
        <f>B105*H104</f>
        <v>59307027027.027023</v>
      </c>
      <c r="I105" s="3486">
        <f t="shared" si="35"/>
        <v>59307027027.027023</v>
      </c>
      <c r="J105" s="594"/>
      <c r="K105" s="5211" t="s">
        <v>1354</v>
      </c>
      <c r="L105" s="5211"/>
      <c r="M105" s="4138" t="s">
        <v>1332</v>
      </c>
      <c r="N105" s="4203">
        <f>IF(ISERROR((N85-X85)/X85),0,((N85-X85)/X85))</f>
        <v>2.3782827408364515E-2</v>
      </c>
      <c r="O105" s="4203">
        <f t="shared" si="36"/>
        <v>-3.9786465363346249E-2</v>
      </c>
      <c r="P105" s="4203">
        <f t="shared" si="36"/>
        <v>8.6844906751962492E-3</v>
      </c>
      <c r="Q105" s="4203">
        <f t="shared" si="36"/>
        <v>0.22943468058786815</v>
      </c>
      <c r="R105" s="4203">
        <f t="shared" si="36"/>
        <v>0.38907762331170243</v>
      </c>
      <c r="S105" s="4203">
        <f t="shared" si="36"/>
        <v>1.0565136293825231E-2</v>
      </c>
      <c r="U105" s="116"/>
      <c r="V105" s="116"/>
      <c r="W105" s="116"/>
    </row>
    <row r="106" spans="1:30" ht="15" customHeight="1" x14ac:dyDescent="0.25">
      <c r="A106" s="394" t="s">
        <v>590</v>
      </c>
      <c r="B106" s="4226" t="s">
        <v>27</v>
      </c>
      <c r="C106" s="4051">
        <f>'company plane'!S5</f>
        <v>32650.25</v>
      </c>
      <c r="D106" s="389">
        <f>'company plane'!S5</f>
        <v>32650.25</v>
      </c>
      <c r="E106" s="389">
        <f>'company plane'!S5</f>
        <v>32650.25</v>
      </c>
      <c r="F106" s="389">
        <v>0</v>
      </c>
      <c r="G106" s="389">
        <f>'company plane'!S5</f>
        <v>32650.25</v>
      </c>
      <c r="H106" s="4236">
        <f>'company plane'!S4</f>
        <v>130601</v>
      </c>
      <c r="I106" s="843">
        <f t="shared" si="35"/>
        <v>130601</v>
      </c>
      <c r="K106" s="5212" t="s">
        <v>1343</v>
      </c>
      <c r="L106" s="5213"/>
      <c r="M106" s="5213"/>
      <c r="N106" s="5213"/>
      <c r="O106" s="5213"/>
      <c r="P106" s="5213"/>
      <c r="Q106" s="5213"/>
      <c r="R106" s="5213"/>
      <c r="S106" s="5214"/>
      <c r="U106" s="116"/>
      <c r="V106" s="872"/>
      <c r="W106" s="872"/>
      <c r="X106" s="872"/>
      <c r="Y106" s="872"/>
      <c r="Z106" s="872"/>
      <c r="AA106" s="872"/>
      <c r="AB106" s="872"/>
      <c r="AC106" s="872"/>
    </row>
    <row r="107" spans="1:30" ht="34.5" x14ac:dyDescent="0.25">
      <c r="A107" s="4215" t="s">
        <v>1357</v>
      </c>
      <c r="B107" s="4225">
        <v>37500000</v>
      </c>
      <c r="C107" s="4233">
        <f>B107*C106</f>
        <v>1224384375000</v>
      </c>
      <c r="D107" s="3485">
        <f>B107*D106</f>
        <v>1224384375000</v>
      </c>
      <c r="E107" s="3485">
        <f>B107*E106</f>
        <v>1224384375000</v>
      </c>
      <c r="F107" s="3485">
        <f>B107*F106</f>
        <v>0</v>
      </c>
      <c r="G107" s="3485">
        <f>B107*G106</f>
        <v>1224384375000</v>
      </c>
      <c r="H107" s="3485">
        <f>B107*H106</f>
        <v>4897537500000</v>
      </c>
      <c r="I107" s="4545">
        <f t="shared" si="35"/>
        <v>4897537500000</v>
      </c>
      <c r="J107" s="4540" t="s">
        <v>1434</v>
      </c>
      <c r="K107" s="4540" t="s">
        <v>1433</v>
      </c>
      <c r="U107" s="116"/>
      <c r="V107" s="872"/>
      <c r="W107" s="872"/>
      <c r="X107" s="872"/>
      <c r="Y107" s="872"/>
      <c r="Z107" s="872"/>
      <c r="AA107" s="872"/>
      <c r="AB107" s="872"/>
      <c r="AC107" s="872"/>
    </row>
    <row r="108" spans="1:30" ht="33.75" x14ac:dyDescent="0.25">
      <c r="A108" s="2373" t="s">
        <v>568</v>
      </c>
      <c r="B108" s="4227" t="s">
        <v>29</v>
      </c>
      <c r="C108" s="4237">
        <f>Energy!G14</f>
        <v>200653941.74000001</v>
      </c>
      <c r="D108" s="843">
        <f>Energy!L14</f>
        <v>167037781.21410599</v>
      </c>
      <c r="E108" s="843">
        <f>Energy!Q14</f>
        <v>43684260.399999999</v>
      </c>
      <c r="F108" s="843">
        <f>Energy!V14</f>
        <v>44877590.54399997</v>
      </c>
      <c r="G108" s="843">
        <f>Energy!AK14</f>
        <v>360071</v>
      </c>
      <c r="H108" s="843">
        <f>Energy!L36</f>
        <v>456613644.89810592</v>
      </c>
      <c r="I108" s="4546">
        <f t="shared" si="35"/>
        <v>456613644.89810592</v>
      </c>
      <c r="J108" s="4541">
        <f>Energy!AA13</f>
        <v>332059</v>
      </c>
      <c r="K108" s="4541">
        <f>Energy!AF13</f>
        <v>28012</v>
      </c>
      <c r="L108" s="4408"/>
      <c r="M108" s="227" t="s">
        <v>1410</v>
      </c>
      <c r="N108" s="116"/>
      <c r="O108" s="116"/>
      <c r="P108" s="116"/>
      <c r="Q108" s="116"/>
      <c r="R108" s="116"/>
      <c r="S108" s="116"/>
      <c r="T108" s="116"/>
      <c r="V108" s="4192"/>
      <c r="W108" s="4192"/>
      <c r="X108" s="872"/>
      <c r="Y108" s="872"/>
      <c r="Z108" s="872"/>
      <c r="AA108" s="872"/>
      <c r="AB108" s="872"/>
      <c r="AC108" s="872"/>
    </row>
    <row r="109" spans="1:30" ht="25.5" customHeight="1" x14ac:dyDescent="0.25">
      <c r="A109" s="4218" t="s">
        <v>455</v>
      </c>
      <c r="B109" s="4228">
        <v>3599997</v>
      </c>
      <c r="C109" s="4233">
        <f>B109*C108</f>
        <v>722353588302174.87</v>
      </c>
      <c r="D109" s="3485">
        <f>B109*D108</f>
        <v>601335511257437.87</v>
      </c>
      <c r="E109" s="3485">
        <f>B109*E108</f>
        <v>157263206387218.78</v>
      </c>
      <c r="F109" s="3485">
        <f>B109*F108</f>
        <v>161559191325628.25</v>
      </c>
      <c r="G109" s="3485">
        <f>B109*G108</f>
        <v>1296254519787</v>
      </c>
      <c r="H109" s="3485">
        <f>B109*H108</f>
        <v>1643807751792246.5</v>
      </c>
      <c r="I109" s="4547">
        <f t="shared" si="35"/>
        <v>1643807751792246.7</v>
      </c>
      <c r="J109" s="3935">
        <f>J108*B109</f>
        <v>1195411403823</v>
      </c>
      <c r="K109" s="4542">
        <f>K108*B109</f>
        <v>100843115964</v>
      </c>
      <c r="M109" s="4409" t="s">
        <v>0</v>
      </c>
      <c r="N109" s="109"/>
      <c r="O109" s="4402" t="s">
        <v>99</v>
      </c>
      <c r="P109" s="4402" t="s">
        <v>100</v>
      </c>
      <c r="Q109" s="4402" t="s">
        <v>101</v>
      </c>
      <c r="R109" s="4402" t="s">
        <v>103</v>
      </c>
      <c r="S109" s="4415" t="s">
        <v>1341</v>
      </c>
      <c r="T109" s="4402" t="s">
        <v>119</v>
      </c>
      <c r="V109" s="4192"/>
      <c r="W109" s="4192"/>
      <c r="X109" s="872"/>
      <c r="Y109" s="872"/>
      <c r="Z109" s="872"/>
      <c r="AA109" s="872"/>
      <c r="AB109" s="872"/>
      <c r="AC109" s="872"/>
    </row>
    <row r="110" spans="1:30" ht="34.5" x14ac:dyDescent="0.25">
      <c r="A110" s="4221" t="s">
        <v>458</v>
      </c>
      <c r="B110" s="4229"/>
      <c r="C110" s="4223">
        <f t="shared" ref="C110:H110" si="37">C109+C101</f>
        <v>806774730102174.87</v>
      </c>
      <c r="D110" s="4223">
        <f t="shared" si="37"/>
        <v>671918406921437.87</v>
      </c>
      <c r="E110" s="4223">
        <f t="shared" si="37"/>
        <v>181038635087218.78</v>
      </c>
      <c r="F110" s="4223">
        <f t="shared" si="37"/>
        <v>331280251425628.25</v>
      </c>
      <c r="G110" s="4223">
        <f t="shared" si="37"/>
        <v>3697602664386.3857</v>
      </c>
      <c r="H110" s="4223">
        <f t="shared" si="37"/>
        <v>1994709626200845.7</v>
      </c>
      <c r="I110" s="4548">
        <f t="shared" si="35"/>
        <v>1994709626200846.2</v>
      </c>
      <c r="J110" s="76"/>
      <c r="K110" s="76"/>
      <c r="M110" s="4409" t="s">
        <v>1407</v>
      </c>
      <c r="N110" s="109" t="s">
        <v>967</v>
      </c>
      <c r="O110" s="2287">
        <v>200656802.62</v>
      </c>
      <c r="P110" s="2471">
        <v>167037781.21410599</v>
      </c>
      <c r="Q110" s="2471">
        <v>43684260.399999999</v>
      </c>
      <c r="R110" s="2287">
        <v>44877590.54399997</v>
      </c>
      <c r="S110" s="2287">
        <v>360071</v>
      </c>
      <c r="T110" s="2287">
        <v>456616505.77810591</v>
      </c>
      <c r="V110" s="4192"/>
      <c r="W110" s="4192"/>
      <c r="X110" s="872"/>
      <c r="Y110" s="872"/>
      <c r="Z110" s="872"/>
      <c r="AA110" s="872"/>
      <c r="AB110" s="872"/>
      <c r="AC110" s="872"/>
    </row>
    <row r="111" spans="1:30" ht="25.5" customHeight="1" x14ac:dyDescent="0.25">
      <c r="A111" s="4221" t="s">
        <v>595</v>
      </c>
      <c r="B111" s="4257"/>
      <c r="C111" s="4238">
        <f t="shared" ref="C111:H111" si="38">C101+C103+C105+C107</f>
        <v>86142902229054.047</v>
      </c>
      <c r="D111" s="4220">
        <f t="shared" si="38"/>
        <v>72583768764135.141</v>
      </c>
      <c r="E111" s="4220">
        <f t="shared" si="38"/>
        <v>25077337626027.027</v>
      </c>
      <c r="F111" s="4220">
        <f t="shared" si="38"/>
        <v>170297835428810.81</v>
      </c>
      <c r="G111" s="4220">
        <f t="shared" si="38"/>
        <v>3969469001553.0137</v>
      </c>
      <c r="H111" s="4220">
        <f t="shared" si="38"/>
        <v>358071313049579.94</v>
      </c>
      <c r="I111" s="4547">
        <f t="shared" si="35"/>
        <v>358071313049580</v>
      </c>
      <c r="J111" s="4543">
        <f>(B103*Energy!AA15)+( 'SR 2020'!B101*Energy!AA5)</f>
        <v>2745084626553.0137</v>
      </c>
      <c r="K111" s="4540">
        <v>0</v>
      </c>
      <c r="M111" s="4409" t="s">
        <v>1407</v>
      </c>
      <c r="N111" s="109" t="s">
        <v>684</v>
      </c>
      <c r="O111" s="2287">
        <v>213208137.81000003</v>
      </c>
      <c r="P111" s="2287">
        <v>187829474.62209111</v>
      </c>
      <c r="Q111" s="2287">
        <v>46810316.639999993</v>
      </c>
      <c r="R111" s="2287">
        <v>51634465</v>
      </c>
      <c r="S111" s="2287">
        <v>330390</v>
      </c>
      <c r="T111" s="2287">
        <v>499812784.0720911</v>
      </c>
      <c r="U111" s="3090">
        <f>SUM(O111:S111)</f>
        <v>499812784.0720911</v>
      </c>
      <c r="V111" s="4192"/>
      <c r="W111" s="4192"/>
      <c r="X111" s="872"/>
      <c r="Y111" s="872"/>
      <c r="Z111" s="872"/>
      <c r="AA111" s="872"/>
      <c r="AB111" s="872"/>
      <c r="AC111" s="872"/>
    </row>
    <row r="112" spans="1:30" ht="23.25" x14ac:dyDescent="0.25">
      <c r="A112" s="4224" t="s">
        <v>596</v>
      </c>
      <c r="B112" s="4230"/>
      <c r="C112" s="4239">
        <f t="shared" ref="C112:H112" si="39">C109+C111</f>
        <v>808496490531228.87</v>
      </c>
      <c r="D112" s="4219">
        <f t="shared" si="39"/>
        <v>673919280021573</v>
      </c>
      <c r="E112" s="4219">
        <f t="shared" si="39"/>
        <v>182340544013245.81</v>
      </c>
      <c r="F112" s="4219">
        <f t="shared" si="39"/>
        <v>331857026754439.06</v>
      </c>
      <c r="G112" s="4219">
        <f t="shared" si="39"/>
        <v>5265723521340.0137</v>
      </c>
      <c r="H112" s="4219">
        <f t="shared" si="39"/>
        <v>2001879064841826.5</v>
      </c>
      <c r="I112" s="4548">
        <f t="shared" si="35"/>
        <v>2001879064841826.7</v>
      </c>
      <c r="J112" s="4544">
        <f>J109+J111</f>
        <v>3940496030376.0137</v>
      </c>
      <c r="K112" s="4544">
        <f>K109+K111</f>
        <v>100843115964</v>
      </c>
      <c r="M112" s="4413" t="s">
        <v>1408</v>
      </c>
      <c r="N112" s="4414" t="s">
        <v>29</v>
      </c>
      <c r="O112" s="4416">
        <f t="shared" ref="O112:T112" si="40">(O110-O111)/O111</f>
        <v>-5.8868931171778827E-2</v>
      </c>
      <c r="P112" s="4416">
        <f t="shared" si="40"/>
        <v>-0.11069451932300595</v>
      </c>
      <c r="Q112" s="4416">
        <f t="shared" si="40"/>
        <v>-6.6781352154510767E-2</v>
      </c>
      <c r="R112" s="4416">
        <f t="shared" si="40"/>
        <v>-0.13085977468731458</v>
      </c>
      <c r="S112" s="4416">
        <f t="shared" si="40"/>
        <v>8.9836254123914161E-2</v>
      </c>
      <c r="T112" s="4416">
        <f t="shared" si="40"/>
        <v>-8.6424916829967918E-2</v>
      </c>
      <c r="V112" s="4192"/>
      <c r="W112" s="4192"/>
      <c r="X112" s="872"/>
      <c r="Y112" s="872"/>
      <c r="Z112" s="872"/>
      <c r="AA112" s="872"/>
      <c r="AB112" s="872"/>
      <c r="AC112" s="872"/>
    </row>
    <row r="113" spans="1:29" ht="34.5" x14ac:dyDescent="0.25">
      <c r="A113" s="4222" t="s">
        <v>929</v>
      </c>
      <c r="B113" s="4249">
        <v>1000000000000000</v>
      </c>
      <c r="C113" s="4250">
        <f>C112/B113</f>
        <v>0.80849649053122885</v>
      </c>
      <c r="D113" s="4251">
        <f>D112/B113</f>
        <v>0.67391928002157298</v>
      </c>
      <c r="E113" s="4251">
        <f>E112/B113</f>
        <v>0.18234054401324581</v>
      </c>
      <c r="F113" s="4251">
        <f>F112/B113</f>
        <v>0.33185702675443907</v>
      </c>
      <c r="G113" s="4251">
        <f>G112/B113</f>
        <v>5.2657235213400136E-3</v>
      </c>
      <c r="H113" s="4251">
        <f>H112/B113</f>
        <v>2.0018790648418263</v>
      </c>
      <c r="I113" s="4549">
        <f t="shared" si="35"/>
        <v>2.0018790648418263</v>
      </c>
      <c r="J113" s="4544">
        <f>J112/B113</f>
        <v>3.9404960303760133E-3</v>
      </c>
      <c r="K113" s="4544">
        <f>K112/B113</f>
        <v>1.00843115964E-4</v>
      </c>
      <c r="M113" s="4411" t="s">
        <v>467</v>
      </c>
      <c r="N113" s="4410" t="s">
        <v>228</v>
      </c>
      <c r="O113" s="1389"/>
      <c r="P113" s="1389"/>
      <c r="Q113" s="1389"/>
      <c r="R113" s="1389"/>
      <c r="S113" s="3135"/>
      <c r="T113" s="1389"/>
      <c r="V113" s="872"/>
      <c r="W113" s="872"/>
      <c r="X113" s="872"/>
      <c r="Y113" s="872"/>
      <c r="Z113" s="872"/>
      <c r="AA113" s="872"/>
      <c r="AB113" s="872"/>
      <c r="AC113" s="872"/>
    </row>
    <row r="114" spans="1:29" ht="34.5" thickBot="1" x14ac:dyDescent="0.3">
      <c r="A114" s="842"/>
      <c r="B114" s="39"/>
      <c r="C114" s="1897"/>
      <c r="D114" s="1897"/>
      <c r="E114" s="1897"/>
      <c r="F114" s="1897"/>
      <c r="G114" s="1897"/>
      <c r="H114" s="1897"/>
      <c r="I114" s="842"/>
      <c r="J114" s="1"/>
      <c r="M114" s="4412" t="s">
        <v>827</v>
      </c>
      <c r="N114" s="4410" t="s">
        <v>228</v>
      </c>
      <c r="O114" s="3135"/>
      <c r="P114" s="109"/>
      <c r="Q114" s="109"/>
      <c r="R114" s="109"/>
      <c r="S114" s="109"/>
      <c r="T114" s="109"/>
      <c r="U114" s="9"/>
      <c r="V114" s="872"/>
      <c r="W114" s="872"/>
      <c r="X114" s="872"/>
      <c r="Y114" s="872"/>
      <c r="Z114" s="872"/>
      <c r="AA114" s="872"/>
      <c r="AB114" s="872"/>
      <c r="AC114" s="872"/>
    </row>
    <row r="115" spans="1:29" s="9" customFormat="1" ht="27.75" customHeight="1" x14ac:dyDescent="0.25">
      <c r="A115" s="5221" t="s">
        <v>1358</v>
      </c>
      <c r="B115" s="5222"/>
      <c r="C115" s="5222"/>
      <c r="D115" s="5222"/>
      <c r="E115" s="5222"/>
      <c r="F115" s="5222"/>
      <c r="G115" s="5222"/>
      <c r="H115" s="5223"/>
      <c r="I115" s="39"/>
      <c r="V115" s="872"/>
      <c r="W115" s="872"/>
      <c r="X115" s="872"/>
      <c r="Y115" s="872"/>
      <c r="Z115" s="872"/>
      <c r="AA115" s="872"/>
      <c r="AB115" s="872"/>
      <c r="AC115" s="872"/>
    </row>
    <row r="116" spans="1:29" s="9" customFormat="1" ht="24" x14ac:dyDescent="0.25">
      <c r="A116" s="106" t="s">
        <v>1258</v>
      </c>
      <c r="B116" s="3488" t="s">
        <v>449</v>
      </c>
      <c r="C116" s="4252" t="s">
        <v>1337</v>
      </c>
      <c r="D116" s="4253" t="s">
        <v>1256</v>
      </c>
      <c r="E116" s="4254" t="s">
        <v>1257</v>
      </c>
      <c r="F116" s="4254" t="s">
        <v>1345</v>
      </c>
      <c r="G116" s="4254" t="s">
        <v>597</v>
      </c>
      <c r="H116" s="4255" t="s">
        <v>1359</v>
      </c>
      <c r="I116" s="4393" t="s">
        <v>1402</v>
      </c>
      <c r="J116" s="260"/>
      <c r="K116" s="260"/>
      <c r="T116" s="260"/>
      <c r="U116" s="260"/>
      <c r="V116" s="872"/>
      <c r="W116" s="872"/>
      <c r="X116" s="872"/>
      <c r="Y116" s="872"/>
      <c r="Z116" s="872"/>
      <c r="AA116" s="872"/>
      <c r="AB116" s="872"/>
      <c r="AC116" s="872"/>
    </row>
    <row r="117" spans="1:29" s="9" customFormat="1" ht="18" x14ac:dyDescent="0.35">
      <c r="A117" s="1443" t="s">
        <v>588</v>
      </c>
      <c r="B117" s="3493" t="s">
        <v>27</v>
      </c>
      <c r="C117" s="4266">
        <f t="shared" ref="C117:C129" si="41">H100</f>
        <v>9210022.9503569379</v>
      </c>
      <c r="D117" s="4245">
        <v>12577034.799999999</v>
      </c>
      <c r="E117" s="4267">
        <f>IF(ISERROR((C117-D117)/D117),0,((C117-D117)/D117))</f>
        <v>-0.26771110227373002</v>
      </c>
      <c r="F117" s="4245">
        <v>17106021.74075</v>
      </c>
      <c r="G117" s="4259">
        <v>17700405.260000002</v>
      </c>
      <c r="H117" s="4260">
        <v>16320665.35</v>
      </c>
      <c r="I117" s="4394"/>
      <c r="J117" s="260"/>
      <c r="K117" s="4515"/>
      <c r="L117" s="843"/>
      <c r="M117" s="4261"/>
      <c r="N117" s="4752"/>
      <c r="T117" s="260"/>
      <c r="U117" s="260"/>
      <c r="V117" s="872"/>
      <c r="W117" s="872"/>
      <c r="X117" s="872"/>
      <c r="Y117" s="872"/>
      <c r="Z117" s="872"/>
      <c r="AA117" s="872"/>
      <c r="AB117" s="872"/>
      <c r="AC117" s="872"/>
    </row>
    <row r="118" spans="1:29" s="9" customFormat="1" x14ac:dyDescent="0.25">
      <c r="A118" s="1444" t="s">
        <v>591</v>
      </c>
      <c r="B118" s="4240">
        <v>38100000</v>
      </c>
      <c r="C118" s="4261">
        <f t="shared" si="41"/>
        <v>350901874408599.31</v>
      </c>
      <c r="D118" s="4246">
        <v>479185025879999.94</v>
      </c>
      <c r="E118" s="4268">
        <f t="shared" ref="E118:E129" si="42">IF(ISERROR((C118-D118)/D118),0,((C118-D118)/D118))</f>
        <v>-0.26771110227373002</v>
      </c>
      <c r="F118" s="4246">
        <v>651739428322575</v>
      </c>
      <c r="G118" s="4246">
        <v>674385440406000</v>
      </c>
      <c r="H118" s="4262">
        <v>621817349835000</v>
      </c>
      <c r="I118" s="4394"/>
      <c r="J118" s="260"/>
      <c r="K118" s="260"/>
      <c r="M118" s="2419"/>
      <c r="N118" s="4752"/>
      <c r="T118" s="260"/>
      <c r="U118" s="260"/>
      <c r="V118" s="872"/>
      <c r="W118" s="872"/>
      <c r="X118" s="872"/>
      <c r="Y118" s="872"/>
      <c r="Z118" s="872"/>
      <c r="AA118" s="872"/>
      <c r="AB118" s="872"/>
      <c r="AC118" s="872"/>
    </row>
    <row r="119" spans="1:29" s="9" customFormat="1" x14ac:dyDescent="0.25">
      <c r="A119" s="1445" t="s">
        <v>587</v>
      </c>
      <c r="B119" s="4244" t="s">
        <v>27</v>
      </c>
      <c r="C119" s="4263">
        <f t="shared" si="41"/>
        <v>64695.734326129474</v>
      </c>
      <c r="D119" s="3139">
        <v>83345.84</v>
      </c>
      <c r="E119" s="4267">
        <f t="shared" si="42"/>
        <v>-0.22376768503227665</v>
      </c>
      <c r="F119" s="3139">
        <v>75218.450000000012</v>
      </c>
      <c r="G119" s="4259">
        <v>143069.04</v>
      </c>
      <c r="H119" s="4260">
        <v>53670.27</v>
      </c>
      <c r="I119" s="4394"/>
      <c r="J119" s="260"/>
      <c r="K119" s="260"/>
      <c r="N119" s="4752"/>
      <c r="T119" s="260"/>
      <c r="U119" s="260"/>
      <c r="V119" s="872"/>
      <c r="W119" s="872"/>
      <c r="X119" s="872"/>
      <c r="Y119" s="872"/>
      <c r="Z119" s="872"/>
      <c r="AA119" s="872"/>
      <c r="AB119" s="872"/>
      <c r="AC119" s="872"/>
    </row>
    <row r="120" spans="1:29" s="9" customFormat="1" x14ac:dyDescent="0.25">
      <c r="A120" s="1444" t="s">
        <v>589</v>
      </c>
      <c r="B120" s="4240">
        <v>34200000</v>
      </c>
      <c r="C120" s="4261">
        <f t="shared" si="41"/>
        <v>2212594113953.6279</v>
      </c>
      <c r="D120" s="4246">
        <v>2850427728000</v>
      </c>
      <c r="E120" s="4268">
        <f t="shared" si="42"/>
        <v>-0.2237676850322767</v>
      </c>
      <c r="F120" s="4246">
        <v>2572470990000.0005</v>
      </c>
      <c r="G120" s="4246">
        <v>4892961168000</v>
      </c>
      <c r="H120" s="4262">
        <v>1835523234000</v>
      </c>
      <c r="I120" s="4394"/>
      <c r="J120" s="260"/>
      <c r="K120" s="260"/>
      <c r="M120" s="2419"/>
      <c r="N120" s="4752"/>
      <c r="T120" s="260"/>
      <c r="U120" s="260"/>
      <c r="V120" s="872"/>
      <c r="W120" s="872"/>
      <c r="X120" s="872"/>
      <c r="Y120" s="872"/>
      <c r="Z120" s="872"/>
      <c r="AA120" s="872"/>
      <c r="AB120" s="872"/>
      <c r="AC120" s="872"/>
    </row>
    <row r="121" spans="1:29" x14ac:dyDescent="0.25">
      <c r="A121" s="1445" t="s">
        <v>592</v>
      </c>
      <c r="B121" s="4244" t="s">
        <v>1361</v>
      </c>
      <c r="C121" s="4263">
        <f t="shared" si="41"/>
        <v>1286.4864864864865</v>
      </c>
      <c r="D121" s="3139">
        <v>2189.19</v>
      </c>
      <c r="E121" s="4267">
        <f t="shared" si="42"/>
        <v>-0.4123458966620136</v>
      </c>
      <c r="F121" s="3139">
        <v>606</v>
      </c>
      <c r="G121" s="4259">
        <v>1317</v>
      </c>
      <c r="H121" s="4260">
        <v>1246.47</v>
      </c>
      <c r="I121" s="4394"/>
      <c r="J121" s="260"/>
      <c r="K121" s="260"/>
      <c r="M121" s="4753"/>
      <c r="N121" s="76">
        <v>2020</v>
      </c>
      <c r="O121" s="76">
        <v>2019</v>
      </c>
      <c r="P121" s="76">
        <v>2018</v>
      </c>
      <c r="T121" s="260"/>
      <c r="U121" s="260"/>
      <c r="V121" s="872"/>
      <c r="W121" s="872"/>
      <c r="X121" s="872"/>
      <c r="Y121" s="872"/>
      <c r="Z121" s="872"/>
      <c r="AA121" s="872"/>
      <c r="AB121" s="872"/>
      <c r="AC121" s="872"/>
    </row>
    <row r="122" spans="1:29" s="9" customFormat="1" x14ac:dyDescent="0.25">
      <c r="A122" s="1444" t="s">
        <v>593</v>
      </c>
      <c r="B122" s="4240">
        <v>46100000</v>
      </c>
      <c r="C122" s="4261">
        <f t="shared" si="41"/>
        <v>59307027027.027023</v>
      </c>
      <c r="D122" s="4246">
        <v>100921659000</v>
      </c>
      <c r="E122" s="4268">
        <f t="shared" si="42"/>
        <v>-0.4123458966620136</v>
      </c>
      <c r="F122" s="4246">
        <v>50336216216.216217</v>
      </c>
      <c r="G122" s="4246">
        <v>109394054054.05405</v>
      </c>
      <c r="H122" s="4262">
        <v>103535616216.2162</v>
      </c>
      <c r="I122" s="4394"/>
      <c r="J122" s="260"/>
      <c r="K122" s="260"/>
      <c r="L122" s="854"/>
      <c r="M122" s="4753" t="s">
        <v>1519</v>
      </c>
      <c r="N122" s="76">
        <v>360705541853060.94</v>
      </c>
      <c r="O122" s="76">
        <v>479185025879999.94</v>
      </c>
      <c r="P122" s="76">
        <v>651739428322575</v>
      </c>
      <c r="T122" s="260"/>
      <c r="U122" s="260"/>
      <c r="V122" s="872"/>
      <c r="W122" s="872"/>
      <c r="X122" s="872"/>
      <c r="Y122" s="872"/>
      <c r="Z122" s="872"/>
      <c r="AA122" s="872"/>
      <c r="AB122" s="872"/>
      <c r="AC122" s="872"/>
    </row>
    <row r="123" spans="1:29" s="9" customFormat="1" x14ac:dyDescent="0.25">
      <c r="A123" s="1445" t="s">
        <v>590</v>
      </c>
      <c r="B123" s="4244" t="s">
        <v>27</v>
      </c>
      <c r="C123" s="4263">
        <f t="shared" si="41"/>
        <v>130601</v>
      </c>
      <c r="D123" s="3139">
        <v>107147</v>
      </c>
      <c r="E123" s="4267">
        <f t="shared" si="42"/>
        <v>0.21889553603927314</v>
      </c>
      <c r="F123" s="3139">
        <v>101586</v>
      </c>
      <c r="G123" s="4259">
        <v>163977</v>
      </c>
      <c r="H123" s="4260"/>
      <c r="I123" s="4394"/>
      <c r="J123" s="260"/>
      <c r="K123" s="260"/>
      <c r="L123" s="260"/>
      <c r="M123" s="4754" t="s">
        <v>1518</v>
      </c>
      <c r="N123" s="76">
        <f>N122/1000000000</f>
        <v>360705.54185306095</v>
      </c>
      <c r="O123" s="76">
        <f t="shared" ref="O123:P123" si="43">O122/1000000000</f>
        <v>479185.02587999991</v>
      </c>
      <c r="P123" s="76">
        <f t="shared" si="43"/>
        <v>651739.42832257506</v>
      </c>
      <c r="Q123" s="260"/>
      <c r="R123" s="260"/>
      <c r="S123" s="260"/>
      <c r="T123" s="260"/>
      <c r="U123" s="260"/>
      <c r="V123" s="872"/>
      <c r="W123" s="872"/>
      <c r="X123" s="872"/>
      <c r="Y123" s="872"/>
      <c r="Z123" s="872"/>
      <c r="AA123" s="872"/>
      <c r="AB123" s="872"/>
      <c r="AC123" s="872"/>
    </row>
    <row r="124" spans="1:29" s="9" customFormat="1" x14ac:dyDescent="0.25">
      <c r="A124" s="1444" t="s">
        <v>594</v>
      </c>
      <c r="B124" s="4240">
        <v>37500000</v>
      </c>
      <c r="C124" s="4261">
        <f t="shared" si="41"/>
        <v>4897537500000</v>
      </c>
      <c r="D124" s="4246">
        <v>4018012500000</v>
      </c>
      <c r="E124" s="4268">
        <f t="shared" si="42"/>
        <v>0.21889553603927314</v>
      </c>
      <c r="F124" s="4246">
        <v>3809475000000</v>
      </c>
      <c r="G124" s="4246">
        <v>6149137500000</v>
      </c>
      <c r="H124" s="4262"/>
      <c r="I124" s="4394"/>
      <c r="J124" s="260"/>
      <c r="K124" s="260"/>
      <c r="L124" s="260"/>
      <c r="M124" s="4755" t="s">
        <v>1520</v>
      </c>
      <c r="N124" s="76">
        <v>1643818050951664</v>
      </c>
      <c r="O124" s="76">
        <v>1799324523221175.7</v>
      </c>
      <c r="P124" s="76">
        <v>2346338891429380.5</v>
      </c>
      <c r="Q124" s="260"/>
      <c r="R124" s="260"/>
      <c r="S124" s="260"/>
      <c r="T124" s="260"/>
      <c r="U124" s="260"/>
      <c r="V124" s="872"/>
      <c r="W124" s="872"/>
      <c r="X124" s="872"/>
      <c r="Y124" s="872"/>
      <c r="Z124" s="872"/>
      <c r="AA124" s="872"/>
      <c r="AB124" s="872"/>
      <c r="AC124" s="872"/>
    </row>
    <row r="125" spans="1:29" s="9" customFormat="1" ht="33.75" x14ac:dyDescent="0.25">
      <c r="A125" s="1446" t="s">
        <v>568</v>
      </c>
      <c r="B125" s="4241" t="s">
        <v>29</v>
      </c>
      <c r="C125" s="4266">
        <f t="shared" si="41"/>
        <v>456613644.89810592</v>
      </c>
      <c r="D125" s="4245">
        <v>499812784.0720911</v>
      </c>
      <c r="E125" s="4267">
        <f t="shared" si="42"/>
        <v>-8.6430640733179617E-2</v>
      </c>
      <c r="F125" s="4245">
        <v>651761346.30928314</v>
      </c>
      <c r="G125" s="4259">
        <v>604793237.46000004</v>
      </c>
      <c r="H125" s="4260">
        <v>585142068.25</v>
      </c>
      <c r="I125" s="4394"/>
      <c r="J125" s="260"/>
      <c r="K125" s="260"/>
      <c r="L125" s="260"/>
      <c r="M125" s="4755" t="s">
        <v>1517</v>
      </c>
      <c r="N125" s="76">
        <f>N124/1000000000</f>
        <v>1643818.0509516641</v>
      </c>
      <c r="O125" s="76">
        <f t="shared" ref="O125:P125" si="44">O124/1000000000</f>
        <v>1799324.5232211757</v>
      </c>
      <c r="P125" s="76">
        <f t="shared" si="44"/>
        <v>2346338.8914293805</v>
      </c>
      <c r="Q125" s="260"/>
      <c r="R125" s="260"/>
      <c r="S125" s="260"/>
      <c r="T125" s="260"/>
      <c r="U125" s="260"/>
      <c r="V125" s="872"/>
      <c r="W125" s="872"/>
      <c r="X125" s="872"/>
      <c r="Y125" s="872"/>
      <c r="Z125" s="872"/>
      <c r="AA125" s="872"/>
      <c r="AB125" s="872"/>
      <c r="AC125" s="872"/>
    </row>
    <row r="126" spans="1:29" s="9" customFormat="1" x14ac:dyDescent="0.25">
      <c r="A126" s="1444" t="s">
        <v>455</v>
      </c>
      <c r="B126" s="4242">
        <v>3599997</v>
      </c>
      <c r="C126" s="4261">
        <f t="shared" si="41"/>
        <v>1643807751792246.5</v>
      </c>
      <c r="D126" s="4246">
        <v>1799324523221175.7</v>
      </c>
      <c r="E126" s="4268">
        <f t="shared" si="42"/>
        <v>-8.6430640733179673E-2</v>
      </c>
      <c r="F126" s="4246">
        <v>2346338891429380.5</v>
      </c>
      <c r="G126" s="4246">
        <v>2177253840476287.7</v>
      </c>
      <c r="H126" s="4246">
        <v>2106509690273795.2</v>
      </c>
      <c r="I126" s="5224" t="s">
        <v>1403</v>
      </c>
      <c r="J126" s="5225"/>
      <c r="K126" s="4395"/>
      <c r="L126" s="260"/>
      <c r="M126" s="4755" t="s">
        <v>1521</v>
      </c>
      <c r="N126" s="76">
        <v>2011683906995597.5</v>
      </c>
      <c r="O126" s="76">
        <v>2285434000829175.5</v>
      </c>
      <c r="P126" s="76">
        <v>3004510601958172</v>
      </c>
      <c r="Q126" s="260"/>
      <c r="R126" s="260"/>
      <c r="S126" s="260"/>
      <c r="T126" s="260"/>
      <c r="U126" s="260"/>
      <c r="V126" s="872"/>
      <c r="W126" s="872"/>
      <c r="X126" s="872"/>
      <c r="Y126" s="872"/>
      <c r="Z126" s="872"/>
      <c r="AA126" s="872"/>
      <c r="AB126" s="872"/>
      <c r="AC126" s="872"/>
    </row>
    <row r="127" spans="1:29" ht="34.5" x14ac:dyDescent="0.25">
      <c r="A127" s="4256" t="s">
        <v>458</v>
      </c>
      <c r="B127" s="4154" t="s">
        <v>1360</v>
      </c>
      <c r="C127" s="4264">
        <f t="shared" si="41"/>
        <v>1994709626200845.7</v>
      </c>
      <c r="D127" s="4265">
        <v>2278509549101175.5</v>
      </c>
      <c r="E127" s="4269">
        <f t="shared" si="42"/>
        <v>-0.12455507285992411</v>
      </c>
      <c r="F127" s="4265">
        <v>2998078319751955.5</v>
      </c>
      <c r="G127" s="4265">
        <v>2851639280882288</v>
      </c>
      <c r="H127" s="4265">
        <v>2728327040108795</v>
      </c>
      <c r="I127" s="4396">
        <v>2020</v>
      </c>
      <c r="J127" s="4397">
        <v>2019</v>
      </c>
      <c r="K127" s="4398" t="s">
        <v>1401</v>
      </c>
      <c r="L127" s="260"/>
      <c r="M127" s="105" t="s">
        <v>1531</v>
      </c>
      <c r="N127" s="76">
        <f>N126/1000000000</f>
        <v>2011683.9069955975</v>
      </c>
      <c r="O127" s="76">
        <f t="shared" ref="O127:P127" si="45">O126/1000000000</f>
        <v>2285434.0008291756</v>
      </c>
      <c r="P127" s="76">
        <f t="shared" si="45"/>
        <v>3004510.6019581719</v>
      </c>
      <c r="Q127" s="260"/>
      <c r="R127" s="260"/>
      <c r="S127" s="260"/>
      <c r="T127" s="260"/>
      <c r="U127" s="260"/>
      <c r="V127" s="872"/>
      <c r="W127" s="872"/>
      <c r="X127" s="872"/>
      <c r="Y127" s="872"/>
      <c r="Z127" s="872"/>
      <c r="AA127" s="872"/>
      <c r="AB127" s="872"/>
      <c r="AC127" s="872"/>
    </row>
    <row r="128" spans="1:29" x14ac:dyDescent="0.25">
      <c r="A128" s="4256" t="s">
        <v>595</v>
      </c>
      <c r="B128" s="4243" t="s">
        <v>1360</v>
      </c>
      <c r="C128" s="4261">
        <f t="shared" si="41"/>
        <v>358071313049579.94</v>
      </c>
      <c r="D128" s="4246">
        <v>486109477607999.94</v>
      </c>
      <c r="E128" s="4270">
        <f t="shared" si="42"/>
        <v>-0.26339368075779496</v>
      </c>
      <c r="F128" s="4246">
        <v>658171710528791.25</v>
      </c>
      <c r="G128" s="4246">
        <v>685536933128054</v>
      </c>
      <c r="H128" s="4262">
        <v>623756408685216.25</v>
      </c>
      <c r="I128" s="4399">
        <f>C117+C119+C121+C123</f>
        <v>9406606.1711695548</v>
      </c>
      <c r="J128" s="4400">
        <f>D117+D119+D121+D123</f>
        <v>12769716.829999998</v>
      </c>
      <c r="K128" s="4401">
        <f>(I128-J128)/J128</f>
        <v>-0.2633661109014932</v>
      </c>
      <c r="L128" s="260"/>
      <c r="M128" s="260"/>
      <c r="N128" s="260"/>
      <c r="O128" s="260"/>
      <c r="P128" s="260"/>
      <c r="Q128" s="260"/>
      <c r="R128" s="260"/>
      <c r="S128" s="260"/>
      <c r="T128" s="260"/>
      <c r="U128" s="260"/>
    </row>
    <row r="129" spans="1:23" ht="23.25" x14ac:dyDescent="0.25">
      <c r="A129" s="4256" t="s">
        <v>596</v>
      </c>
      <c r="B129" s="4154" t="s">
        <v>1360</v>
      </c>
      <c r="C129" s="4264">
        <f t="shared" si="41"/>
        <v>2001879064841826.5</v>
      </c>
      <c r="D129" s="4265">
        <v>2285434000829175.5</v>
      </c>
      <c r="E129" s="4269">
        <f t="shared" si="42"/>
        <v>-0.12407049859434698</v>
      </c>
      <c r="F129" s="4265">
        <v>3004510601958172</v>
      </c>
      <c r="G129" s="4265">
        <v>2862790773604342</v>
      </c>
      <c r="H129" s="3987">
        <v>2730266098959011.5</v>
      </c>
      <c r="I129" s="4392"/>
      <c r="J129" s="260"/>
      <c r="K129" s="260"/>
      <c r="L129" s="260"/>
      <c r="M129" s="260"/>
      <c r="N129" s="260"/>
      <c r="O129" s="260"/>
      <c r="P129" s="260"/>
      <c r="Q129" s="260"/>
      <c r="R129" s="260"/>
      <c r="S129" s="260"/>
      <c r="T129" s="260"/>
      <c r="U129" s="260"/>
    </row>
    <row r="130" spans="1:23" x14ac:dyDescent="0.25">
      <c r="A130" s="4258"/>
      <c r="B130" s="4087"/>
      <c r="C130" s="44">
        <f>C117+C119+C121+C123</f>
        <v>9406606.1711695548</v>
      </c>
      <c r="D130" s="445">
        <f>D117+D119+D121+D123</f>
        <v>12769716.829999998</v>
      </c>
      <c r="E130" s="1"/>
      <c r="F130" s="1"/>
      <c r="G130" s="1"/>
      <c r="H130" s="1"/>
    </row>
    <row r="131" spans="1:23" x14ac:dyDescent="0.25">
      <c r="A131" s="39"/>
      <c r="B131" s="394"/>
      <c r="C131" s="39"/>
      <c r="D131" s="427">
        <f>D117+D119+D121+D123</f>
        <v>12769716.829999998</v>
      </c>
      <c r="E131" s="39"/>
      <c r="F131" s="39"/>
      <c r="G131" s="39"/>
      <c r="H131" s="39"/>
      <c r="I131" s="1561"/>
      <c r="J131" s="1561"/>
      <c r="K131" s="1561"/>
      <c r="L131" s="1561"/>
      <c r="M131" s="1561"/>
      <c r="N131" s="4247"/>
      <c r="O131" s="4248"/>
      <c r="P131" s="4248"/>
      <c r="Q131" s="4248"/>
      <c r="R131" s="4248"/>
      <c r="S131" s="39"/>
    </row>
    <row r="132" spans="1:23" x14ac:dyDescent="0.25">
      <c r="A132" s="9"/>
      <c r="B132" s="9"/>
      <c r="C132" s="9"/>
      <c r="D132" s="2419"/>
      <c r="E132" s="2419"/>
      <c r="F132" s="2420"/>
      <c r="G132" s="73"/>
      <c r="H132" s="2419"/>
      <c r="S132" s="3494"/>
      <c r="T132" s="3494"/>
      <c r="U132" s="3494"/>
      <c r="V132" s="3494"/>
      <c r="W132" s="3494"/>
    </row>
    <row r="134" spans="1:23" ht="17.25" customHeight="1" thickBot="1" x14ac:dyDescent="0.3">
      <c r="A134" t="s">
        <v>1396</v>
      </c>
    </row>
    <row r="135" spans="1:23" ht="15.75" thickBot="1" x14ac:dyDescent="0.3">
      <c r="A135" s="1024" t="s">
        <v>967</v>
      </c>
      <c r="B135" s="911" t="s">
        <v>1</v>
      </c>
      <c r="C135" s="911" t="s">
        <v>99</v>
      </c>
      <c r="D135" s="911" t="s">
        <v>100</v>
      </c>
      <c r="E135" s="911" t="s">
        <v>101</v>
      </c>
      <c r="F135" s="911" t="s">
        <v>103</v>
      </c>
      <c r="G135" s="3487" t="s">
        <v>120</v>
      </c>
      <c r="H135" s="4369" t="s">
        <v>1395</v>
      </c>
      <c r="I135" s="4367"/>
      <c r="J135" s="40" t="s">
        <v>957</v>
      </c>
      <c r="N135" s="9"/>
      <c r="O135" s="9"/>
      <c r="Q135" s="4367"/>
      <c r="R135" s="4367"/>
      <c r="S135" s="4367"/>
      <c r="T135" s="4367"/>
      <c r="U135" s="4367"/>
    </row>
    <row r="136" spans="1:23" ht="15.75" thickBot="1" x14ac:dyDescent="0.3">
      <c r="A136" s="4377" t="s">
        <v>966</v>
      </c>
      <c r="B136" s="4378" t="s">
        <v>571</v>
      </c>
      <c r="C136" s="4407">
        <v>203276328.03999999</v>
      </c>
      <c r="D136" s="3489">
        <v>187206628.91000006</v>
      </c>
      <c r="E136" s="3489">
        <v>51234161.259999998</v>
      </c>
      <c r="F136" s="4381"/>
      <c r="G136" s="4382"/>
      <c r="H136" s="4383"/>
      <c r="I136" s="905"/>
      <c r="J136" s="1046" t="s">
        <v>0</v>
      </c>
      <c r="K136" s="1047" t="s">
        <v>1</v>
      </c>
      <c r="L136" s="1047" t="s">
        <v>99</v>
      </c>
      <c r="M136" s="1047" t="s">
        <v>100</v>
      </c>
      <c r="N136" s="1047" t="s">
        <v>101</v>
      </c>
      <c r="O136" s="1047" t="s">
        <v>1397</v>
      </c>
      <c r="P136" s="1048" t="s">
        <v>1398</v>
      </c>
      <c r="Q136" s="905"/>
      <c r="R136" s="905"/>
      <c r="S136" s="905"/>
      <c r="T136" s="905"/>
      <c r="U136" s="905"/>
    </row>
    <row r="137" spans="1:23" ht="27" thickBot="1" x14ac:dyDescent="0.3">
      <c r="A137" s="4379" t="s">
        <v>1394</v>
      </c>
      <c r="B137" s="4380"/>
      <c r="C137" s="4384">
        <v>1186817584.5399997</v>
      </c>
      <c r="D137" s="4385">
        <v>1388096710.0899999</v>
      </c>
      <c r="E137" s="4386">
        <v>462217917.00000006</v>
      </c>
      <c r="F137" s="4381"/>
      <c r="G137" s="4382"/>
      <c r="H137" s="4383"/>
      <c r="I137" s="905"/>
      <c r="J137" s="1049" t="s">
        <v>464</v>
      </c>
      <c r="K137" s="78" t="s">
        <v>1399</v>
      </c>
      <c r="L137" s="4370">
        <v>186687182.38</v>
      </c>
      <c r="M137" s="4370">
        <v>192881286.69</v>
      </c>
      <c r="N137" s="4370">
        <v>48672641.409999996</v>
      </c>
      <c r="O137" s="4371">
        <v>6753972.2700000005</v>
      </c>
      <c r="P137" s="4372">
        <v>36933049.823206484</v>
      </c>
      <c r="Q137" s="905"/>
      <c r="R137" s="905"/>
      <c r="S137" s="905"/>
      <c r="T137" s="905"/>
      <c r="U137" s="905"/>
    </row>
    <row r="138" spans="1:23" ht="39.75" thickBot="1" x14ac:dyDescent="0.3">
      <c r="A138" s="3490" t="s">
        <v>464</v>
      </c>
      <c r="B138" s="3491" t="s">
        <v>572</v>
      </c>
      <c r="C138" s="1176">
        <f t="shared" ref="C138:E139" si="46">C136/15.548</f>
        <v>13074114.229482891</v>
      </c>
      <c r="D138" s="1176">
        <f t="shared" si="46"/>
        <v>12040560.130563419</v>
      </c>
      <c r="E138" s="1176">
        <f t="shared" si="46"/>
        <v>3295225.1903781835</v>
      </c>
      <c r="F138" s="3489">
        <v>3751813.41</v>
      </c>
      <c r="G138" s="2456">
        <f>SUM(C138:F138)</f>
        <v>32161712.960424494</v>
      </c>
      <c r="H138" s="4376">
        <v>36933049.823206484</v>
      </c>
      <c r="I138" s="905"/>
      <c r="J138" s="1050" t="s">
        <v>956</v>
      </c>
      <c r="K138" s="79" t="s">
        <v>1400</v>
      </c>
      <c r="L138" s="4373">
        <v>1187576059.6199999</v>
      </c>
      <c r="M138" s="4374">
        <v>1293468989.27</v>
      </c>
      <c r="N138" s="4375">
        <v>446208534.08999997</v>
      </c>
      <c r="O138" s="4374">
        <v>62296699.979999997</v>
      </c>
      <c r="P138" s="4372">
        <v>268586593.07231855</v>
      </c>
      <c r="Q138" s="905"/>
      <c r="R138" s="905"/>
      <c r="S138" s="905"/>
      <c r="T138" s="905"/>
      <c r="U138" s="905"/>
    </row>
    <row r="139" spans="1:23" ht="39.75" thickBot="1" x14ac:dyDescent="0.3">
      <c r="A139" s="3492" t="s">
        <v>1394</v>
      </c>
      <c r="B139" s="3493" t="s">
        <v>572</v>
      </c>
      <c r="C139" s="1176">
        <f t="shared" si="46"/>
        <v>76332491.930794939</v>
      </c>
      <c r="D139" s="1176">
        <f t="shared" si="46"/>
        <v>89278152.179701567</v>
      </c>
      <c r="E139" s="1176">
        <f t="shared" si="46"/>
        <v>29728448.482119892</v>
      </c>
      <c r="F139" s="1176">
        <v>48052087</v>
      </c>
      <c r="G139" s="2456">
        <f>SUM(C139:F139)</f>
        <v>243391179.59261641</v>
      </c>
      <c r="H139" s="4387">
        <v>268586593.07231855</v>
      </c>
      <c r="I139" s="905"/>
      <c r="J139" s="1052" t="s">
        <v>958</v>
      </c>
      <c r="K139" s="1053"/>
      <c r="L139" s="2515">
        <f>L137/L138</f>
        <v>0.15720019014170433</v>
      </c>
      <c r="M139" s="2516">
        <f>M137/M138</f>
        <v>0.14911937455791432</v>
      </c>
      <c r="N139" s="2516">
        <f>N137/N138</f>
        <v>0.10908048074262684</v>
      </c>
      <c r="O139" s="2516">
        <f>O137/O138</f>
        <v>0.10841621261107451</v>
      </c>
      <c r="P139" s="2516">
        <f>P137/P138</f>
        <v>0.13750891063003298</v>
      </c>
      <c r="Q139" s="905"/>
      <c r="R139" s="905"/>
      <c r="S139" s="905"/>
      <c r="T139" s="905"/>
      <c r="U139" s="905"/>
    </row>
    <row r="140" spans="1:23" ht="24" thickBot="1" x14ac:dyDescent="0.3">
      <c r="A140" s="4388" t="s">
        <v>958</v>
      </c>
      <c r="B140" s="4389" t="s">
        <v>98</v>
      </c>
      <c r="C140" s="4390">
        <f>C138/C139</f>
        <v>0.17127849358483185</v>
      </c>
      <c r="D140" s="4390">
        <f>D138/D139</f>
        <v>0.13486569599164466</v>
      </c>
      <c r="E140" s="4390">
        <f>E138/E139</f>
        <v>0.11084416976419369</v>
      </c>
      <c r="F140" s="4390">
        <f>F138/F139</f>
        <v>7.8078053300785877E-2</v>
      </c>
      <c r="G140" s="4390">
        <f>G138/G139</f>
        <v>0.13214001022656682</v>
      </c>
      <c r="H140" s="4391">
        <v>0.13750891063003298</v>
      </c>
      <c r="I140" s="4368"/>
      <c r="J140" s="4368"/>
      <c r="K140" s="4368"/>
      <c r="L140" s="4368"/>
      <c r="M140" s="4368"/>
      <c r="N140" s="4368"/>
      <c r="O140" s="4368"/>
      <c r="P140" s="4368"/>
      <c r="Q140" s="4368"/>
      <c r="R140" s="4368"/>
      <c r="S140" s="4368"/>
      <c r="T140" s="4368"/>
      <c r="U140" s="4368"/>
    </row>
    <row r="142" spans="1:23" x14ac:dyDescent="0.25">
      <c r="O142" s="4333" t="s">
        <v>1382</v>
      </c>
      <c r="P142" s="4334">
        <v>15.548</v>
      </c>
    </row>
    <row r="143" spans="1:23" ht="25.5" x14ac:dyDescent="0.3">
      <c r="A143" s="4271" t="s">
        <v>1362</v>
      </c>
      <c r="O143" s="4335" t="s">
        <v>1381</v>
      </c>
      <c r="P143" s="4334">
        <v>2296</v>
      </c>
    </row>
    <row r="144" spans="1:23" s="9" customFormat="1" x14ac:dyDescent="0.25">
      <c r="B144" s="1898"/>
      <c r="C144" s="1898"/>
      <c r="E144" s="73">
        <f>E148-E146</f>
        <v>866.25920000000042</v>
      </c>
    </row>
    <row r="145" spans="1:19" ht="23.25" x14ac:dyDescent="0.25">
      <c r="A145" s="76" t="s">
        <v>1372</v>
      </c>
      <c r="B145" s="76" t="s">
        <v>1</v>
      </c>
      <c r="C145" s="4281" t="s">
        <v>112</v>
      </c>
      <c r="D145" s="4288" t="s">
        <v>147</v>
      </c>
      <c r="E145" s="4300" t="s">
        <v>1365</v>
      </c>
      <c r="F145" s="4272" t="s">
        <v>1366</v>
      </c>
      <c r="G145" s="4285" t="s">
        <v>1364</v>
      </c>
      <c r="H145" s="4272" t="s">
        <v>1367</v>
      </c>
      <c r="I145" s="4295" t="s">
        <v>62</v>
      </c>
      <c r="J145" s="4272" t="s">
        <v>1369</v>
      </c>
      <c r="K145" s="4272" t="s">
        <v>1370</v>
      </c>
      <c r="L145" s="4292" t="s">
        <v>1374</v>
      </c>
      <c r="M145" s="4292" t="s">
        <v>1375</v>
      </c>
      <c r="N145" s="4272" t="s">
        <v>1376</v>
      </c>
      <c r="O145" s="4272" t="s">
        <v>1378</v>
      </c>
      <c r="P145" s="4273" t="s">
        <v>1377</v>
      </c>
      <c r="Q145" s="4273" t="s">
        <v>1379</v>
      </c>
    </row>
    <row r="146" spans="1:19" x14ac:dyDescent="0.25">
      <c r="A146" s="4312" t="s">
        <v>967</v>
      </c>
      <c r="B146" s="76" t="s">
        <v>807</v>
      </c>
      <c r="C146" s="4282">
        <f>Waste!G70+Waste!I79</f>
        <v>5514.9664050000001</v>
      </c>
      <c r="D146" s="4289">
        <v>3009.4379999999996</v>
      </c>
      <c r="E146" s="410">
        <v>2869.1279999999997</v>
      </c>
      <c r="F146" s="4274">
        <v>140.31</v>
      </c>
      <c r="G146" s="4286">
        <v>2460.2005349999999</v>
      </c>
      <c r="H146" s="4301">
        <f>G146/C146</f>
        <v>0.44609528949614696</v>
      </c>
      <c r="I146" s="4277">
        <v>12.94787</v>
      </c>
      <c r="J146" s="4274">
        <v>6566965.9258587612</v>
      </c>
      <c r="K146" s="4274">
        <v>5011543.5582307884</v>
      </c>
      <c r="L146" s="4403"/>
      <c r="M146" s="403">
        <f>M154+M157+M160+M163</f>
        <v>338485.10504930216</v>
      </c>
      <c r="N146" s="4279"/>
      <c r="O146" s="4274">
        <v>63979.769102135309</v>
      </c>
      <c r="P146" s="4331"/>
      <c r="Q146" s="4275">
        <v>285607.71175015235</v>
      </c>
    </row>
    <row r="147" spans="1:19" x14ac:dyDescent="0.25">
      <c r="A147" s="4312" t="s">
        <v>1363</v>
      </c>
      <c r="B147" s="76" t="s">
        <v>807</v>
      </c>
      <c r="C147" s="4283">
        <v>5289.4950349999999</v>
      </c>
      <c r="D147" s="4290">
        <v>2841.0879999999997</v>
      </c>
      <c r="E147" s="389">
        <v>2700.7779999999998</v>
      </c>
      <c r="F147" s="389">
        <v>140.31</v>
      </c>
      <c r="G147" s="4287">
        <v>2436.4351649999999</v>
      </c>
      <c r="H147" s="4301">
        <f>G147/C147</f>
        <v>0.46061772416428781</v>
      </c>
      <c r="I147" s="4278">
        <v>11.96837</v>
      </c>
      <c r="J147" s="4280"/>
      <c r="K147" s="4280"/>
      <c r="L147" s="4337"/>
      <c r="M147" s="4338"/>
      <c r="N147" s="4280"/>
      <c r="O147" s="4279"/>
      <c r="P147" s="4309"/>
      <c r="Q147" s="4331"/>
    </row>
    <row r="148" spans="1:19" x14ac:dyDescent="0.25">
      <c r="A148" s="4312" t="s">
        <v>684</v>
      </c>
      <c r="B148" s="76" t="s">
        <v>807</v>
      </c>
      <c r="C148" s="4283">
        <v>9812.0150699999995</v>
      </c>
      <c r="D148" s="4290">
        <v>3938.2972</v>
      </c>
      <c r="E148" s="389">
        <v>3735.3872000000001</v>
      </c>
      <c r="F148" s="389">
        <v>202.91</v>
      </c>
      <c r="G148" s="4287">
        <v>5523.46612</v>
      </c>
      <c r="H148" s="4301">
        <f>G148/C148</f>
        <v>0.56292882558730117</v>
      </c>
      <c r="I148" s="4278">
        <v>350.25174999999996</v>
      </c>
      <c r="J148" s="389">
        <v>7947049</v>
      </c>
      <c r="K148" s="389">
        <v>6064754</v>
      </c>
      <c r="L148" s="4337">
        <v>0</v>
      </c>
      <c r="M148" s="3883">
        <f>M155+M158+M161+M164</f>
        <v>459844.19781758572</v>
      </c>
      <c r="N148" s="4280"/>
      <c r="O148" s="4274">
        <v>104497.00367633719</v>
      </c>
      <c r="P148" s="4338"/>
      <c r="Q148" s="4276">
        <v>355347.19414124853</v>
      </c>
      <c r="R148" s="445">
        <f>Q148+O148</f>
        <v>459844.19781758572</v>
      </c>
    </row>
    <row r="149" spans="1:19" ht="24.75" x14ac:dyDescent="0.25">
      <c r="A149" s="4312" t="s">
        <v>1368</v>
      </c>
      <c r="B149" s="109" t="s">
        <v>98</v>
      </c>
      <c r="C149" s="4310">
        <f>(C146-C148)/C148</f>
        <v>-0.43793743021636017</v>
      </c>
      <c r="D149" s="4311">
        <f t="shared" ref="D149:L149" si="47">(D146-D148)/D148</f>
        <v>-0.23585299758484463</v>
      </c>
      <c r="E149" s="4310">
        <f t="shared" si="47"/>
        <v>-0.23190613278323607</v>
      </c>
      <c r="F149" s="4310">
        <f t="shared" si="47"/>
        <v>-0.30851116258439698</v>
      </c>
      <c r="G149" s="4304">
        <f t="shared" si="47"/>
        <v>-0.55459117851889717</v>
      </c>
      <c r="H149" s="4310">
        <f>H146-H148</f>
        <v>-0.11683353609115421</v>
      </c>
      <c r="I149" s="4305">
        <f t="shared" si="47"/>
        <v>-0.96303267578249063</v>
      </c>
      <c r="J149" s="4310">
        <f t="shared" si="47"/>
        <v>-0.17365981688816048</v>
      </c>
      <c r="K149" s="4310">
        <f t="shared" si="47"/>
        <v>-0.17366086765748645</v>
      </c>
      <c r="L149" s="4342" t="e">
        <f t="shared" si="47"/>
        <v>#DIV/0!</v>
      </c>
      <c r="M149" s="4405">
        <f>(M146-M148)/M148</f>
        <v>-0.26391350232155186</v>
      </c>
      <c r="N149" s="4310" t="e">
        <f>(N146-N148)/N148</f>
        <v>#DIV/0!</v>
      </c>
      <c r="O149" s="4310">
        <f>(O146-O148)/O148</f>
        <v>-0.38773585029956986</v>
      </c>
      <c r="P149" s="4310">
        <f>(P146-Q148)/Q148</f>
        <v>-1</v>
      </c>
      <c r="Q149" s="4310" t="e">
        <f>(Q146-#REF!)/#REF!</f>
        <v>#REF!</v>
      </c>
      <c r="R149">
        <v>429446.25630948145</v>
      </c>
    </row>
    <row r="150" spans="1:19" ht="21.75" customHeight="1" x14ac:dyDescent="0.25">
      <c r="A150" s="4313" t="s">
        <v>1371</v>
      </c>
      <c r="B150" s="109" t="s">
        <v>98</v>
      </c>
      <c r="C150" s="4302">
        <f>(C147-C148)/C148</f>
        <v>-0.46091653984791525</v>
      </c>
      <c r="D150" s="4303">
        <f t="shared" ref="D150:L150" si="48">(D147-D148)/D148</f>
        <v>-0.27859989845357536</v>
      </c>
      <c r="E150" s="4302">
        <f t="shared" si="48"/>
        <v>-0.27697508841921403</v>
      </c>
      <c r="F150" s="4302">
        <f t="shared" si="48"/>
        <v>-0.30851116258439698</v>
      </c>
      <c r="G150" s="4306">
        <f t="shared" si="48"/>
        <v>-0.55889379746933254</v>
      </c>
      <c r="H150" s="4302">
        <f>H147-H148</f>
        <v>-0.10231110142301336</v>
      </c>
      <c r="I150" s="4307">
        <f t="shared" si="48"/>
        <v>-0.96582923568547485</v>
      </c>
      <c r="J150" s="4302">
        <f t="shared" si="48"/>
        <v>-1</v>
      </c>
      <c r="K150" s="4302">
        <f t="shared" si="48"/>
        <v>-1</v>
      </c>
      <c r="L150" s="4343" t="e">
        <f t="shared" si="48"/>
        <v>#DIV/0!</v>
      </c>
      <c r="M150" s="4308">
        <f>(M146-M148)/M148</f>
        <v>-0.26391350232155186</v>
      </c>
      <c r="N150" s="4302" t="e">
        <f>(N147-N148)/N148</f>
        <v>#DIV/0!</v>
      </c>
      <c r="O150" s="4302">
        <f>(O147-O148)/O148</f>
        <v>-1</v>
      </c>
      <c r="P150" s="4302">
        <f>(P147-Q148)/Q148</f>
        <v>-1</v>
      </c>
      <c r="Q150" s="4302" t="e">
        <f>(Q147-#REF!)/#REF!</f>
        <v>#REF!</v>
      </c>
    </row>
    <row r="151" spans="1:19" x14ac:dyDescent="0.25">
      <c r="A151" s="76"/>
      <c r="B151" s="76"/>
      <c r="C151" s="4284"/>
      <c r="D151" s="4291"/>
      <c r="E151" s="97"/>
      <c r="F151" s="97"/>
      <c r="G151" s="4296"/>
      <c r="H151" s="97"/>
      <c r="I151" s="4297"/>
      <c r="J151" s="97"/>
      <c r="K151" s="97"/>
      <c r="L151" s="4299"/>
      <c r="M151" s="4294">
        <f>(M146-429446.26)/429446.26</f>
        <v>-0.2118103321023167</v>
      </c>
      <c r="N151" s="97"/>
      <c r="O151" s="97"/>
      <c r="P151" s="4106"/>
      <c r="Q151" s="4106"/>
    </row>
    <row r="152" spans="1:19" x14ac:dyDescent="0.25">
      <c r="N152" s="9"/>
      <c r="O152" s="9"/>
      <c r="R152">
        <f>L155/14.19</f>
        <v>15421.649753347428</v>
      </c>
    </row>
    <row r="153" spans="1:19" ht="23.25" x14ac:dyDescent="0.25">
      <c r="A153" s="4314" t="s">
        <v>1373</v>
      </c>
      <c r="B153" s="76" t="s">
        <v>371</v>
      </c>
      <c r="C153" s="4315" t="s">
        <v>112</v>
      </c>
      <c r="D153" s="4316" t="s">
        <v>147</v>
      </c>
      <c r="E153" s="4300" t="s">
        <v>1365</v>
      </c>
      <c r="F153" s="4300" t="s">
        <v>1366</v>
      </c>
      <c r="G153" s="4317" t="s">
        <v>1364</v>
      </c>
      <c r="H153" s="4300" t="s">
        <v>1367</v>
      </c>
      <c r="I153" s="4318" t="s">
        <v>62</v>
      </c>
      <c r="J153" s="4300" t="s">
        <v>1369</v>
      </c>
      <c r="K153" s="4300" t="s">
        <v>1370</v>
      </c>
      <c r="L153" s="4319" t="s">
        <v>1004</v>
      </c>
      <c r="M153" s="4319" t="s">
        <v>1375</v>
      </c>
      <c r="N153" s="4272" t="s">
        <v>1376</v>
      </c>
      <c r="O153" s="4272" t="s">
        <v>1378</v>
      </c>
      <c r="P153" s="4273" t="s">
        <v>1377</v>
      </c>
      <c r="Q153" s="4273" t="s">
        <v>1379</v>
      </c>
    </row>
    <row r="154" spans="1:19" x14ac:dyDescent="0.25">
      <c r="A154" s="4314" t="s">
        <v>967</v>
      </c>
      <c r="B154" s="5226" t="s">
        <v>99</v>
      </c>
      <c r="C154" s="4320">
        <v>1531.2770999999998</v>
      </c>
      <c r="D154" s="4289">
        <v>328.8</v>
      </c>
      <c r="E154" s="4274">
        <v>294.15999999999997</v>
      </c>
      <c r="F154" s="4274">
        <v>34.64</v>
      </c>
      <c r="G154" s="4286">
        <v>1201.6969999999999</v>
      </c>
      <c r="H154" s="4301">
        <v>0.78476782549677004</v>
      </c>
      <c r="I154" s="4277">
        <v>0.78010000000000002</v>
      </c>
      <c r="J154" s="4274">
        <v>2949064.5999999996</v>
      </c>
      <c r="K154" s="4274">
        <v>1263884.3999999999</v>
      </c>
      <c r="L154" s="4293">
        <v>219349.18</v>
      </c>
      <c r="M154" s="4340">
        <f>L154/15.548</f>
        <v>14107.871108824285</v>
      </c>
      <c r="N154" s="4274">
        <v>107465.26</v>
      </c>
      <c r="O154" s="4274">
        <f>N154/15.548</f>
        <v>6911.8381785438642</v>
      </c>
      <c r="P154" s="4275">
        <v>196707.33</v>
      </c>
      <c r="Q154" s="4275">
        <f>P154/15.15</f>
        <v>12983.982178217821</v>
      </c>
      <c r="R154" s="445">
        <f>N154+P154</f>
        <v>304172.58999999997</v>
      </c>
      <c r="S154" s="445"/>
    </row>
    <row r="155" spans="1:19" x14ac:dyDescent="0.25">
      <c r="A155" s="4314" t="s">
        <v>684</v>
      </c>
      <c r="B155" s="5227"/>
      <c r="C155" s="4051">
        <v>4132.3203999999996</v>
      </c>
      <c r="D155" s="4290">
        <v>508.87</v>
      </c>
      <c r="E155" s="389">
        <v>451.46</v>
      </c>
      <c r="F155" s="389">
        <v>57.41</v>
      </c>
      <c r="G155" s="4287">
        <v>3620.8406999999997</v>
      </c>
      <c r="H155" s="4058">
        <v>0.87622457832650147</v>
      </c>
      <c r="I155" s="4278">
        <v>2.6097000000000001</v>
      </c>
      <c r="J155" s="389">
        <v>3682644</v>
      </c>
      <c r="K155" s="389">
        <v>1378543</v>
      </c>
      <c r="L155" s="403">
        <v>218833.21</v>
      </c>
      <c r="M155" s="4404">
        <v>45819.5912614517</v>
      </c>
      <c r="N155" s="389">
        <v>110376</v>
      </c>
      <c r="O155" s="4274">
        <v>7778.4355179704016</v>
      </c>
      <c r="P155" s="4276">
        <v>539804</v>
      </c>
      <c r="Q155" s="4276">
        <v>38041.155743481329</v>
      </c>
      <c r="R155" s="445">
        <f t="shared" ref="R155:R165" si="49">N155+P155</f>
        <v>650180</v>
      </c>
      <c r="S155" s="445"/>
    </row>
    <row r="156" spans="1:19" ht="24.75" x14ac:dyDescent="0.25">
      <c r="A156" s="4312" t="s">
        <v>1368</v>
      </c>
      <c r="B156" s="5228"/>
      <c r="C156" s="4321">
        <f>(C154-C155)/C155</f>
        <v>-0.62943892249981392</v>
      </c>
      <c r="D156" s="4321">
        <f t="shared" ref="D156:M156" si="50">(D154-D155)/D155</f>
        <v>-0.35386247961168865</v>
      </c>
      <c r="E156" s="4321">
        <f t="shared" si="50"/>
        <v>-0.34842510964426532</v>
      </c>
      <c r="F156" s="4321">
        <f t="shared" si="50"/>
        <v>-0.39662079777042325</v>
      </c>
      <c r="G156" s="4321">
        <f t="shared" si="50"/>
        <v>-0.66811657856143736</v>
      </c>
      <c r="H156" s="4321">
        <f>H154-H155</f>
        <v>-9.1456752829731425E-2</v>
      </c>
      <c r="I156" s="4321">
        <f t="shared" si="50"/>
        <v>-0.70107675211710163</v>
      </c>
      <c r="J156" s="4321">
        <f t="shared" si="50"/>
        <v>-0.19919910803216395</v>
      </c>
      <c r="K156" s="4321">
        <f t="shared" si="50"/>
        <v>-8.317375664016291E-2</v>
      </c>
      <c r="L156" s="4330">
        <f t="shared" si="50"/>
        <v>2.3578231110351175E-3</v>
      </c>
      <c r="M156" s="4341">
        <f t="shared" si="50"/>
        <v>-0.69209958621579148</v>
      </c>
      <c r="N156" s="4321">
        <f>(N154-N155)/N155</f>
        <v>-2.6371131405378029E-2</v>
      </c>
      <c r="O156" s="4321">
        <f>(O154-O155)/O155</f>
        <v>-0.11141023634180046</v>
      </c>
      <c r="P156" s="4321">
        <f>(P154-P155)/P155</f>
        <v>-0.63559490111225558</v>
      </c>
      <c r="Q156" s="4321">
        <f>(Q154-Q155)/Q155</f>
        <v>-0.65868591727939985</v>
      </c>
      <c r="R156" s="445">
        <f t="shared" si="49"/>
        <v>-0.66196603251763364</v>
      </c>
    </row>
    <row r="157" spans="1:19" x14ac:dyDescent="0.25">
      <c r="A157" s="4314" t="s">
        <v>967</v>
      </c>
      <c r="B157" s="5226" t="s">
        <v>100</v>
      </c>
      <c r="C157" s="4320">
        <v>984.77330000000006</v>
      </c>
      <c r="D157" s="4289">
        <v>219.43299999999999</v>
      </c>
      <c r="E157" s="4274">
        <v>144.06300000000002</v>
      </c>
      <c r="F157" s="4274">
        <v>75.37</v>
      </c>
      <c r="G157" s="4286">
        <v>763.09040000000005</v>
      </c>
      <c r="H157" s="4301">
        <v>0.77488940855727917</v>
      </c>
      <c r="I157" s="4277">
        <v>2.2498999999999998</v>
      </c>
      <c r="J157" s="4274">
        <v>1253010.3258587613</v>
      </c>
      <c r="K157" s="4274">
        <v>1537926.1582307883</v>
      </c>
      <c r="L157" s="4293">
        <v>3427976.4699999997</v>
      </c>
      <c r="M157" s="4340">
        <f>L157/15.548</f>
        <v>220477.00475945458</v>
      </c>
      <c r="N157" s="4274">
        <v>603460.18999999994</v>
      </c>
      <c r="O157" s="4274">
        <f>N157/15.548</f>
        <v>38812.721250321578</v>
      </c>
      <c r="P157" s="4275">
        <v>2824516.28</v>
      </c>
      <c r="Q157" s="4275">
        <f>P157/15.15</f>
        <v>186436.71815181518</v>
      </c>
      <c r="R157" s="445">
        <f t="shared" si="49"/>
        <v>3427976.4699999997</v>
      </c>
      <c r="S157" s="445"/>
    </row>
    <row r="158" spans="1:19" x14ac:dyDescent="0.25">
      <c r="A158" s="4314" t="s">
        <v>684</v>
      </c>
      <c r="B158" s="5227"/>
      <c r="C158" s="4051">
        <v>2785.6022000000003</v>
      </c>
      <c r="D158" s="4290">
        <v>1013.1242</v>
      </c>
      <c r="E158" s="389">
        <v>882.82419999999991</v>
      </c>
      <c r="F158" s="389">
        <v>130.30000000000001</v>
      </c>
      <c r="G158" s="4287">
        <v>1434.317</v>
      </c>
      <c r="H158" s="4058">
        <v>0.51490374325522859</v>
      </c>
      <c r="I158" s="4278">
        <v>338.161</v>
      </c>
      <c r="J158" s="389">
        <v>1877931</v>
      </c>
      <c r="K158" s="389">
        <v>1277369</v>
      </c>
      <c r="L158" s="403">
        <v>4515394.5</v>
      </c>
      <c r="M158" s="4298">
        <v>318209.61945031711</v>
      </c>
      <c r="N158" s="389">
        <v>859709.4</v>
      </c>
      <c r="O158" s="389">
        <v>60585.58139534884</v>
      </c>
      <c r="P158" s="4276">
        <v>3655685.1</v>
      </c>
      <c r="Q158" s="4276">
        <v>257624.03805496829</v>
      </c>
      <c r="R158" s="445">
        <f t="shared" si="49"/>
        <v>4515394.5</v>
      </c>
    </row>
    <row r="159" spans="1:19" ht="24.75" x14ac:dyDescent="0.25">
      <c r="A159" s="4312" t="s">
        <v>1368</v>
      </c>
      <c r="B159" s="5228"/>
      <c r="C159" s="4321">
        <f>(C157-C158)/C158</f>
        <v>-0.64647741159882777</v>
      </c>
      <c r="D159" s="4321">
        <f t="shared" ref="D159:M159" si="51">(D157-D158)/D158</f>
        <v>-0.78340957604210815</v>
      </c>
      <c r="E159" s="4321">
        <f t="shared" si="51"/>
        <v>-0.83681575561703003</v>
      </c>
      <c r="F159" s="4321">
        <f t="shared" si="51"/>
        <v>-0.42156561780506524</v>
      </c>
      <c r="G159" s="4321">
        <f t="shared" si="51"/>
        <v>-0.46797646545359217</v>
      </c>
      <c r="H159" s="4321">
        <f>H157-H158</f>
        <v>0.25998566530205058</v>
      </c>
      <c r="I159" s="4321">
        <f t="shared" si="51"/>
        <v>-0.99334666031860552</v>
      </c>
      <c r="J159" s="4321">
        <f t="shared" si="51"/>
        <v>-0.33277083883339625</v>
      </c>
      <c r="K159" s="4321">
        <f t="shared" si="51"/>
        <v>0.20397955346559085</v>
      </c>
      <c r="L159" s="4330">
        <f t="shared" si="51"/>
        <v>-0.24082459018807775</v>
      </c>
      <c r="M159" s="4341">
        <f t="shared" si="51"/>
        <v>-0.30713281031443418</v>
      </c>
      <c r="N159" s="4321">
        <f>(N157-N158)/N158</f>
        <v>-0.29806491588902023</v>
      </c>
      <c r="O159" s="4321">
        <f>(O157-O158)/O158</f>
        <v>-0.35937362724885508</v>
      </c>
      <c r="P159" s="4321">
        <f>(P157-P158)/P158</f>
        <v>-0.2273633524944477</v>
      </c>
      <c r="Q159" s="4321">
        <f>(Q157-Q158)/Q158</f>
        <v>-0.27632250639578959</v>
      </c>
      <c r="R159" s="445">
        <f t="shared" si="49"/>
        <v>-0.5254282683834679</v>
      </c>
    </row>
    <row r="160" spans="1:19" x14ac:dyDescent="0.25">
      <c r="A160" s="4314" t="s">
        <v>967</v>
      </c>
      <c r="B160" s="5226" t="s">
        <v>101</v>
      </c>
      <c r="C160" s="4320">
        <v>546.70000000000005</v>
      </c>
      <c r="D160" s="4289">
        <v>181.26000000000002</v>
      </c>
      <c r="E160" s="4274">
        <v>150.96</v>
      </c>
      <c r="F160" s="4274">
        <v>30.3</v>
      </c>
      <c r="G160" s="4286">
        <v>365.44</v>
      </c>
      <c r="H160" s="4301">
        <v>0.66844704591183457</v>
      </c>
      <c r="I160" s="4277">
        <v>0</v>
      </c>
      <c r="J160" s="4274">
        <v>332818</v>
      </c>
      <c r="K160" s="4274">
        <v>486890</v>
      </c>
      <c r="L160" s="4293">
        <v>604604.33000000007</v>
      </c>
      <c r="M160" s="4340">
        <f>L160/15.548</f>
        <v>38886.308850012865</v>
      </c>
      <c r="N160" s="4274">
        <v>283832</v>
      </c>
      <c r="O160" s="4274">
        <f>N160/15.548</f>
        <v>18255.209673269874</v>
      </c>
      <c r="P160" s="4274">
        <v>320772.33</v>
      </c>
      <c r="Q160" s="4274">
        <f>P160/15.15</f>
        <v>21173.091089108912</v>
      </c>
      <c r="R160" s="445">
        <f t="shared" si="49"/>
        <v>604604.33000000007</v>
      </c>
      <c r="S160" s="445"/>
    </row>
    <row r="161" spans="1:18" x14ac:dyDescent="0.25">
      <c r="A161" s="4314" t="s">
        <v>684</v>
      </c>
      <c r="B161" s="5227"/>
      <c r="C161" s="4051">
        <v>431.63400000000001</v>
      </c>
      <c r="D161" s="4290">
        <v>163.77999999999997</v>
      </c>
      <c r="E161" s="389">
        <v>148.57999999999998</v>
      </c>
      <c r="F161" s="389">
        <v>15.2</v>
      </c>
      <c r="G161" s="4287">
        <v>267.85400000000004</v>
      </c>
      <c r="H161" s="4058">
        <v>0.62055815806910497</v>
      </c>
      <c r="I161" s="4278">
        <v>0</v>
      </c>
      <c r="J161" s="389">
        <v>417758</v>
      </c>
      <c r="K161" s="389">
        <v>582968</v>
      </c>
      <c r="L161" s="403">
        <v>470934.52</v>
      </c>
      <c r="M161" s="4298">
        <v>33187.774489076815</v>
      </c>
      <c r="N161" s="389">
        <v>376747.62</v>
      </c>
      <c r="O161" s="389">
        <v>26550.219873150105</v>
      </c>
      <c r="P161" s="4276">
        <v>94186.9</v>
      </c>
      <c r="Q161" s="4276">
        <v>6637.5546159267087</v>
      </c>
      <c r="R161" s="445">
        <f t="shared" si="49"/>
        <v>470934.52</v>
      </c>
    </row>
    <row r="162" spans="1:18" ht="24.75" x14ac:dyDescent="0.25">
      <c r="A162" s="4312" t="s">
        <v>1368</v>
      </c>
      <c r="B162" s="5228"/>
      <c r="C162" s="4321">
        <f>(C160-C161)/C161</f>
        <v>0.26658233596055925</v>
      </c>
      <c r="D162" s="4321">
        <f t="shared" ref="D162:M162" si="52">(D160-D161)/D161</f>
        <v>0.10672853828306295</v>
      </c>
      <c r="E162" s="4321">
        <f t="shared" si="52"/>
        <v>1.601830663615577E-2</v>
      </c>
      <c r="F162" s="4321">
        <f t="shared" si="52"/>
        <v>0.99342105263157909</v>
      </c>
      <c r="G162" s="4321">
        <f t="shared" si="52"/>
        <v>0.36432534141733908</v>
      </c>
      <c r="H162" s="4321">
        <f>H160-H161</f>
        <v>4.7888887842729599E-2</v>
      </c>
      <c r="I162" s="4321" t="e">
        <f t="shared" si="52"/>
        <v>#DIV/0!</v>
      </c>
      <c r="J162" s="4321">
        <f t="shared" si="52"/>
        <v>-0.20332345520612413</v>
      </c>
      <c r="K162" s="4321">
        <f t="shared" si="52"/>
        <v>-0.16480835997859231</v>
      </c>
      <c r="L162" s="4330">
        <f t="shared" si="52"/>
        <v>0.28383948154830541</v>
      </c>
      <c r="M162" s="4341">
        <f t="shared" si="52"/>
        <v>0.17170582989261976</v>
      </c>
      <c r="N162" s="4321">
        <f>(N160-N161)/N161</f>
        <v>-0.24662563229994658</v>
      </c>
      <c r="O162" s="4321">
        <f>(O160-O161)/O161</f>
        <v>-0.31242717534964248</v>
      </c>
      <c r="P162" s="4321">
        <f>(P160-P161)/P161</f>
        <v>2.4057000495822671</v>
      </c>
      <c r="Q162" s="4321">
        <f>(Q160-Q161)/Q161</f>
        <v>2.1898933137671532</v>
      </c>
      <c r="R162" s="445">
        <f t="shared" si="49"/>
        <v>2.1590744172823206</v>
      </c>
    </row>
    <row r="163" spans="1:18" x14ac:dyDescent="0.25">
      <c r="A163" s="4314" t="s">
        <v>967</v>
      </c>
      <c r="B163" s="5226" t="s">
        <v>103</v>
      </c>
      <c r="C163" s="4320">
        <v>2419.8360050000001</v>
      </c>
      <c r="D163" s="4289">
        <v>2279.9449999999997</v>
      </c>
      <c r="E163" s="4274">
        <v>2279.9449999999997</v>
      </c>
      <c r="F163" s="4274">
        <v>0</v>
      </c>
      <c r="G163" s="4286">
        <v>129.97313499999998</v>
      </c>
      <c r="H163" s="4301">
        <v>5.371154686988798E-2</v>
      </c>
      <c r="I163" s="4277">
        <v>9.9178700000000006</v>
      </c>
      <c r="J163" s="4274">
        <v>2032073</v>
      </c>
      <c r="K163" s="4274">
        <v>1722843</v>
      </c>
      <c r="L163" s="4336">
        <v>149271961.07999998</v>
      </c>
      <c r="M163" s="4298">
        <f>L163/2296</f>
        <v>65013.920331010442</v>
      </c>
      <c r="N163" s="2003">
        <v>0</v>
      </c>
      <c r="O163" s="2003">
        <f>N163/2296</f>
        <v>0</v>
      </c>
      <c r="P163" s="4275">
        <v>149271961.07999998</v>
      </c>
      <c r="Q163" s="4275">
        <f>P163/2296</f>
        <v>65013.920331010442</v>
      </c>
      <c r="R163" s="4339">
        <f t="shared" si="49"/>
        <v>149271961.07999998</v>
      </c>
    </row>
    <row r="164" spans="1:18" x14ac:dyDescent="0.25">
      <c r="A164" s="4314" t="s">
        <v>684</v>
      </c>
      <c r="B164" s="5227"/>
      <c r="C164" s="4051">
        <v>2462.45847</v>
      </c>
      <c r="D164" s="4290">
        <v>2252.5230000000001</v>
      </c>
      <c r="E164" s="389">
        <v>2252.5230000000001</v>
      </c>
      <c r="F164" s="389">
        <v>0</v>
      </c>
      <c r="G164" s="4287">
        <v>200.45442</v>
      </c>
      <c r="H164" s="4058">
        <v>8.1404183031764998E-2</v>
      </c>
      <c r="I164" s="4278">
        <v>9.4810499999999998</v>
      </c>
      <c r="J164" s="389">
        <v>1968716</v>
      </c>
      <c r="K164" s="389">
        <v>2825874</v>
      </c>
      <c r="L164" s="403">
        <v>142163772.63999999</v>
      </c>
      <c r="M164" s="4298">
        <v>62627.212616740086</v>
      </c>
      <c r="N164" s="2003">
        <v>21752880.84</v>
      </c>
      <c r="O164" s="389">
        <v>9582.7668898678421</v>
      </c>
      <c r="P164" s="4276">
        <v>120410891.8</v>
      </c>
      <c r="Q164" s="4276">
        <v>53044.445726872247</v>
      </c>
      <c r="R164" s="397">
        <f t="shared" si="49"/>
        <v>142163772.63999999</v>
      </c>
    </row>
    <row r="165" spans="1:18" ht="24.75" x14ac:dyDescent="0.25">
      <c r="A165" s="4312" t="s">
        <v>1368</v>
      </c>
      <c r="B165" s="5228"/>
      <c r="C165" s="4321">
        <f>(C163-C164)/C164</f>
        <v>-1.7308907142706012E-2</v>
      </c>
      <c r="D165" s="4321">
        <f t="shared" ref="D165:M165" si="53">(D163-D164)/D164</f>
        <v>1.2173904550585974E-2</v>
      </c>
      <c r="E165" s="4321">
        <f t="shared" si="53"/>
        <v>1.2173904550585974E-2</v>
      </c>
      <c r="F165" s="4321">
        <v>0</v>
      </c>
      <c r="G165" s="4321">
        <f t="shared" si="53"/>
        <v>-0.35160753751401447</v>
      </c>
      <c r="H165" s="4321">
        <f>H163-H164</f>
        <v>-2.7692636161877018E-2</v>
      </c>
      <c r="I165" s="4321">
        <f t="shared" si="53"/>
        <v>4.6072956054445537E-2</v>
      </c>
      <c r="J165" s="4321">
        <f t="shared" si="53"/>
        <v>3.2181889109450017E-2</v>
      </c>
      <c r="K165" s="4321">
        <f t="shared" si="53"/>
        <v>-0.39033268999254744</v>
      </c>
      <c r="L165" s="4330">
        <f t="shared" si="53"/>
        <v>4.9999998649444946E-2</v>
      </c>
      <c r="M165" s="4341">
        <f t="shared" si="53"/>
        <v>3.8109754762299546E-2</v>
      </c>
      <c r="N165" s="4321">
        <f>(N163-N164)/N164</f>
        <v>-1</v>
      </c>
      <c r="O165" s="4321">
        <f>(O163-O164)/O164</f>
        <v>-1</v>
      </c>
      <c r="P165" s="4321">
        <f>(P163-P164)/P164</f>
        <v>0.23968819471861089</v>
      </c>
      <c r="Q165" s="4321">
        <f>(Q163-Q164)/Q164</f>
        <v>0.22564991376796448</v>
      </c>
      <c r="R165" s="445">
        <f t="shared" si="49"/>
        <v>-0.76031180528138909</v>
      </c>
    </row>
    <row r="166" spans="1:18" s="4510" customFormat="1" x14ac:dyDescent="0.25">
      <c r="A166" s="4507" t="s">
        <v>1404</v>
      </c>
      <c r="B166" s="4507"/>
      <c r="C166" s="4508">
        <f>C154+C157+C160+C163</f>
        <v>5482.586405</v>
      </c>
      <c r="D166" s="4508">
        <f>D154+D157+D160+D163</f>
        <v>3009.4379999999996</v>
      </c>
      <c r="E166" s="4508">
        <f>E154+E157+E160+E163</f>
        <v>2869.1279999999997</v>
      </c>
      <c r="F166" s="4508">
        <f>F154+F157+F160+F163</f>
        <v>140.31</v>
      </c>
      <c r="G166" s="4508">
        <f>G154+G157+G160+G163</f>
        <v>2460.2005349999999</v>
      </c>
      <c r="H166" s="4509">
        <f>G166/C166</f>
        <v>0.44872991563914988</v>
      </c>
      <c r="I166" s="4508">
        <f>I154+I157+I160+I163</f>
        <v>12.94787</v>
      </c>
      <c r="J166" s="4508">
        <f t="shared" ref="J166:Q166" si="54">J154+J157+J160+J163</f>
        <v>6566965.9258587612</v>
      </c>
      <c r="K166" s="4508">
        <f>K154+K157+K160+K163</f>
        <v>5011543.5582307884</v>
      </c>
      <c r="L166" s="4508"/>
      <c r="M166" s="4508">
        <f t="shared" si="54"/>
        <v>338485.10504930216</v>
      </c>
      <c r="N166" s="4508"/>
      <c r="O166" s="4508">
        <f t="shared" si="54"/>
        <v>63979.769102135309</v>
      </c>
      <c r="P166" s="4508"/>
      <c r="Q166" s="4508">
        <f t="shared" si="54"/>
        <v>285607.71175015235</v>
      </c>
    </row>
    <row r="167" spans="1:18" s="4510" customFormat="1" x14ac:dyDescent="0.25">
      <c r="A167" s="1316" t="s">
        <v>1405</v>
      </c>
      <c r="B167" s="1316"/>
      <c r="C167" s="1296">
        <f>C155+C158+C161+C164</f>
        <v>9812.0150699999995</v>
      </c>
      <c r="D167" s="1296">
        <f t="shared" ref="D167:J167" si="55">D155+D158+D161+D164</f>
        <v>3938.2972</v>
      </c>
      <c r="E167" s="1296">
        <f t="shared" si="55"/>
        <v>3735.3872000000001</v>
      </c>
      <c r="F167" s="1296">
        <f t="shared" si="55"/>
        <v>202.91</v>
      </c>
      <c r="G167" s="1296">
        <f t="shared" si="55"/>
        <v>5523.46612</v>
      </c>
      <c r="H167" s="4511">
        <f>G167/C167</f>
        <v>0.56292882558730117</v>
      </c>
      <c r="I167" s="1296">
        <f t="shared" si="55"/>
        <v>350.25174999999996</v>
      </c>
      <c r="J167" s="1296">
        <f t="shared" si="55"/>
        <v>7947049</v>
      </c>
      <c r="K167" s="1296">
        <f>K155+K158+K161+K164</f>
        <v>6064754</v>
      </c>
      <c r="L167" s="1317"/>
      <c r="M167" s="1296">
        <f>M155+M158+M161+M164</f>
        <v>459844.19781758572</v>
      </c>
      <c r="N167" s="1317"/>
      <c r="O167" s="1296">
        <f>O155+O158+O161+O164</f>
        <v>104497.00367633719</v>
      </c>
      <c r="P167" s="1317"/>
      <c r="Q167" s="1296">
        <f>Q155+Q158+Q161+Q164</f>
        <v>355347.19414124853</v>
      </c>
    </row>
    <row r="168" spans="1:18" s="9" customFormat="1" x14ac:dyDescent="0.25">
      <c r="C168" s="445"/>
      <c r="G168" s="445"/>
    </row>
    <row r="169" spans="1:18" ht="15.75" thickBot="1" x14ac:dyDescent="0.3">
      <c r="A169" s="5215" t="s">
        <v>855</v>
      </c>
      <c r="B169" s="5216"/>
      <c r="C169" s="5216"/>
      <c r="D169" s="5216"/>
      <c r="E169" s="5216"/>
      <c r="F169" s="5216"/>
      <c r="G169" s="5216"/>
      <c r="H169" s="5216"/>
      <c r="I169" s="5216"/>
      <c r="M169" s="9">
        <f>L155/14.19</f>
        <v>15421.649753347428</v>
      </c>
    </row>
    <row r="170" spans="1:18" x14ac:dyDescent="0.25">
      <c r="A170" s="4322" t="s">
        <v>218</v>
      </c>
      <c r="B170" s="4323">
        <v>2016</v>
      </c>
      <c r="C170" s="4324"/>
      <c r="D170" s="4323">
        <v>2017</v>
      </c>
      <c r="E170" s="4324"/>
      <c r="F170" s="4325">
        <v>2018</v>
      </c>
      <c r="G170" s="4326"/>
      <c r="H170" s="4325">
        <v>2019</v>
      </c>
      <c r="I170" s="4326"/>
    </row>
    <row r="171" spans="1:18" ht="15.75" thickBot="1" x14ac:dyDescent="0.3">
      <c r="A171" s="4327"/>
      <c r="B171" s="4328" t="s">
        <v>561</v>
      </c>
      <c r="C171" s="4329" t="s">
        <v>562</v>
      </c>
      <c r="D171" s="4328" t="s">
        <v>561</v>
      </c>
      <c r="E171" s="4329" t="s">
        <v>562</v>
      </c>
      <c r="F171" s="4328" t="s">
        <v>561</v>
      </c>
      <c r="G171" s="4329" t="s">
        <v>562</v>
      </c>
      <c r="H171" s="4328" t="s">
        <v>561</v>
      </c>
      <c r="I171" s="4329" t="s">
        <v>562</v>
      </c>
    </row>
    <row r="172" spans="1:18" x14ac:dyDescent="0.25">
      <c r="A172" s="2160" t="s">
        <v>99</v>
      </c>
      <c r="B172" s="2161">
        <v>2207895.2999999998</v>
      </c>
      <c r="C172" s="2162">
        <v>1188866.7</v>
      </c>
      <c r="D172" s="2161">
        <v>751592.7</v>
      </c>
      <c r="E172" s="2162">
        <v>1753716.3</v>
      </c>
      <c r="F172" s="2161">
        <v>1391655.3</v>
      </c>
      <c r="G172" s="2162">
        <v>3247195.7</v>
      </c>
      <c r="H172" s="1461">
        <v>1378543</v>
      </c>
      <c r="I172" s="1466">
        <v>3682644</v>
      </c>
    </row>
    <row r="173" spans="1:18" x14ac:dyDescent="0.25">
      <c r="A173" s="1413" t="s">
        <v>100</v>
      </c>
      <c r="B173" s="2149" t="s">
        <v>575</v>
      </c>
      <c r="C173" s="2150" t="s">
        <v>576</v>
      </c>
      <c r="D173" s="2149" t="s">
        <v>577</v>
      </c>
      <c r="E173" s="2150" t="s">
        <v>578</v>
      </c>
      <c r="F173" s="2149" t="s">
        <v>579</v>
      </c>
      <c r="G173" s="2150" t="s">
        <v>580</v>
      </c>
      <c r="H173" s="1409">
        <v>1277369</v>
      </c>
      <c r="I173" s="2164">
        <v>1877931</v>
      </c>
    </row>
    <row r="174" spans="1:18" x14ac:dyDescent="0.25">
      <c r="A174" s="1413" t="s">
        <v>101</v>
      </c>
      <c r="B174" s="1436">
        <v>611947</v>
      </c>
      <c r="C174" s="1437">
        <v>535284</v>
      </c>
      <c r="D174" s="1436">
        <v>433956</v>
      </c>
      <c r="E174" s="1437">
        <v>296847</v>
      </c>
      <c r="F174" s="1436">
        <v>377413</v>
      </c>
      <c r="G174" s="1437" t="s">
        <v>1392</v>
      </c>
      <c r="H174" s="1409">
        <v>582968</v>
      </c>
      <c r="I174" s="2164">
        <v>417758</v>
      </c>
    </row>
    <row r="175" spans="1:18" x14ac:dyDescent="0.25">
      <c r="A175" s="1413" t="s">
        <v>103</v>
      </c>
      <c r="B175" s="2151">
        <v>1891932</v>
      </c>
      <c r="C175" s="2152">
        <v>1818821</v>
      </c>
      <c r="D175" s="2151">
        <v>1915211</v>
      </c>
      <c r="E175" s="2152">
        <v>1545429</v>
      </c>
      <c r="F175" s="2151">
        <v>2549053</v>
      </c>
      <c r="G175" s="2152">
        <v>1846754</v>
      </c>
      <c r="H175" s="1409">
        <v>2825874</v>
      </c>
      <c r="I175" s="2164">
        <v>1968716</v>
      </c>
    </row>
    <row r="176" spans="1:18" x14ac:dyDescent="0.25">
      <c r="A176" s="1413" t="s">
        <v>154</v>
      </c>
      <c r="B176" s="1566">
        <v>4200000</v>
      </c>
      <c r="C176" s="1568">
        <v>4200000</v>
      </c>
      <c r="D176" s="1566">
        <v>4200000</v>
      </c>
      <c r="E176" s="1568">
        <v>4200000</v>
      </c>
      <c r="F176" s="1566">
        <v>4200000</v>
      </c>
      <c r="G176" s="1568">
        <v>4200000</v>
      </c>
      <c r="H176" s="2216"/>
      <c r="I176" s="2217"/>
    </row>
    <row r="177" spans="1:23" ht="15.75" thickBot="1" x14ac:dyDescent="0.3">
      <c r="A177" s="1414" t="s">
        <v>325</v>
      </c>
      <c r="B177" s="1567">
        <f t="shared" ref="B177:G177" si="56">SUM(B172:B176)</f>
        <v>8911774.3000000007</v>
      </c>
      <c r="C177" s="1569">
        <f t="shared" si="56"/>
        <v>7742971.7000000002</v>
      </c>
      <c r="D177" s="1567">
        <f t="shared" si="56"/>
        <v>7300759.7000000002</v>
      </c>
      <c r="E177" s="1569">
        <f t="shared" si="56"/>
        <v>7795992.2999999998</v>
      </c>
      <c r="F177" s="1567">
        <f t="shared" si="56"/>
        <v>8518121.3000000007</v>
      </c>
      <c r="G177" s="1569">
        <f t="shared" si="56"/>
        <v>9293949.6999999993</v>
      </c>
      <c r="H177" s="2163">
        <f>SUM(H172:H175)</f>
        <v>6064754</v>
      </c>
      <c r="I177" s="2163">
        <f>SUM(I172:I175)</f>
        <v>7947049</v>
      </c>
    </row>
    <row r="178" spans="1:23" ht="15.75" thickBot="1" x14ac:dyDescent="0.3"/>
    <row r="179" spans="1:23" ht="24.75" thickBot="1" x14ac:dyDescent="0.3">
      <c r="A179" s="4364" t="s">
        <v>11</v>
      </c>
    </row>
    <row r="180" spans="1:23" ht="15.75" thickBot="1" x14ac:dyDescent="0.3">
      <c r="A180" s="40"/>
      <c r="J180" s="10"/>
      <c r="K180" s="11"/>
      <c r="L180" s="4981" t="s">
        <v>1390</v>
      </c>
      <c r="M180" s="4982"/>
      <c r="N180" s="4982"/>
      <c r="O180" s="4982"/>
      <c r="P180" s="4983"/>
      <c r="Q180" s="4981" t="s">
        <v>1391</v>
      </c>
      <c r="R180" s="4982"/>
      <c r="S180" s="4982"/>
      <c r="T180" s="4982"/>
      <c r="U180" s="4983"/>
      <c r="V180" s="1"/>
      <c r="W180" s="1"/>
    </row>
    <row r="181" spans="1:23" ht="15.75" thickBot="1" x14ac:dyDescent="0.3">
      <c r="A181" s="555" t="s">
        <v>376</v>
      </c>
      <c r="B181" s="986" t="s">
        <v>364</v>
      </c>
      <c r="C181" s="5205">
        <v>2020</v>
      </c>
      <c r="D181" s="5206"/>
      <c r="E181" s="5207"/>
      <c r="F181" s="5205">
        <v>2019</v>
      </c>
      <c r="G181" s="5206"/>
      <c r="H181" s="5207"/>
      <c r="J181" s="4360" t="s">
        <v>0</v>
      </c>
      <c r="K181" s="4356" t="s">
        <v>1</v>
      </c>
      <c r="L181" s="4557" t="s">
        <v>99</v>
      </c>
      <c r="M181" s="4558" t="s">
        <v>100</v>
      </c>
      <c r="N181" s="4558" t="s">
        <v>101</v>
      </c>
      <c r="O181" s="4559" t="s">
        <v>103</v>
      </c>
      <c r="P181" s="4560" t="s">
        <v>1436</v>
      </c>
      <c r="Q181" s="4359" t="s">
        <v>99</v>
      </c>
      <c r="R181" s="4358" t="s">
        <v>100</v>
      </c>
      <c r="S181" s="4358" t="s">
        <v>101</v>
      </c>
      <c r="T181" s="4358" t="s">
        <v>103</v>
      </c>
      <c r="U181" s="4561" t="s">
        <v>1437</v>
      </c>
      <c r="V181" s="4556"/>
      <c r="W181" s="4556"/>
    </row>
    <row r="182" spans="1:23" x14ac:dyDescent="0.25">
      <c r="A182" s="939" t="s">
        <v>0</v>
      </c>
      <c r="B182" s="940" t="s">
        <v>13</v>
      </c>
      <c r="C182" s="1410" t="s">
        <v>377</v>
      </c>
      <c r="D182" s="1411" t="s">
        <v>378</v>
      </c>
      <c r="E182" s="1412" t="s">
        <v>379</v>
      </c>
      <c r="F182" s="1410" t="s">
        <v>377</v>
      </c>
      <c r="G182" s="1411" t="s">
        <v>378</v>
      </c>
      <c r="H182" s="1412" t="s">
        <v>379</v>
      </c>
      <c r="J182" s="4361" t="s">
        <v>78</v>
      </c>
      <c r="K182" s="4362" t="s">
        <v>13</v>
      </c>
      <c r="L182" s="4563">
        <v>47</v>
      </c>
      <c r="M182" s="4566">
        <v>57</v>
      </c>
      <c r="N182" s="4614">
        <v>55</v>
      </c>
      <c r="O182" s="4566">
        <v>146</v>
      </c>
      <c r="P182" s="4564">
        <f>SUM(L182:O182)</f>
        <v>305</v>
      </c>
      <c r="Q182" s="4565">
        <v>44</v>
      </c>
      <c r="R182" s="4566">
        <v>57</v>
      </c>
      <c r="S182" s="4566">
        <v>55</v>
      </c>
      <c r="T182" s="4566">
        <v>146</v>
      </c>
      <c r="U182" s="4562">
        <f>SUM(Q182:T182)</f>
        <v>302</v>
      </c>
      <c r="V182" s="4556"/>
      <c r="W182" s="4556"/>
    </row>
    <row r="183" spans="1:23" ht="22.5" x14ac:dyDescent="0.25">
      <c r="A183" s="76" t="s">
        <v>99</v>
      </c>
      <c r="B183" s="106"/>
      <c r="C183" s="1992">
        <v>1642</v>
      </c>
      <c r="D183" s="1071">
        <v>2673.24</v>
      </c>
      <c r="E183" s="1183">
        <v>1631.2</v>
      </c>
      <c r="F183" s="1992">
        <v>1642</v>
      </c>
      <c r="G183" s="1896">
        <v>2673.24</v>
      </c>
      <c r="H183" s="1183">
        <v>1631.2</v>
      </c>
      <c r="J183" s="4361" t="s">
        <v>79</v>
      </c>
      <c r="K183" s="4362" t="s">
        <v>13</v>
      </c>
      <c r="L183" s="4565">
        <v>0</v>
      </c>
      <c r="M183" s="4566">
        <v>0</v>
      </c>
      <c r="N183" s="4614">
        <v>5.4</v>
      </c>
      <c r="O183" s="4566">
        <v>56.94</v>
      </c>
      <c r="P183" s="4567">
        <f t="shared" ref="P183:P190" si="57">SUM(L183:O183)</f>
        <v>62.339999999999996</v>
      </c>
      <c r="Q183" s="4565">
        <v>0</v>
      </c>
      <c r="R183" s="4566" t="s">
        <v>445</v>
      </c>
      <c r="S183" s="4566">
        <v>5.4</v>
      </c>
      <c r="T183" s="204">
        <v>48.94</v>
      </c>
      <c r="U183" s="4562">
        <f t="shared" ref="U183:U190" si="58">SUM(Q183:T183)</f>
        <v>54.339999999999996</v>
      </c>
      <c r="V183" s="4556"/>
      <c r="W183" s="4556"/>
    </row>
    <row r="184" spans="1:23" ht="33.75" x14ac:dyDescent="0.25">
      <c r="A184" s="76" t="s">
        <v>100</v>
      </c>
      <c r="B184" s="106"/>
      <c r="C184" s="1992">
        <v>1406</v>
      </c>
      <c r="D184" s="1896">
        <v>1388</v>
      </c>
      <c r="E184" s="1183">
        <v>1008.5</v>
      </c>
      <c r="F184" s="1992">
        <v>1406</v>
      </c>
      <c r="G184" s="1896">
        <v>1388</v>
      </c>
      <c r="H184" s="1183">
        <v>1008.5</v>
      </c>
      <c r="J184" s="4361" t="s">
        <v>80</v>
      </c>
      <c r="K184" s="4362" t="s">
        <v>13</v>
      </c>
      <c r="L184" s="4565">
        <v>0</v>
      </c>
      <c r="M184" s="4566">
        <v>35.4</v>
      </c>
      <c r="N184" s="4614">
        <v>5.0999999999999996</v>
      </c>
      <c r="O184" s="4566">
        <v>56.98</v>
      </c>
      <c r="P184" s="4567">
        <f t="shared" si="57"/>
        <v>97.47999999999999</v>
      </c>
      <c r="Q184" s="4565">
        <v>0</v>
      </c>
      <c r="R184" s="4566">
        <v>54.22</v>
      </c>
      <c r="S184" s="4566">
        <v>5.0999999999999996</v>
      </c>
      <c r="T184" s="4566">
        <v>49.5</v>
      </c>
      <c r="U184" s="4562">
        <f t="shared" si="58"/>
        <v>108.82</v>
      </c>
      <c r="V184" s="4556"/>
      <c r="W184" s="4556"/>
    </row>
    <row r="185" spans="1:23" ht="22.5" x14ac:dyDescent="0.25">
      <c r="A185" s="76" t="s">
        <v>101</v>
      </c>
      <c r="B185" s="106"/>
      <c r="C185" s="1182">
        <v>1642</v>
      </c>
      <c r="D185" s="1175">
        <v>2014</v>
      </c>
      <c r="E185" s="4365">
        <v>1636</v>
      </c>
      <c r="F185" s="1992">
        <v>1642</v>
      </c>
      <c r="G185" s="1175">
        <v>2014</v>
      </c>
      <c r="H185" s="4365">
        <v>1583.46</v>
      </c>
      <c r="J185" s="4361" t="s">
        <v>81</v>
      </c>
      <c r="K185" s="4362" t="s">
        <v>13</v>
      </c>
      <c r="L185" s="4565">
        <v>0</v>
      </c>
      <c r="M185" s="4566">
        <v>113</v>
      </c>
      <c r="N185" s="4614">
        <v>119.75</v>
      </c>
      <c r="O185" s="4566">
        <v>22.33</v>
      </c>
      <c r="P185" s="4766">
        <f t="shared" si="57"/>
        <v>255.07999999999998</v>
      </c>
      <c r="Q185" s="4565">
        <v>8.4</v>
      </c>
      <c r="R185" s="4566">
        <v>113.58</v>
      </c>
      <c r="S185" s="4566">
        <v>119.754</v>
      </c>
      <c r="T185" s="4566">
        <v>22.32</v>
      </c>
      <c r="U185" s="4562">
        <f t="shared" si="58"/>
        <v>264.05400000000003</v>
      </c>
      <c r="V185" s="4556"/>
      <c r="W185" s="4556"/>
    </row>
    <row r="186" spans="1:23" ht="33.75" x14ac:dyDescent="0.25">
      <c r="A186" s="76" t="s">
        <v>103</v>
      </c>
      <c r="B186" s="106"/>
      <c r="C186" s="1182">
        <v>699.26</v>
      </c>
      <c r="D186" s="1175">
        <v>906</v>
      </c>
      <c r="E186" s="1183">
        <v>293.78999999999996</v>
      </c>
      <c r="F186" s="1182">
        <v>690.28</v>
      </c>
      <c r="G186" s="1175">
        <v>906</v>
      </c>
      <c r="H186" s="1183">
        <v>290.65999999999997</v>
      </c>
      <c r="J186" s="4361" t="s">
        <v>82</v>
      </c>
      <c r="K186" s="4362" t="s">
        <v>13</v>
      </c>
      <c r="L186" s="4565">
        <v>319</v>
      </c>
      <c r="M186" s="4566">
        <v>335.37</v>
      </c>
      <c r="N186" s="4614">
        <v>151</v>
      </c>
      <c r="O186" s="4566">
        <v>415.5</v>
      </c>
      <c r="P186" s="4766">
        <f t="shared" si="57"/>
        <v>1220.8699999999999</v>
      </c>
      <c r="Q186" s="4565">
        <v>446.75</v>
      </c>
      <c r="R186" s="4566">
        <v>361.16</v>
      </c>
      <c r="S186" s="4568">
        <v>151</v>
      </c>
      <c r="T186" s="4566">
        <v>415.4</v>
      </c>
      <c r="U186" s="4562">
        <f t="shared" si="58"/>
        <v>1374.31</v>
      </c>
      <c r="V186" s="4556"/>
      <c r="W186" s="4556"/>
    </row>
    <row r="187" spans="1:23" ht="33.75" x14ac:dyDescent="0.25">
      <c r="A187" s="943" t="s">
        <v>143</v>
      </c>
      <c r="B187" s="946"/>
      <c r="C187" s="4352">
        <f>SUM(C183:C184)+SUM(C185:C186)</f>
        <v>5389.26</v>
      </c>
      <c r="D187" s="4352">
        <f>SUM(D183:D184)+SUM(D185:D186)</f>
        <v>6981.24</v>
      </c>
      <c r="E187" s="4352">
        <f>SUM(E183:E184)+SUM(E185:E186)</f>
        <v>4569.49</v>
      </c>
      <c r="F187" s="4352">
        <v>5380.28</v>
      </c>
      <c r="G187" s="4352">
        <v>6981.24</v>
      </c>
      <c r="H187" s="4352">
        <v>4513.82</v>
      </c>
      <c r="J187" s="4361" t="s">
        <v>83</v>
      </c>
      <c r="K187" s="4362" t="s">
        <v>13</v>
      </c>
      <c r="L187" s="4565">
        <v>58</v>
      </c>
      <c r="M187" s="4566">
        <v>203.36</v>
      </c>
      <c r="N187" s="4614">
        <v>90.38</v>
      </c>
      <c r="O187" s="4566">
        <v>211.3</v>
      </c>
      <c r="P187" s="4766">
        <f t="shared" si="57"/>
        <v>563.04</v>
      </c>
      <c r="Q187" s="4565">
        <v>255.5</v>
      </c>
      <c r="R187" s="4566">
        <v>231.37</v>
      </c>
      <c r="S187" s="4568">
        <v>90.381</v>
      </c>
      <c r="T187" s="4566">
        <v>211.3</v>
      </c>
      <c r="U187" s="4562">
        <f t="shared" si="58"/>
        <v>788.55099999999993</v>
      </c>
      <c r="V187" s="4556"/>
      <c r="W187" s="4556"/>
    </row>
    <row r="188" spans="1:23" ht="23.25" thickBot="1" x14ac:dyDescent="0.3">
      <c r="A188" s="4782" t="s">
        <v>1393</v>
      </c>
      <c r="B188" s="946"/>
      <c r="C188" s="4353"/>
      <c r="D188" s="4355">
        <f>D187/(C187+D187)</f>
        <v>0.5643458227234146</v>
      </c>
      <c r="E188" s="4366"/>
      <c r="F188" s="4353"/>
      <c r="G188" s="4355">
        <f>G187/(F187+G187)</f>
        <v>0.56475579055002945</v>
      </c>
      <c r="H188" s="4354"/>
      <c r="J188" s="4361" t="s">
        <v>84</v>
      </c>
      <c r="K188" s="4362" t="s">
        <v>13</v>
      </c>
      <c r="L188" s="4565">
        <v>102</v>
      </c>
      <c r="M188" s="4568">
        <v>19.3</v>
      </c>
      <c r="N188" s="4614">
        <v>0</v>
      </c>
      <c r="O188" s="4566">
        <v>13</v>
      </c>
      <c r="P188" s="4567">
        <f t="shared" si="57"/>
        <v>134.30000000000001</v>
      </c>
      <c r="Q188" s="4565">
        <v>3.04</v>
      </c>
      <c r="R188" s="4566">
        <v>19.3</v>
      </c>
      <c r="S188" s="4566">
        <v>0</v>
      </c>
      <c r="T188" s="4566">
        <v>13</v>
      </c>
      <c r="U188" s="4562">
        <f t="shared" si="58"/>
        <v>35.340000000000003</v>
      </c>
      <c r="V188" s="4556"/>
      <c r="W188" s="4556"/>
    </row>
    <row r="189" spans="1:23" ht="34.5" thickBot="1" x14ac:dyDescent="0.3">
      <c r="A189" s="4781"/>
      <c r="J189" s="4361" t="s">
        <v>581</v>
      </c>
      <c r="K189" s="4362" t="s">
        <v>13</v>
      </c>
      <c r="L189" s="4565">
        <v>0</v>
      </c>
      <c r="M189" s="4566">
        <v>11</v>
      </c>
      <c r="N189" s="4566">
        <v>0.75</v>
      </c>
      <c r="O189" s="4566">
        <v>2.7</v>
      </c>
      <c r="P189" s="4567">
        <f t="shared" si="57"/>
        <v>14.45</v>
      </c>
      <c r="Q189" s="4565">
        <v>0</v>
      </c>
      <c r="R189" s="4566">
        <v>10.42</v>
      </c>
      <c r="S189" s="4566">
        <v>0.75</v>
      </c>
      <c r="T189" s="4566">
        <v>2.2000000000000002</v>
      </c>
      <c r="U189" s="4562">
        <f t="shared" si="58"/>
        <v>13.370000000000001</v>
      </c>
      <c r="V189" s="4556"/>
      <c r="W189" s="4556"/>
    </row>
    <row r="190" spans="1:23" ht="23.25" customHeight="1" thickBot="1" x14ac:dyDescent="0.3">
      <c r="A190" s="5324" t="s">
        <v>1541</v>
      </c>
      <c r="B190" s="5325"/>
      <c r="C190" s="5325"/>
      <c r="D190" s="5325"/>
      <c r="E190" s="5325"/>
      <c r="F190" s="5326"/>
      <c r="J190" s="4363" t="s">
        <v>85</v>
      </c>
      <c r="K190" s="1438" t="s">
        <v>13</v>
      </c>
      <c r="L190" s="4569">
        <v>102</v>
      </c>
      <c r="M190" s="4588">
        <v>80</v>
      </c>
      <c r="N190" s="4570">
        <v>8.3800000000000008</v>
      </c>
      <c r="O190" s="4570">
        <v>46.8</v>
      </c>
      <c r="P190" s="4571">
        <f t="shared" si="57"/>
        <v>237.18</v>
      </c>
      <c r="Q190" s="4569">
        <v>63.7</v>
      </c>
      <c r="R190" s="4570">
        <v>80</v>
      </c>
      <c r="S190" s="4570">
        <v>8.3800000000000008</v>
      </c>
      <c r="T190" s="4570">
        <v>46.8</v>
      </c>
      <c r="U190" s="4572">
        <f t="shared" si="58"/>
        <v>198.88</v>
      </c>
      <c r="V190" s="4556"/>
      <c r="W190" s="4556"/>
    </row>
    <row r="191" spans="1:23" ht="36.75" customHeight="1" thickBot="1" x14ac:dyDescent="0.3">
      <c r="A191" s="4785" t="s">
        <v>1539</v>
      </c>
      <c r="B191" s="857" t="s">
        <v>524</v>
      </c>
      <c r="C191" s="857" t="s">
        <v>528</v>
      </c>
      <c r="D191" s="857" t="s">
        <v>525</v>
      </c>
      <c r="E191" s="857" t="s">
        <v>527</v>
      </c>
      <c r="F191" s="4786" t="s">
        <v>1542</v>
      </c>
      <c r="H191" s="149" t="s">
        <v>1436</v>
      </c>
      <c r="I191" s="19" t="s">
        <v>1506</v>
      </c>
      <c r="U191" s="1"/>
      <c r="V191" s="1"/>
      <c r="W191" s="1"/>
    </row>
    <row r="192" spans="1:23" ht="15.75" thickBot="1" x14ac:dyDescent="0.3">
      <c r="A192" s="4787" t="s">
        <v>1540</v>
      </c>
      <c r="B192" s="4788">
        <v>20.2</v>
      </c>
      <c r="C192" s="4788">
        <v>12.4</v>
      </c>
      <c r="D192" s="4788">
        <v>6.3</v>
      </c>
      <c r="E192" s="4788">
        <v>6.4</v>
      </c>
      <c r="F192" s="84">
        <f>SUM(B192:E192)</f>
        <v>45.3</v>
      </c>
      <c r="H192" s="4783" t="s">
        <v>1493</v>
      </c>
      <c r="I192" s="4784" t="s">
        <v>1494</v>
      </c>
    </row>
    <row r="193" spans="1:10" ht="22.5" x14ac:dyDescent="0.25">
      <c r="A193" s="4781"/>
      <c r="H193" s="4654" t="s">
        <v>1495</v>
      </c>
      <c r="I193" s="4655" t="s">
        <v>1500</v>
      </c>
    </row>
    <row r="194" spans="1:10" ht="22.5" x14ac:dyDescent="0.25">
      <c r="H194" s="4654" t="s">
        <v>1496</v>
      </c>
      <c r="I194" s="4655" t="s">
        <v>1501</v>
      </c>
    </row>
    <row r="195" spans="1:10" x14ac:dyDescent="0.25">
      <c r="H195" s="4654" t="s">
        <v>1497</v>
      </c>
      <c r="I195" s="4655" t="s">
        <v>1502</v>
      </c>
    </row>
    <row r="196" spans="1:10" ht="22.5" x14ac:dyDescent="0.25">
      <c r="H196" s="4654" t="s">
        <v>1498</v>
      </c>
      <c r="I196" s="4655" t="s">
        <v>1503</v>
      </c>
    </row>
    <row r="197" spans="1:10" s="9" customFormat="1" ht="23.25" thickBot="1" x14ac:dyDescent="0.3">
      <c r="C197" s="4756"/>
      <c r="D197" s="3258"/>
      <c r="H197" s="4656" t="s">
        <v>1499</v>
      </c>
      <c r="I197" s="4657"/>
    </row>
    <row r="198" spans="1:10" x14ac:dyDescent="0.25">
      <c r="A198" s="40" t="s">
        <v>1522</v>
      </c>
    </row>
    <row r="199" spans="1:10" ht="15.75" thickBot="1" x14ac:dyDescent="0.3">
      <c r="A199" s="76"/>
      <c r="B199" s="4757" t="s">
        <v>967</v>
      </c>
      <c r="C199" s="4758" t="s">
        <v>1260</v>
      </c>
      <c r="D199" s="4757" t="s">
        <v>1529</v>
      </c>
    </row>
    <row r="200" spans="1:10" ht="35.25" thickBot="1" x14ac:dyDescent="0.3">
      <c r="A200" s="4759" t="s">
        <v>1523</v>
      </c>
      <c r="B200" s="4760">
        <v>0</v>
      </c>
      <c r="C200" s="4760">
        <v>0</v>
      </c>
      <c r="D200" s="4760">
        <v>0</v>
      </c>
      <c r="J200" s="149"/>
    </row>
    <row r="201" spans="1:10" ht="34.5" x14ac:dyDescent="0.25">
      <c r="A201" s="4759" t="s">
        <v>1524</v>
      </c>
      <c r="B201" s="4760">
        <v>0</v>
      </c>
      <c r="C201" s="4760">
        <v>0</v>
      </c>
      <c r="D201" s="4760">
        <v>0</v>
      </c>
    </row>
    <row r="202" spans="1:10" x14ac:dyDescent="0.25">
      <c r="A202" s="4759" t="s">
        <v>1525</v>
      </c>
      <c r="B202" s="4760">
        <v>0</v>
      </c>
      <c r="C202" s="4760">
        <v>0</v>
      </c>
      <c r="D202" s="4760">
        <v>0</v>
      </c>
    </row>
    <row r="203" spans="1:10" x14ac:dyDescent="0.25">
      <c r="A203" s="4759" t="s">
        <v>1526</v>
      </c>
      <c r="B203" s="4760">
        <v>0</v>
      </c>
      <c r="C203" s="4760">
        <v>0</v>
      </c>
      <c r="D203" s="4760">
        <v>0</v>
      </c>
    </row>
    <row r="204" spans="1:10" x14ac:dyDescent="0.25">
      <c r="A204" s="4759" t="s">
        <v>1527</v>
      </c>
      <c r="B204" s="4761">
        <v>2.2000000000000002</v>
      </c>
      <c r="C204" s="4764">
        <v>28.5</v>
      </c>
      <c r="D204" s="4764">
        <v>24</v>
      </c>
    </row>
    <row r="205" spans="1:10" x14ac:dyDescent="0.25">
      <c r="A205" s="4762">
        <v>-410</v>
      </c>
      <c r="B205" s="4761">
        <v>101.3</v>
      </c>
      <c r="C205" s="4764">
        <v>92.5</v>
      </c>
      <c r="D205" s="4764">
        <v>115.85</v>
      </c>
    </row>
    <row r="206" spans="1:10" x14ac:dyDescent="0.25">
      <c r="A206" s="4762">
        <v>507</v>
      </c>
      <c r="B206" s="4761">
        <v>41</v>
      </c>
      <c r="C206" s="4764">
        <v>34</v>
      </c>
      <c r="D206" s="4764">
        <v>19</v>
      </c>
    </row>
    <row r="207" spans="1:10" x14ac:dyDescent="0.25">
      <c r="A207" s="4762">
        <v>-404</v>
      </c>
      <c r="B207" s="4761">
        <v>30</v>
      </c>
      <c r="C207" s="4764">
        <v>13.5</v>
      </c>
      <c r="D207" s="4764">
        <v>0</v>
      </c>
    </row>
    <row r="208" spans="1:10" ht="34.5" x14ac:dyDescent="0.25">
      <c r="A208" s="4759" t="s">
        <v>1528</v>
      </c>
      <c r="B208" s="4761">
        <v>174.5</v>
      </c>
      <c r="C208" s="4764">
        <v>168.5</v>
      </c>
      <c r="D208" s="4764">
        <v>159</v>
      </c>
      <c r="G208" t="s">
        <v>1530</v>
      </c>
    </row>
    <row r="209" spans="1:4" x14ac:dyDescent="0.25">
      <c r="A209" s="4763">
        <v>22</v>
      </c>
      <c r="B209" s="4761">
        <v>95</v>
      </c>
      <c r="C209" s="4764">
        <v>128.97999999999999</v>
      </c>
      <c r="D209" s="4764">
        <v>146.9</v>
      </c>
    </row>
  </sheetData>
  <mergeCells count="131">
    <mergeCell ref="A190:F190"/>
    <mergeCell ref="U80:V80"/>
    <mergeCell ref="K86:L86"/>
    <mergeCell ref="K88:L88"/>
    <mergeCell ref="K90:L90"/>
    <mergeCell ref="K91:L91"/>
    <mergeCell ref="O21:P21"/>
    <mergeCell ref="O22:P22"/>
    <mergeCell ref="U24:Z24"/>
    <mergeCell ref="S50:Z52"/>
    <mergeCell ref="S53:Z53"/>
    <mergeCell ref="K71:L71"/>
    <mergeCell ref="K70:L70"/>
    <mergeCell ref="U78:AC78"/>
    <mergeCell ref="U79:V79"/>
    <mergeCell ref="AA24:AF24"/>
    <mergeCell ref="U88:V88"/>
    <mergeCell ref="U89:V89"/>
    <mergeCell ref="U90:V90"/>
    <mergeCell ref="U91:V91"/>
    <mergeCell ref="U83:V83"/>
    <mergeCell ref="U81:V81"/>
    <mergeCell ref="U82:V82"/>
    <mergeCell ref="U84:V84"/>
    <mergeCell ref="U85:V85"/>
    <mergeCell ref="O6:P6"/>
    <mergeCell ref="O7:P7"/>
    <mergeCell ref="O8:P8"/>
    <mergeCell ref="O9:P9"/>
    <mergeCell ref="O10:P10"/>
    <mergeCell ref="O11:P11"/>
    <mergeCell ref="O17:P17"/>
    <mergeCell ref="O18:P18"/>
    <mergeCell ref="O19:P19"/>
    <mergeCell ref="O20:P20"/>
    <mergeCell ref="K93:L93"/>
    <mergeCell ref="A92:B92"/>
    <mergeCell ref="A90:B90"/>
    <mergeCell ref="A91:B91"/>
    <mergeCell ref="A88:B88"/>
    <mergeCell ref="K87:L87"/>
    <mergeCell ref="K81:L81"/>
    <mergeCell ref="K83:L83"/>
    <mergeCell ref="K84:L84"/>
    <mergeCell ref="K85:L85"/>
    <mergeCell ref="A81:B81"/>
    <mergeCell ref="K82:L82"/>
    <mergeCell ref="K89:L89"/>
    <mergeCell ref="A80:B80"/>
    <mergeCell ref="A83:B83"/>
    <mergeCell ref="A84:B84"/>
    <mergeCell ref="A85:B85"/>
    <mergeCell ref="A86:B86"/>
    <mergeCell ref="A87:B87"/>
    <mergeCell ref="K80:L80"/>
    <mergeCell ref="K92:L92"/>
    <mergeCell ref="E68:E69"/>
    <mergeCell ref="F68:F69"/>
    <mergeCell ref="E70:E71"/>
    <mergeCell ref="O5:P5"/>
    <mergeCell ref="A78:I78"/>
    <mergeCell ref="K79:L79"/>
    <mergeCell ref="O16:P16"/>
    <mergeCell ref="O12:P12"/>
    <mergeCell ref="O13:P13"/>
    <mergeCell ref="O14:P14"/>
    <mergeCell ref="O15:P15"/>
    <mergeCell ref="A30:B30"/>
    <mergeCell ref="A22:B22"/>
    <mergeCell ref="A25:B25"/>
    <mergeCell ref="A26:B26"/>
    <mergeCell ref="A27:B27"/>
    <mergeCell ref="A17:B17"/>
    <mergeCell ref="A18:B18"/>
    <mergeCell ref="A19:B19"/>
    <mergeCell ref="A20:B20"/>
    <mergeCell ref="A21:B21"/>
    <mergeCell ref="A50:H52"/>
    <mergeCell ref="A53:H53"/>
    <mergeCell ref="J50:Q52"/>
    <mergeCell ref="J53:Q53"/>
    <mergeCell ref="A61:H61"/>
    <mergeCell ref="K78:S78"/>
    <mergeCell ref="U92:V92"/>
    <mergeCell ref="A93:B93"/>
    <mergeCell ref="O1:AA1"/>
    <mergeCell ref="C24:H24"/>
    <mergeCell ref="I24:N24"/>
    <mergeCell ref="O24:T24"/>
    <mergeCell ref="A1:M1"/>
    <mergeCell ref="A13:B13"/>
    <mergeCell ref="A14:B14"/>
    <mergeCell ref="A5:B5"/>
    <mergeCell ref="A6:B6"/>
    <mergeCell ref="A7:B7"/>
    <mergeCell ref="A8:B8"/>
    <mergeCell ref="A9:B9"/>
    <mergeCell ref="A10:B10"/>
    <mergeCell ref="A11:B11"/>
    <mergeCell ref="A12:B12"/>
    <mergeCell ref="A15:B15"/>
    <mergeCell ref="A16:B16"/>
    <mergeCell ref="Z3:AA3"/>
    <mergeCell ref="X3:Y3"/>
    <mergeCell ref="R3:S3"/>
    <mergeCell ref="T3:U3"/>
    <mergeCell ref="V3:W3"/>
    <mergeCell ref="U86:V86"/>
    <mergeCell ref="U87:V87"/>
    <mergeCell ref="C181:E181"/>
    <mergeCell ref="F181:H181"/>
    <mergeCell ref="K99:L102"/>
    <mergeCell ref="K94:L94"/>
    <mergeCell ref="K103:L103"/>
    <mergeCell ref="K104:L104"/>
    <mergeCell ref="K105:L105"/>
    <mergeCell ref="K106:S106"/>
    <mergeCell ref="A169:I169"/>
    <mergeCell ref="A98:H98"/>
    <mergeCell ref="K95:L98"/>
    <mergeCell ref="A115:H115"/>
    <mergeCell ref="I126:J126"/>
    <mergeCell ref="L180:P180"/>
    <mergeCell ref="Q180:U180"/>
    <mergeCell ref="B154:B156"/>
    <mergeCell ref="B157:B159"/>
    <mergeCell ref="B160:B162"/>
    <mergeCell ref="B163:B165"/>
    <mergeCell ref="U93:V93"/>
    <mergeCell ref="U94:V94"/>
    <mergeCell ref="U95:AC95"/>
  </mergeCells>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7">
    <tabColor rgb="FFF65A04"/>
  </sheetPr>
  <dimension ref="A1:AX322"/>
  <sheetViews>
    <sheetView topLeftCell="A47" zoomScale="75" zoomScaleNormal="75" workbookViewId="0">
      <selection activeCell="F17" sqref="F17"/>
    </sheetView>
  </sheetViews>
  <sheetFormatPr defaultRowHeight="15" x14ac:dyDescent="0.25"/>
  <cols>
    <col min="1" max="1" width="34.85546875" customWidth="1"/>
    <col min="2" max="2" width="18.140625" customWidth="1"/>
    <col min="3" max="3" width="22.140625" customWidth="1"/>
    <col min="4" max="4" width="16.140625" customWidth="1"/>
    <col min="5" max="5" width="16.85546875" customWidth="1"/>
    <col min="6" max="6" width="16.28515625" customWidth="1"/>
    <col min="7" max="7" width="23.42578125" customWidth="1"/>
    <col min="8" max="8" width="17.28515625" customWidth="1"/>
    <col min="9" max="9" width="18" customWidth="1"/>
    <col min="10" max="10" width="29.7109375" customWidth="1"/>
    <col min="11" max="11" width="16.5703125" customWidth="1"/>
    <col min="12" max="12" width="19.7109375" customWidth="1"/>
    <col min="13" max="13" width="19.42578125" customWidth="1"/>
    <col min="14" max="14" width="15.7109375" customWidth="1"/>
    <col min="15" max="15" width="18.85546875" customWidth="1"/>
    <col min="16" max="16" width="14.42578125" customWidth="1"/>
    <col min="17" max="17" width="16" customWidth="1"/>
    <col min="18" max="18" width="14.140625" customWidth="1"/>
    <col min="19" max="19" width="23.42578125" customWidth="1"/>
    <col min="20" max="20" width="13.85546875" customWidth="1"/>
    <col min="21" max="21" width="13.7109375" customWidth="1"/>
    <col min="22" max="22" width="17.7109375" customWidth="1"/>
    <col min="23" max="23" width="14.42578125" customWidth="1"/>
    <col min="24" max="24" width="15.5703125" customWidth="1"/>
    <col min="25" max="25" width="19.140625" customWidth="1"/>
    <col min="26" max="26" width="16" customWidth="1"/>
    <col min="27" max="27" width="17" customWidth="1"/>
    <col min="28" max="28" width="13" customWidth="1"/>
    <col min="29" max="29" width="12.42578125" customWidth="1"/>
    <col min="30" max="30" width="12.7109375" customWidth="1"/>
    <col min="31" max="31" width="14.85546875" customWidth="1"/>
    <col min="32" max="32" width="14.140625" customWidth="1"/>
    <col min="33" max="33" width="14.28515625" customWidth="1"/>
    <col min="34" max="34" width="14.42578125" customWidth="1"/>
    <col min="35" max="35" width="13.140625" customWidth="1"/>
    <col min="36" max="36" width="15.7109375" customWidth="1"/>
    <col min="37" max="37" width="15.7109375" style="9" customWidth="1"/>
    <col min="38" max="38" width="18.140625" customWidth="1"/>
    <col min="39" max="39" width="14" customWidth="1"/>
    <col min="40" max="40" width="11.140625" bestFit="1" customWidth="1"/>
    <col min="41" max="41" width="10.28515625" bestFit="1" customWidth="1"/>
    <col min="42" max="42" width="14.28515625" customWidth="1"/>
    <col min="43" max="43" width="9.140625" customWidth="1"/>
  </cols>
  <sheetData>
    <row r="1" spans="1:21" s="9" customFormat="1" x14ac:dyDescent="0.25"/>
    <row r="2" spans="1:21" s="9" customFormat="1" x14ac:dyDescent="0.25">
      <c r="H2" s="99"/>
      <c r="I2" s="39"/>
      <c r="J2" s="39"/>
      <c r="K2" s="39"/>
      <c r="L2" s="39"/>
      <c r="M2" s="39"/>
      <c r="N2" s="39"/>
    </row>
    <row r="3" spans="1:21" s="9" customFormat="1" x14ac:dyDescent="0.25">
      <c r="H3" s="39"/>
      <c r="I3" s="39"/>
      <c r="J3" s="39"/>
      <c r="K3" s="39"/>
      <c r="L3" s="39"/>
      <c r="M3" s="39"/>
      <c r="N3" s="39"/>
    </row>
    <row r="4" spans="1:21" s="9" customFormat="1" x14ac:dyDescent="0.25">
      <c r="H4" s="39"/>
      <c r="I4" s="39"/>
      <c r="J4" s="34"/>
      <c r="K4" s="34"/>
      <c r="L4" s="34"/>
      <c r="M4" s="39"/>
      <c r="N4" s="39"/>
    </row>
    <row r="5" spans="1:21" s="9" customFormat="1" x14ac:dyDescent="0.25">
      <c r="F5" s="9">
        <v>23581</v>
      </c>
      <c r="H5" s="39"/>
      <c r="I5" s="39"/>
      <c r="J5" s="34"/>
      <c r="K5" s="34"/>
      <c r="L5" s="34"/>
      <c r="M5" s="39"/>
      <c r="N5" s="39"/>
    </row>
    <row r="6" spans="1:21" s="9" customFormat="1" x14ac:dyDescent="0.25">
      <c r="H6" s="39"/>
      <c r="I6" s="39"/>
      <c r="J6" s="34"/>
      <c r="K6" s="34"/>
      <c r="L6" s="34"/>
      <c r="M6" s="39"/>
      <c r="N6" s="39"/>
      <c r="Q6" s="9" t="s">
        <v>1249</v>
      </c>
    </row>
    <row r="7" spans="1:21" s="9" customFormat="1" x14ac:dyDescent="0.25">
      <c r="H7" s="1935"/>
      <c r="I7" s="1935"/>
      <c r="J7" s="1936"/>
      <c r="K7" s="1936"/>
      <c r="L7" s="1936"/>
      <c r="M7" s="1935"/>
      <c r="N7" s="1935"/>
    </row>
    <row r="8" spans="1:21" s="9" customFormat="1" x14ac:dyDescent="0.25"/>
    <row r="9" spans="1:21" s="9" customFormat="1" x14ac:dyDescent="0.25"/>
    <row r="10" spans="1:21" s="9" customFormat="1" ht="15.75" thickBot="1" x14ac:dyDescent="0.3">
      <c r="A10" s="40" t="s">
        <v>461</v>
      </c>
      <c r="H10" s="924" t="s">
        <v>605</v>
      </c>
      <c r="I10" s="76" t="s">
        <v>606</v>
      </c>
    </row>
    <row r="11" spans="1:21" s="9" customFormat="1" x14ac:dyDescent="0.25">
      <c r="A11" s="27" t="s">
        <v>248</v>
      </c>
      <c r="B11" s="165"/>
      <c r="C11" s="165"/>
      <c r="D11" s="165"/>
      <c r="E11" s="165"/>
      <c r="F11" s="1465">
        <v>3841526</v>
      </c>
      <c r="G11" s="165">
        <v>3841526</v>
      </c>
      <c r="H11" s="165">
        <v>3841526</v>
      </c>
      <c r="I11" s="1515">
        <v>4149183.4120000005</v>
      </c>
      <c r="J11" s="108"/>
      <c r="K11" s="106"/>
      <c r="L11" s="1461">
        <v>4857767.3434534501</v>
      </c>
      <c r="M11" s="1938">
        <f>(L11-I11)/I11</f>
        <v>0.17077671943933087</v>
      </c>
      <c r="N11" s="1947">
        <f>Production!G19</f>
        <v>3589176.0903065316</v>
      </c>
      <c r="O11" s="1946">
        <f>(N11-L11)/L11</f>
        <v>-0.26114697626606803</v>
      </c>
    </row>
    <row r="12" spans="1:21" s="9" customFormat="1" ht="15.75" thickBot="1" x14ac:dyDescent="0.3">
      <c r="A12" s="1467" t="s">
        <v>107</v>
      </c>
      <c r="B12" s="79"/>
      <c r="C12" s="79"/>
      <c r="D12" s="79"/>
      <c r="E12" s="79"/>
      <c r="F12" s="1468">
        <v>19535714</v>
      </c>
      <c r="G12" s="1469">
        <v>20362835</v>
      </c>
      <c r="H12" s="79">
        <v>20362835</v>
      </c>
      <c r="I12" s="1470">
        <v>19867391.518035099</v>
      </c>
      <c r="J12" s="1471" t="s">
        <v>447</v>
      </c>
      <c r="K12" s="1472" t="s">
        <v>326</v>
      </c>
      <c r="L12" s="1473">
        <v>22712945.407933742</v>
      </c>
      <c r="M12" s="1939">
        <f>(L12-I12)/I12</f>
        <v>0.14322735258503982</v>
      </c>
      <c r="N12" s="1553">
        <f>Production!G16</f>
        <v>12335870</v>
      </c>
      <c r="O12" s="1946">
        <f>(N12-L12)/L12</f>
        <v>-0.4568793356192799</v>
      </c>
      <c r="P12" s="116"/>
      <c r="Q12" s="116"/>
      <c r="R12" s="116"/>
      <c r="S12" s="116"/>
      <c r="T12" s="1514"/>
      <c r="U12" s="116"/>
    </row>
    <row r="13" spans="1:21" s="9" customFormat="1" ht="27" thickBot="1" x14ac:dyDescent="0.3">
      <c r="A13" s="1484" t="s">
        <v>0</v>
      </c>
      <c r="B13" s="1485" t="s">
        <v>1</v>
      </c>
      <c r="C13" s="1485">
        <v>2012</v>
      </c>
      <c r="D13" s="1485">
        <v>2013</v>
      </c>
      <c r="E13" s="1485">
        <v>2014</v>
      </c>
      <c r="F13" s="1485" t="s">
        <v>600</v>
      </c>
      <c r="G13" s="1491" t="s">
        <v>604</v>
      </c>
      <c r="H13" s="1492" t="s">
        <v>607</v>
      </c>
      <c r="I13" s="1486" t="s">
        <v>597</v>
      </c>
      <c r="J13" s="1487" t="s">
        <v>448</v>
      </c>
      <c r="K13" s="1488"/>
      <c r="L13" s="1489" t="s">
        <v>814</v>
      </c>
      <c r="M13" s="1490" t="s">
        <v>567</v>
      </c>
      <c r="N13" s="1943" t="s">
        <v>815</v>
      </c>
      <c r="O13" s="1944" t="s">
        <v>816</v>
      </c>
    </row>
    <row r="14" spans="1:21" s="9" customFormat="1" ht="15.75" thickBot="1" x14ac:dyDescent="0.3">
      <c r="A14" s="1475" t="s">
        <v>307</v>
      </c>
      <c r="B14" s="1054" t="s">
        <v>450</v>
      </c>
      <c r="C14" s="1476">
        <v>17815.61</v>
      </c>
      <c r="D14" s="1476">
        <v>60193.97</v>
      </c>
      <c r="E14" s="1476">
        <v>43975.23</v>
      </c>
      <c r="F14" s="1477">
        <v>55036.51</v>
      </c>
      <c r="G14" s="1478">
        <v>43803.63</v>
      </c>
      <c r="H14" s="1479">
        <v>57332.626981952999</v>
      </c>
      <c r="I14" s="1480">
        <f>[3]GHG!$X$16/1000</f>
        <v>52580.222650792843</v>
      </c>
      <c r="J14" s="1481">
        <v>54385.222999999998</v>
      </c>
      <c r="K14" s="1482">
        <f>(I14-J14)/I14</f>
        <v>-3.4328503346113891E-2</v>
      </c>
      <c r="L14" s="1510">
        <v>49752.769311927957</v>
      </c>
      <c r="M14" s="1940">
        <f>(L14-I14)/I14</f>
        <v>-5.3774084557290304E-2</v>
      </c>
      <c r="N14" s="2506">
        <f>'GHG '!X19/1000</f>
        <v>27796.453882502552</v>
      </c>
      <c r="O14" s="1945">
        <f>(N14-L14)/L14</f>
        <v>-0.44130840821681655</v>
      </c>
      <c r="Q14" s="9" t="s">
        <v>307</v>
      </c>
    </row>
    <row r="15" spans="1:21" s="9" customFormat="1" ht="16.5" thickTop="1" thickBot="1" x14ac:dyDescent="0.3">
      <c r="A15" s="1000" t="s">
        <v>308</v>
      </c>
      <c r="B15" s="1001" t="s">
        <v>450</v>
      </c>
      <c r="C15" s="909">
        <v>431993.03</v>
      </c>
      <c r="D15" s="909">
        <v>492656.68</v>
      </c>
      <c r="E15" s="909">
        <v>507802.3</v>
      </c>
      <c r="F15" s="914">
        <v>530823.73</v>
      </c>
      <c r="G15" s="1002">
        <v>559586.68000000005</v>
      </c>
      <c r="H15" s="916">
        <v>597256.18868175009</v>
      </c>
      <c r="I15" s="996">
        <f>[3]GHG!$X$20/1000</f>
        <v>576326.95331727993</v>
      </c>
      <c r="J15" s="997">
        <v>579476.65700000001</v>
      </c>
      <c r="K15" s="1460">
        <f t="shared" ref="K15:K22" si="0">(I15-J15)/I15</f>
        <v>-5.4651334014324711E-3</v>
      </c>
      <c r="L15" s="1463">
        <v>586745.82575357903</v>
      </c>
      <c r="M15" s="1941">
        <f>(L15-I15)/I15</f>
        <v>1.8078058602550382E-2</v>
      </c>
      <c r="N15" s="2507">
        <f>'GHG '!X24/1000</f>
        <v>451800.07444664626</v>
      </c>
      <c r="O15" s="1945">
        <f t="shared" ref="O15:O23" si="1">(N15-L15)/L15</f>
        <v>-0.22999013437141547</v>
      </c>
      <c r="Q15" s="9" t="s">
        <v>308</v>
      </c>
    </row>
    <row r="16" spans="1:21" s="9" customFormat="1" ht="15.75" thickBot="1" x14ac:dyDescent="0.3">
      <c r="A16" s="1004" t="s">
        <v>451</v>
      </c>
      <c r="B16" s="1005" t="s">
        <v>452</v>
      </c>
      <c r="C16" s="1006">
        <f>C14+C15</f>
        <v>449808.64000000001</v>
      </c>
      <c r="D16" s="1006">
        <f t="shared" ref="D16:J16" si="2">SUM(D14:D15)</f>
        <v>552850.65</v>
      </c>
      <c r="E16" s="1006">
        <f t="shared" si="2"/>
        <v>551777.53</v>
      </c>
      <c r="F16" s="1006">
        <f t="shared" si="2"/>
        <v>585860.24</v>
      </c>
      <c r="G16" s="1007">
        <f t="shared" si="2"/>
        <v>603390.31000000006</v>
      </c>
      <c r="H16" s="1008">
        <f t="shared" si="2"/>
        <v>654588.81566370314</v>
      </c>
      <c r="I16" s="1009">
        <f t="shared" si="2"/>
        <v>628907.17596807273</v>
      </c>
      <c r="J16" s="997">
        <f t="shared" si="2"/>
        <v>633861.88</v>
      </c>
      <c r="K16" s="1460">
        <f t="shared" si="0"/>
        <v>-7.8782755568030122E-3</v>
      </c>
      <c r="L16" s="1463">
        <v>636498.59506550687</v>
      </c>
      <c r="M16" s="1941">
        <f>(L16-I16)/I16</f>
        <v>1.2070810109216396E-2</v>
      </c>
      <c r="N16" s="2508">
        <f>SUM(N14:N15)</f>
        <v>479596.52832914883</v>
      </c>
      <c r="O16" s="1945">
        <f t="shared" si="1"/>
        <v>-0.24650811164824341</v>
      </c>
      <c r="Q16" s="9" t="s">
        <v>926</v>
      </c>
    </row>
    <row r="17" spans="1:25" s="9" customFormat="1" ht="15.75" thickBot="1" x14ac:dyDescent="0.3">
      <c r="A17" s="1010" t="s">
        <v>453</v>
      </c>
      <c r="B17" s="1005" t="s">
        <v>454</v>
      </c>
      <c r="C17" s="1006">
        <v>0.22</v>
      </c>
      <c r="D17" s="1006">
        <v>0.23</v>
      </c>
      <c r="E17" s="1006">
        <v>0.18</v>
      </c>
      <c r="F17" s="4499">
        <f>F16/F11</f>
        <v>0.15250716512136062</v>
      </c>
      <c r="G17" s="1011">
        <v>0.16</v>
      </c>
      <c r="H17" s="1008">
        <f>H16/[5]Production!$H$17</f>
        <v>0.17039812190876832</v>
      </c>
      <c r="I17" s="1009">
        <f>I16/[3]Production!G17</f>
        <v>0.15157372271112141</v>
      </c>
      <c r="J17" s="997">
        <f>J16/[3]Production!G17</f>
        <v>0.15276786226581007</v>
      </c>
      <c r="K17" s="1460">
        <f t="shared" si="0"/>
        <v>-7.8782755568030226E-3</v>
      </c>
      <c r="L17" s="1937">
        <v>0.13102698216358211</v>
      </c>
      <c r="M17" s="1941">
        <f t="shared" ref="M17:M22" si="3">(L17-I17)/I17</f>
        <v>-0.13555608571215574</v>
      </c>
      <c r="N17" s="2509">
        <f>N16/N11</f>
        <v>0.13362301438049232</v>
      </c>
      <c r="O17" s="1945">
        <f t="shared" si="1"/>
        <v>1.9812958934436607E-2</v>
      </c>
      <c r="Q17" s="9" t="s">
        <v>453</v>
      </c>
    </row>
    <row r="18" spans="1:25" s="9" customFormat="1" ht="15.75" thickBot="1" x14ac:dyDescent="0.3">
      <c r="A18" s="1010" t="s">
        <v>456</v>
      </c>
      <c r="B18" s="1005" t="s">
        <v>457</v>
      </c>
      <c r="C18" s="1006">
        <v>0.05</v>
      </c>
      <c r="D18" s="1006">
        <v>0.04</v>
      </c>
      <c r="E18" s="1006">
        <v>0.03</v>
      </c>
      <c r="F18" s="1006">
        <f>F16/F12</f>
        <v>2.9989190054686508E-2</v>
      </c>
      <c r="G18" s="1011">
        <v>0.03</v>
      </c>
      <c r="H18" s="1008">
        <f>H16/[5]Production!$H$15</f>
        <v>3.2146251524588942E-2</v>
      </c>
      <c r="I18" s="1009">
        <f>I16/[3]Production!G15</f>
        <v>3.1655246507684073E-2</v>
      </c>
      <c r="J18" s="997">
        <f>J16/[3]Production!G15</f>
        <v>3.1904635262490134E-2</v>
      </c>
      <c r="K18" s="1460">
        <f t="shared" si="0"/>
        <v>-7.8782755568030036E-3</v>
      </c>
      <c r="L18" s="1937">
        <v>2.802360432052E-2</v>
      </c>
      <c r="M18" s="1941">
        <f t="shared" si="3"/>
        <v>-0.1147248114552676</v>
      </c>
      <c r="N18" s="2509">
        <f>N16/N12</f>
        <v>3.8878208697817732E-2</v>
      </c>
      <c r="O18" s="1945">
        <f t="shared" si="1"/>
        <v>0.3873379117528275</v>
      </c>
      <c r="Q18" s="9" t="s">
        <v>456</v>
      </c>
    </row>
    <row r="19" spans="1:25" s="9" customFormat="1" ht="15.75" thickBot="1" x14ac:dyDescent="0.3">
      <c r="A19" s="1000" t="s">
        <v>309</v>
      </c>
      <c r="B19" s="1001" t="s">
        <v>450</v>
      </c>
      <c r="C19" s="32">
        <v>183.41238600000003</v>
      </c>
      <c r="D19" s="32">
        <v>16399.468326600003</v>
      </c>
      <c r="E19" s="32">
        <f>35961.9819427443-809</f>
        <v>35152.9819427443</v>
      </c>
      <c r="F19" s="32">
        <v>28433.0936262</v>
      </c>
      <c r="G19" s="1012">
        <v>8701.07</v>
      </c>
      <c r="H19" s="916">
        <v>45573.537109999997</v>
      </c>
      <c r="I19" s="996">
        <f>[3]GHG!$X$31/1000</f>
        <v>8250.5367982999996</v>
      </c>
      <c r="J19" s="1013">
        <v>8360.4050000000007</v>
      </c>
      <c r="K19" s="1460">
        <f t="shared" si="0"/>
        <v>-1.3316491324860106E-2</v>
      </c>
      <c r="L19" s="1463">
        <v>7642.3415549044603</v>
      </c>
      <c r="M19" s="1941">
        <f t="shared" si="3"/>
        <v>-7.3715839134352604E-2</v>
      </c>
      <c r="N19" s="2510">
        <f>'GHG '!X36/1000</f>
        <v>3834.6116939799999</v>
      </c>
      <c r="O19" s="1945">
        <f t="shared" si="1"/>
        <v>-0.49824125676257636</v>
      </c>
      <c r="P19" s="1935"/>
      <c r="Q19" s="2489" t="s">
        <v>940</v>
      </c>
      <c r="R19" s="1936"/>
      <c r="S19" s="1936"/>
      <c r="T19" s="1935"/>
      <c r="U19" s="1935"/>
    </row>
    <row r="20" spans="1:25" s="9" customFormat="1" ht="15.75" thickBot="1" x14ac:dyDescent="0.3">
      <c r="A20" s="1014" t="s">
        <v>459</v>
      </c>
      <c r="B20" s="1005" t="s">
        <v>452</v>
      </c>
      <c r="C20" s="913">
        <f t="shared" ref="C20:J20" si="4">C16+C19</f>
        <v>449992.052386</v>
      </c>
      <c r="D20" s="913">
        <f t="shared" si="4"/>
        <v>569250.11832660006</v>
      </c>
      <c r="E20" s="913">
        <f t="shared" si="4"/>
        <v>586930.51194274437</v>
      </c>
      <c r="F20" s="1015">
        <f t="shared" si="4"/>
        <v>614293.33362619998</v>
      </c>
      <c r="G20" s="1015">
        <f t="shared" si="4"/>
        <v>612091.38</v>
      </c>
      <c r="H20" s="1016">
        <f t="shared" si="4"/>
        <v>700162.35277370317</v>
      </c>
      <c r="I20" s="1017">
        <f t="shared" si="4"/>
        <v>637157.71276637272</v>
      </c>
      <c r="J20" s="997">
        <f t="shared" si="4"/>
        <v>642222.28500000003</v>
      </c>
      <c r="K20" s="1460">
        <f t="shared" si="0"/>
        <v>-7.9486948555299829E-3</v>
      </c>
      <c r="L20" s="1463">
        <v>644399.48062041134</v>
      </c>
      <c r="M20" s="1941">
        <f t="shared" si="3"/>
        <v>1.1365738354789361E-2</v>
      </c>
      <c r="N20" s="2511">
        <f>N16+N19+227</f>
        <v>483658.14002312883</v>
      </c>
      <c r="O20" s="1945">
        <f t="shared" si="1"/>
        <v>-0.24944362221168281</v>
      </c>
      <c r="P20" s="445">
        <f>N16+N19</f>
        <v>483431.14002312883</v>
      </c>
      <c r="Q20" s="9" t="s">
        <v>927</v>
      </c>
    </row>
    <row r="21" spans="1:25" s="9" customFormat="1" ht="15.75" thickBot="1" x14ac:dyDescent="0.3">
      <c r="A21" s="1018" t="s">
        <v>598</v>
      </c>
      <c r="B21" s="1019"/>
      <c r="C21" s="1020">
        <v>0.22</v>
      </c>
      <c r="D21" s="1020">
        <v>0.23</v>
      </c>
      <c r="E21" s="1020"/>
      <c r="F21" s="4606">
        <f>F20/F11</f>
        <v>0.15990867525722849</v>
      </c>
      <c r="G21" s="1021">
        <f>G20/G11</f>
        <v>0.15933547762009159</v>
      </c>
      <c r="H21" s="1020">
        <v>0.16</v>
      </c>
      <c r="I21" s="1022">
        <f>[3]GHG!X34</f>
        <v>0.15356219513546362</v>
      </c>
      <c r="J21" s="997">
        <f>J20/I11</f>
        <v>0.15478281416594075</v>
      </c>
      <c r="K21" s="1460">
        <f t="shared" si="0"/>
        <v>-7.948694855529825E-3</v>
      </c>
      <c r="L21" s="1483">
        <v>0.13265342595890961</v>
      </c>
      <c r="M21" s="1941">
        <f t="shared" si="3"/>
        <v>-0.13615831134811218</v>
      </c>
      <c r="N21" s="2512">
        <f>N20/N11</f>
        <v>0.13475464225045092</v>
      </c>
      <c r="O21" s="1945">
        <f t="shared" si="1"/>
        <v>1.5839894645406107E-2</v>
      </c>
      <c r="P21" s="445"/>
      <c r="Q21" s="9" t="s">
        <v>598</v>
      </c>
    </row>
    <row r="22" spans="1:25" s="9" customFormat="1" ht="15.75" thickBot="1" x14ac:dyDescent="0.3">
      <c r="A22" s="1018" t="s">
        <v>599</v>
      </c>
      <c r="B22" s="1020"/>
      <c r="C22" s="1020"/>
      <c r="D22" s="1020"/>
      <c r="E22" s="1020"/>
      <c r="F22" s="1021">
        <f>F20/F12</f>
        <v>3.1444631797240684E-2</v>
      </c>
      <c r="G22" s="1021">
        <f>G20/G12</f>
        <v>3.005924175096444E-2</v>
      </c>
      <c r="H22" s="1020">
        <v>0.03</v>
      </c>
      <c r="I22" s="1023">
        <f>I20/I12</f>
        <v>3.207052683227074E-2</v>
      </c>
      <c r="J22" s="997">
        <f>J20/I12</f>
        <v>3.2325445663916548E-2</v>
      </c>
      <c r="K22" s="1460">
        <f t="shared" si="0"/>
        <v>-7.9486948555300106E-3</v>
      </c>
      <c r="L22" s="1483">
        <v>2.8371462575493157E-2</v>
      </c>
      <c r="M22" s="1941">
        <f t="shared" si="3"/>
        <v>-0.11534154945828412</v>
      </c>
      <c r="N22" s="2512">
        <f>N20/N12</f>
        <v>3.92074608457392E-2</v>
      </c>
      <c r="O22" s="1945">
        <f t="shared" si="1"/>
        <v>0.38193301601610119</v>
      </c>
      <c r="Q22" s="9" t="s">
        <v>599</v>
      </c>
    </row>
    <row r="23" spans="1:25" s="9" customFormat="1" ht="15.75" thickBot="1" x14ac:dyDescent="0.3">
      <c r="A23" s="1018" t="s">
        <v>460</v>
      </c>
      <c r="B23" s="1459"/>
      <c r="C23" s="1459"/>
      <c r="D23" s="1535">
        <f>D20/402700000</f>
        <v>1.4135836064728088E-3</v>
      </c>
      <c r="E23" s="1535">
        <f>E20/471800000</f>
        <v>1.2440239761397718E-3</v>
      </c>
      <c r="F23" s="1535">
        <f>F20/425000000</f>
        <v>1.4453960791204706E-3</v>
      </c>
      <c r="G23" s="1535">
        <f>G16/430900000</f>
        <v>1.4003024135530286E-3</v>
      </c>
      <c r="H23" s="1535"/>
      <c r="I23" s="1535">
        <f>I16/477000000</f>
        <v>1.3184636812747857E-3</v>
      </c>
      <c r="J23" s="1459"/>
      <c r="K23" s="1459"/>
      <c r="L23" s="1464">
        <v>1.1179368880372264E-3</v>
      </c>
      <c r="M23" s="1942"/>
      <c r="N23" s="2513" t="e">
        <f>H39</f>
        <v>#REF!</v>
      </c>
      <c r="O23" s="1945" t="e">
        <f t="shared" si="1"/>
        <v>#REF!</v>
      </c>
      <c r="Q23" s="9" t="s">
        <v>460</v>
      </c>
      <c r="R23" s="116"/>
      <c r="S23" s="116"/>
      <c r="T23" s="116"/>
      <c r="U23" s="116"/>
      <c r="V23" s="116"/>
      <c r="W23" s="116"/>
    </row>
    <row r="24" spans="1:25" s="9" customFormat="1" x14ac:dyDescent="0.25">
      <c r="A24" s="1512"/>
      <c r="B24" s="116"/>
      <c r="C24" s="116"/>
      <c r="D24" s="116"/>
      <c r="E24" s="116"/>
      <c r="F24" s="116"/>
      <c r="G24" s="116"/>
      <c r="H24" s="116"/>
      <c r="I24" s="116"/>
      <c r="J24" s="116"/>
      <c r="K24" s="116"/>
      <c r="L24" s="1513"/>
      <c r="M24" s="1513"/>
      <c r="Q24" s="445">
        <f>Q27-N27</f>
        <v>13727745.407933738</v>
      </c>
      <c r="R24" s="116"/>
      <c r="S24" s="116"/>
      <c r="T24" s="116"/>
      <c r="U24" s="116"/>
      <c r="V24" s="116"/>
      <c r="W24" s="116"/>
    </row>
    <row r="25" spans="1:25" s="9" customFormat="1" ht="39.75" customHeight="1" thickBot="1" x14ac:dyDescent="0.3">
      <c r="A25" s="1511" t="s">
        <v>817</v>
      </c>
      <c r="B25" s="1433" t="s">
        <v>888</v>
      </c>
      <c r="C25" s="1433"/>
      <c r="D25" s="1433"/>
      <c r="E25" s="1433"/>
      <c r="F25" s="1532"/>
      <c r="G25" s="1433"/>
      <c r="H25" s="1433"/>
      <c r="I25" s="1540"/>
      <c r="J25" s="1948" t="s">
        <v>614</v>
      </c>
      <c r="K25" s="5346" t="s">
        <v>608</v>
      </c>
      <c r="L25" s="5346"/>
      <c r="M25" s="5346"/>
      <c r="N25" s="5346"/>
      <c r="O25" s="5346"/>
      <c r="P25" s="5346"/>
      <c r="Q25" s="5346"/>
      <c r="R25" s="5355" t="s">
        <v>615</v>
      </c>
      <c r="S25" s="5355"/>
      <c r="T25" s="1433" t="s">
        <v>616</v>
      </c>
      <c r="U25" s="1433"/>
      <c r="V25" s="1433"/>
      <c r="W25" s="1532"/>
      <c r="X25" s="1433"/>
      <c r="Y25" s="1433"/>
    </row>
    <row r="26" spans="1:25" s="9" customFormat="1" x14ac:dyDescent="0.25">
      <c r="A26" s="1521" t="s">
        <v>248</v>
      </c>
      <c r="B26" s="1949">
        <f>'company plane'!S4</f>
        <v>130601</v>
      </c>
      <c r="C26" s="1524">
        <f>Production!G10</f>
        <v>1578400.2463255313</v>
      </c>
      <c r="D26" s="1524">
        <f>Production!L10</f>
        <v>1643568.473981</v>
      </c>
      <c r="E26" s="1524">
        <v>0</v>
      </c>
      <c r="F26" s="1524">
        <f>Production!Q10</f>
        <v>69077.37</v>
      </c>
      <c r="G26" s="1524">
        <f>Production!V10</f>
        <v>298130</v>
      </c>
      <c r="H26" s="1466">
        <f>SUM(C26:G26)</f>
        <v>3589176.0903065316</v>
      </c>
      <c r="I26" s="1541">
        <f>Production!G19</f>
        <v>3589176.0903065316</v>
      </c>
      <c r="J26" s="1521" t="s">
        <v>248</v>
      </c>
      <c r="K26" s="1533">
        <v>268.74</v>
      </c>
      <c r="L26" s="1524">
        <v>1368720.45345345</v>
      </c>
      <c r="M26" s="1524">
        <v>2073477.1200000001</v>
      </c>
      <c r="N26" s="1524">
        <v>1021930.79</v>
      </c>
      <c r="O26" s="1524">
        <v>52536.69</v>
      </c>
      <c r="P26" s="1524">
        <v>341102.29000000004</v>
      </c>
      <c r="Q26" s="1466">
        <f>SUM(L26:P26)</f>
        <v>4857767.3434534501</v>
      </c>
      <c r="R26" s="1521" t="s">
        <v>248</v>
      </c>
      <c r="S26" s="1554">
        <v>433.78</v>
      </c>
      <c r="T26" s="1548">
        <v>786509</v>
      </c>
      <c r="U26" s="1548">
        <v>2149896.12</v>
      </c>
      <c r="V26" s="1548">
        <v>1054588.8</v>
      </c>
      <c r="W26" s="1548">
        <v>51172</v>
      </c>
      <c r="X26" s="1548">
        <v>225201</v>
      </c>
      <c r="Y26" s="1551">
        <v>4149183</v>
      </c>
    </row>
    <row r="27" spans="1:25" s="9" customFormat="1" ht="15.75" thickBot="1" x14ac:dyDescent="0.3">
      <c r="A27" s="1522" t="s">
        <v>107</v>
      </c>
      <c r="B27" s="1534">
        <f>B26/4</f>
        <v>32650.25</v>
      </c>
      <c r="C27" s="1525">
        <f>Production!G7</f>
        <v>4230230.6838950003</v>
      </c>
      <c r="D27" s="1525">
        <f>Production!L7</f>
        <v>2930929.1180960699</v>
      </c>
      <c r="E27" s="1525">
        <v>0</v>
      </c>
      <c r="F27" s="1525">
        <f>Production!Q7</f>
        <v>891705</v>
      </c>
      <c r="G27" s="1525">
        <f>Production!V7</f>
        <v>4283004.5</v>
      </c>
      <c r="H27" s="1526">
        <f>SUM(C27:G27)</f>
        <v>12335869.30199107</v>
      </c>
      <c r="I27" s="116">
        <f>Production!G16</f>
        <v>12335870</v>
      </c>
      <c r="J27" s="1522" t="s">
        <v>107</v>
      </c>
      <c r="K27" s="1534">
        <f>K26/4</f>
        <v>67.185000000000002</v>
      </c>
      <c r="L27" s="1525">
        <v>4153834.617416</v>
      </c>
      <c r="M27" s="1525">
        <v>3879367.7905177386</v>
      </c>
      <c r="N27" s="1525">
        <v>8985200</v>
      </c>
      <c r="O27" s="1525">
        <v>649259</v>
      </c>
      <c r="P27" s="1525">
        <v>5045284</v>
      </c>
      <c r="Q27" s="1526">
        <f>SUM(L27:P27)</f>
        <v>22712945.407933738</v>
      </c>
      <c r="R27" s="1522" t="s">
        <v>107</v>
      </c>
      <c r="S27" s="1555">
        <f>S26/4</f>
        <v>108.44499999999999</v>
      </c>
      <c r="T27" s="1549">
        <v>2389087</v>
      </c>
      <c r="U27" s="1549">
        <v>4863258.4940351006</v>
      </c>
      <c r="V27" s="1549">
        <v>8894180</v>
      </c>
      <c r="W27" s="1549">
        <v>667821</v>
      </c>
      <c r="X27" s="1549">
        <v>4071592</v>
      </c>
      <c r="Y27" s="1550">
        <v>19867391.518035099</v>
      </c>
    </row>
    <row r="28" spans="1:25" s="9" customFormat="1" ht="15.75" thickBot="1" x14ac:dyDescent="0.3">
      <c r="A28" s="1486" t="s">
        <v>0</v>
      </c>
      <c r="B28" s="1523" t="s">
        <v>1</v>
      </c>
      <c r="C28" s="1519" t="s">
        <v>99</v>
      </c>
      <c r="D28" s="1519" t="s">
        <v>100</v>
      </c>
      <c r="E28" s="1519" t="s">
        <v>818</v>
      </c>
      <c r="F28" s="1519" t="s">
        <v>101</v>
      </c>
      <c r="G28" s="1519" t="s">
        <v>103</v>
      </c>
      <c r="H28" s="1520" t="s">
        <v>120</v>
      </c>
      <c r="I28" s="534"/>
      <c r="J28" s="1486" t="s">
        <v>0</v>
      </c>
      <c r="K28" s="1523" t="s">
        <v>1</v>
      </c>
      <c r="L28" s="1519" t="s">
        <v>99</v>
      </c>
      <c r="M28" s="1519" t="s">
        <v>100</v>
      </c>
      <c r="N28" s="1519" t="s">
        <v>154</v>
      </c>
      <c r="O28" s="1519" t="s">
        <v>101</v>
      </c>
      <c r="P28" s="1519" t="s">
        <v>103</v>
      </c>
      <c r="Q28" s="1520" t="s">
        <v>120</v>
      </c>
      <c r="R28" s="1486" t="s">
        <v>0</v>
      </c>
      <c r="S28" s="1523" t="s">
        <v>1</v>
      </c>
      <c r="T28" s="1519" t="s">
        <v>99</v>
      </c>
      <c r="U28" s="1519" t="s">
        <v>100</v>
      </c>
      <c r="V28" s="1519" t="s">
        <v>154</v>
      </c>
      <c r="W28" s="1519" t="s">
        <v>101</v>
      </c>
      <c r="X28" s="1519" t="s">
        <v>103</v>
      </c>
      <c r="Y28" s="1552" t="s">
        <v>120</v>
      </c>
    </row>
    <row r="29" spans="1:25" s="9" customFormat="1" x14ac:dyDescent="0.25">
      <c r="A29" s="1475" t="s">
        <v>307</v>
      </c>
      <c r="B29" s="1516" t="s">
        <v>450</v>
      </c>
      <c r="C29" s="1527">
        <f>'GHG '!X58/1000</f>
        <v>6578.3609926839099</v>
      </c>
      <c r="D29" s="1527">
        <f>'GHG '!X94/1000</f>
        <v>6026.5007256605631</v>
      </c>
      <c r="E29" s="1527">
        <f>'GHG '!X202/1000</f>
        <v>291.43361510670542</v>
      </c>
      <c r="F29" s="1528">
        <f>'GHG '!X130/1000</f>
        <v>1902.4859576822857</v>
      </c>
      <c r="G29" s="1528">
        <f>'GHG '!X166/1000</f>
        <v>12997.668556735862</v>
      </c>
      <c r="H29" s="1528">
        <f>SUM(C29:G29)</f>
        <v>27796.449847869328</v>
      </c>
      <c r="I29" s="534">
        <f>'GHG '!X19/1000</f>
        <v>27796.453882502552</v>
      </c>
      <c r="J29" s="1475" t="s">
        <v>307</v>
      </c>
      <c r="K29" s="1516" t="s">
        <v>450</v>
      </c>
      <c r="L29" s="1527">
        <v>8771.5200268927219</v>
      </c>
      <c r="M29" s="1527">
        <v>10050.702689284086</v>
      </c>
      <c r="N29" s="1527">
        <v>14874.583481975609</v>
      </c>
      <c r="O29" s="1528">
        <v>1810.9205341261202</v>
      </c>
      <c r="P29" s="1528">
        <v>14244.99068465219</v>
      </c>
      <c r="Q29" s="1529">
        <v>49752.717416930733</v>
      </c>
      <c r="R29" s="1475" t="s">
        <v>307</v>
      </c>
      <c r="S29" s="1516" t="s">
        <v>450</v>
      </c>
      <c r="T29" s="1557">
        <f>9852.9+S27</f>
        <v>9961.3449999999993</v>
      </c>
      <c r="U29" s="1556">
        <f>11198.29+S27</f>
        <v>11306.735000000001</v>
      </c>
      <c r="V29" s="1527">
        <f>16176.59+S27</f>
        <v>16285.035</v>
      </c>
      <c r="W29" s="1528">
        <f>1849.52 +S27</f>
        <v>1957.9649999999999</v>
      </c>
      <c r="X29" s="1528">
        <v>13069.13</v>
      </c>
      <c r="Y29" s="1553">
        <f>SUM(T29:X29)</f>
        <v>52580.21</v>
      </c>
    </row>
    <row r="30" spans="1:25" s="9" customFormat="1" x14ac:dyDescent="0.25">
      <c r="A30" s="1000" t="s">
        <v>308</v>
      </c>
      <c r="B30" s="1517" t="s">
        <v>450</v>
      </c>
      <c r="C30" s="1530">
        <f>'GHG '!X61/1000</f>
        <v>208652.62260960002</v>
      </c>
      <c r="D30" s="1530">
        <f>'GHG '!X97/1000</f>
        <v>173719.28098107025</v>
      </c>
      <c r="E30" s="1530">
        <f>'GHG '!X206/1000</f>
        <v>352.50122720000002</v>
      </c>
      <c r="F30" s="528">
        <f>'GHG '!X133/1000</f>
        <v>45431.630815999997</v>
      </c>
      <c r="G30" s="528">
        <f>'GHG '!X169/1000</f>
        <v>23644.038812775983</v>
      </c>
      <c r="H30" s="1529">
        <f>SUM(C30:G30)</f>
        <v>451800.07444664621</v>
      </c>
      <c r="I30" s="534">
        <f>'GHG '!X24/1000</f>
        <v>451800.07444664626</v>
      </c>
      <c r="J30" s="1000" t="s">
        <v>308</v>
      </c>
      <c r="K30" s="1517" t="s">
        <v>450</v>
      </c>
      <c r="L30" s="1530">
        <v>193365.61420999997</v>
      </c>
      <c r="M30" s="1530">
        <v>204088.36147031901</v>
      </c>
      <c r="N30" s="1530">
        <v>138462.54070749998</v>
      </c>
      <c r="O30" s="528">
        <v>40084.030656000003</v>
      </c>
      <c r="P30" s="528">
        <v>10745.278709759999</v>
      </c>
      <c r="Q30" s="1529">
        <v>586745.82575357903</v>
      </c>
      <c r="R30" s="1000" t="s">
        <v>308</v>
      </c>
      <c r="S30" s="1517" t="s">
        <v>450</v>
      </c>
      <c r="T30" s="1530">
        <v>157558.99</v>
      </c>
      <c r="U30" s="1530">
        <v>218645.93</v>
      </c>
      <c r="V30" s="1530">
        <v>142440.47</v>
      </c>
      <c r="W30" s="528">
        <v>48841.7</v>
      </c>
      <c r="X30" s="528">
        <v>8839.8700000000008</v>
      </c>
      <c r="Y30" s="1529">
        <f>SUM(T30:X30)</f>
        <v>576326.96</v>
      </c>
    </row>
    <row r="31" spans="1:25" s="9" customFormat="1" ht="27.75" thickBot="1" x14ac:dyDescent="0.3">
      <c r="A31" s="1004" t="s">
        <v>451</v>
      </c>
      <c r="B31" s="1518" t="s">
        <v>452</v>
      </c>
      <c r="C31" s="1531">
        <f t="shared" ref="C31:H31" si="5">SUM(C29:C30)</f>
        <v>215230.98360228393</v>
      </c>
      <c r="D31" s="1531">
        <f t="shared" si="5"/>
        <v>179745.78170673081</v>
      </c>
      <c r="E31" s="1531">
        <f t="shared" si="5"/>
        <v>643.93484230670538</v>
      </c>
      <c r="F31" s="1531">
        <f t="shared" si="5"/>
        <v>47334.116773682283</v>
      </c>
      <c r="G31" s="1531">
        <f t="shared" si="5"/>
        <v>36641.707369511845</v>
      </c>
      <c r="H31" s="1531">
        <f t="shared" si="5"/>
        <v>479596.52429451555</v>
      </c>
      <c r="I31" s="534"/>
      <c r="J31" s="1004" t="s">
        <v>451</v>
      </c>
      <c r="K31" s="1518" t="s">
        <v>452</v>
      </c>
      <c r="L31" s="1531">
        <f t="shared" ref="L31:Q31" si="6">SUM(L29:L30)</f>
        <v>202137.13423689269</v>
      </c>
      <c r="M31" s="1531">
        <f t="shared" si="6"/>
        <v>214139.06415960309</v>
      </c>
      <c r="N31" s="1531">
        <f t="shared" si="6"/>
        <v>153337.12418947558</v>
      </c>
      <c r="O31" s="1531">
        <f t="shared" si="6"/>
        <v>41894.951190126121</v>
      </c>
      <c r="P31" s="1531">
        <f t="shared" si="6"/>
        <v>24990.269394412189</v>
      </c>
      <c r="Q31" s="1531">
        <f t="shared" si="6"/>
        <v>636498.54317050974</v>
      </c>
      <c r="R31" s="1004" t="s">
        <v>451</v>
      </c>
      <c r="S31" s="1518" t="s">
        <v>452</v>
      </c>
      <c r="T31" s="1531">
        <f t="shared" ref="T31:Y31" si="7">SUM(T29:T30)</f>
        <v>167520.33499999999</v>
      </c>
      <c r="U31" s="1531">
        <f t="shared" si="7"/>
        <v>229952.66499999998</v>
      </c>
      <c r="V31" s="1531">
        <f t="shared" si="7"/>
        <v>158725.505</v>
      </c>
      <c r="W31" s="1531">
        <f t="shared" si="7"/>
        <v>50799.664999999994</v>
      </c>
      <c r="X31" s="1531">
        <f t="shared" si="7"/>
        <v>21909</v>
      </c>
      <c r="Y31" s="1558">
        <f t="shared" si="7"/>
        <v>628907.16999999993</v>
      </c>
    </row>
    <row r="32" spans="1:25" s="9" customFormat="1" ht="25.5" x14ac:dyDescent="0.25">
      <c r="A32" s="1010" t="s">
        <v>453</v>
      </c>
      <c r="B32" s="1518" t="s">
        <v>454</v>
      </c>
      <c r="C32" s="1531">
        <f>C31/C26</f>
        <v>0.13636020654668246</v>
      </c>
      <c r="D32" s="1531">
        <f>D31/D26</f>
        <v>0.10936312332114537</v>
      </c>
      <c r="E32" s="1531"/>
      <c r="F32" s="1531">
        <f>F31/F26</f>
        <v>0.68523333725187119</v>
      </c>
      <c r="G32" s="1531">
        <f>G31/G26</f>
        <v>0.12290513322883254</v>
      </c>
      <c r="H32" s="1531">
        <f>H31/H26</f>
        <v>0.13362301325638104</v>
      </c>
      <c r="I32" s="534"/>
      <c r="J32" s="1010" t="s">
        <v>453</v>
      </c>
      <c r="K32" s="1518" t="s">
        <v>454</v>
      </c>
      <c r="L32" s="1531">
        <f t="shared" ref="L32:Q32" si="8">L31/L26</f>
        <v>0.14768328604053213</v>
      </c>
      <c r="M32" s="1531">
        <f t="shared" si="8"/>
        <v>0.10327534463442889</v>
      </c>
      <c r="N32" s="1531">
        <f t="shared" si="8"/>
        <v>0.15004648621016262</v>
      </c>
      <c r="O32" s="1531">
        <f t="shared" si="8"/>
        <v>0.79744177240945557</v>
      </c>
      <c r="P32" s="1531">
        <f t="shared" si="8"/>
        <v>7.3263270658230364E-2</v>
      </c>
      <c r="Q32" s="1531">
        <f t="shared" si="8"/>
        <v>0.13102697148069151</v>
      </c>
      <c r="R32" s="1010" t="s">
        <v>453</v>
      </c>
      <c r="S32" s="1518" t="s">
        <v>454</v>
      </c>
      <c r="T32" s="1531">
        <f t="shared" ref="T32:Y32" si="9">T31/T26</f>
        <v>0.21299226709420999</v>
      </c>
      <c r="U32" s="1531">
        <f t="shared" si="9"/>
        <v>0.10695989581115202</v>
      </c>
      <c r="V32" s="1531">
        <f t="shared" si="9"/>
        <v>0.15050937863174726</v>
      </c>
      <c r="W32" s="1531">
        <f t="shared" si="9"/>
        <v>0.99272385288829812</v>
      </c>
      <c r="X32" s="1531">
        <f t="shared" si="9"/>
        <v>9.7286424127779186E-2</v>
      </c>
      <c r="Y32" s="2490">
        <f t="shared" si="9"/>
        <v>0.15157373632351234</v>
      </c>
    </row>
    <row r="33" spans="1:26" s="9" customFormat="1" ht="25.5" x14ac:dyDescent="0.25">
      <c r="A33" s="1010" t="s">
        <v>456</v>
      </c>
      <c r="B33" s="1518" t="s">
        <v>457</v>
      </c>
      <c r="C33" s="1531">
        <f>C31/C27</f>
        <v>5.087925451008956E-2</v>
      </c>
      <c r="D33" s="1531">
        <f>D31/D27</f>
        <v>6.132723599385221E-2</v>
      </c>
      <c r="E33" s="1531">
        <v>0</v>
      </c>
      <c r="F33" s="1531">
        <f>F31/F27</f>
        <v>5.3082708713848507E-2</v>
      </c>
      <c r="G33" s="1531">
        <f>G31/G27</f>
        <v>8.5551409926167121E-3</v>
      </c>
      <c r="H33" s="1531">
        <f>H31/H27</f>
        <v>3.8878210570624828E-2</v>
      </c>
      <c r="I33" s="534"/>
      <c r="J33" s="1010" t="s">
        <v>456</v>
      </c>
      <c r="K33" s="1518" t="s">
        <v>457</v>
      </c>
      <c r="L33" s="1531">
        <f t="shared" ref="L33:Q33" si="10">L31/L27</f>
        <v>4.8662778577987127E-2</v>
      </c>
      <c r="M33" s="1531">
        <f t="shared" si="10"/>
        <v>5.5199474688380656E-2</v>
      </c>
      <c r="N33" s="1531">
        <f t="shared" si="10"/>
        <v>1.7065521545371897E-2</v>
      </c>
      <c r="O33" s="1531">
        <f t="shared" si="10"/>
        <v>6.4527332220463821E-2</v>
      </c>
      <c r="P33" s="1531">
        <f t="shared" si="10"/>
        <v>4.9531937933349618E-3</v>
      </c>
      <c r="Q33" s="1531">
        <f t="shared" si="10"/>
        <v>2.8023602035699775E-2</v>
      </c>
      <c r="R33" s="1010" t="s">
        <v>456</v>
      </c>
      <c r="S33" s="1518" t="s">
        <v>457</v>
      </c>
      <c r="T33" s="1531">
        <f t="shared" ref="T33:Y33" si="11">T31/T27</f>
        <v>7.0118976412328227E-2</v>
      </c>
      <c r="U33" s="1531">
        <f t="shared" si="11"/>
        <v>4.7283660796982568E-2</v>
      </c>
      <c r="V33" s="1531">
        <f t="shared" si="11"/>
        <v>1.784599648309344E-2</v>
      </c>
      <c r="W33" s="1531">
        <f t="shared" si="11"/>
        <v>7.6067786128318812E-2</v>
      </c>
      <c r="X33" s="1531">
        <f t="shared" si="11"/>
        <v>5.3809419018408522E-3</v>
      </c>
      <c r="Y33" s="2490">
        <f t="shared" si="11"/>
        <v>3.1655246207288684E-2</v>
      </c>
    </row>
    <row r="34" spans="1:26" s="9" customFormat="1" x14ac:dyDescent="0.25">
      <c r="A34" s="1000" t="s">
        <v>309</v>
      </c>
      <c r="B34" s="1517" t="s">
        <v>450</v>
      </c>
      <c r="C34" s="1530">
        <f>'GHG '!X72/1000</f>
        <v>470.40126228959997</v>
      </c>
      <c r="D34" s="1530">
        <f>'GHG '!X108/1000</f>
        <v>662.10257319999994</v>
      </c>
      <c r="E34" s="1530">
        <f>'GHG '!X218/1000</f>
        <v>265.58692104200009</v>
      </c>
      <c r="F34" s="528">
        <f>'GHG '!X144/1000</f>
        <v>256.16536112199998</v>
      </c>
      <c r="G34" s="528">
        <f>'GHG '!X180/1000</f>
        <v>2180.3555763263998</v>
      </c>
      <c r="H34" s="125">
        <f>SUM(C34:G34)</f>
        <v>3834.6116939799995</v>
      </c>
      <c r="I34" s="534">
        <f>'GHG '!X36/1000</f>
        <v>3834.6116939799999</v>
      </c>
      <c r="J34" s="1000" t="s">
        <v>309</v>
      </c>
      <c r="K34" s="1517" t="s">
        <v>450</v>
      </c>
      <c r="L34" s="1530">
        <v>974.4648414699999</v>
      </c>
      <c r="M34" s="1530">
        <v>1943.4042020444629</v>
      </c>
      <c r="N34" s="1530">
        <v>1327.8174100399999</v>
      </c>
      <c r="O34" s="528">
        <v>360.00260208999998</v>
      </c>
      <c r="P34" s="528">
        <v>3018.9823731400002</v>
      </c>
      <c r="Q34" s="125">
        <v>7624.6714287844634</v>
      </c>
      <c r="R34" s="1000" t="s">
        <v>309</v>
      </c>
      <c r="S34" s="1517" t="s">
        <v>450</v>
      </c>
      <c r="T34" s="1530">
        <v>564.61</v>
      </c>
      <c r="U34" s="1530">
        <v>4743.04</v>
      </c>
      <c r="V34" s="1530">
        <v>480</v>
      </c>
      <c r="W34" s="528">
        <v>194.58</v>
      </c>
      <c r="X34" s="528">
        <v>2268.36</v>
      </c>
      <c r="Y34" s="125">
        <f>SUM(T34:X34)</f>
        <v>8250.59</v>
      </c>
    </row>
    <row r="35" spans="1:26" s="9" customFormat="1" x14ac:dyDescent="0.25">
      <c r="A35" s="2486">
        <v>-22</v>
      </c>
      <c r="B35" s="2485" t="s">
        <v>611</v>
      </c>
      <c r="C35" s="1530" t="e">
        <f>'GHG '!#REF!/1000</f>
        <v>#REF!</v>
      </c>
      <c r="D35" s="1530" t="e">
        <f>'GHG '!#REF!/1000</f>
        <v>#REF!</v>
      </c>
      <c r="E35" s="1530" t="e">
        <f>'GHG '!#REF!</f>
        <v>#REF!</v>
      </c>
      <c r="F35" s="528" t="e">
        <f>'GHG '!#REF!/1000</f>
        <v>#REF!</v>
      </c>
      <c r="G35" s="528" t="e">
        <f>'GHG '!#REF!/1000</f>
        <v>#REF!</v>
      </c>
      <c r="H35" s="125" t="e">
        <f>'GHG '!#REF!/1000</f>
        <v>#REF!</v>
      </c>
      <c r="I35" s="534"/>
      <c r="J35" s="2484"/>
      <c r="K35" s="2485"/>
      <c r="L35" s="1530"/>
      <c r="M35" s="1530"/>
      <c r="N35" s="1530"/>
      <c r="O35" s="528"/>
      <c r="P35" s="528"/>
      <c r="Q35" s="125"/>
      <c r="R35" s="2484"/>
      <c r="S35" s="2485"/>
      <c r="T35" s="1530"/>
      <c r="U35" s="1530"/>
      <c r="V35" s="1530"/>
      <c r="W35" s="528"/>
      <c r="X35" s="528"/>
      <c r="Y35" s="125"/>
    </row>
    <row r="36" spans="1:26" s="9" customFormat="1" ht="29.25" thickBot="1" x14ac:dyDescent="0.3">
      <c r="A36" s="1014" t="s">
        <v>459</v>
      </c>
      <c r="B36" s="1518" t="s">
        <v>452</v>
      </c>
      <c r="C36" s="1531" t="e">
        <f t="shared" ref="C36:H36" si="12">C29+C30+C34+C35</f>
        <v>#REF!</v>
      </c>
      <c r="D36" s="1531" t="e">
        <f t="shared" si="12"/>
        <v>#REF!</v>
      </c>
      <c r="E36" s="1531" t="e">
        <f t="shared" si="12"/>
        <v>#REF!</v>
      </c>
      <c r="F36" s="1531" t="e">
        <f t="shared" si="12"/>
        <v>#REF!</v>
      </c>
      <c r="G36" s="1531" t="e">
        <f t="shared" si="12"/>
        <v>#REF!</v>
      </c>
      <c r="H36" s="1531" t="e">
        <f t="shared" si="12"/>
        <v>#REF!</v>
      </c>
      <c r="I36" s="534">
        <f>I29+I30+I34</f>
        <v>483431.14002312883</v>
      </c>
      <c r="J36" s="1014" t="s">
        <v>459</v>
      </c>
      <c r="K36" s="1518" t="s">
        <v>452</v>
      </c>
      <c r="L36" s="1531">
        <f t="shared" ref="L36:Q36" si="13">L29+L30+L34</f>
        <v>203111.59907836269</v>
      </c>
      <c r="M36" s="1531">
        <f t="shared" si="13"/>
        <v>216082.46836164757</v>
      </c>
      <c r="N36" s="1531">
        <f t="shared" si="13"/>
        <v>154664.94159951559</v>
      </c>
      <c r="O36" s="1531">
        <f t="shared" si="13"/>
        <v>42254.953792216118</v>
      </c>
      <c r="P36" s="1531">
        <f t="shared" si="13"/>
        <v>28009.251767552189</v>
      </c>
      <c r="Q36" s="1531">
        <f t="shared" si="13"/>
        <v>644123.21459929424</v>
      </c>
      <c r="R36" s="1014" t="s">
        <v>459</v>
      </c>
      <c r="S36" s="1518" t="s">
        <v>452</v>
      </c>
      <c r="T36" s="1531">
        <f t="shared" ref="T36:Y36" si="14">T29+T30+T34</f>
        <v>168084.94499999998</v>
      </c>
      <c r="U36" s="1531">
        <f t="shared" si="14"/>
        <v>234695.70499999999</v>
      </c>
      <c r="V36" s="1531">
        <f t="shared" si="14"/>
        <v>159205.505</v>
      </c>
      <c r="W36" s="1531">
        <f t="shared" si="14"/>
        <v>50994.244999999995</v>
      </c>
      <c r="X36" s="1531">
        <f t="shared" si="14"/>
        <v>24177.360000000001</v>
      </c>
      <c r="Y36" s="1531">
        <f t="shared" si="14"/>
        <v>637157.75999999989</v>
      </c>
    </row>
    <row r="37" spans="1:26" s="9" customFormat="1" x14ac:dyDescent="0.25">
      <c r="A37" s="1018" t="s">
        <v>598</v>
      </c>
      <c r="B37" s="1518" t="s">
        <v>454</v>
      </c>
      <c r="C37" s="2487" t="e">
        <f>C36/C26</f>
        <v>#REF!</v>
      </c>
      <c r="D37" s="2487" t="e">
        <f>D36/D26</f>
        <v>#REF!</v>
      </c>
      <c r="E37" s="2487">
        <v>0</v>
      </c>
      <c r="F37" s="2487" t="e">
        <f>F36/F26</f>
        <v>#REF!</v>
      </c>
      <c r="G37" s="2487" t="e">
        <f>G36/G26</f>
        <v>#REF!</v>
      </c>
      <c r="H37" s="2488" t="e">
        <f>H36/H26</f>
        <v>#REF!</v>
      </c>
      <c r="I37" s="534"/>
      <c r="J37" s="1018" t="s">
        <v>598</v>
      </c>
      <c r="K37" s="1518" t="s">
        <v>454</v>
      </c>
      <c r="L37" s="1531">
        <f t="shared" ref="L37:Q37" si="15">L36/L26</f>
        <v>0.14839523919284406</v>
      </c>
      <c r="M37" s="1531">
        <f t="shared" si="15"/>
        <v>0.1042126128508462</v>
      </c>
      <c r="N37" s="1531">
        <f t="shared" si="15"/>
        <v>0.15134580845686779</v>
      </c>
      <c r="O37" s="1531">
        <f t="shared" si="15"/>
        <v>0.80429417597903707</v>
      </c>
      <c r="P37" s="1531">
        <f t="shared" si="15"/>
        <v>8.2113936460386075E-2</v>
      </c>
      <c r="Q37" s="1531">
        <f t="shared" si="15"/>
        <v>0.13259655497238751</v>
      </c>
      <c r="R37" s="1018" t="s">
        <v>598</v>
      </c>
      <c r="S37" s="1518" t="s">
        <v>454</v>
      </c>
      <c r="T37" s="1531">
        <f t="shared" ref="T37:Y37" si="16">T36/T26</f>
        <v>0.21371013554835352</v>
      </c>
      <c r="U37" s="1531">
        <f t="shared" si="16"/>
        <v>0.10916606752143912</v>
      </c>
      <c r="V37" s="1531">
        <f t="shared" si="16"/>
        <v>0.1509645323371536</v>
      </c>
      <c r="W37" s="1531">
        <f t="shared" si="16"/>
        <v>0.99652632298913457</v>
      </c>
      <c r="X37" s="1531">
        <f t="shared" si="16"/>
        <v>0.10735902593682976</v>
      </c>
      <c r="Y37" s="1531">
        <f t="shared" si="16"/>
        <v>0.15356222176751422</v>
      </c>
    </row>
    <row r="38" spans="1:26" s="9" customFormat="1" x14ac:dyDescent="0.25">
      <c r="A38" s="1018" t="s">
        <v>599</v>
      </c>
      <c r="B38" s="1518" t="s">
        <v>457</v>
      </c>
      <c r="C38" s="2487" t="e">
        <f>C36/C27</f>
        <v>#REF!</v>
      </c>
      <c r="D38" s="2487" t="e">
        <f>D36/D27</f>
        <v>#REF!</v>
      </c>
      <c r="E38" s="2487">
        <v>0</v>
      </c>
      <c r="F38" s="2487" t="e">
        <f>F36/F27</f>
        <v>#REF!</v>
      </c>
      <c r="G38" s="2487" t="e">
        <f>G36/G27</f>
        <v>#REF!</v>
      </c>
      <c r="H38" s="2487" t="e">
        <f>H36/H27</f>
        <v>#REF!</v>
      </c>
      <c r="I38" s="534"/>
      <c r="J38" s="1018" t="s">
        <v>599</v>
      </c>
      <c r="K38" s="1518" t="s">
        <v>457</v>
      </c>
      <c r="L38" s="1531">
        <f t="shared" ref="L38:Q38" si="17">L36/L27</f>
        <v>4.8897372617283809E-2</v>
      </c>
      <c r="M38" s="1531">
        <f t="shared" si="17"/>
        <v>5.5700433686595441E-2</v>
      </c>
      <c r="N38" s="1531">
        <f t="shared" si="17"/>
        <v>1.7213299826327248E-2</v>
      </c>
      <c r="O38" s="1531">
        <f t="shared" si="17"/>
        <v>6.5081814487309556E-2</v>
      </c>
      <c r="P38" s="1531">
        <f t="shared" si="17"/>
        <v>5.5515708863073292E-3</v>
      </c>
      <c r="Q38" s="1531">
        <f t="shared" si="17"/>
        <v>2.8359299202748888E-2</v>
      </c>
      <c r="R38" s="1018" t="s">
        <v>599</v>
      </c>
      <c r="S38" s="1518" t="s">
        <v>457</v>
      </c>
      <c r="T38" s="1531">
        <f t="shared" ref="T38:Y38" si="18">T36/T27</f>
        <v>7.0355305185621109E-2</v>
      </c>
      <c r="U38" s="1531">
        <f t="shared" si="18"/>
        <v>4.8258941055232762E-2</v>
      </c>
      <c r="V38" s="1531">
        <f t="shared" si="18"/>
        <v>1.7899964358715475E-2</v>
      </c>
      <c r="W38" s="1531">
        <f t="shared" si="18"/>
        <v>7.6359151628954458E-2</v>
      </c>
      <c r="X38" s="1531">
        <f t="shared" si="18"/>
        <v>5.9380605915327466E-3</v>
      </c>
      <c r="Y38" s="1531">
        <f t="shared" si="18"/>
        <v>3.2070529209715565E-2</v>
      </c>
    </row>
    <row r="39" spans="1:26" s="9" customFormat="1" ht="15.75" thickBot="1" x14ac:dyDescent="0.3">
      <c r="A39" s="1018" t="s">
        <v>609</v>
      </c>
      <c r="B39" s="1459"/>
      <c r="C39" s="1542" t="e">
        <f t="shared" ref="C39:H39" si="19">C36/C40</f>
        <v>#REF!</v>
      </c>
      <c r="D39" s="1542" t="e">
        <f t="shared" si="19"/>
        <v>#REF!</v>
      </c>
      <c r="E39" s="1542">
        <v>0</v>
      </c>
      <c r="F39" s="1542" t="e">
        <f t="shared" si="19"/>
        <v>#REF!</v>
      </c>
      <c r="G39" s="1542" t="e">
        <f t="shared" si="19"/>
        <v>#REF!</v>
      </c>
      <c r="H39" s="1543" t="e">
        <f t="shared" si="19"/>
        <v>#REF!</v>
      </c>
      <c r="I39" s="534"/>
      <c r="J39" s="1018" t="s">
        <v>609</v>
      </c>
      <c r="K39" s="1459"/>
      <c r="L39" s="1536">
        <f t="shared" ref="L39:Q39" si="20">L36/L40</f>
        <v>1.2161790170222909E-3</v>
      </c>
      <c r="M39" s="1536">
        <f t="shared" si="20"/>
        <v>9.3185492957891425E-4</v>
      </c>
      <c r="N39" s="1536">
        <f t="shared" si="20"/>
        <v>1.4383892739792566E-3</v>
      </c>
      <c r="O39" s="1536">
        <f t="shared" si="20"/>
        <v>1.5507215733076467E-3</v>
      </c>
      <c r="P39" s="1536">
        <f t="shared" si="20"/>
        <v>4.0895050776796271E-4</v>
      </c>
      <c r="Q39" s="1537">
        <f t="shared" si="20"/>
        <v>1.1174576071983266E-3</v>
      </c>
      <c r="R39" s="1018" t="s">
        <v>609</v>
      </c>
      <c r="S39" s="1459"/>
      <c r="T39" s="1542" t="e">
        <f t="shared" ref="T39:Y39" si="21">T36/T40</f>
        <v>#DIV/0!</v>
      </c>
      <c r="U39" s="1542" t="e">
        <f t="shared" si="21"/>
        <v>#DIV/0!</v>
      </c>
      <c r="V39" s="1542" t="e">
        <f t="shared" si="21"/>
        <v>#DIV/0!</v>
      </c>
      <c r="W39" s="1542" t="e">
        <f t="shared" si="21"/>
        <v>#DIV/0!</v>
      </c>
      <c r="X39" s="1542" t="e">
        <f t="shared" si="21"/>
        <v>#DIV/0!</v>
      </c>
      <c r="Y39" s="1543" t="e">
        <f t="shared" si="21"/>
        <v>#DIV/0!</v>
      </c>
    </row>
    <row r="40" spans="1:26" s="9" customFormat="1" x14ac:dyDescent="0.25">
      <c r="A40" s="1989" t="s">
        <v>610</v>
      </c>
      <c r="B40" s="1990" t="s">
        <v>950</v>
      </c>
      <c r="C40" s="1991">
        <f>Production!G11</f>
        <v>0</v>
      </c>
      <c r="D40" s="1991">
        <f>Production!L11</f>
        <v>0</v>
      </c>
      <c r="E40" s="1991"/>
      <c r="F40" s="1991">
        <f>Production!Q11</f>
        <v>0</v>
      </c>
      <c r="G40" s="1991">
        <f>Production!V11</f>
        <v>0</v>
      </c>
      <c r="H40" s="2497">
        <f>Production!G20</f>
        <v>0</v>
      </c>
      <c r="I40" s="842"/>
      <c r="J40" s="121" t="s">
        <v>610</v>
      </c>
      <c r="K40" s="121"/>
      <c r="L40" s="1539">
        <v>167007978.45999998</v>
      </c>
      <c r="M40" s="1539">
        <v>231884235.94999999</v>
      </c>
      <c r="N40" s="1539">
        <v>107526484.24000001</v>
      </c>
      <c r="O40" s="1539">
        <v>27248575.449999999</v>
      </c>
      <c r="P40" s="1539">
        <v>68490566.059999987</v>
      </c>
      <c r="Q40" s="1538">
        <v>576418479.27835989</v>
      </c>
      <c r="R40" s="1544"/>
      <c r="S40" s="1545"/>
      <c r="T40" s="1546"/>
      <c r="U40" s="1546"/>
      <c r="V40" s="1546"/>
      <c r="W40" s="1546"/>
      <c r="X40" s="1546"/>
      <c r="Y40" s="1547"/>
    </row>
    <row r="41" spans="1:26" s="9" customFormat="1" x14ac:dyDescent="0.25">
      <c r="A41" s="1992" t="s">
        <v>831</v>
      </c>
      <c r="B41" s="109" t="s">
        <v>611</v>
      </c>
      <c r="C41" s="1987" t="e">
        <f t="shared" ref="C41:D43" si="22">(C36-L36)/L36</f>
        <v>#REF!</v>
      </c>
      <c r="D41" s="1987" t="e">
        <f t="shared" si="22"/>
        <v>#REF!</v>
      </c>
      <c r="E41" s="1987"/>
      <c r="F41" s="1987" t="e">
        <f t="shared" ref="F41:H43" si="23">(F36-O36)/O36</f>
        <v>#REF!</v>
      </c>
      <c r="G41" s="1987" t="e">
        <f t="shared" si="23"/>
        <v>#REF!</v>
      </c>
      <c r="H41" s="1993" t="e">
        <f t="shared" si="23"/>
        <v>#REF!</v>
      </c>
      <c r="I41" s="1430"/>
      <c r="J41" s="1562" t="s">
        <v>617</v>
      </c>
      <c r="K41" s="76" t="s">
        <v>611</v>
      </c>
      <c r="L41" s="1029" t="e">
        <f t="shared" ref="L41:Q43" si="24">(C36-T36)/T36</f>
        <v>#REF!</v>
      </c>
      <c r="M41" s="1029" t="e">
        <f t="shared" si="24"/>
        <v>#REF!</v>
      </c>
      <c r="N41" s="1029" t="e">
        <f t="shared" si="24"/>
        <v>#REF!</v>
      </c>
      <c r="O41" s="1029" t="e">
        <f t="shared" si="24"/>
        <v>#REF!</v>
      </c>
      <c r="P41" s="1029" t="e">
        <f t="shared" si="24"/>
        <v>#REF!</v>
      </c>
      <c r="Q41" s="1029" t="e">
        <f t="shared" si="24"/>
        <v>#REF!</v>
      </c>
      <c r="S41" s="394"/>
      <c r="T41" s="39"/>
      <c r="U41" s="116"/>
      <c r="V41" s="1540"/>
      <c r="W41" s="1540"/>
      <c r="X41" s="1540"/>
      <c r="Y41" s="1540"/>
    </row>
    <row r="42" spans="1:26" s="9" customFormat="1" x14ac:dyDescent="0.25">
      <c r="A42" s="1992"/>
      <c r="B42" s="109" t="s">
        <v>612</v>
      </c>
      <c r="C42" s="1987" t="e">
        <f t="shared" si="22"/>
        <v>#REF!</v>
      </c>
      <c r="D42" s="1987" t="e">
        <f t="shared" si="22"/>
        <v>#REF!</v>
      </c>
      <c r="E42" s="1987"/>
      <c r="F42" s="1987" t="e">
        <f t="shared" si="23"/>
        <v>#REF!</v>
      </c>
      <c r="G42" s="1987" t="e">
        <f t="shared" si="23"/>
        <v>#REF!</v>
      </c>
      <c r="H42" s="1993" t="e">
        <f t="shared" si="23"/>
        <v>#REF!</v>
      </c>
      <c r="I42" s="1430"/>
      <c r="J42" s="1562"/>
      <c r="K42" s="76" t="s">
        <v>612</v>
      </c>
      <c r="L42" s="1029" t="e">
        <f t="shared" si="24"/>
        <v>#REF!</v>
      </c>
      <c r="M42" s="1029" t="e">
        <f t="shared" si="24"/>
        <v>#REF!</v>
      </c>
      <c r="N42" s="1029">
        <f t="shared" si="24"/>
        <v>-1</v>
      </c>
      <c r="O42" s="1029" t="e">
        <f t="shared" si="24"/>
        <v>#REF!</v>
      </c>
      <c r="P42" s="1029" t="e">
        <f t="shared" si="24"/>
        <v>#REF!</v>
      </c>
      <c r="Q42" s="1029" t="e">
        <f t="shared" si="24"/>
        <v>#REF!</v>
      </c>
      <c r="S42" s="842"/>
      <c r="T42" s="39"/>
      <c r="U42" s="116"/>
      <c r="V42" s="842"/>
      <c r="W42" s="842"/>
      <c r="X42" s="842"/>
      <c r="Y42" s="842"/>
      <c r="Z42" s="39"/>
    </row>
    <row r="43" spans="1:26" s="9" customFormat="1" x14ac:dyDescent="0.25">
      <c r="A43" s="1992"/>
      <c r="B43" s="109" t="s">
        <v>613</v>
      </c>
      <c r="C43" s="1987" t="e">
        <f t="shared" si="22"/>
        <v>#REF!</v>
      </c>
      <c r="D43" s="1987" t="e">
        <f t="shared" si="22"/>
        <v>#REF!</v>
      </c>
      <c r="E43" s="1987"/>
      <c r="F43" s="1987" t="e">
        <f t="shared" si="23"/>
        <v>#REF!</v>
      </c>
      <c r="G43" s="1987" t="e">
        <f t="shared" si="23"/>
        <v>#REF!</v>
      </c>
      <c r="H43" s="1993" t="e">
        <f t="shared" si="23"/>
        <v>#REF!</v>
      </c>
      <c r="I43" s="2001">
        <f>H60/1000000000</f>
        <v>2862790.7736043418</v>
      </c>
      <c r="J43" s="1562"/>
      <c r="K43" s="76" t="s">
        <v>613</v>
      </c>
      <c r="L43" s="1029" t="e">
        <f t="shared" si="24"/>
        <v>#REF!</v>
      </c>
      <c r="M43" s="1029" t="e">
        <f t="shared" si="24"/>
        <v>#REF!</v>
      </c>
      <c r="N43" s="1029">
        <f t="shared" si="24"/>
        <v>-1</v>
      </c>
      <c r="O43" s="1029" t="e">
        <f t="shared" si="24"/>
        <v>#REF!</v>
      </c>
      <c r="P43" s="1029" t="e">
        <f t="shared" si="24"/>
        <v>#REF!</v>
      </c>
      <c r="Q43" s="1029" t="e">
        <f t="shared" si="24"/>
        <v>#REF!</v>
      </c>
      <c r="S43" s="842"/>
      <c r="T43" s="39"/>
      <c r="U43" s="116"/>
      <c r="V43" s="842"/>
      <c r="W43" s="842"/>
      <c r="X43" s="842"/>
      <c r="Y43" s="842"/>
      <c r="Z43" s="39"/>
    </row>
    <row r="44" spans="1:26" s="9" customFormat="1" x14ac:dyDescent="0.25">
      <c r="A44" s="1994"/>
      <c r="B44" s="1988" t="s">
        <v>248</v>
      </c>
      <c r="C44" s="1987">
        <f>(C26-L26)/L26</f>
        <v>0.1531940231791184</v>
      </c>
      <c r="D44" s="1987">
        <f>(D26-M26)/M26</f>
        <v>-0.2073370580616776</v>
      </c>
      <c r="E44" s="1987"/>
      <c r="F44" s="1987">
        <f t="shared" ref="F44:H45" si="25">(F26-O26)/O26</f>
        <v>0.31484054286632812</v>
      </c>
      <c r="G44" s="1987">
        <f t="shared" si="25"/>
        <v>-0.12598065524567434</v>
      </c>
      <c r="H44" s="1993">
        <f t="shared" si="25"/>
        <v>-0.26114697626606803</v>
      </c>
      <c r="I44" s="1998">
        <f>H57/1000000000</f>
        <v>2177253.8404762875</v>
      </c>
      <c r="J44" s="1563"/>
      <c r="K44" s="109" t="s">
        <v>248</v>
      </c>
      <c r="L44" s="1029">
        <f t="shared" ref="L44:Q45" si="26">(C26-T26)/T26</f>
        <v>1.0068432100910876</v>
      </c>
      <c r="M44" s="1029">
        <f t="shared" si="26"/>
        <v>-0.23551260979949118</v>
      </c>
      <c r="N44" s="1029">
        <f t="shared" si="26"/>
        <v>-1</v>
      </c>
      <c r="O44" s="1029">
        <f t="shared" si="26"/>
        <v>0.3499056124443054</v>
      </c>
      <c r="P44" s="1029">
        <f t="shared" si="26"/>
        <v>0.32383959218653557</v>
      </c>
      <c r="Q44" s="1029">
        <f t="shared" si="26"/>
        <v>-0.13496799483017943</v>
      </c>
    </row>
    <row r="45" spans="1:26" s="9" customFormat="1" ht="15.75" thickBot="1" x14ac:dyDescent="0.3">
      <c r="A45" s="1995"/>
      <c r="B45" s="1996" t="s">
        <v>618</v>
      </c>
      <c r="C45" s="1927">
        <f>(C27-L27)/L27</f>
        <v>1.83916967128856E-2</v>
      </c>
      <c r="D45" s="1927">
        <f>(D27-M27)/M27</f>
        <v>-0.24448279297980419</v>
      </c>
      <c r="E45" s="1927">
        <f>(E27-N27)/N27</f>
        <v>-1</v>
      </c>
      <c r="F45" s="1927">
        <f t="shared" si="25"/>
        <v>0.37341954443450148</v>
      </c>
      <c r="G45" s="1927">
        <f t="shared" si="25"/>
        <v>-0.15108753045418255</v>
      </c>
      <c r="H45" s="1997">
        <f t="shared" si="25"/>
        <v>-0.45687936635104609</v>
      </c>
      <c r="I45" s="1998">
        <f>I57/1000000000</f>
        <v>2346338.8914293805</v>
      </c>
      <c r="J45" s="1563"/>
      <c r="K45" s="109" t="s">
        <v>618</v>
      </c>
      <c r="L45" s="1029">
        <f t="shared" si="26"/>
        <v>0.77064739956937534</v>
      </c>
      <c r="M45" s="1029">
        <f t="shared" si="26"/>
        <v>-0.39733223687555935</v>
      </c>
      <c r="N45" s="1029">
        <f t="shared" si="26"/>
        <v>-1</v>
      </c>
      <c r="O45" s="1029">
        <f t="shared" si="26"/>
        <v>0.33524552237800248</v>
      </c>
      <c r="P45" s="1029">
        <f t="shared" si="26"/>
        <v>5.1923792953714416E-2</v>
      </c>
      <c r="Q45" s="1029">
        <f t="shared" si="26"/>
        <v>-0.37908963585919725</v>
      </c>
    </row>
    <row r="46" spans="1:26" s="9" customFormat="1" ht="15.75" thickBot="1" x14ac:dyDescent="0.3">
      <c r="A46" s="5348" t="s">
        <v>574</v>
      </c>
      <c r="B46" s="5349"/>
      <c r="C46" s="1"/>
      <c r="D46" s="1"/>
      <c r="E46" s="1"/>
      <c r="F46" s="1"/>
      <c r="G46" s="1"/>
      <c r="H46" s="1"/>
      <c r="I46" s="1559"/>
      <c r="J46" s="1560"/>
      <c r="K46" s="1"/>
      <c r="N46" s="73"/>
      <c r="O46" s="445"/>
    </row>
    <row r="47" spans="1:26" s="9" customFormat="1" ht="15.75" thickBot="1" x14ac:dyDescent="0.3">
      <c r="A47" s="10"/>
      <c r="B47" s="1455" t="s">
        <v>449</v>
      </c>
      <c r="C47" s="891">
        <v>2012</v>
      </c>
      <c r="D47" s="891">
        <v>2013</v>
      </c>
      <c r="E47" s="18">
        <v>2014</v>
      </c>
      <c r="F47" s="18">
        <v>2015</v>
      </c>
      <c r="G47" s="18">
        <v>2016</v>
      </c>
      <c r="H47" s="18">
        <v>2017</v>
      </c>
      <c r="I47" s="1968" t="s">
        <v>819</v>
      </c>
      <c r="J47" s="2410" t="s">
        <v>822</v>
      </c>
      <c r="K47" s="1969" t="s">
        <v>820</v>
      </c>
      <c r="L47" s="9" t="s">
        <v>928</v>
      </c>
      <c r="M47" s="1950" t="s">
        <v>823</v>
      </c>
      <c r="N47" s="1951"/>
      <c r="O47" s="1951"/>
      <c r="P47" s="1951"/>
      <c r="Q47" s="1952"/>
      <c r="R47" s="1497"/>
    </row>
    <row r="48" spans="1:26" s="9" customFormat="1" ht="15.75" thickBot="1" x14ac:dyDescent="0.3">
      <c r="A48" s="1443" t="s">
        <v>588</v>
      </c>
      <c r="B48" s="1449" t="s">
        <v>27</v>
      </c>
      <c r="C48" s="999">
        <v>6878395.7999999998</v>
      </c>
      <c r="D48" s="999">
        <v>7543478.3799999999</v>
      </c>
      <c r="E48" s="999">
        <v>12007481.35</v>
      </c>
      <c r="F48" s="999">
        <v>14703415.5</v>
      </c>
      <c r="G48" s="999">
        <v>16320665.35</v>
      </c>
      <c r="H48" s="1432">
        <v>17700405.260000002</v>
      </c>
      <c r="I48" s="1967">
        <v>17106021.74075</v>
      </c>
      <c r="J48" s="2411">
        <f>Energy!L33</f>
        <v>9210022.9503569379</v>
      </c>
      <c r="K48" s="1974">
        <f>(J48-I48)/I48</f>
        <v>-0.4615917663417437</v>
      </c>
      <c r="M48" s="1498" t="s">
        <v>27</v>
      </c>
      <c r="N48" s="1496" t="s">
        <v>146</v>
      </c>
      <c r="O48" s="1496" t="s">
        <v>155</v>
      </c>
      <c r="P48" s="1496" t="s">
        <v>322</v>
      </c>
      <c r="Q48" s="1496" t="s">
        <v>684</v>
      </c>
      <c r="R48" s="1953" t="s">
        <v>821</v>
      </c>
    </row>
    <row r="49" spans="1:27" s="9" customFormat="1" x14ac:dyDescent="0.25">
      <c r="A49" s="1444" t="s">
        <v>591</v>
      </c>
      <c r="B49" s="1450">
        <v>38100000</v>
      </c>
      <c r="C49" s="1431">
        <f>B49*C48</f>
        <v>262066879980000</v>
      </c>
      <c r="D49" s="1431">
        <f>B49*D48</f>
        <v>287406526278000</v>
      </c>
      <c r="E49" s="1431">
        <f>B49*E48</f>
        <v>457485039435000</v>
      </c>
      <c r="F49" s="1431">
        <f>B49*F48</f>
        <v>560200130550000</v>
      </c>
      <c r="G49" s="1431">
        <f>B49*G48</f>
        <v>621817349835000</v>
      </c>
      <c r="H49" s="1659">
        <f>B49*H48</f>
        <v>674385440406000</v>
      </c>
      <c r="I49" s="1962">
        <f>I48*B49</f>
        <v>651739428322575</v>
      </c>
      <c r="J49" s="2416">
        <f>J48*B49</f>
        <v>350901874408599.31</v>
      </c>
      <c r="K49" s="1974">
        <f t="shared" ref="K49:K60" si="27">(J49-I49)/I49</f>
        <v>-0.46159176634174376</v>
      </c>
      <c r="M49" s="28" t="s">
        <v>601</v>
      </c>
      <c r="N49" s="125">
        <f>G52/0.555</f>
        <v>2245.8918918918916</v>
      </c>
      <c r="O49" s="125">
        <f>H52/0.555</f>
        <v>2372.9729729729729</v>
      </c>
      <c r="P49" s="125">
        <f>I52/0.555</f>
        <v>1091.8918918918919</v>
      </c>
      <c r="Q49" s="1970">
        <f>Energy!L38/0.555</f>
        <v>1286.4864864864865</v>
      </c>
      <c r="R49" s="1973">
        <f>(Q49-P49)/P49</f>
        <v>0.17821782178217821</v>
      </c>
    </row>
    <row r="50" spans="1:27" s="9" customFormat="1" x14ac:dyDescent="0.25">
      <c r="A50" s="1445" t="s">
        <v>587</v>
      </c>
      <c r="B50" s="1451" t="s">
        <v>27</v>
      </c>
      <c r="C50" s="1440"/>
      <c r="D50" s="1440"/>
      <c r="E50" s="1440"/>
      <c r="F50" s="258">
        <v>125270.81</v>
      </c>
      <c r="G50" s="258">
        <v>53670.27</v>
      </c>
      <c r="H50" s="258">
        <v>143069.04</v>
      </c>
      <c r="I50" s="1963">
        <v>75218.450000000012</v>
      </c>
      <c r="J50" s="2413">
        <f>Energy!L37</f>
        <v>64695.734326129474</v>
      </c>
      <c r="K50" s="1974">
        <f t="shared" si="27"/>
        <v>-0.13989540696292646</v>
      </c>
      <c r="M50" s="28" t="s">
        <v>602</v>
      </c>
      <c r="N50" s="125">
        <f>G48+G50+G54</f>
        <v>16374335.619999999</v>
      </c>
      <c r="O50" s="125">
        <f>H48+H50+H54</f>
        <v>18007451.300000001</v>
      </c>
      <c r="P50" s="125">
        <f>I48+I50+I54</f>
        <v>17282826.190749999</v>
      </c>
      <c r="Q50" s="1971">
        <f>J48+J50+J54</f>
        <v>9414267.6846830677</v>
      </c>
      <c r="R50" s="1973">
        <f>(Q50-P50)/P50</f>
        <v>-0.45528193243523385</v>
      </c>
    </row>
    <row r="51" spans="1:27" s="9" customFormat="1" ht="15.75" thickBot="1" x14ac:dyDescent="0.3">
      <c r="A51" s="1444" t="s">
        <v>589</v>
      </c>
      <c r="B51" s="1450">
        <v>34200000</v>
      </c>
      <c r="C51" s="1431"/>
      <c r="D51" s="1431"/>
      <c r="E51" s="1431"/>
      <c r="F51" s="1431">
        <f>B51*F50</f>
        <v>4284261702000</v>
      </c>
      <c r="G51" s="1431">
        <f>B51*G50</f>
        <v>1835523234000</v>
      </c>
      <c r="H51" s="1431">
        <f>H50*B51</f>
        <v>4892961168000</v>
      </c>
      <c r="I51" s="1964">
        <f>I50*B51</f>
        <v>2572470990000.0005</v>
      </c>
      <c r="J51" s="2412">
        <f>J50*B51</f>
        <v>2212594113953.6279</v>
      </c>
      <c r="K51" s="1974">
        <f t="shared" si="27"/>
        <v>-0.13989540696292652</v>
      </c>
      <c r="M51" s="83" t="s">
        <v>603</v>
      </c>
      <c r="N51" s="803">
        <f>SUM(N49:N50)</f>
        <v>16376581.51189189</v>
      </c>
      <c r="O51" s="803">
        <f>SUM(O49:O50)</f>
        <v>18009824.272972975</v>
      </c>
      <c r="P51" s="803">
        <f>SUM(P49:P50)</f>
        <v>17283918.082641892</v>
      </c>
      <c r="Q51" s="1972">
        <f>SUM(Q49:Q50)</f>
        <v>9415554.1711695548</v>
      </c>
      <c r="R51" s="1973">
        <f>(Q51-P51)/P51</f>
        <v>-0.45524191180786</v>
      </c>
    </row>
    <row r="52" spans="1:27" s="9" customFormat="1" x14ac:dyDescent="0.25">
      <c r="A52" s="1445" t="s">
        <v>592</v>
      </c>
      <c r="B52" s="1451" t="s">
        <v>32</v>
      </c>
      <c r="C52" s="1440"/>
      <c r="D52" s="1440"/>
      <c r="E52" s="1440"/>
      <c r="F52" s="258">
        <v>4854.1000000000004</v>
      </c>
      <c r="G52" s="258">
        <v>1246.47</v>
      </c>
      <c r="H52" s="258">
        <v>1317</v>
      </c>
      <c r="I52" s="1961">
        <v>606</v>
      </c>
      <c r="J52" s="2413">
        <f>Energy!L38</f>
        <v>714</v>
      </c>
      <c r="K52" s="1974">
        <f t="shared" si="27"/>
        <v>0.17821782178217821</v>
      </c>
      <c r="Q52" s="73"/>
    </row>
    <row r="53" spans="1:27" s="9" customFormat="1" x14ac:dyDescent="0.25">
      <c r="A53" s="1444" t="s">
        <v>593</v>
      </c>
      <c r="B53" s="1450">
        <v>46100000</v>
      </c>
      <c r="C53" s="1431"/>
      <c r="D53" s="1431"/>
      <c r="E53" s="1431"/>
      <c r="F53" s="1431">
        <f>(F52/0.555)*B53</f>
        <v>403196414414.41443</v>
      </c>
      <c r="G53" s="1431">
        <f>(G52/0.555)*B53</f>
        <v>103535616216.2162</v>
      </c>
      <c r="H53" s="1431">
        <f>(H52/0.555)*B53</f>
        <v>109394054054.05405</v>
      </c>
      <c r="I53" s="1964">
        <f>(I52/0.555)*B53</f>
        <v>50336216216.216217</v>
      </c>
      <c r="J53" s="2412">
        <f>(J52/0.555)*B53</f>
        <v>59307027027.027023</v>
      </c>
      <c r="K53" s="1974">
        <f t="shared" si="27"/>
        <v>0.17821782178217813</v>
      </c>
    </row>
    <row r="54" spans="1:27" s="116" customFormat="1" ht="15.75" thickBot="1" x14ac:dyDescent="0.3">
      <c r="A54" s="1445" t="s">
        <v>590</v>
      </c>
      <c r="B54" s="1451" t="s">
        <v>27</v>
      </c>
      <c r="C54" s="1440"/>
      <c r="D54" s="1440"/>
      <c r="E54" s="1440"/>
      <c r="F54" s="258"/>
      <c r="G54" s="258"/>
      <c r="H54" s="258">
        <v>163977</v>
      </c>
      <c r="I54" s="1963">
        <v>101586</v>
      </c>
      <c r="J54" s="2414">
        <f>('company plane'!S4+'company plane'!S38)</f>
        <v>139549</v>
      </c>
      <c r="K54" s="1974">
        <f t="shared" si="27"/>
        <v>0.37370306932057568</v>
      </c>
      <c r="L54" s="40" t="s">
        <v>826</v>
      </c>
      <c r="M54" s="9"/>
      <c r="N54" s="9"/>
      <c r="O54" s="9"/>
      <c r="P54" s="9"/>
      <c r="Q54" s="9"/>
      <c r="R54" s="9"/>
      <c r="S54" s="9"/>
      <c r="T54" s="40" t="s">
        <v>824</v>
      </c>
      <c r="U54" s="9"/>
      <c r="V54" s="9"/>
      <c r="W54" s="9"/>
      <c r="X54" s="9"/>
      <c r="Y54" s="9"/>
      <c r="Z54" s="9"/>
      <c r="AA54" s="9"/>
    </row>
    <row r="55" spans="1:27" s="9" customFormat="1" ht="15.75" thickBot="1" x14ac:dyDescent="0.3">
      <c r="A55" s="1444" t="s">
        <v>594</v>
      </c>
      <c r="B55" s="1450">
        <v>37500000</v>
      </c>
      <c r="C55" s="1431"/>
      <c r="D55" s="1431"/>
      <c r="E55" s="1431"/>
      <c r="F55" s="1431"/>
      <c r="G55" s="1431"/>
      <c r="H55" s="1431">
        <f>H54*B55</f>
        <v>6149137500000</v>
      </c>
      <c r="I55" s="1964">
        <f>I54*B55</f>
        <v>3809475000000</v>
      </c>
      <c r="J55" s="2412">
        <f>J54*B55</f>
        <v>5233087500000</v>
      </c>
      <c r="K55" s="1974">
        <f t="shared" si="27"/>
        <v>0.37370306932057568</v>
      </c>
      <c r="L55" s="1955" t="s">
        <v>0</v>
      </c>
      <c r="M55" s="911" t="s">
        <v>1</v>
      </c>
      <c r="N55" s="27" t="s">
        <v>99</v>
      </c>
      <c r="O55" s="165" t="s">
        <v>100</v>
      </c>
      <c r="P55" s="1975" t="s">
        <v>825</v>
      </c>
      <c r="Q55" s="1506" t="s">
        <v>101</v>
      </c>
      <c r="R55" s="1506" t="s">
        <v>103</v>
      </c>
      <c r="S55" s="1507" t="s">
        <v>120</v>
      </c>
      <c r="T55" s="1955" t="s">
        <v>0</v>
      </c>
      <c r="U55" s="911" t="s">
        <v>1</v>
      </c>
      <c r="V55" s="27" t="s">
        <v>99</v>
      </c>
      <c r="W55" s="165" t="s">
        <v>100</v>
      </c>
      <c r="X55" s="1506" t="s">
        <v>154</v>
      </c>
      <c r="Y55" s="1506" t="s">
        <v>101</v>
      </c>
      <c r="Z55" s="1506" t="s">
        <v>103</v>
      </c>
      <c r="AA55" s="1507" t="s">
        <v>120</v>
      </c>
    </row>
    <row r="56" spans="1:27" s="9" customFormat="1" ht="27" thickBot="1" x14ac:dyDescent="0.3">
      <c r="A56" s="1446" t="s">
        <v>568</v>
      </c>
      <c r="B56" s="321" t="s">
        <v>29</v>
      </c>
      <c r="C56" s="999">
        <v>435141445.32999998</v>
      </c>
      <c r="D56" s="999">
        <v>481909141.76999998</v>
      </c>
      <c r="E56" s="999">
        <v>497707428.5</v>
      </c>
      <c r="F56" s="999">
        <v>520177092.5</v>
      </c>
      <c r="G56" s="999">
        <v>585142068.25</v>
      </c>
      <c r="H56" s="1432">
        <v>604793237.46000004</v>
      </c>
      <c r="I56" s="1961">
        <v>651761346.30928314</v>
      </c>
      <c r="J56" s="2413">
        <f>Energy!L36</f>
        <v>456613644.89810592</v>
      </c>
      <c r="K56" s="1974">
        <f t="shared" si="27"/>
        <v>-0.29941588668342556</v>
      </c>
      <c r="L56" s="1956" t="s">
        <v>465</v>
      </c>
      <c r="M56" s="165" t="s">
        <v>29</v>
      </c>
      <c r="N56" s="73">
        <f>Energy!G12</f>
        <v>26420</v>
      </c>
      <c r="O56" s="73">
        <f>Energy!L12</f>
        <v>11.04</v>
      </c>
      <c r="P56" s="9">
        <v>0</v>
      </c>
      <c r="Q56" s="73">
        <f>Energy!Q12</f>
        <v>0</v>
      </c>
      <c r="R56" s="73">
        <f>Energy!V12</f>
        <v>181865</v>
      </c>
      <c r="S56" s="73">
        <f>SUM(N56:R56)</f>
        <v>208296.04</v>
      </c>
      <c r="T56" s="1956" t="s">
        <v>465</v>
      </c>
      <c r="U56" s="165" t="s">
        <v>29</v>
      </c>
      <c r="V56" s="9">
        <v>4150</v>
      </c>
      <c r="W56" s="9">
        <v>4000</v>
      </c>
      <c r="X56" s="9">
        <v>1660</v>
      </c>
      <c r="Y56" s="9">
        <v>1600</v>
      </c>
      <c r="Z56" s="9">
        <v>1059171</v>
      </c>
      <c r="AA56" s="73">
        <f>SUM(V56:Z56)</f>
        <v>1070581</v>
      </c>
    </row>
    <row r="57" spans="1:27" s="9" customFormat="1" ht="27" thickBot="1" x14ac:dyDescent="0.3">
      <c r="A57" s="1444" t="s">
        <v>455</v>
      </c>
      <c r="B57" s="1452">
        <v>3599997</v>
      </c>
      <c r="C57" s="1003">
        <f>C56*B57</f>
        <v>1566507897763664</v>
      </c>
      <c r="D57" s="1003">
        <f>D56*B57</f>
        <v>1734871464644574.5</v>
      </c>
      <c r="E57" s="1003">
        <f>E56*B57</f>
        <v>1791745249477714.5</v>
      </c>
      <c r="F57" s="1003">
        <f>F56*B57</f>
        <v>1872635972468722.5</v>
      </c>
      <c r="G57" s="1003">
        <f>G56*B57</f>
        <v>2106509690273795.2</v>
      </c>
      <c r="H57" s="1003">
        <f>H56*B57</f>
        <v>2177253840476287.7</v>
      </c>
      <c r="I57" s="1962">
        <f>I56*B57</f>
        <v>2346338891429380.5</v>
      </c>
      <c r="J57" s="2416">
        <f>J56*B57</f>
        <v>1643807751792246.5</v>
      </c>
      <c r="K57" s="1974">
        <f t="shared" si="27"/>
        <v>-0.29941588668342567</v>
      </c>
      <c r="L57" s="1957" t="s">
        <v>464</v>
      </c>
      <c r="M57" s="85" t="s">
        <v>29</v>
      </c>
      <c r="N57" s="110">
        <f>Energy!G13</f>
        <v>200627521.74000001</v>
      </c>
      <c r="O57" s="110">
        <f>Energy!L13</f>
        <v>167037770.174106</v>
      </c>
      <c r="P57" s="110">
        <f>Energy!AK13</f>
        <v>360071</v>
      </c>
      <c r="Q57" s="110">
        <f>Energy!Q13</f>
        <v>43684260.399999999</v>
      </c>
      <c r="R57" s="110">
        <f>Energy!V13</f>
        <v>44695725.54399997</v>
      </c>
      <c r="S57" s="73">
        <f>SUM(N57:R57)</f>
        <v>456405348.85810596</v>
      </c>
      <c r="T57" s="1957" t="s">
        <v>464</v>
      </c>
      <c r="U57" s="85" t="s">
        <v>29</v>
      </c>
      <c r="V57" s="110">
        <v>203542751.79999998</v>
      </c>
      <c r="W57" s="110">
        <v>214829854.18000001</v>
      </c>
      <c r="X57" s="110">
        <v>145750042.84999999</v>
      </c>
      <c r="Y57" s="110">
        <v>42193716.479999997</v>
      </c>
      <c r="Z57" s="110">
        <v>44374400</v>
      </c>
      <c r="AA57" s="73">
        <f>SUM(V57:Z57)</f>
        <v>650690765.31000006</v>
      </c>
    </row>
    <row r="58" spans="1:27" s="9" customFormat="1" ht="27" thickBot="1" x14ac:dyDescent="0.3">
      <c r="A58" s="1447" t="s">
        <v>458</v>
      </c>
      <c r="B58" s="1453"/>
      <c r="C58" s="1441">
        <f t="shared" ref="C58:J58" si="28">C49+C57</f>
        <v>1828574777743664</v>
      </c>
      <c r="D58" s="1441">
        <f t="shared" si="28"/>
        <v>2022277990922574.5</v>
      </c>
      <c r="E58" s="1441">
        <f t="shared" si="28"/>
        <v>2249230288912714.5</v>
      </c>
      <c r="F58" s="1441">
        <f t="shared" si="28"/>
        <v>2432836103018722.5</v>
      </c>
      <c r="G58" s="1441">
        <f t="shared" si="28"/>
        <v>2728327040108795</v>
      </c>
      <c r="H58" s="1441">
        <f t="shared" si="28"/>
        <v>2851639280882288</v>
      </c>
      <c r="I58" s="1965">
        <f t="shared" si="28"/>
        <v>2998078319751955.5</v>
      </c>
      <c r="J58" s="2417">
        <f t="shared" si="28"/>
        <v>1994709626200845.7</v>
      </c>
      <c r="K58" s="1974">
        <f t="shared" si="27"/>
        <v>-0.3346706078159169</v>
      </c>
      <c r="L58" s="1958" t="s">
        <v>466</v>
      </c>
      <c r="M58" s="1035" t="s">
        <v>29</v>
      </c>
      <c r="N58" s="110">
        <f t="shared" ref="N58:S58" si="29">N56+N57</f>
        <v>200653941.74000001</v>
      </c>
      <c r="O58" s="110">
        <f t="shared" si="29"/>
        <v>167037781.21410599</v>
      </c>
      <c r="P58" s="110">
        <f t="shared" si="29"/>
        <v>360071</v>
      </c>
      <c r="Q58" s="110">
        <f t="shared" si="29"/>
        <v>43684260.399999999</v>
      </c>
      <c r="R58" s="110">
        <f t="shared" si="29"/>
        <v>44877590.54399997</v>
      </c>
      <c r="S58" s="110">
        <f t="shared" si="29"/>
        <v>456613644.89810598</v>
      </c>
      <c r="T58" s="1958" t="s">
        <v>466</v>
      </c>
      <c r="U58" s="1035" t="s">
        <v>29</v>
      </c>
      <c r="V58" s="110">
        <f t="shared" ref="V58:AA58" si="30">V56+V57</f>
        <v>203546901.79999998</v>
      </c>
      <c r="W58" s="110">
        <f t="shared" si="30"/>
        <v>214833854.18000001</v>
      </c>
      <c r="X58" s="110">
        <f t="shared" si="30"/>
        <v>145751702.84999999</v>
      </c>
      <c r="Y58" s="110">
        <f t="shared" si="30"/>
        <v>42195316.479999997</v>
      </c>
      <c r="Z58" s="110">
        <f t="shared" si="30"/>
        <v>45433571</v>
      </c>
      <c r="AA58" s="110">
        <f t="shared" si="30"/>
        <v>651761346.31000006</v>
      </c>
    </row>
    <row r="59" spans="1:27" s="9" customFormat="1" ht="15.75" thickBot="1" x14ac:dyDescent="0.3">
      <c r="A59" s="1448" t="s">
        <v>595</v>
      </c>
      <c r="B59" s="1454"/>
      <c r="C59" s="1442">
        <f>C49</f>
        <v>262066879980000</v>
      </c>
      <c r="D59" s="1442">
        <f>D49</f>
        <v>287406526278000</v>
      </c>
      <c r="E59" s="1442">
        <f>E49</f>
        <v>457485039435000</v>
      </c>
      <c r="F59" s="1442">
        <f>F49+F51+F53</f>
        <v>564887588666414.37</v>
      </c>
      <c r="G59" s="1442">
        <f>G49+G51+G53</f>
        <v>623756408685216.25</v>
      </c>
      <c r="H59" s="1442">
        <f>H49+H51+H53+H55</f>
        <v>685536933128054</v>
      </c>
      <c r="I59" s="1966">
        <f>I49+I51+I53+I55</f>
        <v>658171710528791.25</v>
      </c>
      <c r="J59" s="2415">
        <f>J49+J51+J53+J55</f>
        <v>358406863049579.94</v>
      </c>
      <c r="K59" s="1974">
        <f t="shared" si="27"/>
        <v>-0.45545082337004866</v>
      </c>
      <c r="L59" s="1959" t="s">
        <v>467</v>
      </c>
      <c r="M59" s="1041" t="s">
        <v>228</v>
      </c>
      <c r="N59" s="110">
        <f>Energy!G18</f>
        <v>47.433333246792856</v>
      </c>
      <c r="O59" s="110">
        <f>Energy!L18</f>
        <v>56.991409373493703</v>
      </c>
      <c r="P59" s="110">
        <v>0</v>
      </c>
      <c r="Q59" s="110">
        <f>Energy!Q18</f>
        <v>48.989587812112745</v>
      </c>
      <c r="R59" s="114">
        <f>Energy!V18</f>
        <v>10.478062898136104</v>
      </c>
      <c r="S59" s="110">
        <f>Energy!L40</f>
        <v>37.01511485595308</v>
      </c>
      <c r="T59" s="1959" t="s">
        <v>467</v>
      </c>
      <c r="U59" s="1041" t="s">
        <v>228</v>
      </c>
      <c r="V59" s="110">
        <v>49.002168007984288</v>
      </c>
      <c r="W59" s="110">
        <v>55.38</v>
      </c>
      <c r="X59" s="110">
        <v>16.18</v>
      </c>
      <c r="Y59" s="110">
        <v>64.989999999999995</v>
      </c>
      <c r="Z59" s="114">
        <v>9.01</v>
      </c>
      <c r="AA59" s="110">
        <v>28.7</v>
      </c>
    </row>
    <row r="60" spans="1:27" s="9" customFormat="1" ht="45.75" thickBot="1" x14ac:dyDescent="0.3">
      <c r="A60" s="1456" t="s">
        <v>596</v>
      </c>
      <c r="B60" s="1457"/>
      <c r="C60" s="1458">
        <f t="shared" ref="C60:H60" si="31">C57+C59</f>
        <v>1828574777743664</v>
      </c>
      <c r="D60" s="1458">
        <f t="shared" si="31"/>
        <v>2022277990922574.5</v>
      </c>
      <c r="E60" s="1458">
        <f t="shared" si="31"/>
        <v>2249230288912714.5</v>
      </c>
      <c r="F60" s="1458">
        <f t="shared" si="31"/>
        <v>2437523561135137</v>
      </c>
      <c r="G60" s="1458">
        <f t="shared" si="31"/>
        <v>2730266098959011.5</v>
      </c>
      <c r="H60" s="1954">
        <f t="shared" si="31"/>
        <v>2862790773604342</v>
      </c>
      <c r="I60" s="1966">
        <f>I49+I51+I53+I55+I57</f>
        <v>3004510601958172</v>
      </c>
      <c r="J60" s="2418">
        <f>J49+J51+J53+J55+J57</f>
        <v>2002214614841826.5</v>
      </c>
      <c r="K60" s="1974">
        <f t="shared" si="27"/>
        <v>-0.33359708781293868</v>
      </c>
      <c r="L60" s="1960" t="s">
        <v>827</v>
      </c>
      <c r="M60" s="1041" t="s">
        <v>228</v>
      </c>
      <c r="N60" s="114">
        <v>49</v>
      </c>
      <c r="O60" s="76">
        <v>55.38</v>
      </c>
      <c r="P60" s="76">
        <v>0</v>
      </c>
      <c r="Q60" s="76">
        <v>64.989999999999995</v>
      </c>
      <c r="R60" s="76">
        <v>9.01</v>
      </c>
      <c r="S60" s="76">
        <v>28.7</v>
      </c>
      <c r="T60" s="1960" t="s">
        <v>642</v>
      </c>
      <c r="U60" s="1041" t="s">
        <v>228</v>
      </c>
      <c r="V60" s="76">
        <v>65.959999999999994</v>
      </c>
      <c r="W60" s="76">
        <v>44.96</v>
      </c>
      <c r="X60" s="76">
        <v>32.619999999999997</v>
      </c>
      <c r="Y60" s="76">
        <v>28.9</v>
      </c>
      <c r="Z60" s="76">
        <v>9.16</v>
      </c>
      <c r="AA60" s="76">
        <v>30.44</v>
      </c>
    </row>
    <row r="61" spans="1:27" s="9" customFormat="1" ht="15.75" thickBot="1" x14ac:dyDescent="0.3">
      <c r="I61" s="1999"/>
      <c r="J61" s="2000"/>
      <c r="P61" s="138"/>
    </row>
    <row r="62" spans="1:27" s="9" customFormat="1" ht="15.75" customHeight="1" thickBot="1" x14ac:dyDescent="0.3">
      <c r="A62" s="5099" t="s">
        <v>829</v>
      </c>
      <c r="B62" s="5100"/>
      <c r="C62" s="5100"/>
      <c r="D62" s="5100"/>
      <c r="E62" s="5100"/>
      <c r="F62" s="5100"/>
      <c r="G62" s="5100"/>
      <c r="H62" s="5101"/>
      <c r="I62" s="1976" t="s">
        <v>828</v>
      </c>
      <c r="J62" s="1977"/>
      <c r="K62" s="1977"/>
      <c r="L62" s="1977"/>
      <c r="M62" s="1977"/>
      <c r="N62" s="1978"/>
      <c r="O62" s="5350" t="s">
        <v>643</v>
      </c>
      <c r="P62" s="5351"/>
      <c r="Q62" s="5351"/>
      <c r="R62" s="5351"/>
      <c r="S62" s="5351"/>
      <c r="T62" s="5352"/>
    </row>
    <row r="63" spans="1:27" s="9" customFormat="1" ht="15.75" thickBot="1" x14ac:dyDescent="0.3">
      <c r="A63" s="12"/>
      <c r="B63" s="1499" t="s">
        <v>449</v>
      </c>
      <c r="C63" s="27" t="s">
        <v>99</v>
      </c>
      <c r="D63" s="165" t="s">
        <v>100</v>
      </c>
      <c r="E63" s="1506" t="s">
        <v>830</v>
      </c>
      <c r="F63" s="1506" t="s">
        <v>101</v>
      </c>
      <c r="G63" s="1506" t="s">
        <v>103</v>
      </c>
      <c r="H63" s="167" t="s">
        <v>120</v>
      </c>
      <c r="I63" s="27" t="s">
        <v>99</v>
      </c>
      <c r="J63" s="165" t="s">
        <v>100</v>
      </c>
      <c r="K63" s="1506" t="s">
        <v>154</v>
      </c>
      <c r="L63" s="1506" t="s">
        <v>101</v>
      </c>
      <c r="M63" s="1506" t="s">
        <v>103</v>
      </c>
      <c r="N63" s="1507" t="s">
        <v>120</v>
      </c>
      <c r="O63" s="27" t="s">
        <v>99</v>
      </c>
      <c r="P63" s="165" t="s">
        <v>100</v>
      </c>
      <c r="Q63" s="1506" t="s">
        <v>154</v>
      </c>
      <c r="R63" s="1506" t="s">
        <v>101</v>
      </c>
      <c r="S63" s="1506" t="s">
        <v>103</v>
      </c>
      <c r="T63" s="1507" t="s">
        <v>120</v>
      </c>
    </row>
    <row r="64" spans="1:27" s="9" customFormat="1" x14ac:dyDescent="0.25">
      <c r="A64" s="1443" t="s">
        <v>588</v>
      </c>
      <c r="B64" s="1500" t="s">
        <v>27</v>
      </c>
      <c r="C64" s="46">
        <f>Energy!G11</f>
        <v>2215778</v>
      </c>
      <c r="D64" s="44">
        <f>Energy!L11</f>
        <v>1852569.44</v>
      </c>
      <c r="E64" s="44">
        <f>Energy!AK5</f>
        <v>63027.510356939252</v>
      </c>
      <c r="F64" s="44">
        <f>Energy!Q11</f>
        <v>624027</v>
      </c>
      <c r="G64" s="44">
        <f>Energy!V11</f>
        <v>4454621</v>
      </c>
      <c r="H64" s="2423">
        <f>SUM(C64:G64)</f>
        <v>9210022.9503569398</v>
      </c>
      <c r="I64" s="1664">
        <v>3006270</v>
      </c>
      <c r="J64" s="1664">
        <v>3406654.05</v>
      </c>
      <c r="K64" s="1665">
        <v>5137365</v>
      </c>
      <c r="L64" s="1665">
        <v>606899.9</v>
      </c>
      <c r="M64" s="1665">
        <v>4948832.7907499997</v>
      </c>
      <c r="N64" s="1667">
        <v>17106021.74075</v>
      </c>
      <c r="O64" s="1663">
        <v>3107174</v>
      </c>
      <c r="P64" s="1664">
        <v>3827947.88</v>
      </c>
      <c r="Q64" s="1665">
        <v>5610554.3799999999</v>
      </c>
      <c r="R64" s="1665">
        <v>618238</v>
      </c>
      <c r="S64" s="1665">
        <v>4536491</v>
      </c>
      <c r="T64" s="1667">
        <f t="shared" ref="T64:T73" si="32">SUM(O64:S64)</f>
        <v>17700405.259999998</v>
      </c>
    </row>
    <row r="65" spans="1:21" s="9" customFormat="1" x14ac:dyDescent="0.25">
      <c r="A65" s="1444" t="s">
        <v>591</v>
      </c>
      <c r="B65" s="1501">
        <v>38100000</v>
      </c>
      <c r="C65" s="1508">
        <f>C64*B65</f>
        <v>84421141800000</v>
      </c>
      <c r="D65" s="1509">
        <f>D64*B65</f>
        <v>70582895664000</v>
      </c>
      <c r="E65" s="1509">
        <f>E64*B65</f>
        <v>2401348144599.3857</v>
      </c>
      <c r="F65" s="1509">
        <f>F64*B65</f>
        <v>23775428700000</v>
      </c>
      <c r="G65" s="1509">
        <f>G64*B65</f>
        <v>169721060100000</v>
      </c>
      <c r="H65" s="2424">
        <f>SUM(C65:G65)</f>
        <v>350901874408599.37</v>
      </c>
      <c r="I65" s="1669">
        <f>I64*B65</f>
        <v>114538887000000</v>
      </c>
      <c r="J65" s="1669">
        <f>J64*B65</f>
        <v>129793519305000</v>
      </c>
      <c r="K65" s="1670">
        <f>K64*B65</f>
        <v>195733606500000</v>
      </c>
      <c r="L65" s="1670">
        <f>L64*B65</f>
        <v>23122886190000</v>
      </c>
      <c r="M65" s="1670">
        <f>M64*B65</f>
        <v>188550529327575</v>
      </c>
      <c r="N65" s="1672">
        <f t="shared" ref="N65:N73" si="33">SUM(I65:M65)</f>
        <v>651739428322575</v>
      </c>
      <c r="O65" s="1668">
        <v>118383329400000</v>
      </c>
      <c r="P65" s="1669">
        <v>145844814228000</v>
      </c>
      <c r="Q65" s="1670">
        <v>213762121878000</v>
      </c>
      <c r="R65" s="1670">
        <v>23554867800000</v>
      </c>
      <c r="S65" s="1670">
        <v>172840307100000</v>
      </c>
      <c r="T65" s="1672">
        <f t="shared" si="32"/>
        <v>674385440406000</v>
      </c>
    </row>
    <row r="66" spans="1:21" s="9" customFormat="1" x14ac:dyDescent="0.25">
      <c r="A66" s="1445" t="s">
        <v>587</v>
      </c>
      <c r="B66" s="1662" t="s">
        <v>27</v>
      </c>
      <c r="C66" s="46">
        <f>Energy!G15</f>
        <v>14310</v>
      </c>
      <c r="D66" s="44">
        <f>Energy!L15</f>
        <v>22121.45</v>
      </c>
      <c r="E66" s="44">
        <f>Energy!AK15</f>
        <v>10050.774326129471</v>
      </c>
      <c r="F66" s="44">
        <f>Energy!Q15</f>
        <v>2150.2199999999998</v>
      </c>
      <c r="G66" s="44">
        <f>Energy!V15</f>
        <v>16063.29</v>
      </c>
      <c r="H66" s="2425">
        <f t="shared" ref="H66:H76" si="34">SUM(C66:G66)</f>
        <v>64695.734326129466</v>
      </c>
      <c r="I66" s="1664">
        <v>19008</v>
      </c>
      <c r="J66" s="1664">
        <v>5268.83</v>
      </c>
      <c r="K66" s="1665">
        <v>32942</v>
      </c>
      <c r="L66" s="1665">
        <v>1504.6499999999999</v>
      </c>
      <c r="M66" s="1665">
        <v>16494.97</v>
      </c>
      <c r="N66" s="1667">
        <f t="shared" si="33"/>
        <v>75218.450000000012</v>
      </c>
      <c r="O66" s="1663">
        <v>22312</v>
      </c>
      <c r="P66" s="1664">
        <v>61870</v>
      </c>
      <c r="Q66" s="1665">
        <v>38169</v>
      </c>
      <c r="R66" s="1665">
        <v>0</v>
      </c>
      <c r="S66" s="1665">
        <v>20718.04</v>
      </c>
      <c r="T66" s="1667">
        <f t="shared" si="32"/>
        <v>143069.04</v>
      </c>
    </row>
    <row r="67" spans="1:21" s="9" customFormat="1" x14ac:dyDescent="0.25">
      <c r="A67" s="1444" t="s">
        <v>589</v>
      </c>
      <c r="B67" s="1501">
        <v>34200000</v>
      </c>
      <c r="C67" s="1508">
        <f>C66*B67</f>
        <v>489402000000</v>
      </c>
      <c r="D67" s="1509">
        <f>D66*B67</f>
        <v>756553590000</v>
      </c>
      <c r="E67" s="1509">
        <f>E66*B67</f>
        <v>343736481953.62793</v>
      </c>
      <c r="F67" s="1509">
        <f>F66*B67</f>
        <v>73537524000</v>
      </c>
      <c r="G67" s="1509">
        <f>G66*B67</f>
        <v>549364518000</v>
      </c>
      <c r="H67" s="2424">
        <f t="shared" si="34"/>
        <v>2212594113953.6279</v>
      </c>
      <c r="I67" s="1669">
        <f>I66*B67</f>
        <v>650073600000</v>
      </c>
      <c r="J67" s="1669">
        <f>J66*B67</f>
        <v>180193986000</v>
      </c>
      <c r="K67" s="1670">
        <f>K66*B67</f>
        <v>1126616400000</v>
      </c>
      <c r="L67" s="1670">
        <f>L66*B67</f>
        <v>51459029999.999992</v>
      </c>
      <c r="M67" s="1670">
        <f>M66*B67</f>
        <v>564127974000</v>
      </c>
      <c r="N67" s="1672">
        <f t="shared" si="33"/>
        <v>2572470990000</v>
      </c>
      <c r="O67" s="1668">
        <v>763070400000</v>
      </c>
      <c r="P67" s="1669">
        <v>2115954000000</v>
      </c>
      <c r="Q67" s="1670">
        <v>1305379800000</v>
      </c>
      <c r="R67" s="1670">
        <v>0</v>
      </c>
      <c r="S67" s="1670">
        <v>708556968000</v>
      </c>
      <c r="T67" s="1672">
        <f t="shared" si="32"/>
        <v>4892961168000</v>
      </c>
    </row>
    <row r="68" spans="1:21" s="9" customFormat="1" x14ac:dyDescent="0.25">
      <c r="A68" s="1445" t="s">
        <v>592</v>
      </c>
      <c r="B68" s="1662" t="s">
        <v>32</v>
      </c>
      <c r="C68" s="46">
        <f>Energy!G16</f>
        <v>96</v>
      </c>
      <c r="D68" s="44">
        <f>Energy!L16</f>
        <v>240</v>
      </c>
      <c r="E68" s="44">
        <f>Energy!AK16</f>
        <v>0</v>
      </c>
      <c r="F68" s="44">
        <f>Energy!Q16</f>
        <v>48</v>
      </c>
      <c r="G68" s="44">
        <f>Energy!V16</f>
        <v>330</v>
      </c>
      <c r="H68" s="2425">
        <f t="shared" si="34"/>
        <v>714</v>
      </c>
      <c r="I68" s="1664">
        <v>240</v>
      </c>
      <c r="J68" s="1664"/>
      <c r="K68" s="1665">
        <v>0</v>
      </c>
      <c r="L68" s="1665">
        <v>96</v>
      </c>
      <c r="M68" s="1665">
        <v>270</v>
      </c>
      <c r="N68" s="1667">
        <f t="shared" si="33"/>
        <v>606</v>
      </c>
      <c r="O68" s="1663">
        <v>720</v>
      </c>
      <c r="P68" s="1664">
        <v>0</v>
      </c>
      <c r="Q68" s="1665">
        <v>0</v>
      </c>
      <c r="R68" s="1665">
        <v>192</v>
      </c>
      <c r="S68" s="1665">
        <v>405</v>
      </c>
      <c r="T68" s="1667">
        <f t="shared" si="32"/>
        <v>1317</v>
      </c>
    </row>
    <row r="69" spans="1:21" s="9" customFormat="1" x14ac:dyDescent="0.25">
      <c r="A69" s="1444" t="s">
        <v>593</v>
      </c>
      <c r="B69" s="1501">
        <v>46100000</v>
      </c>
      <c r="C69" s="1508">
        <f>(C68/0.555)*B69</f>
        <v>7974054054.0540543</v>
      </c>
      <c r="D69" s="1509">
        <v>0</v>
      </c>
      <c r="E69" s="1509">
        <v>0</v>
      </c>
      <c r="F69" s="1509">
        <f>(F68/0.555)*B69</f>
        <v>3987027027.0270271</v>
      </c>
      <c r="G69" s="1509">
        <f>(G68/0.555)*B69</f>
        <v>27410810810.81081</v>
      </c>
      <c r="H69" s="2424">
        <f t="shared" si="34"/>
        <v>39371891891.891891</v>
      </c>
      <c r="I69" s="1669">
        <f>I68*B69</f>
        <v>11064000000</v>
      </c>
      <c r="J69" s="1669">
        <f>J68*B69</f>
        <v>0</v>
      </c>
      <c r="K69" s="1670">
        <v>0</v>
      </c>
      <c r="L69" s="1670">
        <f>L68*B69</f>
        <v>4425600000</v>
      </c>
      <c r="M69" s="1670">
        <f>M68*B69</f>
        <v>12447000000</v>
      </c>
      <c r="N69" s="1672">
        <f t="shared" si="33"/>
        <v>27936600000</v>
      </c>
      <c r="O69" s="1668">
        <v>33192000000</v>
      </c>
      <c r="P69" s="1669">
        <f>P68*H69</f>
        <v>0</v>
      </c>
      <c r="Q69" s="1670">
        <v>0</v>
      </c>
      <c r="R69" s="1670">
        <v>8851200000</v>
      </c>
      <c r="S69" s="1670">
        <v>18670500000</v>
      </c>
      <c r="T69" s="1672">
        <f t="shared" si="32"/>
        <v>60713700000</v>
      </c>
    </row>
    <row r="70" spans="1:21" s="9" customFormat="1" x14ac:dyDescent="0.25">
      <c r="A70" s="1445" t="s">
        <v>590</v>
      </c>
      <c r="B70" s="1662" t="s">
        <v>27</v>
      </c>
      <c r="C70" s="251">
        <f>'company plane'!S5+'company plane'!S39</f>
        <v>34887.25</v>
      </c>
      <c r="D70" s="126">
        <f>'company plane'!S5+'company plane'!S39</f>
        <v>34887.25</v>
      </c>
      <c r="E70" s="1">
        <v>0</v>
      </c>
      <c r="F70" s="126">
        <f>'company plane'!S5+'company plane'!S39</f>
        <v>34887.25</v>
      </c>
      <c r="G70" s="1">
        <v>0</v>
      </c>
      <c r="H70" s="2425">
        <f t="shared" si="34"/>
        <v>104661.75</v>
      </c>
      <c r="I70" s="1664">
        <v>25396.5</v>
      </c>
      <c r="J70" s="1666">
        <v>25396.5</v>
      </c>
      <c r="K70" s="906">
        <v>25396.5</v>
      </c>
      <c r="L70" s="906">
        <v>25396.5</v>
      </c>
      <c r="M70" s="906">
        <v>0</v>
      </c>
      <c r="N70" s="1667">
        <f t="shared" si="33"/>
        <v>101586</v>
      </c>
      <c r="O70" s="1663">
        <v>40994.25</v>
      </c>
      <c r="P70" s="1666">
        <v>40994.25</v>
      </c>
      <c r="Q70" s="906">
        <v>40994.25</v>
      </c>
      <c r="R70" s="906">
        <v>40994.25</v>
      </c>
      <c r="S70" s="906">
        <v>0</v>
      </c>
      <c r="T70" s="1667">
        <f t="shared" si="32"/>
        <v>163977</v>
      </c>
    </row>
    <row r="71" spans="1:21" s="9" customFormat="1" x14ac:dyDescent="0.25">
      <c r="A71" s="1444" t="s">
        <v>594</v>
      </c>
      <c r="B71" s="1501">
        <v>37500000</v>
      </c>
      <c r="C71" s="1508">
        <f>C70*B71</f>
        <v>1308271875000</v>
      </c>
      <c r="D71" s="1509">
        <f>D70*B71</f>
        <v>1308271875000</v>
      </c>
      <c r="E71" s="1509">
        <f>E70*B71</f>
        <v>0</v>
      </c>
      <c r="F71" s="1509">
        <f>F70*B71</f>
        <v>1308271875000</v>
      </c>
      <c r="G71" s="1509">
        <v>0</v>
      </c>
      <c r="H71" s="2424">
        <f t="shared" si="34"/>
        <v>3924815625000</v>
      </c>
      <c r="I71" s="1669">
        <f>I70*B71</f>
        <v>952368750000</v>
      </c>
      <c r="J71" s="1671">
        <f>J70*B71</f>
        <v>952368750000</v>
      </c>
      <c r="K71" s="1670">
        <f>K70*B71</f>
        <v>952368750000</v>
      </c>
      <c r="L71" s="1670">
        <f>L70*B71</f>
        <v>952368750000</v>
      </c>
      <c r="M71" s="1670">
        <f>0</f>
        <v>0</v>
      </c>
      <c r="N71" s="1672">
        <f t="shared" si="33"/>
        <v>3809475000000</v>
      </c>
      <c r="O71" s="1668">
        <v>1537284375000</v>
      </c>
      <c r="P71" s="1671">
        <v>1537284375000</v>
      </c>
      <c r="Q71" s="1670">
        <v>1537284375000</v>
      </c>
      <c r="R71" s="1670">
        <v>1537284375000</v>
      </c>
      <c r="S71" s="1670">
        <f>0</f>
        <v>0</v>
      </c>
      <c r="T71" s="1672">
        <f t="shared" si="32"/>
        <v>6149137500000</v>
      </c>
    </row>
    <row r="72" spans="1:21" s="2453" customFormat="1" ht="22.5" x14ac:dyDescent="0.25">
      <c r="A72" s="2443" t="s">
        <v>568</v>
      </c>
      <c r="B72" s="2444" t="s">
        <v>29</v>
      </c>
      <c r="C72" s="2445">
        <f>Energy!G14</f>
        <v>200653941.74000001</v>
      </c>
      <c r="D72" s="2446">
        <f>Energy!L14</f>
        <v>167037781.21410599</v>
      </c>
      <c r="E72" s="2446">
        <f>Energy!AK14</f>
        <v>360071</v>
      </c>
      <c r="F72" s="2446">
        <f>Energy!Q14</f>
        <v>43684260.399999999</v>
      </c>
      <c r="G72" s="2446">
        <f>Energy!V14</f>
        <v>44877590.54399997</v>
      </c>
      <c r="H72" s="2447">
        <f t="shared" si="34"/>
        <v>456613644.89810592</v>
      </c>
      <c r="I72" s="2448">
        <v>203546901.79999998</v>
      </c>
      <c r="J72" s="2449">
        <v>214833854.17928317</v>
      </c>
      <c r="K72" s="2450">
        <v>145751702.84999999</v>
      </c>
      <c r="L72" s="2450">
        <v>42195316.480000004</v>
      </c>
      <c r="M72" s="2450">
        <v>45433571</v>
      </c>
      <c r="N72" s="2451">
        <f t="shared" si="33"/>
        <v>651761346.30928314</v>
      </c>
      <c r="O72" s="2452">
        <v>157579859.93000001</v>
      </c>
      <c r="P72" s="2449">
        <v>218645928</v>
      </c>
      <c r="Q72" s="2450">
        <v>142440469.41</v>
      </c>
      <c r="R72" s="2450">
        <v>48841696.119999997</v>
      </c>
      <c r="S72" s="2450">
        <v>37285284</v>
      </c>
      <c r="T72" s="2451">
        <f t="shared" si="32"/>
        <v>604793237.46000004</v>
      </c>
    </row>
    <row r="73" spans="1:21" s="9" customFormat="1" ht="15.75" thickBot="1" x14ac:dyDescent="0.3">
      <c r="A73" s="1444" t="s">
        <v>455</v>
      </c>
      <c r="B73" s="1502">
        <v>3599997</v>
      </c>
      <c r="C73" s="1508">
        <f>C72*B73</f>
        <v>722353588302174.87</v>
      </c>
      <c r="D73" s="1509">
        <f>D72*B73</f>
        <v>601335511257437.87</v>
      </c>
      <c r="E73" s="1509">
        <f>E72*B73</f>
        <v>1296254519787</v>
      </c>
      <c r="F73" s="1509">
        <f>F72*B73</f>
        <v>157263206387218.78</v>
      </c>
      <c r="G73" s="1509">
        <f>G72*B73</f>
        <v>161559191325628.25</v>
      </c>
      <c r="H73" s="2424">
        <f t="shared" si="34"/>
        <v>1643807751792246.7</v>
      </c>
      <c r="I73" s="1669">
        <f>I72*B73</f>
        <v>732768235839294.5</v>
      </c>
      <c r="J73" s="1673">
        <f>J72*B73</f>
        <v>773401230543856.87</v>
      </c>
      <c r="K73" s="1670">
        <f>K72*B73</f>
        <v>524705693004891.44</v>
      </c>
      <c r="L73" s="1670">
        <f>L72*B73</f>
        <v>151903012742050.56</v>
      </c>
      <c r="M73" s="1670">
        <f>M72*B73</f>
        <v>163560719299287</v>
      </c>
      <c r="N73" s="1672">
        <f t="shared" si="33"/>
        <v>2346338891429380.5</v>
      </c>
      <c r="O73" s="1668">
        <v>567287023008420.25</v>
      </c>
      <c r="P73" s="1673">
        <v>787124684862216</v>
      </c>
      <c r="Q73" s="1670">
        <v>512785262554591.75</v>
      </c>
      <c r="R73" s="1670">
        <v>175829959506911.62</v>
      </c>
      <c r="S73" s="1670">
        <v>134226910544148</v>
      </c>
      <c r="T73" s="1672">
        <f t="shared" si="32"/>
        <v>2177253840476287.5</v>
      </c>
      <c r="U73" s="9">
        <v>2177253840476287.5</v>
      </c>
    </row>
    <row r="74" spans="1:21" s="9" customFormat="1" ht="15.75" thickBot="1" x14ac:dyDescent="0.3">
      <c r="A74" s="1447" t="s">
        <v>458</v>
      </c>
      <c r="B74" s="1503"/>
      <c r="C74" s="2428">
        <f>C65+C73</f>
        <v>806774730102174.87</v>
      </c>
      <c r="D74" s="2429">
        <f>D65+D73</f>
        <v>671918406921437.87</v>
      </c>
      <c r="E74" s="2429">
        <f>E65+E73</f>
        <v>3697602664386.3857</v>
      </c>
      <c r="F74" s="2429">
        <f>F65+F73</f>
        <v>181038635087218.78</v>
      </c>
      <c r="G74" s="2432">
        <f>G65+G73</f>
        <v>331280251425628.25</v>
      </c>
      <c r="H74" s="2435">
        <f t="shared" si="34"/>
        <v>1994709626200846.2</v>
      </c>
      <c r="I74" s="2421">
        <f t="shared" ref="I74:T74" si="35">I65+I73</f>
        <v>847307122839294.5</v>
      </c>
      <c r="J74" s="1979">
        <f t="shared" si="35"/>
        <v>903194749848856.87</v>
      </c>
      <c r="K74" s="1979">
        <f t="shared" si="35"/>
        <v>720439299504891.5</v>
      </c>
      <c r="L74" s="1979">
        <f t="shared" si="35"/>
        <v>175025898932050.56</v>
      </c>
      <c r="M74" s="1979">
        <f t="shared" si="35"/>
        <v>352111248626862</v>
      </c>
      <c r="N74" s="1979">
        <f t="shared" si="35"/>
        <v>2998078319751955.5</v>
      </c>
      <c r="O74" s="1979">
        <f t="shared" si="35"/>
        <v>685670352408420.25</v>
      </c>
      <c r="P74" s="1979">
        <f t="shared" si="35"/>
        <v>932969499090216</v>
      </c>
      <c r="Q74" s="1979">
        <f t="shared" si="35"/>
        <v>726547384432591.75</v>
      </c>
      <c r="R74" s="1979">
        <f t="shared" si="35"/>
        <v>199384827306911.62</v>
      </c>
      <c r="S74" s="1979">
        <f t="shared" si="35"/>
        <v>307067217644148</v>
      </c>
      <c r="T74" s="1979">
        <f t="shared" si="35"/>
        <v>2851639280882287.5</v>
      </c>
    </row>
    <row r="75" spans="1:21" s="9" customFormat="1" ht="15.75" thickBot="1" x14ac:dyDescent="0.3">
      <c r="A75" s="1448" t="s">
        <v>595</v>
      </c>
      <c r="B75" s="1504"/>
      <c r="C75" s="2430">
        <f>C65+C67+C69+C71</f>
        <v>86226789729054.047</v>
      </c>
      <c r="D75" s="2427">
        <f>D65+D67+D69+D71</f>
        <v>72647721129000</v>
      </c>
      <c r="E75" s="2427">
        <f>E65+E67+E69+E71</f>
        <v>2745084626553.0137</v>
      </c>
      <c r="F75" s="2427">
        <f>F65+F67+F69+F71</f>
        <v>25161225126027.027</v>
      </c>
      <c r="G75" s="2433">
        <f>G65+G67+G69+G71</f>
        <v>170297835428810.81</v>
      </c>
      <c r="H75" s="2436">
        <f t="shared" si="34"/>
        <v>357078656039444.87</v>
      </c>
      <c r="I75" s="2421">
        <f>I65+I67+I69+I71</f>
        <v>116152393350000</v>
      </c>
      <c r="J75" s="1979">
        <f t="shared" ref="J75:T75" si="36">J65+J67+J69+J71</f>
        <v>130926082041000</v>
      </c>
      <c r="K75" s="1979">
        <f t="shared" si="36"/>
        <v>197812591650000</v>
      </c>
      <c r="L75" s="1979">
        <f t="shared" si="36"/>
        <v>24131139570000</v>
      </c>
      <c r="M75" s="1979">
        <f t="shared" si="36"/>
        <v>189127104301575</v>
      </c>
      <c r="N75" s="1979">
        <f t="shared" si="36"/>
        <v>658149310912575</v>
      </c>
      <c r="O75" s="1979">
        <f t="shared" si="36"/>
        <v>120716876175000</v>
      </c>
      <c r="P75" s="1979">
        <f t="shared" si="36"/>
        <v>149498052603000</v>
      </c>
      <c r="Q75" s="1979">
        <f t="shared" si="36"/>
        <v>216604786053000</v>
      </c>
      <c r="R75" s="1979">
        <f t="shared" si="36"/>
        <v>25101003375000</v>
      </c>
      <c r="S75" s="1979">
        <f t="shared" si="36"/>
        <v>173567534568000</v>
      </c>
      <c r="T75" s="1979">
        <f t="shared" si="36"/>
        <v>685488252774000</v>
      </c>
    </row>
    <row r="76" spans="1:21" s="9" customFormat="1" ht="15.75" thickBot="1" x14ac:dyDescent="0.3">
      <c r="A76" s="1456" t="s">
        <v>596</v>
      </c>
      <c r="B76" s="1505"/>
      <c r="C76" s="2431">
        <f>C73+C75</f>
        <v>808580378031228.87</v>
      </c>
      <c r="D76" s="2426">
        <f>D73+D75</f>
        <v>673983232386437.87</v>
      </c>
      <c r="E76" s="2426">
        <f>E73+E75</f>
        <v>4041339146340.0137</v>
      </c>
      <c r="F76" s="2426">
        <f>F73+F75</f>
        <v>182424431513245.81</v>
      </c>
      <c r="G76" s="2434">
        <f>G73+G75</f>
        <v>331857026754439.06</v>
      </c>
      <c r="H76" s="2436">
        <f t="shared" si="34"/>
        <v>2000886407831691.5</v>
      </c>
      <c r="I76" s="2422">
        <f t="shared" ref="I76:N76" si="37">I65+I67+I69+I71+I73</f>
        <v>848920629189294.5</v>
      </c>
      <c r="J76" s="1675">
        <f t="shared" si="37"/>
        <v>904327312584856.87</v>
      </c>
      <c r="K76" s="1676">
        <f t="shared" si="37"/>
        <v>722518284654891.5</v>
      </c>
      <c r="L76" s="1677">
        <f t="shared" si="37"/>
        <v>176034152312050.56</v>
      </c>
      <c r="M76" s="1677">
        <f t="shared" si="37"/>
        <v>352687823600862</v>
      </c>
      <c r="N76" s="1674">
        <f t="shared" si="37"/>
        <v>3004488202341955.5</v>
      </c>
      <c r="O76" s="1675">
        <f t="shared" ref="O76:T76" si="38">O65+O67+O69+O71+O73</f>
        <v>688003899183420.25</v>
      </c>
      <c r="P76" s="1675">
        <f t="shared" si="38"/>
        <v>936622737465216</v>
      </c>
      <c r="Q76" s="1676">
        <f t="shared" si="38"/>
        <v>729390048607591.75</v>
      </c>
      <c r="R76" s="1677">
        <f t="shared" si="38"/>
        <v>200930962881911.62</v>
      </c>
      <c r="S76" s="1677">
        <f t="shared" si="38"/>
        <v>307794445112148</v>
      </c>
      <c r="T76" s="1674">
        <f t="shared" si="38"/>
        <v>2862742093250287.5</v>
      </c>
    </row>
    <row r="77" spans="1:21" s="9" customFormat="1" ht="15.75" thickBot="1" x14ac:dyDescent="0.3">
      <c r="A77" s="1456" t="s">
        <v>929</v>
      </c>
      <c r="B77" s="2437">
        <v>1000000000000000</v>
      </c>
      <c r="C77" s="2438">
        <f>C76/B77</f>
        <v>0.80858037803122884</v>
      </c>
      <c r="D77" s="2439">
        <f>D76/B77</f>
        <v>0.67398323238643787</v>
      </c>
      <c r="E77" s="2439">
        <f>E76/B77</f>
        <v>4.0413391463400136E-3</v>
      </c>
      <c r="F77" s="2439">
        <f>F76/B77</f>
        <v>0.1824244315132458</v>
      </c>
      <c r="G77" s="2440">
        <f>G76/B77</f>
        <v>0.33185702675443907</v>
      </c>
      <c r="H77" s="2441">
        <f>H76/B77</f>
        <v>2.0008864078316915</v>
      </c>
      <c r="I77" s="2460">
        <f>(H77-N77)/N77</f>
        <v>-0.3340341938197563</v>
      </c>
      <c r="J77" s="1561"/>
      <c r="K77" s="39"/>
      <c r="L77" s="39">
        <f>(H72-N72)/N72</f>
        <v>-0.29941588668342556</v>
      </c>
      <c r="M77" s="39"/>
      <c r="N77" s="2459">
        <f>N76/B77</f>
        <v>3.0044882023419555</v>
      </c>
      <c r="O77" s="39"/>
      <c r="P77" s="39"/>
      <c r="Q77" s="39"/>
      <c r="R77" s="39"/>
    </row>
    <row r="78" spans="1:21" s="9" customFormat="1" ht="15.75" x14ac:dyDescent="0.25">
      <c r="A78" s="910" t="s">
        <v>462</v>
      </c>
      <c r="D78" s="2419">
        <f>D80/B77</f>
        <v>4.029459156240014E-3</v>
      </c>
      <c r="E78" s="73">
        <f>E72-3300</f>
        <v>356771</v>
      </c>
      <c r="F78" s="2420">
        <f>H65-E65</f>
        <v>348500526264000</v>
      </c>
      <c r="G78" s="73">
        <f>H64-E64</f>
        <v>9146995.4400000013</v>
      </c>
      <c r="H78" s="445">
        <f>H64+H66+H68+H70</f>
        <v>9380094.4346830696</v>
      </c>
      <c r="I78" s="1898">
        <f>(H78-N78)/N78</f>
        <v>-0.45727825751512213</v>
      </c>
      <c r="J78" s="9">
        <f>(N64-H64)/N64</f>
        <v>0.46159176634174359</v>
      </c>
      <c r="L78" s="1898"/>
      <c r="N78" s="445">
        <f>N64+N66+N68+N70</f>
        <v>17283432.190749999</v>
      </c>
    </row>
    <row r="79" spans="1:21" s="9" customFormat="1" x14ac:dyDescent="0.25">
      <c r="D79" s="2419">
        <f>3300*3599997</f>
        <v>11879990100</v>
      </c>
      <c r="E79" s="2419">
        <f>E78*3599997</f>
        <v>1284374529687</v>
      </c>
      <c r="F79" s="2420">
        <f>H73-E73</f>
        <v>1642511497272459.7</v>
      </c>
      <c r="G79" s="73">
        <f>H72-E72</f>
        <v>456253573.89810592</v>
      </c>
      <c r="H79" s="2419">
        <f>H65+H67+H69+H71</f>
        <v>357078656039444.87</v>
      </c>
      <c r="I79" s="1898">
        <f>(H79-N79)/N79</f>
        <v>-0.457450383797671</v>
      </c>
      <c r="N79" s="1672">
        <f>N65+N67+N69+N71</f>
        <v>658149310912575</v>
      </c>
    </row>
    <row r="80" spans="1:21" s="9" customFormat="1" ht="15.75" thickBot="1" x14ac:dyDescent="0.3">
      <c r="A80" s="40" t="s">
        <v>355</v>
      </c>
      <c r="C80" s="2419">
        <f>D80/B77</f>
        <v>4.029459156240014E-3</v>
      </c>
      <c r="D80" s="2419">
        <f>E76-D79</f>
        <v>4029459156240.0137</v>
      </c>
      <c r="E80" s="2442">
        <f>D79/B77</f>
        <v>1.1879990100000001E-5</v>
      </c>
      <c r="F80" s="2420">
        <f>H74-E74</f>
        <v>1991012023536459.7</v>
      </c>
      <c r="G80" s="2420">
        <f>H76-E76</f>
        <v>1996845068685351.5</v>
      </c>
      <c r="N80" s="2419">
        <f>N79/B77</f>
        <v>0.658149310912575</v>
      </c>
    </row>
    <row r="81" spans="1:34" s="9" customFormat="1" ht="15.75" thickBot="1" x14ac:dyDescent="0.3">
      <c r="A81" s="1024" t="s">
        <v>0</v>
      </c>
      <c r="B81" s="911" t="s">
        <v>1</v>
      </c>
      <c r="C81" s="911">
        <v>2012</v>
      </c>
      <c r="D81" s="911">
        <v>2013</v>
      </c>
      <c r="E81" s="911">
        <v>2014</v>
      </c>
      <c r="F81" s="911">
        <v>2015</v>
      </c>
      <c r="G81" s="915">
        <v>2016</v>
      </c>
      <c r="H81" s="1056">
        <v>2017</v>
      </c>
      <c r="I81" s="1428" t="s">
        <v>463</v>
      </c>
      <c r="J81" s="1429">
        <v>2018</v>
      </c>
      <c r="K81" s="1428" t="s">
        <v>566</v>
      </c>
      <c r="L81" s="1980">
        <v>2019</v>
      </c>
      <c r="M81" s="1981" t="s">
        <v>820</v>
      </c>
    </row>
    <row r="82" spans="1:34" s="9" customFormat="1" ht="15.75" thickBot="1" x14ac:dyDescent="0.3">
      <c r="A82" s="1025" t="s">
        <v>464</v>
      </c>
      <c r="B82" s="165" t="s">
        <v>29</v>
      </c>
      <c r="C82" s="1026">
        <v>435141445.33333337</v>
      </c>
      <c r="D82" s="1026">
        <v>481306824.76999998</v>
      </c>
      <c r="E82" s="1026">
        <v>496616729.5</v>
      </c>
      <c r="F82" s="1026">
        <v>518638968.5</v>
      </c>
      <c r="G82" s="1027">
        <v>582406798</v>
      </c>
      <c r="H82" s="1426">
        <f>[3]Energy!G23</f>
        <v>603992783.45999992</v>
      </c>
      <c r="I82" s="1427">
        <f>(H82-G82)/G82</f>
        <v>3.7063416042063299E-2</v>
      </c>
      <c r="J82" s="1461">
        <v>650690765.30928314</v>
      </c>
      <c r="K82" s="1984">
        <f>(J82-H82)/H82</f>
        <v>7.7315463244066795E-2</v>
      </c>
      <c r="L82" s="1982">
        <f>Energy!L35</f>
        <v>456405348.85810596</v>
      </c>
      <c r="M82" s="1986">
        <f>(L82-J82)/J82</f>
        <v>-0.29858333145212285</v>
      </c>
    </row>
    <row r="83" spans="1:34" s="9" customFormat="1" ht="15.75" thickBot="1" x14ac:dyDescent="0.3">
      <c r="A83" s="1030" t="s">
        <v>465</v>
      </c>
      <c r="B83" s="85" t="s">
        <v>29</v>
      </c>
      <c r="C83" s="1031">
        <v>0</v>
      </c>
      <c r="D83" s="1032">
        <v>602317</v>
      </c>
      <c r="E83" s="1033">
        <v>1090699</v>
      </c>
      <c r="F83" s="1033">
        <v>1538124</v>
      </c>
      <c r="G83" s="1034">
        <v>2735270.25</v>
      </c>
      <c r="H83" s="1028">
        <f>[3]Energy!G22</f>
        <v>800454</v>
      </c>
      <c r="I83" s="1422">
        <f>(H83-G83)/G83</f>
        <v>-0.70735834969140621</v>
      </c>
      <c r="J83" s="1409">
        <v>1070581</v>
      </c>
      <c r="K83" s="1495">
        <f>(J83-H83)/H83</f>
        <v>0.33746723734280798</v>
      </c>
      <c r="L83" s="1983">
        <f>Energy!L34</f>
        <v>208296.04</v>
      </c>
      <c r="M83" s="1986">
        <f>(L83-J83)/J83</f>
        <v>-0.80543644992765606</v>
      </c>
    </row>
    <row r="84" spans="1:34" s="9" customFormat="1" ht="15.75" thickBot="1" x14ac:dyDescent="0.3">
      <c r="A84" s="1014" t="s">
        <v>466</v>
      </c>
      <c r="B84" s="1035" t="s">
        <v>29</v>
      </c>
      <c r="C84" s="1036">
        <f t="shared" ref="C84:H84" si="39">SUM(C82:C83)</f>
        <v>435141445.33333337</v>
      </c>
      <c r="D84" s="1037">
        <f t="shared" si="39"/>
        <v>481909141.76999998</v>
      </c>
      <c r="E84" s="1037">
        <f t="shared" si="39"/>
        <v>497707428.5</v>
      </c>
      <c r="F84" s="1037">
        <f t="shared" si="39"/>
        <v>520177092.5</v>
      </c>
      <c r="G84" s="1038">
        <f t="shared" si="39"/>
        <v>585142068.25</v>
      </c>
      <c r="H84" s="1039">
        <f t="shared" si="39"/>
        <v>604793237.45999992</v>
      </c>
      <c r="I84" s="1423">
        <f>(H84-G84)/G84</f>
        <v>3.358358640794909E-2</v>
      </c>
      <c r="J84" s="1409">
        <f>SUM(J82:J83)</f>
        <v>651761346.30928314</v>
      </c>
      <c r="K84" s="1495">
        <f>(J84-H84)/H84</f>
        <v>7.7659778483203712E-2</v>
      </c>
      <c r="L84" s="1983">
        <f>SUM(L82:L83)</f>
        <v>456613644.89810598</v>
      </c>
      <c r="M84" s="1986">
        <f>(L84-J84)/J84</f>
        <v>-0.2994158866834255</v>
      </c>
    </row>
    <row r="85" spans="1:34" s="9" customFormat="1" ht="15.75" thickBot="1" x14ac:dyDescent="0.3">
      <c r="A85" s="1040" t="s">
        <v>467</v>
      </c>
      <c r="B85" s="1041" t="s">
        <v>228</v>
      </c>
      <c r="C85" s="1042"/>
      <c r="D85" s="1043"/>
      <c r="E85" s="1043">
        <f>[6]Energy!$G$27</f>
        <v>27.808522483168861</v>
      </c>
      <c r="F85" s="1043">
        <f>[6]Energy!$G$26</f>
        <v>26.626979995357221</v>
      </c>
      <c r="G85" s="1044">
        <f>[5]Energy!$H$24</f>
        <v>28.735785967425461</v>
      </c>
      <c r="H85" s="1045">
        <f>[3]Energy!G28</f>
        <v>30.441501941056753</v>
      </c>
      <c r="I85" s="1423">
        <f>(H85-G85)/G85</f>
        <v>5.9358598214953005E-2</v>
      </c>
      <c r="J85" s="1425">
        <v>28.695588995763611</v>
      </c>
      <c r="K85" s="1985">
        <f>(J85-H85)/H85</f>
        <v>-5.7353048764601594E-2</v>
      </c>
      <c r="L85" s="1425">
        <f>L84/Production!G16</f>
        <v>37.015114855953087</v>
      </c>
      <c r="M85" s="1986">
        <f>(L85-J85)/J85</f>
        <v>0.28992350919919102</v>
      </c>
    </row>
    <row r="86" spans="1:34" s="9" customFormat="1" x14ac:dyDescent="0.25"/>
    <row r="87" spans="1:34" s="9" customFormat="1" ht="15.75" thickBot="1" x14ac:dyDescent="0.3">
      <c r="A87" s="40" t="s">
        <v>957</v>
      </c>
    </row>
    <row r="88" spans="1:34" s="9" customFormat="1" ht="15.75" thickBot="1" x14ac:dyDescent="0.3">
      <c r="A88" s="1046" t="s">
        <v>0</v>
      </c>
      <c r="B88" s="1047" t="s">
        <v>1</v>
      </c>
      <c r="C88" s="1047" t="s">
        <v>99</v>
      </c>
      <c r="D88" s="1047" t="s">
        <v>100</v>
      </c>
      <c r="E88" s="1047" t="s">
        <v>101</v>
      </c>
      <c r="F88" s="1047" t="s">
        <v>103</v>
      </c>
      <c r="G88" s="1048" t="s">
        <v>120</v>
      </c>
    </row>
    <row r="89" spans="1:34" s="116" customFormat="1" x14ac:dyDescent="0.25">
      <c r="A89" s="2520" t="s">
        <v>966</v>
      </c>
      <c r="B89" s="171" t="s">
        <v>571</v>
      </c>
      <c r="C89" s="2524">
        <v>192708051.66</v>
      </c>
      <c r="D89" s="2522">
        <v>192881286.69</v>
      </c>
      <c r="E89" s="2522">
        <v>48672641.409999996</v>
      </c>
      <c r="F89" s="1527">
        <v>4306769</v>
      </c>
      <c r="G89" s="2521"/>
    </row>
    <row r="90" spans="1:34" s="116" customFormat="1" x14ac:dyDescent="0.25">
      <c r="A90" s="2520" t="s">
        <v>956</v>
      </c>
      <c r="B90" s="171"/>
      <c r="C90" s="31"/>
      <c r="D90" s="2522"/>
      <c r="E90" s="2526">
        <v>21800000</v>
      </c>
      <c r="F90" s="95"/>
      <c r="G90" s="2521"/>
    </row>
    <row r="91" spans="1:34" s="9" customFormat="1" x14ac:dyDescent="0.25">
      <c r="A91" s="1049" t="s">
        <v>464</v>
      </c>
      <c r="B91" s="78" t="s">
        <v>572</v>
      </c>
      <c r="C91" s="73">
        <f>C89/14.19</f>
        <v>13580553.32346723</v>
      </c>
      <c r="D91" s="73">
        <f>D89/14.19</f>
        <v>13592761.570824524</v>
      </c>
      <c r="E91" s="73">
        <f>E89/14.19</f>
        <v>3430066.3431994361</v>
      </c>
      <c r="F91" s="2522">
        <v>4262419.7299999995</v>
      </c>
      <c r="G91" s="2055"/>
    </row>
    <row r="92" spans="1:34" s="9" customFormat="1" ht="15.75" thickBot="1" x14ac:dyDescent="0.3">
      <c r="A92" s="1050" t="s">
        <v>956</v>
      </c>
      <c r="B92" s="79" t="s">
        <v>572</v>
      </c>
      <c r="C92" s="79"/>
      <c r="D92" s="1051"/>
      <c r="E92" s="73">
        <f>E90/14.19</f>
        <v>1536293.1642001411</v>
      </c>
      <c r="F92" s="1051">
        <v>61754999</v>
      </c>
      <c r="G92" s="2514"/>
    </row>
    <row r="93" spans="1:34" s="9" customFormat="1" ht="15.75" thickBot="1" x14ac:dyDescent="0.3">
      <c r="A93" s="1052" t="s">
        <v>958</v>
      </c>
      <c r="B93" s="1053"/>
      <c r="C93" s="2515"/>
      <c r="D93" s="2516"/>
      <c r="E93" s="2516"/>
      <c r="F93" s="2516">
        <f>F89/F92</f>
        <v>6.9739601161680848E-2</v>
      </c>
      <c r="G93" s="2517"/>
    </row>
    <row r="94" spans="1:34" s="9" customFormat="1" ht="23.25" customHeight="1" x14ac:dyDescent="0.25">
      <c r="C94" s="2525">
        <v>6020869.2800000003</v>
      </c>
      <c r="D94" s="73"/>
    </row>
    <row r="95" spans="1:34" s="9" customFormat="1" x14ac:dyDescent="0.25">
      <c r="C95" s="2523">
        <v>186687182.38</v>
      </c>
    </row>
    <row r="96" spans="1:34" s="9" customFormat="1" ht="15.75" x14ac:dyDescent="0.25">
      <c r="A96" s="910" t="s">
        <v>354</v>
      </c>
      <c r="C96" s="445"/>
      <c r="L96" s="1"/>
      <c r="M96" s="1"/>
      <c r="N96" s="1"/>
      <c r="O96" s="1"/>
      <c r="P96" s="1"/>
      <c r="Q96" s="1"/>
      <c r="R96" s="1"/>
      <c r="S96" s="1"/>
      <c r="T96" s="1"/>
      <c r="U96" s="1"/>
      <c r="V96" s="1"/>
      <c r="W96" s="1"/>
      <c r="X96" s="1"/>
      <c r="Y96" s="1"/>
      <c r="Z96" s="1"/>
      <c r="AA96" s="1"/>
      <c r="AB96" s="1"/>
      <c r="AC96" s="1"/>
      <c r="AD96" s="1"/>
      <c r="AE96" s="1"/>
      <c r="AF96" s="1"/>
      <c r="AG96" s="1"/>
      <c r="AH96" s="1"/>
    </row>
    <row r="97" spans="1:50" s="9" customFormat="1" ht="22.5" customHeight="1" x14ac:dyDescent="0.25">
      <c r="A97" s="1113"/>
      <c r="B97" s="40"/>
      <c r="C97" s="40"/>
      <c r="D97" s="40"/>
      <c r="E97" s="40"/>
      <c r="F97" s="40"/>
      <c r="G97" s="40"/>
      <c r="H97" s="40"/>
      <c r="L97" s="1"/>
      <c r="M97" s="1"/>
      <c r="N97" s="1"/>
      <c r="O97" s="1"/>
      <c r="P97" s="1"/>
      <c r="Q97" s="1196"/>
      <c r="R97" s="1196"/>
      <c r="S97" s="1192"/>
      <c r="T97" s="1192"/>
      <c r="U97" s="1196"/>
      <c r="V97" s="1"/>
      <c r="W97" s="1"/>
      <c r="X97" s="842"/>
      <c r="Y97" s="1199"/>
      <c r="Z97" s="1200"/>
      <c r="AA97" s="53"/>
      <c r="AI97" s="219" t="s">
        <v>23</v>
      </c>
      <c r="AJ97" s="1"/>
      <c r="AK97" s="1"/>
      <c r="AL97" s="1111" t="e">
        <f>#REF!+#REF!+#REF!+#REF!+#REF!+#REF!</f>
        <v>#REF!</v>
      </c>
      <c r="AM97" s="1112" t="e">
        <f>(AL97-#REF!)/#REF!</f>
        <v>#REF!</v>
      </c>
    </row>
    <row r="98" spans="1:50" s="9" customFormat="1" x14ac:dyDescent="0.25">
      <c r="A98" s="1113"/>
      <c r="B98" s="40"/>
      <c r="C98" s="40"/>
      <c r="D98" s="40"/>
      <c r="E98" s="40"/>
      <c r="F98" s="40"/>
      <c r="G98" s="40"/>
      <c r="H98" s="40"/>
      <c r="L98" s="1"/>
      <c r="M98" s="1"/>
      <c r="N98" s="1"/>
      <c r="O98" s="1"/>
      <c r="P98" s="1"/>
      <c r="Q98" s="1196"/>
      <c r="R98" s="1196"/>
      <c r="S98" s="1193"/>
      <c r="T98" s="1193"/>
      <c r="U98" s="1196"/>
      <c r="V98" s="1"/>
      <c r="W98" s="1"/>
      <c r="X98" s="842"/>
      <c r="Y98" s="1199"/>
      <c r="Z98" s="1200"/>
      <c r="AA98" s="53"/>
      <c r="AI98" s="1108" t="s">
        <v>356</v>
      </c>
      <c r="AJ98" s="850"/>
      <c r="AK98" s="850"/>
      <c r="AL98" s="1109" t="e">
        <f>#REF!+#REF!+#REF!+#REF!+#REF!+#REF!</f>
        <v>#REF!</v>
      </c>
      <c r="AM98" s="1110" t="e">
        <f>(AL98-#REF!)/#REF!</f>
        <v>#REF!</v>
      </c>
    </row>
    <row r="99" spans="1:50" s="9" customFormat="1" ht="15.75" thickBot="1" x14ac:dyDescent="0.3">
      <c r="L99" s="1"/>
      <c r="M99" s="1"/>
      <c r="N99" s="1"/>
      <c r="O99" s="1"/>
      <c r="P99" s="1"/>
      <c r="Q99" s="1194"/>
      <c r="R99" s="1195"/>
      <c r="S99" s="1195"/>
      <c r="T99" s="1195"/>
      <c r="U99" s="1195"/>
      <c r="V99" s="1"/>
      <c r="W99" s="1"/>
      <c r="X99" s="842"/>
      <c r="Y99" s="1199"/>
      <c r="Z99" s="842"/>
      <c r="AA99" s="39"/>
      <c r="AI99" s="1116" t="s">
        <v>357</v>
      </c>
      <c r="AJ99" s="1"/>
      <c r="AK99" s="1"/>
      <c r="AL99" s="1111" t="e">
        <f>#REF!+#REF!+#REF!+#REF!+#REF!+#REF!</f>
        <v>#REF!</v>
      </c>
      <c r="AM99" s="1112" t="e">
        <f>(AL99-#REF!)/#REF!</f>
        <v>#REF!</v>
      </c>
    </row>
    <row r="100" spans="1:50" s="9" customFormat="1" ht="34.5" thickBot="1" x14ac:dyDescent="0.3">
      <c r="A100" s="2002" t="s">
        <v>834</v>
      </c>
      <c r="B100" s="4962" t="s">
        <v>100</v>
      </c>
      <c r="C100" s="4963"/>
      <c r="D100" s="4963"/>
      <c r="E100" s="4963"/>
      <c r="F100" s="4964"/>
      <c r="G100" s="4962" t="s">
        <v>101</v>
      </c>
      <c r="H100" s="4963"/>
      <c r="I100" s="4963"/>
      <c r="J100" s="4963"/>
      <c r="K100" s="4963"/>
      <c r="L100" s="5350" t="s">
        <v>103</v>
      </c>
      <c r="M100" s="5351"/>
      <c r="N100" s="5351"/>
      <c r="O100" s="5351"/>
      <c r="P100" s="5351"/>
      <c r="Q100" s="1241"/>
      <c r="R100" s="1276"/>
      <c r="S100" s="165"/>
      <c r="T100" s="165"/>
      <c r="U100" s="81"/>
      <c r="V100" s="4963" t="s">
        <v>99</v>
      </c>
      <c r="W100" s="4963"/>
      <c r="X100" s="4963"/>
      <c r="Y100" s="4963"/>
      <c r="Z100" s="4964"/>
      <c r="AA100" s="5034" t="s">
        <v>219</v>
      </c>
      <c r="AB100" s="5034"/>
      <c r="AC100" s="5034"/>
      <c r="AD100" s="5034"/>
      <c r="AE100" s="5034"/>
      <c r="AF100" s="5034"/>
      <c r="AG100" s="5035"/>
      <c r="AH100" s="5357" t="s">
        <v>468</v>
      </c>
      <c r="AI100" s="5358"/>
      <c r="AJ100" s="5358"/>
      <c r="AK100" s="5358"/>
      <c r="AL100" s="5358"/>
      <c r="AM100" s="5358"/>
      <c r="AN100" s="5359"/>
    </row>
    <row r="101" spans="1:50" s="9" customFormat="1" ht="15.75" thickBot="1" x14ac:dyDescent="0.3">
      <c r="A101" s="149" t="s">
        <v>469</v>
      </c>
      <c r="B101" s="1057">
        <v>6047645</v>
      </c>
      <c r="C101" s="1058">
        <v>4863258</v>
      </c>
      <c r="D101" s="1059">
        <f>(C101-B101)/B101</f>
        <v>-0.19584267925779372</v>
      </c>
      <c r="E101" s="1232">
        <v>3879368</v>
      </c>
      <c r="F101" s="1059"/>
      <c r="G101" s="1057">
        <v>1128198</v>
      </c>
      <c r="H101" s="1058">
        <v>667821</v>
      </c>
      <c r="I101" s="1059">
        <f>(H101-G101)/G101</f>
        <v>-0.40806401004079074</v>
      </c>
      <c r="J101" s="1060">
        <v>649259</v>
      </c>
      <c r="K101" s="1060"/>
      <c r="L101" s="1238">
        <v>4420632</v>
      </c>
      <c r="M101" s="1217">
        <v>4071592</v>
      </c>
      <c r="N101" s="1218">
        <f>(M101-L101)/L101</f>
        <v>-7.8957036007521103E-2</v>
      </c>
      <c r="O101" s="1239">
        <v>5045284</v>
      </c>
      <c r="P101" s="1240">
        <f>(O101-M101)/M101</f>
        <v>0.23914282177585575</v>
      </c>
      <c r="Q101" s="1271"/>
      <c r="R101" s="1277"/>
      <c r="S101" s="76"/>
      <c r="T101" s="76"/>
      <c r="U101" s="82"/>
      <c r="V101" s="1058">
        <v>3320951</v>
      </c>
      <c r="W101" s="1058">
        <v>2389087</v>
      </c>
      <c r="X101" s="1061">
        <f>(W101-V101)/V101</f>
        <v>-0.2806015505799393</v>
      </c>
      <c r="Y101" s="1234">
        <v>4153835</v>
      </c>
      <c r="Z101" s="1219"/>
      <c r="AA101" s="1062" t="e">
        <f>#REF!+#REF!</f>
        <v>#REF!</v>
      </c>
      <c r="AB101" s="1062">
        <v>8894180</v>
      </c>
      <c r="AC101" s="1229"/>
      <c r="AD101" s="1235">
        <v>8985200</v>
      </c>
      <c r="AE101" s="1063"/>
      <c r="AF101" s="1064">
        <f>AB101-(AB101*0.25)</f>
        <v>6670635</v>
      </c>
      <c r="AG101" s="1065"/>
      <c r="AH101" s="1066">
        <v>20362835</v>
      </c>
      <c r="AI101" s="1208">
        <v>19867391.518035099</v>
      </c>
      <c r="AJ101" s="1067">
        <f>(AI101-AH101)/AH101</f>
        <v>-2.4330771327514124E-2</v>
      </c>
      <c r="AK101" s="1067"/>
      <c r="AL101" s="1236">
        <v>22712945.407933742</v>
      </c>
      <c r="AM101" s="1237">
        <f>(AL101-AI101)/AI101</f>
        <v>0.14322735258503982</v>
      </c>
      <c r="AT101" s="75" t="s">
        <v>516</v>
      </c>
      <c r="AU101" s="1"/>
      <c r="AV101" s="1"/>
      <c r="AW101" s="1"/>
      <c r="AX101" s="1"/>
    </row>
    <row r="102" spans="1:50" s="9" customFormat="1" ht="49.5" thickBot="1" x14ac:dyDescent="0.3">
      <c r="B102" s="1380">
        <v>2016</v>
      </c>
      <c r="C102" s="1381">
        <v>2017</v>
      </c>
      <c r="D102" s="1382" t="s">
        <v>470</v>
      </c>
      <c r="E102" s="1201">
        <v>2018</v>
      </c>
      <c r="F102" s="1202" t="s">
        <v>518</v>
      </c>
      <c r="G102" s="1380">
        <v>2016</v>
      </c>
      <c r="H102" s="1381">
        <v>2017</v>
      </c>
      <c r="I102" s="1382" t="s">
        <v>470</v>
      </c>
      <c r="J102" s="1201">
        <v>2018</v>
      </c>
      <c r="K102" s="1202" t="s">
        <v>518</v>
      </c>
      <c r="L102" s="1275">
        <v>2016</v>
      </c>
      <c r="M102" s="555">
        <v>2017</v>
      </c>
      <c r="N102" s="1268" t="s">
        <v>470</v>
      </c>
      <c r="O102" s="1269" t="s">
        <v>641</v>
      </c>
      <c r="P102" s="1270" t="s">
        <v>541</v>
      </c>
      <c r="Q102" s="1272" t="s">
        <v>519</v>
      </c>
      <c r="R102" s="28"/>
      <c r="S102" s="76"/>
      <c r="T102" s="76"/>
      <c r="U102" s="82"/>
      <c r="V102" s="1225">
        <v>2016</v>
      </c>
      <c r="W102" s="1220">
        <v>2017</v>
      </c>
      <c r="X102" s="1221" t="s">
        <v>470</v>
      </c>
      <c r="Y102" s="1221">
        <v>2018</v>
      </c>
      <c r="Z102" s="1284" t="s">
        <v>518</v>
      </c>
      <c r="AA102" s="555">
        <v>2016</v>
      </c>
      <c r="AB102" s="555">
        <v>2017</v>
      </c>
      <c r="AC102" s="1268" t="s">
        <v>470</v>
      </c>
      <c r="AD102" s="1268">
        <v>2018</v>
      </c>
      <c r="AE102" s="1285" t="s">
        <v>518</v>
      </c>
      <c r="AF102" s="1280" t="s">
        <v>472</v>
      </c>
      <c r="AG102" s="1280" t="s">
        <v>473</v>
      </c>
      <c r="AH102" s="1281">
        <v>2016</v>
      </c>
      <c r="AI102" s="1281">
        <v>2017</v>
      </c>
      <c r="AJ102" s="1282" t="s">
        <v>470</v>
      </c>
      <c r="AK102" s="1282"/>
      <c r="AL102" s="1282">
        <v>2018</v>
      </c>
      <c r="AM102" s="1283" t="s">
        <v>543</v>
      </c>
      <c r="AN102" s="1279" t="s">
        <v>542</v>
      </c>
      <c r="AT102" s="75" t="s">
        <v>479</v>
      </c>
      <c r="AU102" s="1"/>
      <c r="AV102" s="1"/>
      <c r="AW102" s="1"/>
      <c r="AX102" s="1"/>
    </row>
    <row r="103" spans="1:50" s="9" customFormat="1" ht="34.5" thickBot="1" x14ac:dyDescent="0.3">
      <c r="A103" s="1069" t="s">
        <v>108</v>
      </c>
      <c r="B103" s="1070">
        <v>908179</v>
      </c>
      <c r="C103" s="1071">
        <v>927448</v>
      </c>
      <c r="D103" s="1203">
        <v>927448</v>
      </c>
      <c r="E103" s="1072">
        <v>1003671</v>
      </c>
      <c r="F103" s="1233">
        <f>(E103-D103)/D103</f>
        <v>8.2185739793497858E-2</v>
      </c>
      <c r="G103" s="1383">
        <v>0</v>
      </c>
      <c r="H103" s="1384">
        <v>0</v>
      </c>
      <c r="I103" s="1385">
        <v>0</v>
      </c>
      <c r="J103" s="1073">
        <f>'Water Mangt'!Q5</f>
        <v>0</v>
      </c>
      <c r="K103" s="1074" t="e">
        <f>(J103-I103)/I103</f>
        <v>#DIV/0!</v>
      </c>
      <c r="L103" s="1265">
        <v>53938</v>
      </c>
      <c r="M103" s="1266">
        <v>37320</v>
      </c>
      <c r="N103" s="1378">
        <v>49622.96</v>
      </c>
      <c r="O103" s="1267">
        <v>37320</v>
      </c>
      <c r="P103" s="1371">
        <f>N103*1.24</f>
        <v>61532.470399999998</v>
      </c>
      <c r="Q103" s="1273">
        <f>(P103-N103)/N103</f>
        <v>0.24</v>
      </c>
      <c r="R103" s="28"/>
      <c r="S103" s="76"/>
      <c r="T103" s="1175" t="s">
        <v>108</v>
      </c>
      <c r="U103" s="1183"/>
      <c r="V103" s="1213">
        <v>0</v>
      </c>
      <c r="W103" s="1090">
        <v>0</v>
      </c>
      <c r="X103" s="1369">
        <v>0</v>
      </c>
      <c r="Y103" s="1071">
        <v>0</v>
      </c>
      <c r="Z103" s="1222">
        <v>0</v>
      </c>
      <c r="AA103" s="1212" t="e">
        <f>#REF!+#REF!</f>
        <v>#REF!</v>
      </c>
      <c r="AB103" s="1075">
        <v>0</v>
      </c>
      <c r="AC103" s="1367">
        <v>0</v>
      </c>
      <c r="AD103" s="2003">
        <v>0</v>
      </c>
      <c r="AE103" s="1076" t="e">
        <f>(AD103-AC103)/AC103</f>
        <v>#DIV/0!</v>
      </c>
      <c r="AF103" s="1077">
        <v>0</v>
      </c>
      <c r="AG103" s="1078">
        <v>0</v>
      </c>
      <c r="AH103" s="1079">
        <v>962117</v>
      </c>
      <c r="AI103" s="1075">
        <v>964768</v>
      </c>
      <c r="AJ103" s="1224">
        <v>977070.96</v>
      </c>
      <c r="AK103" s="1224"/>
      <c r="AL103" s="1230">
        <v>1040991</v>
      </c>
      <c r="AM103" s="1286">
        <f t="shared" ref="AM103:AM109" si="40">E103+J103+P103+Y103+AD103</f>
        <v>1065203.4704</v>
      </c>
      <c r="AN103" s="1278">
        <f>(AM103-AJ103)/AJ103</f>
        <v>9.0200726465148484E-2</v>
      </c>
      <c r="AO103" s="1175" t="s">
        <v>108</v>
      </c>
      <c r="AT103" s="5387" t="s">
        <v>371</v>
      </c>
      <c r="AU103" s="5389" t="s">
        <v>486</v>
      </c>
      <c r="AV103" s="1173" t="s">
        <v>487</v>
      </c>
      <c r="AW103" s="1173" t="s">
        <v>488</v>
      </c>
      <c r="AX103" s="5389" t="s">
        <v>489</v>
      </c>
    </row>
    <row r="104" spans="1:50" s="9" customFormat="1" ht="21.75" thickBot="1" x14ac:dyDescent="0.3">
      <c r="A104" s="1069" t="s">
        <v>109</v>
      </c>
      <c r="B104" s="1070">
        <v>2212227</v>
      </c>
      <c r="C104" s="1071">
        <v>2824279</v>
      </c>
      <c r="D104" s="1205">
        <v>1769781.6</v>
      </c>
      <c r="E104" s="1302">
        <v>1988755</v>
      </c>
      <c r="F104" s="1233">
        <f t="shared" ref="F104:F113" si="41">(E104-D104)/D104</f>
        <v>0.1237290522175165</v>
      </c>
      <c r="G104" s="1070">
        <v>128798</v>
      </c>
      <c r="H104" s="1071">
        <v>77935</v>
      </c>
      <c r="I104" s="1205">
        <v>77935</v>
      </c>
      <c r="J104" s="1071">
        <v>71860</v>
      </c>
      <c r="K104" s="1074">
        <f t="shared" ref="K104:K113" si="42">(J104-I104)/I104</f>
        <v>-7.7949573362417396E-2</v>
      </c>
      <c r="L104" s="1070">
        <v>1153596</v>
      </c>
      <c r="M104" s="1071">
        <v>5288571</v>
      </c>
      <c r="N104" s="1205">
        <v>1061308.32</v>
      </c>
      <c r="O104" s="1102">
        <v>4745380</v>
      </c>
      <c r="P104" s="1372">
        <f t="shared" ref="P104:P113" si="43">N104*1.24</f>
        <v>1316022.3168000001</v>
      </c>
      <c r="Q104" s="1274">
        <f>(P104-N104)/N104</f>
        <v>0.24000000000000007</v>
      </c>
      <c r="R104" s="28"/>
      <c r="S104" s="76"/>
      <c r="T104" s="1175" t="s">
        <v>109</v>
      </c>
      <c r="U104" s="1183"/>
      <c r="V104" s="1214">
        <v>194625</v>
      </c>
      <c r="W104" s="1071">
        <v>188523</v>
      </c>
      <c r="X104" s="1203">
        <v>188523</v>
      </c>
      <c r="Y104" s="1071">
        <v>165310</v>
      </c>
      <c r="Z104" s="1223">
        <f>(Y104-X104)/X104</f>
        <v>-0.12313086466903242</v>
      </c>
      <c r="AA104" s="1213" t="e">
        <f>#REF!+#REF!</f>
        <v>#REF!</v>
      </c>
      <c r="AB104" s="1085">
        <v>318200</v>
      </c>
      <c r="AC104" s="1227">
        <v>190395.16</v>
      </c>
      <c r="AD104" s="1075">
        <v>96305</v>
      </c>
      <c r="AE104" s="1076">
        <f>(AD104-AC104)/AC104</f>
        <v>-0.4941835706327829</v>
      </c>
      <c r="AF104" s="1087">
        <v>72228.75</v>
      </c>
      <c r="AG104" s="1088">
        <v>0</v>
      </c>
      <c r="AH104" s="1089">
        <v>3725858</v>
      </c>
      <c r="AI104" s="1090">
        <v>8697508</v>
      </c>
      <c r="AJ104" s="1205">
        <v>3287943.08</v>
      </c>
      <c r="AK104" s="1378"/>
      <c r="AL104" s="1230">
        <v>7067610</v>
      </c>
      <c r="AM104" s="1286">
        <f t="shared" si="40"/>
        <v>3638252.3168000001</v>
      </c>
      <c r="AN104" s="1278">
        <f t="shared" ref="AN104:AN113" si="44">(AM104-AJ104)/AJ104</f>
        <v>0.10654358310850079</v>
      </c>
      <c r="AO104" s="1175" t="s">
        <v>109</v>
      </c>
      <c r="AT104" s="5388"/>
      <c r="AU104" s="5390"/>
      <c r="AV104" s="1174" t="s">
        <v>515</v>
      </c>
      <c r="AW104" s="1174" t="s">
        <v>515</v>
      </c>
      <c r="AX104" s="5390"/>
    </row>
    <row r="105" spans="1:50" s="9" customFormat="1" ht="29.25" thickBot="1" x14ac:dyDescent="0.3">
      <c r="A105" s="1069" t="s">
        <v>21</v>
      </c>
      <c r="B105" s="1070">
        <v>0</v>
      </c>
      <c r="C105" s="1071">
        <v>0</v>
      </c>
      <c r="D105" s="1203">
        <v>0</v>
      </c>
      <c r="E105" s="1091">
        <v>576320</v>
      </c>
      <c r="F105" s="1233" t="e">
        <f t="shared" si="41"/>
        <v>#DIV/0!</v>
      </c>
      <c r="G105" s="1070">
        <v>2196120</v>
      </c>
      <c r="H105" s="1071">
        <v>404365</v>
      </c>
      <c r="I105" s="1205">
        <v>404365</v>
      </c>
      <c r="J105" s="1071">
        <v>671516</v>
      </c>
      <c r="K105" s="1074">
        <f t="shared" si="42"/>
        <v>0.66066796087693047</v>
      </c>
      <c r="L105" s="1092">
        <v>6121929</v>
      </c>
      <c r="M105" s="1071">
        <v>4593311</v>
      </c>
      <c r="N105" s="1205">
        <v>5632174.6799999997</v>
      </c>
      <c r="O105" s="1102">
        <v>3297917</v>
      </c>
      <c r="P105" s="1372">
        <f t="shared" si="43"/>
        <v>6983896.6031999998</v>
      </c>
      <c r="Q105" s="1274">
        <f>(P105-N105)/N105</f>
        <v>0.24000000000000002</v>
      </c>
      <c r="R105" s="28"/>
      <c r="S105" s="76"/>
      <c r="T105" s="1175" t="s">
        <v>21</v>
      </c>
      <c r="U105" s="1183"/>
      <c r="V105" s="1214">
        <v>271399</v>
      </c>
      <c r="W105" s="1071">
        <v>297945</v>
      </c>
      <c r="X105" s="1203">
        <v>297945</v>
      </c>
      <c r="Y105" s="1071">
        <v>259264</v>
      </c>
      <c r="Z105" s="1223">
        <f t="shared" ref="Z105:Z113" si="45">(Y105-X105)/X105</f>
        <v>-0.12982597459262615</v>
      </c>
      <c r="AA105" s="1213" t="e">
        <f>#REF!+#REF!</f>
        <v>#REF!</v>
      </c>
      <c r="AB105" s="1071">
        <v>5288577</v>
      </c>
      <c r="AC105" s="1227">
        <v>4371005.68</v>
      </c>
      <c r="AD105" s="1086">
        <v>2576030</v>
      </c>
      <c r="AE105" s="1076">
        <f t="shared" ref="AE105:AE113" si="46">(AD105-AC105)/AC105</f>
        <v>-0.4106550783525863</v>
      </c>
      <c r="AF105" s="1087">
        <v>1932022.5</v>
      </c>
      <c r="AG105" s="1088" t="e">
        <f>(AF105-AA105)/AA105</f>
        <v>#REF!</v>
      </c>
      <c r="AH105" s="1089">
        <v>10073226</v>
      </c>
      <c r="AI105" s="1090">
        <v>10584198</v>
      </c>
      <c r="AJ105" s="1205">
        <v>10705490.359999999</v>
      </c>
      <c r="AK105" s="1378"/>
      <c r="AL105" s="1230">
        <v>7381047</v>
      </c>
      <c r="AM105" s="1286">
        <f t="shared" si="40"/>
        <v>11067026.6032</v>
      </c>
      <c r="AN105" s="1278">
        <f t="shared" si="44"/>
        <v>3.3771105390075787E-2</v>
      </c>
      <c r="AO105" s="1175" t="s">
        <v>21</v>
      </c>
      <c r="AT105" s="1114" t="s">
        <v>99</v>
      </c>
      <c r="AU105" s="1115" t="s">
        <v>492</v>
      </c>
      <c r="AV105" s="1115" t="s">
        <v>493</v>
      </c>
      <c r="AW105" s="1115">
        <v>140</v>
      </c>
      <c r="AX105" s="1115">
        <v>11</v>
      </c>
    </row>
    <row r="106" spans="1:50" s="9" customFormat="1" ht="15.75" thickBot="1" x14ac:dyDescent="0.3">
      <c r="A106" s="1069" t="s">
        <v>22</v>
      </c>
      <c r="B106" s="1070">
        <v>999789</v>
      </c>
      <c r="C106" s="1071">
        <v>1408193</v>
      </c>
      <c r="D106" s="1203">
        <v>1408193</v>
      </c>
      <c r="E106" s="1091">
        <v>3264384</v>
      </c>
      <c r="F106" s="1233">
        <f t="shared" si="41"/>
        <v>1.3181367894883727</v>
      </c>
      <c r="G106" s="1070">
        <v>1205947</v>
      </c>
      <c r="H106" s="1071">
        <v>1751519</v>
      </c>
      <c r="I106" s="1205">
        <v>1751519</v>
      </c>
      <c r="J106" s="1071">
        <v>2160000</v>
      </c>
      <c r="K106" s="1074">
        <f t="shared" si="42"/>
        <v>0.23321528341970599</v>
      </c>
      <c r="L106" s="1070">
        <v>2223723</v>
      </c>
      <c r="M106" s="1071">
        <v>2331951</v>
      </c>
      <c r="N106" s="1205">
        <v>2045825.16</v>
      </c>
      <c r="O106" s="1102">
        <v>10571256</v>
      </c>
      <c r="P106" s="1372">
        <f t="shared" si="43"/>
        <v>2536823.1984000001</v>
      </c>
      <c r="Q106" s="1274">
        <f>(P106-N106)/N106</f>
        <v>0.2400000000000001</v>
      </c>
      <c r="R106" s="28"/>
      <c r="S106" s="76"/>
      <c r="T106" s="1175" t="s">
        <v>22</v>
      </c>
      <c r="U106" s="1183"/>
      <c r="V106" s="1214">
        <v>16128000</v>
      </c>
      <c r="W106" s="1071">
        <v>15571200</v>
      </c>
      <c r="X106" s="1203">
        <v>15571200</v>
      </c>
      <c r="Y106" s="1071">
        <v>19300000</v>
      </c>
      <c r="Z106" s="1223">
        <f t="shared" si="45"/>
        <v>0.23946773530620633</v>
      </c>
      <c r="AA106" s="1213" t="e">
        <f>#REF!+#REF!</f>
        <v>#REF!</v>
      </c>
      <c r="AB106" s="1093">
        <v>2000070</v>
      </c>
      <c r="AC106" s="1227">
        <v>333123.12</v>
      </c>
      <c r="AD106" s="1071">
        <v>577265</v>
      </c>
      <c r="AE106" s="1076">
        <f t="shared" si="46"/>
        <v>0.73288782838008959</v>
      </c>
      <c r="AF106" s="1095">
        <v>432948.75</v>
      </c>
      <c r="AG106" s="1088"/>
      <c r="AH106" s="1089">
        <v>21029818</v>
      </c>
      <c r="AI106" s="1090">
        <v>23062933.300000001</v>
      </c>
      <c r="AJ106" s="1205">
        <v>21109860.280000001</v>
      </c>
      <c r="AK106" s="1378"/>
      <c r="AL106" s="1230">
        <v>35872905</v>
      </c>
      <c r="AM106" s="1286">
        <f t="shared" si="40"/>
        <v>27838472.198399998</v>
      </c>
      <c r="AN106" s="1278">
        <f t="shared" si="44"/>
        <v>0.31874260791649334</v>
      </c>
      <c r="AO106" s="1175" t="s">
        <v>22</v>
      </c>
      <c r="AT106" s="1114"/>
      <c r="AU106" s="1115" t="s">
        <v>496</v>
      </c>
      <c r="AV106" s="1115" t="s">
        <v>497</v>
      </c>
      <c r="AW106" s="1115">
        <v>86</v>
      </c>
      <c r="AX106" s="1115">
        <v>6</v>
      </c>
    </row>
    <row r="107" spans="1:50" s="9" customFormat="1" ht="15.75" thickBot="1" x14ac:dyDescent="0.3">
      <c r="A107" s="1069" t="s">
        <v>23</v>
      </c>
      <c r="B107" s="1092">
        <v>1823905</v>
      </c>
      <c r="C107" s="1071">
        <v>2084577</v>
      </c>
      <c r="D107" s="1205">
        <v>2084577</v>
      </c>
      <c r="E107" s="1096">
        <v>1787487.78</v>
      </c>
      <c r="F107" s="1233">
        <f t="shared" si="41"/>
        <v>-0.14251774820503152</v>
      </c>
      <c r="G107" s="1092">
        <v>724000</v>
      </c>
      <c r="H107" s="1071">
        <v>947949</v>
      </c>
      <c r="I107" s="1205">
        <v>947949</v>
      </c>
      <c r="J107" s="1071">
        <v>845500</v>
      </c>
      <c r="K107" s="1074">
        <f t="shared" si="42"/>
        <v>-0.10807437952885651</v>
      </c>
      <c r="L107" s="1070">
        <v>0</v>
      </c>
      <c r="M107" s="1071">
        <v>0</v>
      </c>
      <c r="N107" s="1205">
        <v>0</v>
      </c>
      <c r="O107" s="1102">
        <f>'Water Mangt'!V11</f>
        <v>0</v>
      </c>
      <c r="P107" s="1372">
        <f t="shared" si="43"/>
        <v>0</v>
      </c>
      <c r="Q107" s="1274">
        <v>0</v>
      </c>
      <c r="R107" s="28"/>
      <c r="S107" s="76"/>
      <c r="T107" s="1175" t="s">
        <v>23</v>
      </c>
      <c r="U107" s="1183"/>
      <c r="V107" s="1226">
        <v>169160</v>
      </c>
      <c r="W107" s="1071">
        <v>91504</v>
      </c>
      <c r="X107" s="1203">
        <v>91504</v>
      </c>
      <c r="Y107" s="1071">
        <v>44049</v>
      </c>
      <c r="Z107" s="1223">
        <f t="shared" si="45"/>
        <v>-0.51861120825319107</v>
      </c>
      <c r="AA107" s="1213" t="e">
        <f>#REF!+#REF!</f>
        <v>#REF!</v>
      </c>
      <c r="AB107" s="1071">
        <v>2360128</v>
      </c>
      <c r="AC107" s="1227">
        <v>2360128</v>
      </c>
      <c r="AD107" s="1094">
        <v>2118166</v>
      </c>
      <c r="AE107" s="1076">
        <f t="shared" si="46"/>
        <v>-0.10252071074111235</v>
      </c>
      <c r="AF107" s="1087">
        <v>1588624.5</v>
      </c>
      <c r="AG107" s="1088">
        <v>0</v>
      </c>
      <c r="AH107" s="1089">
        <v>4388449</v>
      </c>
      <c r="AI107" s="1090">
        <v>5484158</v>
      </c>
      <c r="AJ107" s="1205">
        <v>5484158</v>
      </c>
      <c r="AK107" s="1378"/>
      <c r="AL107" s="1230">
        <v>4795202.777777778</v>
      </c>
      <c r="AM107" s="1286">
        <f t="shared" si="40"/>
        <v>4795202.78</v>
      </c>
      <c r="AN107" s="1278">
        <f t="shared" si="44"/>
        <v>-0.12562643527046444</v>
      </c>
      <c r="AO107" s="1175" t="s">
        <v>23</v>
      </c>
      <c r="AT107" s="1114" t="s">
        <v>100</v>
      </c>
      <c r="AU107" s="5391" t="s">
        <v>498</v>
      </c>
      <c r="AV107" s="5391">
        <v>672</v>
      </c>
      <c r="AW107" s="5391">
        <v>6</v>
      </c>
      <c r="AX107" s="5391">
        <v>1</v>
      </c>
    </row>
    <row r="108" spans="1:50" s="9" customFormat="1" ht="15.75" thickBot="1" x14ac:dyDescent="0.3">
      <c r="A108" s="1097" t="s">
        <v>356</v>
      </c>
      <c r="B108" s="1080">
        <f>B109-B106</f>
        <v>4036132</v>
      </c>
      <c r="C108" s="1081">
        <f>C109-C106</f>
        <v>4908856</v>
      </c>
      <c r="D108" s="1204">
        <v>1769781.6</v>
      </c>
      <c r="E108" s="1082">
        <v>2565075</v>
      </c>
      <c r="F108" s="1303">
        <f t="shared" si="41"/>
        <v>0.44937375323599243</v>
      </c>
      <c r="G108" s="1080">
        <f>G109-G106</f>
        <v>1072410</v>
      </c>
      <c r="H108" s="1081">
        <f>H109-H106</f>
        <v>1430249</v>
      </c>
      <c r="I108" s="1204">
        <v>482300</v>
      </c>
      <c r="J108" s="1083">
        <v>743376</v>
      </c>
      <c r="K108" s="1104">
        <f t="shared" si="42"/>
        <v>0.54131453452208167</v>
      </c>
      <c r="L108" s="1080">
        <f>L109-L106</f>
        <v>7275525</v>
      </c>
      <c r="M108" s="1081">
        <f>M109-M106</f>
        <v>9881882</v>
      </c>
      <c r="N108" s="1204">
        <v>6693483</v>
      </c>
      <c r="O108" s="1083">
        <v>8043297</v>
      </c>
      <c r="P108" s="1373">
        <f t="shared" si="43"/>
        <v>8299918.9199999999</v>
      </c>
      <c r="Q108" s="1304">
        <f t="shared" ref="Q108:Q113" si="47">(P108-N108)/N108</f>
        <v>0.24</v>
      </c>
      <c r="R108" s="1305"/>
      <c r="S108" s="917"/>
      <c r="T108" s="1306" t="s">
        <v>356</v>
      </c>
      <c r="U108" s="1307"/>
      <c r="V108" s="1215">
        <f>V109-V106</f>
        <v>635184</v>
      </c>
      <c r="W108" s="1081">
        <f>W109-W106</f>
        <v>577972</v>
      </c>
      <c r="X108" s="1204">
        <v>486468</v>
      </c>
      <c r="Y108" s="1098">
        <v>424528</v>
      </c>
      <c r="Z108" s="1291">
        <f t="shared" si="45"/>
        <v>-0.127325949497192</v>
      </c>
      <c r="AA108" s="1216" t="e">
        <f>#REF!+#REF!</f>
        <v>#REF!</v>
      </c>
      <c r="AB108" s="1081">
        <v>7966905</v>
      </c>
      <c r="AC108" s="1228">
        <v>4561400.84</v>
      </c>
      <c r="AD108" s="1083">
        <v>2672335</v>
      </c>
      <c r="AE108" s="1076">
        <f t="shared" si="46"/>
        <v>-0.41414159953546198</v>
      </c>
      <c r="AF108" s="1099">
        <f>SUM(AF104:AF105)</f>
        <v>2004251.25</v>
      </c>
      <c r="AG108" s="1100" t="e">
        <f>(AF108-AA108)/AA108</f>
        <v>#REF!</v>
      </c>
      <c r="AH108" s="1080">
        <f>AH109-AH106</f>
        <v>19149650</v>
      </c>
      <c r="AI108" s="1081">
        <f>AI109-AI106</f>
        <v>24765863.999999996</v>
      </c>
      <c r="AJ108" s="1204">
        <v>13993433.439999999</v>
      </c>
      <c r="AK108" s="2273"/>
      <c r="AL108" s="1292">
        <v>14448611</v>
      </c>
      <c r="AM108" s="1293">
        <f t="shared" si="40"/>
        <v>14705232.92</v>
      </c>
      <c r="AN108" s="1278">
        <f t="shared" si="44"/>
        <v>5.0866678506886906E-2</v>
      </c>
      <c r="AO108" s="1306" t="s">
        <v>356</v>
      </c>
      <c r="AT108" s="1114" t="s">
        <v>219</v>
      </c>
      <c r="AU108" s="5392"/>
      <c r="AV108" s="5392"/>
      <c r="AW108" s="5392"/>
      <c r="AX108" s="5392"/>
    </row>
    <row r="109" spans="1:50" s="9" customFormat="1" ht="29.25" thickBot="1" x14ac:dyDescent="0.3">
      <c r="A109" s="4026" t="s">
        <v>357</v>
      </c>
      <c r="B109" s="1308">
        <v>5035921</v>
      </c>
      <c r="C109" s="1309">
        <v>6317049</v>
      </c>
      <c r="D109" s="1310">
        <v>5262551.5999999996</v>
      </c>
      <c r="E109" s="1297">
        <v>7616946.7800000003</v>
      </c>
      <c r="F109" s="1311">
        <f t="shared" si="41"/>
        <v>0.44738662134923307</v>
      </c>
      <c r="G109" s="1308">
        <v>2278357</v>
      </c>
      <c r="H109" s="1309">
        <v>3181768</v>
      </c>
      <c r="I109" s="1310">
        <v>3181768</v>
      </c>
      <c r="J109" s="1312">
        <v>3748876</v>
      </c>
      <c r="K109" s="1313">
        <f t="shared" si="42"/>
        <v>0.17823675390537588</v>
      </c>
      <c r="L109" s="1308">
        <v>9499248</v>
      </c>
      <c r="M109" s="1309">
        <v>12213833</v>
      </c>
      <c r="N109" s="1310">
        <v>8739308.1600000001</v>
      </c>
      <c r="O109" s="1312">
        <v>18614553</v>
      </c>
      <c r="P109" s="1374">
        <f t="shared" si="43"/>
        <v>10836742.1184</v>
      </c>
      <c r="Q109" s="1314">
        <f t="shared" si="47"/>
        <v>0.24</v>
      </c>
      <c r="R109" s="1315"/>
      <c r="S109" s="1316"/>
      <c r="T109" s="1317" t="s">
        <v>357</v>
      </c>
      <c r="U109" s="1318"/>
      <c r="V109" s="1295">
        <f>SUM(V104:V107)</f>
        <v>16763184</v>
      </c>
      <c r="W109" s="1296">
        <v>16149172</v>
      </c>
      <c r="X109" s="1310">
        <v>16149172</v>
      </c>
      <c r="Y109" s="1319">
        <v>19768623</v>
      </c>
      <c r="Z109" s="1298">
        <f t="shared" si="45"/>
        <v>0.22412610380272127</v>
      </c>
      <c r="AA109" s="1295" t="e">
        <f>#REF!+#REF!</f>
        <v>#REF!</v>
      </c>
      <c r="AB109" s="1309">
        <v>9966975</v>
      </c>
      <c r="AC109" s="1368">
        <v>7254651.96</v>
      </c>
      <c r="AD109" s="1297">
        <v>5367766</v>
      </c>
      <c r="AE109" s="1076">
        <f t="shared" si="46"/>
        <v>-0.2600932436736772</v>
      </c>
      <c r="AF109" s="1299">
        <f>SUM(AF104:AF107)</f>
        <v>4025824.5</v>
      </c>
      <c r="AG109" s="1300" t="e">
        <f>(AF109-AA109)/AA109</f>
        <v>#REF!</v>
      </c>
      <c r="AH109" s="1320">
        <v>40179468</v>
      </c>
      <c r="AI109" s="1296">
        <v>47828797.299999997</v>
      </c>
      <c r="AJ109" s="1310">
        <v>40587451.719999999</v>
      </c>
      <c r="AK109" s="2274"/>
      <c r="AL109" s="1321">
        <v>55116764.777777776</v>
      </c>
      <c r="AM109" s="1322">
        <f t="shared" si="40"/>
        <v>47338953.898400001</v>
      </c>
      <c r="AN109" s="1278">
        <f t="shared" si="44"/>
        <v>0.16634456937519709</v>
      </c>
      <c r="AO109" s="1317" t="s">
        <v>357</v>
      </c>
      <c r="AT109" s="1114" t="s">
        <v>101</v>
      </c>
      <c r="AU109" s="1115" t="s">
        <v>505</v>
      </c>
      <c r="AV109" s="1115" t="s">
        <v>506</v>
      </c>
      <c r="AW109" s="1115">
        <v>2</v>
      </c>
      <c r="AX109" s="1115" t="s">
        <v>507</v>
      </c>
    </row>
    <row r="110" spans="1:50" s="9" customFormat="1" ht="15.75" thickBot="1" x14ac:dyDescent="0.3">
      <c r="A110" s="4027" t="s">
        <v>358</v>
      </c>
      <c r="B110" s="1084">
        <f>B109/B101</f>
        <v>0.83270777302569843</v>
      </c>
      <c r="C110" s="1090">
        <f>C109/C101</f>
        <v>1.2989335544196914</v>
      </c>
      <c r="D110" s="1207">
        <v>1.0821041367741542</v>
      </c>
      <c r="E110" s="1302">
        <f>E109/E101</f>
        <v>1.96345043316334</v>
      </c>
      <c r="F110" s="1233">
        <f t="shared" si="41"/>
        <v>0.81447456528218731</v>
      </c>
      <c r="G110" s="1084">
        <f>G109/G101</f>
        <v>2.0194655548050964</v>
      </c>
      <c r="H110" s="1090">
        <f>H109/H101</f>
        <v>4.7644024371800224</v>
      </c>
      <c r="I110" s="1207">
        <v>4.7644024371800224</v>
      </c>
      <c r="J110" s="1096">
        <f>J109/J101</f>
        <v>5.7740839942149433</v>
      </c>
      <c r="K110" s="1074">
        <f t="shared" si="42"/>
        <v>0.2119219714010003</v>
      </c>
      <c r="L110" s="1084">
        <f>L109/L101</f>
        <v>2.1488438757173181</v>
      </c>
      <c r="M110" s="1090">
        <f>M109/M101</f>
        <v>2.9997683952616079</v>
      </c>
      <c r="N110" s="1209">
        <v>2.1464105833786884</v>
      </c>
      <c r="O110" s="1096">
        <f>O109/O101</f>
        <v>3.6894955764630892</v>
      </c>
      <c r="P110" s="1375">
        <f t="shared" si="43"/>
        <v>2.6615491233895736</v>
      </c>
      <c r="Q110" s="1274">
        <f t="shared" si="47"/>
        <v>0.24</v>
      </c>
      <c r="R110" s="28"/>
      <c r="S110" s="76"/>
      <c r="T110" s="1175" t="s">
        <v>358</v>
      </c>
      <c r="U110" s="1183"/>
      <c r="V110" s="1213">
        <f>V109/V101</f>
        <v>5.0477059131555988</v>
      </c>
      <c r="W110" s="1090">
        <f>W109/W101</f>
        <v>6.7595579399159593</v>
      </c>
      <c r="X110" s="1209">
        <v>6.7595579399159593</v>
      </c>
      <c r="Y110" s="1096">
        <f>Y109/Y101</f>
        <v>4.7591257235783315</v>
      </c>
      <c r="Z110" s="1294">
        <f t="shared" si="45"/>
        <v>-0.29594127813075582</v>
      </c>
      <c r="AA110" s="1213" t="e">
        <f>AA109/AA101</f>
        <v>#REF!</v>
      </c>
      <c r="AB110" s="1090">
        <f>AB109/AB101</f>
        <v>1.1206176398498793</v>
      </c>
      <c r="AC110" s="1207">
        <v>0.81566282220508246</v>
      </c>
      <c r="AD110" s="1096">
        <f>AD109/AD101</f>
        <v>0.59740083693184343</v>
      </c>
      <c r="AE110" s="1076">
        <f t="shared" si="46"/>
        <v>-0.26758849285686986</v>
      </c>
      <c r="AF110" s="1095">
        <f>AF109/AF101</f>
        <v>0.60351443303373664</v>
      </c>
      <c r="AG110" s="1088" t="e">
        <f>(AF110-AA110)/AA110</f>
        <v>#REF!</v>
      </c>
      <c r="AH110" s="1084">
        <f>AH109/AH101</f>
        <v>1.9731765247815445</v>
      </c>
      <c r="AI110" s="1090">
        <v>2.4074019609762192</v>
      </c>
      <c r="AJ110" s="1209">
        <v>2.0429179987295147</v>
      </c>
      <c r="AK110" s="1209"/>
      <c r="AL110" s="1106">
        <f>AL109/AL101</f>
        <v>2.4266674263446792</v>
      </c>
      <c r="AM110" s="1301">
        <f>AM109/AL101</f>
        <v>2.0842278730553492</v>
      </c>
      <c r="AN110" s="1278">
        <f t="shared" si="44"/>
        <v>2.0221014427169833E-2</v>
      </c>
      <c r="AO110" s="1175" t="s">
        <v>358</v>
      </c>
    </row>
    <row r="111" spans="1:50" s="9" customFormat="1" ht="15.75" thickBot="1" x14ac:dyDescent="0.3">
      <c r="A111" s="4027" t="s">
        <v>359</v>
      </c>
      <c r="B111" s="1084">
        <f>B107/B101</f>
        <v>0.30158929632939763</v>
      </c>
      <c r="C111" s="1090">
        <f>C107/C101</f>
        <v>0.42863796245233132</v>
      </c>
      <c r="D111" s="1206">
        <f>D107/C101</f>
        <v>0.42863796245233132</v>
      </c>
      <c r="E111" s="1091">
        <f>E107/E101</f>
        <v>0.46076777970019861</v>
      </c>
      <c r="F111" s="1233">
        <f t="shared" si="41"/>
        <v>7.4957936679349607E-2</v>
      </c>
      <c r="G111" s="1084">
        <f>G107/G101</f>
        <v>0.64173132730247706</v>
      </c>
      <c r="H111" s="1090">
        <f>H107/H101</f>
        <v>1.4194656951488498</v>
      </c>
      <c r="I111" s="1207">
        <v>1.4194656951488498</v>
      </c>
      <c r="J111" s="1096">
        <f>J107/J101</f>
        <v>1.3022538001013464</v>
      </c>
      <c r="K111" s="1074">
        <f t="shared" si="42"/>
        <v>-8.2574658512766796E-2</v>
      </c>
      <c r="L111" s="1105">
        <v>0</v>
      </c>
      <c r="M111" s="1106">
        <f>M107/M101</f>
        <v>0</v>
      </c>
      <c r="N111" s="1209">
        <v>0</v>
      </c>
      <c r="O111" s="1102">
        <f>O107/O101</f>
        <v>0</v>
      </c>
      <c r="P111" s="1375">
        <f t="shared" si="43"/>
        <v>0</v>
      </c>
      <c r="Q111" s="1274">
        <v>0</v>
      </c>
      <c r="R111" s="28"/>
      <c r="S111" s="76"/>
      <c r="T111" s="1175" t="s">
        <v>359</v>
      </c>
      <c r="U111" s="1183"/>
      <c r="V111" s="1213">
        <f>V107/V101</f>
        <v>5.0937216478051016E-2</v>
      </c>
      <c r="W111" s="1090">
        <f>W107/W101</f>
        <v>3.8300823703783078E-2</v>
      </c>
      <c r="X111" s="1209">
        <v>3.8300823703783078E-2</v>
      </c>
      <c r="Y111" s="1096">
        <f>Y107/Y101</f>
        <v>1.0604417363713292E-2</v>
      </c>
      <c r="Z111" s="1294">
        <f t="shared" si="45"/>
        <v>-0.72312821662198701</v>
      </c>
      <c r="AA111" s="1213" t="e">
        <f>AA107/AA101</f>
        <v>#REF!</v>
      </c>
      <c r="AB111" s="1090">
        <f>AB107/AB101</f>
        <v>0.26535644657517615</v>
      </c>
      <c r="AC111" s="1207">
        <v>0.26535644657517615</v>
      </c>
      <c r="AD111" s="1096">
        <f>AD107/AD101</f>
        <v>0.23573943818724125</v>
      </c>
      <c r="AE111" s="1076">
        <f t="shared" si="46"/>
        <v>-0.11161216835010765</v>
      </c>
      <c r="AF111" s="1095">
        <f>AF107/AF101</f>
        <v>0.23815191507255307</v>
      </c>
      <c r="AG111" s="1088">
        <v>0</v>
      </c>
      <c r="AH111" s="1084">
        <f>AH107/AH101</f>
        <v>0.21551267296523299</v>
      </c>
      <c r="AI111" s="1090">
        <v>0.27603815000180698</v>
      </c>
      <c r="AJ111" s="1209">
        <v>0.27603815000180698</v>
      </c>
      <c r="AK111" s="1209"/>
      <c r="AL111" s="1106">
        <f>AL107/AL101</f>
        <v>0.21112201397282407</v>
      </c>
      <c r="AM111" s="1287">
        <f>AM107/AL101</f>
        <v>0.21112201407066353</v>
      </c>
      <c r="AN111" s="1278">
        <f t="shared" si="44"/>
        <v>-0.23517088464300498</v>
      </c>
      <c r="AO111" s="1175" t="s">
        <v>359</v>
      </c>
    </row>
    <row r="112" spans="1:50" s="9" customFormat="1" ht="15.75" thickBot="1" x14ac:dyDescent="0.3">
      <c r="A112" s="4028" t="s">
        <v>360</v>
      </c>
      <c r="B112" s="1084">
        <f>B104/B101</f>
        <v>0.36579974519006986</v>
      </c>
      <c r="C112" s="1090">
        <f>C104/C101</f>
        <v>0.58073805666900669</v>
      </c>
      <c r="D112" s="1206">
        <f>D104/C101</f>
        <v>0.36390863902346948</v>
      </c>
      <c r="E112" s="1091">
        <f>E104/E101</f>
        <v>0.51264922533773538</v>
      </c>
      <c r="F112" s="1233">
        <f t="shared" si="41"/>
        <v>0.40873057235850124</v>
      </c>
      <c r="G112" s="1084">
        <f>G104/G101</f>
        <v>0.11416258493633209</v>
      </c>
      <c r="H112" s="1090">
        <f>H104/H101</f>
        <v>0.11670043319991436</v>
      </c>
      <c r="I112" s="1207">
        <v>0.11670043319991436</v>
      </c>
      <c r="J112" s="1096">
        <f>J104/J101</f>
        <v>0.11068002137821732</v>
      </c>
      <c r="K112" s="1074">
        <f t="shared" si="42"/>
        <v>-5.1588598744819837E-2</v>
      </c>
      <c r="L112" s="1105">
        <f>L104/L101</f>
        <v>0.2609572567904318</v>
      </c>
      <c r="M112" s="1106">
        <f>M104/M101</f>
        <v>1.2988951250518226</v>
      </c>
      <c r="N112" s="1209">
        <v>0.26066175589302665</v>
      </c>
      <c r="O112" s="1210">
        <f>O104/O101</f>
        <v>0.94055755830593479</v>
      </c>
      <c r="P112" s="1375">
        <f t="shared" si="43"/>
        <v>0.32322057730735304</v>
      </c>
      <c r="Q112" s="1274">
        <f t="shared" si="47"/>
        <v>0.24</v>
      </c>
      <c r="R112" s="28"/>
      <c r="S112" s="76"/>
      <c r="T112" s="1175" t="s">
        <v>360</v>
      </c>
      <c r="U112" s="1183"/>
      <c r="V112" s="1213">
        <f>V104/V101</f>
        <v>5.8605200739185855E-2</v>
      </c>
      <c r="W112" s="1090">
        <f>W104/W101</f>
        <v>7.8910060621484271E-2</v>
      </c>
      <c r="X112" s="1211">
        <v>7.8910060621484271E-2</v>
      </c>
      <c r="Y112" s="1091">
        <f>Y104/Y101</f>
        <v>3.9796958714055808E-2</v>
      </c>
      <c r="Z112" s="1223">
        <f t="shared" si="45"/>
        <v>-0.49566685919867892</v>
      </c>
      <c r="AA112" s="1213" t="e">
        <f>AA104/AA101</f>
        <v>#REF!</v>
      </c>
      <c r="AB112" s="1090">
        <f>AB104/AB101</f>
        <v>3.5776204214441353E-2</v>
      </c>
      <c r="AC112" s="1207">
        <v>2.1406713153995085E-2</v>
      </c>
      <c r="AD112" s="1096">
        <f>AD105/AD101</f>
        <v>0.28669701286560123</v>
      </c>
      <c r="AE112" s="1076">
        <f>(AD104-AC104)/AC104</f>
        <v>-0.4941835706327829</v>
      </c>
      <c r="AF112" s="1095">
        <f>AF104/AF101</f>
        <v>1.0827867212042031E-2</v>
      </c>
      <c r="AG112" s="1088">
        <v>0</v>
      </c>
      <c r="AH112" s="1084">
        <f>AH104/AH101</f>
        <v>0.18297344156646164</v>
      </c>
      <c r="AI112" s="1090">
        <v>0.43777805415998522</v>
      </c>
      <c r="AJ112" s="1209">
        <v>0.16549445240535435</v>
      </c>
      <c r="AK112" s="1209"/>
      <c r="AL112" s="1106">
        <f>AL104/AL101</f>
        <v>0.31117100283837468</v>
      </c>
      <c r="AM112" s="1287">
        <f>AM104/AL101</f>
        <v>0.16018408231321424</v>
      </c>
      <c r="AN112" s="1278">
        <f t="shared" si="44"/>
        <v>-3.2087903944557239E-2</v>
      </c>
      <c r="AO112" s="1175" t="s">
        <v>360</v>
      </c>
    </row>
    <row r="113" spans="1:49" s="9" customFormat="1" x14ac:dyDescent="0.25">
      <c r="A113" s="4028" t="s">
        <v>444</v>
      </c>
      <c r="B113" s="1323">
        <f>B108/B101</f>
        <v>0.66738904151946754</v>
      </c>
      <c r="C113" s="1324">
        <f>C108/C101</f>
        <v>1.0093760191213379</v>
      </c>
      <c r="D113" s="1325">
        <v>0.36390863902346948</v>
      </c>
      <c r="E113" s="1326">
        <f>E108/E101</f>
        <v>0.6612095062907154</v>
      </c>
      <c r="F113" s="1327">
        <f t="shared" si="41"/>
        <v>0.81696567595932268</v>
      </c>
      <c r="G113" s="1323">
        <f>G108/G101</f>
        <v>0.95055123302824507</v>
      </c>
      <c r="H113" s="1324">
        <f>H108/H101</f>
        <v>2.1416652066946082</v>
      </c>
      <c r="I113" s="1325">
        <v>0.72219951154575857</v>
      </c>
      <c r="J113" s="1326">
        <f>J108/J101</f>
        <v>1.1449606397446936</v>
      </c>
      <c r="K113" s="1328">
        <f t="shared" si="42"/>
        <v>0.58537996971789552</v>
      </c>
      <c r="L113" s="1329">
        <f>L108/L101</f>
        <v>1.6458110514514668</v>
      </c>
      <c r="M113" s="1330">
        <f>M108/M101</f>
        <v>2.4270314903850876</v>
      </c>
      <c r="N113" s="1331">
        <v>1.6439473797964039</v>
      </c>
      <c r="O113" s="1326">
        <f>O108/O101</f>
        <v>1.5942208605105281</v>
      </c>
      <c r="P113" s="1376">
        <f t="shared" si="43"/>
        <v>2.0384947509475411</v>
      </c>
      <c r="Q113" s="1332">
        <f t="shared" si="47"/>
        <v>0.24000000000000013</v>
      </c>
      <c r="R113" s="1333"/>
      <c r="S113" s="1334"/>
      <c r="T113" s="1335" t="s">
        <v>444</v>
      </c>
      <c r="U113" s="1336"/>
      <c r="V113" s="1337">
        <f>V108/V101</f>
        <v>0.19126569467601298</v>
      </c>
      <c r="W113" s="1324">
        <f>W108/W101</f>
        <v>0.24192170481861899</v>
      </c>
      <c r="X113" s="1331">
        <v>0.20362088111483592</v>
      </c>
      <c r="Y113" s="1326">
        <f>Y108/Y101</f>
        <v>0.10220145961503045</v>
      </c>
      <c r="Z113" s="1338">
        <f t="shared" si="45"/>
        <v>-0.49807967112473123</v>
      </c>
      <c r="AA113" s="1337" t="e">
        <f>AA108/AA101</f>
        <v>#REF!</v>
      </c>
      <c r="AB113" s="1324">
        <f>AB108/AB101</f>
        <v>0.89574362110953454</v>
      </c>
      <c r="AC113" s="1325">
        <v>0.51285231915702179</v>
      </c>
      <c r="AD113" s="1326">
        <f>AD108/AD101</f>
        <v>0.29741519387437121</v>
      </c>
      <c r="AE113" s="1076">
        <f t="shared" si="46"/>
        <v>-0.42007634017677015</v>
      </c>
      <c r="AF113" s="1339">
        <f>AF108/AF101</f>
        <v>0.30045883937586154</v>
      </c>
      <c r="AG113" s="1340" t="e">
        <f>(AF113-AA113)/AA113</f>
        <v>#REF!</v>
      </c>
      <c r="AH113" s="1323">
        <f>AH108/AH101</f>
        <v>0.94042160632348104</v>
      </c>
      <c r="AI113" s="1324">
        <f>AI108/AI101</f>
        <v>1.2465584109276848</v>
      </c>
      <c r="AJ113" s="1331">
        <v>0.70434175655606956</v>
      </c>
      <c r="AK113" s="1331"/>
      <c r="AL113" s="1330">
        <f>AL108/AL101</f>
        <v>0.63613990790261088</v>
      </c>
      <c r="AM113" s="1341">
        <f>AM108/AL101</f>
        <v>0.64743839497203171</v>
      </c>
      <c r="AN113" s="1342">
        <f t="shared" si="44"/>
        <v>-8.0789419418026559E-2</v>
      </c>
      <c r="AO113" s="1335" t="s">
        <v>444</v>
      </c>
    </row>
    <row r="114" spans="1:49" s="9" customFormat="1" ht="15.75" thickBot="1" x14ac:dyDescent="0.3">
      <c r="A114" s="4028" t="s">
        <v>361</v>
      </c>
      <c r="B114" s="1343">
        <f>B106/B109</f>
        <v>0.19853150992638685</v>
      </c>
      <c r="C114" s="1344">
        <f>C106/C109</f>
        <v>0.22291943595815072</v>
      </c>
      <c r="D114" s="1345">
        <v>0.26758749500907508</v>
      </c>
      <c r="E114" s="1346">
        <f>E106/E109</f>
        <v>0.42856857140860843</v>
      </c>
      <c r="F114" s="1347">
        <f>E114-D114</f>
        <v>0.16098107639953335</v>
      </c>
      <c r="G114" s="1343">
        <f>G106/G109</f>
        <v>0.52930554781362182</v>
      </c>
      <c r="H114" s="1344">
        <f>H106/H109</f>
        <v>0.55048608195192106</v>
      </c>
      <c r="I114" s="1345">
        <v>0.55048608195192106</v>
      </c>
      <c r="J114" s="1348">
        <f>J106/J109</f>
        <v>0.57617269816339622</v>
      </c>
      <c r="K114" s="1349">
        <v>0.03</v>
      </c>
      <c r="L114" s="1350">
        <f>L106/L109</f>
        <v>0.23409463570168923</v>
      </c>
      <c r="M114" s="1351">
        <f>M106/M109</f>
        <v>0.19092704149467246</v>
      </c>
      <c r="N114" s="1379">
        <v>0.2340946357016892</v>
      </c>
      <c r="O114" s="1352">
        <f>O106/O109</f>
        <v>0.56790275866414841</v>
      </c>
      <c r="P114" s="1377">
        <f>P106/P109</f>
        <v>0.23409463570168923</v>
      </c>
      <c r="Q114" s="1353"/>
      <c r="R114" s="1354"/>
      <c r="S114" s="1355"/>
      <c r="T114" s="1356" t="s">
        <v>361</v>
      </c>
      <c r="U114" s="1357"/>
      <c r="V114" s="1358">
        <f>V106/V109</f>
        <v>0.96210839181864261</v>
      </c>
      <c r="W114" s="1351">
        <f>W106/W109</f>
        <v>0.96421042515368593</v>
      </c>
      <c r="X114" s="1370">
        <v>0.96421042515368593</v>
      </c>
      <c r="Y114" s="1351">
        <f>Y106/Y109</f>
        <v>0.97629460585089811</v>
      </c>
      <c r="Z114" s="1359">
        <v>0.02</v>
      </c>
      <c r="AA114" s="1360" t="e">
        <f>AA106/AA109</f>
        <v>#REF!</v>
      </c>
      <c r="AB114" s="1344">
        <f>AB106/AB109</f>
        <v>0.20066971172296511</v>
      </c>
      <c r="AC114" s="1364">
        <v>4.5918552928071822E-2</v>
      </c>
      <c r="AD114" s="1361">
        <f>AD106/AD109</f>
        <v>0.10754287724166814</v>
      </c>
      <c r="AE114" s="1076">
        <f>AD114-AC114</f>
        <v>6.1624324313596317E-2</v>
      </c>
      <c r="AF114" s="1362">
        <f>AF106/AF109</f>
        <v>0.10754287724166814</v>
      </c>
      <c r="AG114" s="1363">
        <v>0.01</v>
      </c>
      <c r="AH114" s="1343">
        <f>AH106/AH109</f>
        <v>0.5233971241231965</v>
      </c>
      <c r="AI114" s="1344">
        <v>1.246558410927685</v>
      </c>
      <c r="AJ114" s="1364">
        <v>0.52010804781808562</v>
      </c>
      <c r="AK114" s="1364"/>
      <c r="AL114" s="1344">
        <f>AL106/AL109</f>
        <v>0.65085287833264482</v>
      </c>
      <c r="AM114" s="1366">
        <f>AM106/AM109</f>
        <v>0.58806690697364361</v>
      </c>
      <c r="AN114" s="1365">
        <v>7.0000000000000007E-2</v>
      </c>
      <c r="AO114" s="1356" t="s">
        <v>361</v>
      </c>
    </row>
    <row r="115" spans="1:49" s="9" customFormat="1" x14ac:dyDescent="0.25">
      <c r="A115" s="811" t="s">
        <v>474</v>
      </c>
      <c r="B115" s="40"/>
      <c r="C115" s="40"/>
      <c r="D115" s="40" t="s">
        <v>475</v>
      </c>
      <c r="E115" s="40"/>
      <c r="L115" s="1"/>
      <c r="M115" s="1"/>
      <c r="N115" s="1"/>
      <c r="O115" s="1"/>
      <c r="P115" s="1"/>
      <c r="Q115" s="1258" t="s">
        <v>528</v>
      </c>
      <c r="R115" s="1258"/>
      <c r="S115" s="1258" t="s">
        <v>524</v>
      </c>
      <c r="U115" s="1258" t="s">
        <v>526</v>
      </c>
      <c r="V115" s="1258" t="s">
        <v>525</v>
      </c>
      <c r="W115" s="1258" t="s">
        <v>527</v>
      </c>
      <c r="X115" s="1258" t="s">
        <v>143</v>
      </c>
      <c r="Y115" s="1"/>
      <c r="Z115" s="1"/>
      <c r="AA115" s="39"/>
      <c r="AI115" s="1116"/>
      <c r="AJ115" s="1"/>
      <c r="AK115" s="1"/>
      <c r="AL115" s="1111"/>
      <c r="AM115" s="1112"/>
    </row>
    <row r="116" spans="1:49" s="9" customFormat="1" x14ac:dyDescent="0.25">
      <c r="A116" s="811" t="s">
        <v>476</v>
      </c>
      <c r="B116" s="40"/>
      <c r="C116" s="40"/>
      <c r="D116" s="40"/>
      <c r="E116" s="40"/>
      <c r="L116" s="1"/>
      <c r="M116" s="1"/>
      <c r="N116" s="1"/>
      <c r="O116" s="1"/>
      <c r="P116" s="1"/>
      <c r="Q116" s="1690"/>
      <c r="R116" s="1690"/>
      <c r="S116" s="1690"/>
      <c r="U116" s="1690"/>
      <c r="V116" s="1690"/>
      <c r="W116" s="1690"/>
      <c r="X116" s="1690"/>
      <c r="Y116" s="1"/>
      <c r="Z116" s="1"/>
      <c r="AA116" s="39"/>
      <c r="AI116" s="1116"/>
      <c r="AJ116" s="1"/>
      <c r="AK116" s="1"/>
      <c r="AL116" s="1111"/>
      <c r="AM116" s="1112"/>
    </row>
    <row r="117" spans="1:49" s="9" customFormat="1" x14ac:dyDescent="0.25">
      <c r="A117" s="811" t="s">
        <v>477</v>
      </c>
      <c r="B117" s="40"/>
      <c r="C117" s="40"/>
      <c r="D117" s="40"/>
      <c r="E117" s="40"/>
      <c r="L117" s="1"/>
      <c r="M117" s="1"/>
      <c r="N117" s="1"/>
      <c r="O117" s="1"/>
      <c r="P117" s="1"/>
      <c r="Q117" s="1690"/>
      <c r="R117" s="1690"/>
      <c r="S117" s="1690"/>
      <c r="U117" s="1690"/>
      <c r="V117" s="1690"/>
      <c r="W117" s="1690"/>
      <c r="X117" s="1690"/>
      <c r="Y117" s="1"/>
      <c r="Z117" s="1"/>
      <c r="AA117" s="39"/>
      <c r="AI117" s="1116"/>
      <c r="AJ117" s="1"/>
      <c r="AK117" s="1"/>
      <c r="AL117" s="1111"/>
      <c r="AM117" s="1112"/>
    </row>
    <row r="118" spans="1:49" s="9" customFormat="1" x14ac:dyDescent="0.25">
      <c r="A118" s="1113" t="s">
        <v>478</v>
      </c>
      <c r="B118" s="40"/>
      <c r="C118" s="40"/>
      <c r="D118" s="40"/>
      <c r="E118" s="40"/>
      <c r="L118" s="1"/>
      <c r="M118" s="1"/>
      <c r="N118" s="1"/>
      <c r="O118" s="1"/>
      <c r="P118" s="1"/>
      <c r="Q118" s="1690"/>
      <c r="R118" s="1690"/>
      <c r="S118" s="1690"/>
      <c r="U118" s="1690"/>
      <c r="V118" s="1690"/>
      <c r="W118" s="1690"/>
      <c r="X118" s="1690"/>
      <c r="Y118" s="1"/>
      <c r="Z118" s="1"/>
      <c r="AA118" s="39"/>
      <c r="AI118" s="1116"/>
      <c r="AJ118" s="1"/>
      <c r="AK118" s="1"/>
      <c r="AL118" s="1111"/>
      <c r="AM118" s="1112"/>
    </row>
    <row r="119" spans="1:49" s="9" customFormat="1" x14ac:dyDescent="0.25">
      <c r="A119" s="1113" t="s">
        <v>485</v>
      </c>
      <c r="B119" s="40"/>
      <c r="C119" s="40"/>
      <c r="D119" s="40"/>
      <c r="E119" s="40"/>
      <c r="L119" s="1"/>
      <c r="M119" s="1"/>
      <c r="N119" s="1"/>
      <c r="O119" s="1"/>
      <c r="P119" s="1"/>
      <c r="Q119" s="1690"/>
      <c r="R119" s="1690"/>
      <c r="S119" s="1690"/>
      <c r="U119" s="1690"/>
      <c r="V119" s="1690"/>
      <c r="W119" s="1690"/>
      <c r="X119" s="1690"/>
      <c r="Y119" s="1"/>
      <c r="Z119" s="1"/>
      <c r="AA119" s="39"/>
      <c r="AI119" s="1116"/>
      <c r="AJ119" s="1"/>
      <c r="AK119" s="1"/>
      <c r="AL119" s="1111"/>
      <c r="AM119" s="1112"/>
    </row>
    <row r="120" spans="1:49" s="9" customFormat="1" x14ac:dyDescent="0.25">
      <c r="A120" s="1113" t="s">
        <v>491</v>
      </c>
      <c r="B120" s="40"/>
      <c r="C120" s="40"/>
      <c r="D120" s="40"/>
      <c r="E120" s="40"/>
      <c r="L120" s="1"/>
      <c r="M120" s="1"/>
      <c r="N120" s="1"/>
      <c r="O120" s="1"/>
      <c r="P120" s="1"/>
      <c r="Q120" s="1690"/>
      <c r="R120" s="1690"/>
      <c r="S120" s="1690"/>
      <c r="U120" s="1690"/>
      <c r="V120" s="1690"/>
      <c r="W120" s="1690"/>
      <c r="X120" s="1690"/>
      <c r="Y120" s="1"/>
      <c r="Z120" s="1"/>
      <c r="AA120" s="39"/>
      <c r="AI120" s="1116"/>
      <c r="AJ120" s="1"/>
      <c r="AK120" s="1"/>
      <c r="AL120" s="1111"/>
      <c r="AM120" s="1112"/>
    </row>
    <row r="121" spans="1:49" s="9" customFormat="1" x14ac:dyDescent="0.25">
      <c r="L121" s="1"/>
      <c r="M121" s="1"/>
      <c r="N121" s="1"/>
      <c r="O121" s="1"/>
      <c r="P121" s="1"/>
      <c r="Q121" s="1690"/>
      <c r="R121" s="1690"/>
      <c r="S121" s="1690"/>
      <c r="U121" s="1690"/>
      <c r="V121" s="1690"/>
      <c r="W121" s="1690"/>
      <c r="X121" s="1690"/>
      <c r="Y121" s="1"/>
      <c r="Z121" s="1"/>
      <c r="AA121" s="39"/>
      <c r="AI121" s="1116"/>
      <c r="AJ121" s="1"/>
      <c r="AK121" s="1"/>
      <c r="AL121" s="1111"/>
      <c r="AM121" s="1112"/>
    </row>
    <row r="122" spans="1:49" s="9" customFormat="1" ht="15.75" thickBot="1" x14ac:dyDescent="0.3">
      <c r="L122" s="1"/>
      <c r="M122" s="1"/>
      <c r="N122" s="1"/>
      <c r="O122" s="1"/>
      <c r="P122" s="1"/>
      <c r="Q122" s="1194"/>
      <c r="R122" s="1195"/>
      <c r="S122" s="1195"/>
      <c r="T122" s="1195"/>
      <c r="U122" s="1195"/>
      <c r="V122" s="1"/>
      <c r="W122" s="1"/>
      <c r="X122" s="1"/>
      <c r="Y122" s="1"/>
      <c r="Z122" s="1"/>
      <c r="AA122" s="39"/>
      <c r="AI122" s="1116"/>
      <c r="AJ122" s="1"/>
      <c r="AK122" s="1"/>
      <c r="AL122" s="1111"/>
      <c r="AM122" s="1112"/>
    </row>
    <row r="123" spans="1:49" s="9" customFormat="1" ht="19.5" thickBot="1" x14ac:dyDescent="0.35">
      <c r="A123" s="1231" t="s">
        <v>833</v>
      </c>
      <c r="B123" s="4962" t="s">
        <v>100</v>
      </c>
      <c r="C123" s="4963"/>
      <c r="D123" s="4963"/>
      <c r="E123" s="4963"/>
      <c r="F123" s="4964"/>
      <c r="G123" s="4962" t="s">
        <v>101</v>
      </c>
      <c r="H123" s="4963"/>
      <c r="I123" s="4963"/>
      <c r="J123" s="4963"/>
      <c r="K123" s="4963"/>
      <c r="L123" s="5353" t="s">
        <v>103</v>
      </c>
      <c r="M123" s="5354"/>
      <c r="N123" s="5354"/>
      <c r="O123" s="5354"/>
      <c r="P123" s="5354"/>
      <c r="Q123" s="1068"/>
      <c r="R123" s="2239"/>
      <c r="S123" s="2254"/>
      <c r="T123" s="2248"/>
      <c r="U123" s="81"/>
      <c r="V123" s="4963" t="s">
        <v>99</v>
      </c>
      <c r="W123" s="4963"/>
      <c r="X123" s="4963"/>
      <c r="Y123" s="4963"/>
      <c r="Z123" s="4963"/>
      <c r="AA123" s="2024" t="s">
        <v>219</v>
      </c>
      <c r="AB123" s="2022"/>
      <c r="AC123" s="2022"/>
      <c r="AD123" s="2023"/>
      <c r="AE123" s="5360" t="s">
        <v>838</v>
      </c>
      <c r="AF123" s="5361"/>
      <c r="AG123" s="5362"/>
      <c r="AH123" s="5357" t="s">
        <v>899</v>
      </c>
      <c r="AI123" s="5358"/>
      <c r="AJ123" s="5358"/>
      <c r="AK123" s="5358"/>
      <c r="AL123" s="5358"/>
      <c r="AM123" s="5358"/>
      <c r="AN123" s="5359"/>
    </row>
    <row r="124" spans="1:49" s="9" customFormat="1" ht="15.75" thickBot="1" x14ac:dyDescent="0.3">
      <c r="A124" s="149" t="s">
        <v>469</v>
      </c>
      <c r="B124" s="1057">
        <v>4863258</v>
      </c>
      <c r="C124" s="2004">
        <v>-0.19584267925779372</v>
      </c>
      <c r="D124" s="2005">
        <v>3879368</v>
      </c>
      <c r="E124" s="1232">
        <f>Production!L7</f>
        <v>2930929.1180960699</v>
      </c>
      <c r="F124" s="1059"/>
      <c r="G124" s="1057">
        <v>1128198</v>
      </c>
      <c r="H124" s="1058">
        <v>667821</v>
      </c>
      <c r="I124" s="1059">
        <f>(H124-G124)/G124</f>
        <v>-0.40806401004079074</v>
      </c>
      <c r="J124" s="1060">
        <f>Production!Q7</f>
        <v>891705</v>
      </c>
      <c r="K124" s="1060"/>
      <c r="L124" s="2255">
        <v>4420632</v>
      </c>
      <c r="M124" s="2240">
        <v>4071592</v>
      </c>
      <c r="N124" s="2241">
        <v>5045284</v>
      </c>
      <c r="O124" s="2242">
        <f>Production!V24</f>
        <v>0</v>
      </c>
      <c r="P124" s="2243">
        <f>Production!V7</f>
        <v>4283004.5</v>
      </c>
      <c r="Q124" s="1987">
        <f>(P124-N124)/N124</f>
        <v>-0.15108753045418255</v>
      </c>
      <c r="R124" s="2244">
        <f>(P124-N124)/N124</f>
        <v>-0.15108753045418255</v>
      </c>
      <c r="S124" s="82"/>
      <c r="T124" s="2357"/>
      <c r="U124" s="82"/>
      <c r="V124" s="2019">
        <v>2389087</v>
      </c>
      <c r="W124" s="2019">
        <v>-0.2806015505799393</v>
      </c>
      <c r="X124" s="2020">
        <v>4153835</v>
      </c>
      <c r="Y124" s="2021">
        <f>Production!G7</f>
        <v>4230230.6838950003</v>
      </c>
      <c r="Z124" s="2021"/>
      <c r="AA124" s="2029">
        <v>8894180</v>
      </c>
      <c r="AB124" s="1062"/>
      <c r="AC124" s="1229">
        <v>8985200</v>
      </c>
      <c r="AD124" s="1235">
        <v>0</v>
      </c>
      <c r="AE124" s="2047">
        <v>22712945.407933742</v>
      </c>
      <c r="AF124" s="2046">
        <f>'Water Mangt'!AK15</f>
        <v>12335870</v>
      </c>
      <c r="AG124" s="2278"/>
      <c r="AH124" s="2290">
        <v>19867391.518035099</v>
      </c>
      <c r="AI124" s="2291">
        <v>-2.4330771327514124E-2</v>
      </c>
      <c r="AJ124" s="2292">
        <v>22712945.407933742</v>
      </c>
      <c r="AK124" s="2292"/>
      <c r="AL124" s="2293">
        <f>Production!G16</f>
        <v>12335870</v>
      </c>
      <c r="AM124" s="2294">
        <f>(AL124-AJ124)/AJ124</f>
        <v>-0.4568793356192799</v>
      </c>
      <c r="AN124" s="165"/>
      <c r="AO124" s="81"/>
      <c r="AP124" s="2368">
        <v>14868682.94134178</v>
      </c>
    </row>
    <row r="125" spans="1:49" s="9" customFormat="1" ht="60.75" thickBot="1" x14ac:dyDescent="0.3">
      <c r="B125" s="1380">
        <v>2017</v>
      </c>
      <c r="C125" s="1381" t="s">
        <v>470</v>
      </c>
      <c r="D125" s="1382">
        <v>2018</v>
      </c>
      <c r="E125" s="1201">
        <v>2019</v>
      </c>
      <c r="F125" s="1202" t="s">
        <v>835</v>
      </c>
      <c r="G125" s="1380">
        <v>2017</v>
      </c>
      <c r="H125" s="1381" t="s">
        <v>470</v>
      </c>
      <c r="I125" s="1382">
        <v>2018</v>
      </c>
      <c r="J125" s="1201">
        <v>2019</v>
      </c>
      <c r="K125" s="1202" t="s">
        <v>835</v>
      </c>
      <c r="L125" s="1275">
        <v>2017</v>
      </c>
      <c r="M125" s="555" t="s">
        <v>470</v>
      </c>
      <c r="N125" s="1268" t="s">
        <v>895</v>
      </c>
      <c r="O125" s="1269" t="s">
        <v>541</v>
      </c>
      <c r="P125" s="2358" t="s">
        <v>921</v>
      </c>
      <c r="Q125" s="1285" t="s">
        <v>836</v>
      </c>
      <c r="R125" s="2245" t="s">
        <v>896</v>
      </c>
      <c r="S125" s="2256" t="s">
        <v>897</v>
      </c>
      <c r="T125" s="2365"/>
      <c r="U125" s="2356"/>
      <c r="V125" s="1225">
        <v>2017</v>
      </c>
      <c r="W125" s="1220" t="s">
        <v>470</v>
      </c>
      <c r="X125" s="1221">
        <v>2018</v>
      </c>
      <c r="Y125" s="1221">
        <v>2020</v>
      </c>
      <c r="Z125" s="1284" t="s">
        <v>837</v>
      </c>
      <c r="AA125" s="1275">
        <v>2017</v>
      </c>
      <c r="AB125" s="555" t="s">
        <v>470</v>
      </c>
      <c r="AC125" s="1268">
        <v>2018</v>
      </c>
      <c r="AD125" s="2034">
        <v>2019</v>
      </c>
      <c r="AE125" s="2045">
        <v>2018</v>
      </c>
      <c r="AF125" s="2033">
        <v>2019</v>
      </c>
      <c r="AG125" s="2033" t="s">
        <v>839</v>
      </c>
      <c r="AH125" s="2295">
        <v>2017</v>
      </c>
      <c r="AI125" s="1281" t="s">
        <v>470</v>
      </c>
      <c r="AJ125" s="1282">
        <v>2018</v>
      </c>
      <c r="AK125" s="1282" t="s">
        <v>901</v>
      </c>
      <c r="AL125" s="2374" t="s">
        <v>923</v>
      </c>
      <c r="AM125" s="1283" t="s">
        <v>898</v>
      </c>
      <c r="AN125" s="2285" t="s">
        <v>900</v>
      </c>
      <c r="AO125" s="2296" t="s">
        <v>840</v>
      </c>
      <c r="AP125" s="2370" t="s">
        <v>922</v>
      </c>
      <c r="AT125" s="1"/>
      <c r="AU125" s="1"/>
      <c r="AV125" s="1"/>
      <c r="AW125" s="1"/>
    </row>
    <row r="126" spans="1:49" s="9" customFormat="1" x14ac:dyDescent="0.25">
      <c r="A126" s="1069" t="s">
        <v>108</v>
      </c>
      <c r="B126" s="1070">
        <v>927448</v>
      </c>
      <c r="C126" s="1071">
        <v>927448</v>
      </c>
      <c r="D126" s="2013">
        <v>1003671</v>
      </c>
      <c r="E126" s="2381">
        <f>'Water Mangt'!L5</f>
        <v>1096059</v>
      </c>
      <c r="F126" s="1233">
        <f t="shared" ref="F126:F136" si="48">(E126-D126)/D126</f>
        <v>9.2050084141117955E-2</v>
      </c>
      <c r="G126" s="1383">
        <v>0</v>
      </c>
      <c r="H126" s="1384">
        <v>0</v>
      </c>
      <c r="I126" s="2006">
        <v>0</v>
      </c>
      <c r="J126" s="2377">
        <f>'Water Mangt'!Q5</f>
        <v>0</v>
      </c>
      <c r="K126" s="1074">
        <v>0</v>
      </c>
      <c r="L126" s="1070">
        <v>37320</v>
      </c>
      <c r="M126" s="1071">
        <v>49622.96</v>
      </c>
      <c r="N126" s="1205">
        <v>37320</v>
      </c>
      <c r="O126" s="1102">
        <v>61532.470399999998</v>
      </c>
      <c r="P126" s="2362">
        <v>37320</v>
      </c>
      <c r="Q126" s="2246">
        <f>(P126-O126)/O126</f>
        <v>-0.39349095270519158</v>
      </c>
      <c r="R126" s="2384">
        <f>O126*1.09</f>
        <v>67070.392736000009</v>
      </c>
      <c r="S126" s="1973">
        <f>(R126-O126)/O126</f>
        <v>9.0000000000000177E-2</v>
      </c>
      <c r="T126" s="2366"/>
      <c r="U126" s="2249" t="s">
        <v>108</v>
      </c>
      <c r="V126" s="1213">
        <v>0</v>
      </c>
      <c r="W126" s="1090">
        <v>0</v>
      </c>
      <c r="X126" s="2015">
        <v>0</v>
      </c>
      <c r="Y126" s="1384">
        <f>'Water Mangt'!G5</f>
        <v>0</v>
      </c>
      <c r="Z126" s="2025" t="e">
        <f>(Y126-X126)/X126</f>
        <v>#DIV/0!</v>
      </c>
      <c r="AA126" s="2030">
        <v>0</v>
      </c>
      <c r="AB126" s="1075">
        <v>0</v>
      </c>
      <c r="AC126" s="1367">
        <v>0</v>
      </c>
      <c r="AD126" s="2035">
        <v>0</v>
      </c>
      <c r="AE126" s="2048">
        <v>0</v>
      </c>
      <c r="AF126" s="1077">
        <f>'Water Mangt'!AK5</f>
        <v>0</v>
      </c>
      <c r="AG126" s="2279">
        <v>0</v>
      </c>
      <c r="AH126" s="1089">
        <v>964768</v>
      </c>
      <c r="AI126" s="1090">
        <v>977070.96</v>
      </c>
      <c r="AJ126" s="2286">
        <v>1040991</v>
      </c>
      <c r="AK126" s="2286">
        <f t="shared" ref="AK126:AK137" si="49">AM103</f>
        <v>1065203.4704</v>
      </c>
      <c r="AL126" s="2392">
        <f>E126+J126+R126+Y126+AF126</f>
        <v>1163129.392736</v>
      </c>
      <c r="AM126" s="2398">
        <f t="shared" ref="AM126:AM132" si="50">E126+J126+R126+Y126+AF126</f>
        <v>1163129.392736</v>
      </c>
      <c r="AN126" s="2288">
        <f>(AM126-AJ126)/AJ126</f>
        <v>0.11732896128400727</v>
      </c>
      <c r="AO126" s="2263">
        <f>(AM126-AK126)/AK126</f>
        <v>9.1931659121639323E-2</v>
      </c>
      <c r="AP126" s="2369">
        <v>1275261</v>
      </c>
      <c r="AQ126" s="9" t="s">
        <v>108</v>
      </c>
      <c r="AT126" s="1"/>
      <c r="AU126" s="1"/>
      <c r="AV126" s="1"/>
      <c r="AW126" s="1"/>
    </row>
    <row r="127" spans="1:49" s="9" customFormat="1" x14ac:dyDescent="0.25">
      <c r="A127" s="1069" t="s">
        <v>109</v>
      </c>
      <c r="B127" s="1070">
        <v>2824279</v>
      </c>
      <c r="C127" s="1071">
        <v>1769781.6</v>
      </c>
      <c r="D127" s="2007">
        <v>1988755</v>
      </c>
      <c r="E127" s="1302">
        <f>'Water Mangt'!L6</f>
        <v>950041</v>
      </c>
      <c r="F127" s="1233">
        <f t="shared" si="48"/>
        <v>-0.52229359574205969</v>
      </c>
      <c r="G127" s="1070">
        <v>77935</v>
      </c>
      <c r="H127" s="1071">
        <v>77935</v>
      </c>
      <c r="I127" s="2007">
        <v>71860</v>
      </c>
      <c r="J127" s="1384">
        <f>'Water Mangt'!Q6</f>
        <v>12410</v>
      </c>
      <c r="K127" s="1074">
        <f t="shared" ref="K127:K136" si="51">(J127-I127)/I127</f>
        <v>-0.8273030893403841</v>
      </c>
      <c r="L127" s="1070">
        <v>5288571</v>
      </c>
      <c r="M127" s="1071">
        <v>1061308.32</v>
      </c>
      <c r="N127" s="1205">
        <v>4745380</v>
      </c>
      <c r="O127" s="1102">
        <v>1316022.3168000001</v>
      </c>
      <c r="P127" s="2362">
        <v>4947634</v>
      </c>
      <c r="Q127" s="2246">
        <f t="shared" ref="Q127:Q136" si="52">(P127-O127)/O127</f>
        <v>2.7595365495248716</v>
      </c>
      <c r="R127" s="2384">
        <f>O127*1.09</f>
        <v>1434464.3253120002</v>
      </c>
      <c r="S127" s="1973">
        <f t="shared" ref="S127:S137" si="53">(R127-O127)/O127</f>
        <v>9.0000000000000052E-2</v>
      </c>
      <c r="T127" s="2366"/>
      <c r="U127" s="2249" t="s">
        <v>109</v>
      </c>
      <c r="V127" s="1214">
        <v>188523</v>
      </c>
      <c r="W127" s="1071">
        <v>188523</v>
      </c>
      <c r="X127" s="2013">
        <v>165310</v>
      </c>
      <c r="Y127" s="1384">
        <f>'Water Mangt'!G6</f>
        <v>172582</v>
      </c>
      <c r="Z127" s="2025">
        <f t="shared" ref="Z127:Z136" si="54">(Y127-X127)/X127</f>
        <v>4.3990079245054749E-2</v>
      </c>
      <c r="AA127" s="1084">
        <v>318200</v>
      </c>
      <c r="AB127" s="1085">
        <v>190395.16</v>
      </c>
      <c r="AC127" s="1227">
        <v>96305</v>
      </c>
      <c r="AD127" s="2036">
        <v>0</v>
      </c>
      <c r="AE127" s="2048">
        <v>1509.3130000000001</v>
      </c>
      <c r="AF127" s="1087">
        <f>'Water Mangt'!AK6</f>
        <v>1539.57</v>
      </c>
      <c r="AG127" s="2280">
        <v>0</v>
      </c>
      <c r="AH127" s="1089">
        <v>8697508</v>
      </c>
      <c r="AI127" s="1090">
        <v>3287943.08</v>
      </c>
      <c r="AJ127" s="2286">
        <v>7067610</v>
      </c>
      <c r="AK127" s="2286">
        <f t="shared" si="49"/>
        <v>3638252.3168000001</v>
      </c>
      <c r="AL127" s="2392">
        <f t="shared" ref="AL127:AL132" si="55">E127+J127+R127+Y127+AF127</f>
        <v>2571036.8953120001</v>
      </c>
      <c r="AM127" s="2398">
        <f t="shared" si="50"/>
        <v>2571036.8953120001</v>
      </c>
      <c r="AN127" s="2288">
        <f t="shared" ref="AN127:AN136" si="56">(AM127-AJ127)/AJ127</f>
        <v>-0.63622258510132845</v>
      </c>
      <c r="AO127" s="2263">
        <f t="shared" ref="AO127:AO136" si="57">(AM127-AK127)/AK127</f>
        <v>-0.29333188810463318</v>
      </c>
      <c r="AP127" s="2369">
        <v>6732262.3499999996</v>
      </c>
      <c r="AQ127" s="9" t="s">
        <v>109</v>
      </c>
      <c r="AT127" s="1"/>
      <c r="AU127" s="1"/>
      <c r="AV127" s="1"/>
      <c r="AW127" s="1"/>
    </row>
    <row r="128" spans="1:49" s="9" customFormat="1" x14ac:dyDescent="0.25">
      <c r="A128" s="1069" t="s">
        <v>21</v>
      </c>
      <c r="B128" s="1070">
        <v>0</v>
      </c>
      <c r="C128" s="1071">
        <v>0</v>
      </c>
      <c r="D128" s="2013">
        <v>576320</v>
      </c>
      <c r="E128" s="2382">
        <f>'Water Mangt'!L7</f>
        <v>987666</v>
      </c>
      <c r="F128" s="1233">
        <f t="shared" si="48"/>
        <v>0.71374583564686289</v>
      </c>
      <c r="G128" s="1070">
        <v>404365</v>
      </c>
      <c r="H128" s="1071">
        <v>404365</v>
      </c>
      <c r="I128" s="2007">
        <v>671516</v>
      </c>
      <c r="J128" s="1384">
        <f>'Water Mangt'!Q7</f>
        <v>618668</v>
      </c>
      <c r="K128" s="1074">
        <f t="shared" si="51"/>
        <v>-7.8699539549318256E-2</v>
      </c>
      <c r="L128" s="1092">
        <v>4593311</v>
      </c>
      <c r="M128" s="1071">
        <v>5632174.6799999997</v>
      </c>
      <c r="N128" s="1205">
        <v>3297917</v>
      </c>
      <c r="O128" s="1102">
        <v>6983896.6031999998</v>
      </c>
      <c r="P128" s="2362">
        <v>4334680</v>
      </c>
      <c r="Q128" s="2246">
        <f t="shared" si="52"/>
        <v>-0.37933216279091775</v>
      </c>
      <c r="R128" s="2384">
        <f>O128*1.09</f>
        <v>7612447.2974880002</v>
      </c>
      <c r="S128" s="1973">
        <f t="shared" si="53"/>
        <v>9.0000000000000066E-2</v>
      </c>
      <c r="T128" s="2366"/>
      <c r="U128" s="2249" t="s">
        <v>21</v>
      </c>
      <c r="V128" s="1214">
        <v>297945</v>
      </c>
      <c r="W128" s="1071">
        <v>297945</v>
      </c>
      <c r="X128" s="2013">
        <v>259264</v>
      </c>
      <c r="Y128" s="1384">
        <f>'Water Mangt'!G7</f>
        <v>270374</v>
      </c>
      <c r="Z128" s="2025">
        <f t="shared" si="54"/>
        <v>4.2852073562083433E-2</v>
      </c>
      <c r="AA128" s="1084">
        <v>5288577</v>
      </c>
      <c r="AB128" s="1071">
        <v>4371005.68</v>
      </c>
      <c r="AC128" s="1227">
        <v>2576030</v>
      </c>
      <c r="AD128" s="2037">
        <v>0</v>
      </c>
      <c r="AE128" s="2048">
        <v>0</v>
      </c>
      <c r="AF128" s="1087">
        <f>'Water Mangt'!AK7</f>
        <v>0</v>
      </c>
      <c r="AG128" s="2280">
        <f>(AF128-AA128)/AA128</f>
        <v>-1</v>
      </c>
      <c r="AH128" s="1089">
        <v>10584198</v>
      </c>
      <c r="AI128" s="1090">
        <v>10705490.359999999</v>
      </c>
      <c r="AJ128" s="2286">
        <v>7381047</v>
      </c>
      <c r="AK128" s="2286">
        <f t="shared" si="49"/>
        <v>11067026.6032</v>
      </c>
      <c r="AL128" s="2392">
        <f t="shared" si="55"/>
        <v>9489155.2974880002</v>
      </c>
      <c r="AM128" s="2398">
        <f t="shared" si="50"/>
        <v>9489155.2974880002</v>
      </c>
      <c r="AN128" s="2288">
        <f t="shared" si="56"/>
        <v>0.28561101121399174</v>
      </c>
      <c r="AO128" s="2263">
        <f t="shared" si="57"/>
        <v>-0.14257409530901122</v>
      </c>
      <c r="AP128" s="2369">
        <v>6215940</v>
      </c>
      <c r="AQ128" s="9" t="s">
        <v>21</v>
      </c>
      <c r="AT128" s="1"/>
      <c r="AU128" s="1"/>
      <c r="AV128" s="1"/>
      <c r="AW128" s="1"/>
    </row>
    <row r="129" spans="1:49" s="9" customFormat="1" x14ac:dyDescent="0.25">
      <c r="A129" s="1069" t="s">
        <v>22</v>
      </c>
      <c r="B129" s="1070">
        <v>1408193</v>
      </c>
      <c r="C129" s="1071">
        <v>1408193</v>
      </c>
      <c r="D129" s="2013">
        <v>3264384</v>
      </c>
      <c r="E129" s="2382">
        <f>'Water Mangt'!L10</f>
        <v>1642280</v>
      </c>
      <c r="F129" s="1233">
        <f t="shared" si="48"/>
        <v>-0.4969096772928675</v>
      </c>
      <c r="G129" s="1070">
        <v>1751519</v>
      </c>
      <c r="H129" s="1071">
        <v>1751519</v>
      </c>
      <c r="I129" s="2007">
        <v>2160000</v>
      </c>
      <c r="J129" s="1384">
        <f>'Water Mangt'!Q10</f>
        <v>1800000</v>
      </c>
      <c r="K129" s="1074">
        <f t="shared" si="51"/>
        <v>-0.16666666666666666</v>
      </c>
      <c r="L129" s="1070">
        <v>2331951</v>
      </c>
      <c r="M129" s="1071">
        <v>2045825.16</v>
      </c>
      <c r="N129" s="1205">
        <v>10571256</v>
      </c>
      <c r="O129" s="1102">
        <v>2536823.1984000001</v>
      </c>
      <c r="P129" s="2362">
        <v>16897559</v>
      </c>
      <c r="Q129" s="2246">
        <f t="shared" si="52"/>
        <v>5.6609131494293576</v>
      </c>
      <c r="R129" s="2384">
        <f>O129*1.09</f>
        <v>2765137.2862560004</v>
      </c>
      <c r="S129" s="1973">
        <f t="shared" si="53"/>
        <v>9.0000000000000108E-2</v>
      </c>
      <c r="T129" s="2366"/>
      <c r="U129" s="2249" t="s">
        <v>22</v>
      </c>
      <c r="V129" s="1214">
        <v>15571200</v>
      </c>
      <c r="W129" s="1071">
        <v>15571200</v>
      </c>
      <c r="X129" s="2013">
        <v>19300000</v>
      </c>
      <c r="Y129" s="1384">
        <f>'Water Mangt'!G10</f>
        <v>30359729.933999997</v>
      </c>
      <c r="Z129" s="2025">
        <f t="shared" si="54"/>
        <v>0.5730430017616579</v>
      </c>
      <c r="AA129" s="1084">
        <v>2000070</v>
      </c>
      <c r="AB129" s="1093">
        <v>333123.12</v>
      </c>
      <c r="AC129" s="1227">
        <v>577265</v>
      </c>
      <c r="AD129" s="2038">
        <v>0</v>
      </c>
      <c r="AE129" s="2048">
        <v>0</v>
      </c>
      <c r="AF129" s="1095">
        <f>AD129-(AD129*0.25)</f>
        <v>0</v>
      </c>
      <c r="AG129" s="2280"/>
      <c r="AH129" s="1089">
        <v>23062933.300000001</v>
      </c>
      <c r="AI129" s="1090">
        <v>21109860.280000001</v>
      </c>
      <c r="AJ129" s="2286">
        <v>35872905</v>
      </c>
      <c r="AK129" s="2286">
        <f t="shared" si="49"/>
        <v>27838472.198399998</v>
      </c>
      <c r="AL129" s="2392">
        <f t="shared" si="55"/>
        <v>36567147.220256001</v>
      </c>
      <c r="AM129" s="2398">
        <f t="shared" si="50"/>
        <v>36567147.220256001</v>
      </c>
      <c r="AN129" s="2288">
        <f t="shared" si="56"/>
        <v>1.9352829670638626E-2</v>
      </c>
      <c r="AO129" s="2263">
        <f t="shared" si="57"/>
        <v>0.31354720042279038</v>
      </c>
      <c r="AP129" s="2369">
        <v>52523834.100000001</v>
      </c>
      <c r="AQ129" s="9" t="s">
        <v>22</v>
      </c>
      <c r="AT129" s="1"/>
      <c r="AU129" s="1"/>
      <c r="AV129" s="1"/>
      <c r="AW129" s="1"/>
    </row>
    <row r="130" spans="1:49" s="9" customFormat="1" x14ac:dyDescent="0.25">
      <c r="A130" s="1069" t="s">
        <v>23</v>
      </c>
      <c r="B130" s="1092">
        <v>2084577</v>
      </c>
      <c r="C130" s="1071">
        <v>2084577</v>
      </c>
      <c r="D130" s="2007">
        <v>1787487.78</v>
      </c>
      <c r="E130" s="1302">
        <f>'Water Mangt'!L11</f>
        <v>1274117</v>
      </c>
      <c r="F130" s="1233">
        <f t="shared" si="48"/>
        <v>-0.28720239978367851</v>
      </c>
      <c r="G130" s="1092">
        <v>947949</v>
      </c>
      <c r="H130" s="1071">
        <v>947949</v>
      </c>
      <c r="I130" s="2007">
        <v>845500</v>
      </c>
      <c r="J130" s="1384">
        <f>'Water Mangt'!Q11</f>
        <v>1225566.6666666667</v>
      </c>
      <c r="K130" s="1074">
        <f t="shared" si="51"/>
        <v>0.44951705105460288</v>
      </c>
      <c r="L130" s="1070">
        <v>0</v>
      </c>
      <c r="M130" s="1071">
        <v>0</v>
      </c>
      <c r="N130" s="1205">
        <v>0</v>
      </c>
      <c r="O130" s="1102">
        <v>0</v>
      </c>
      <c r="P130" s="2362">
        <v>0</v>
      </c>
      <c r="Q130" s="2246">
        <v>0</v>
      </c>
      <c r="R130" s="857">
        <v>0</v>
      </c>
      <c r="S130" s="1973">
        <v>0</v>
      </c>
      <c r="T130" s="2366"/>
      <c r="U130" s="2249" t="s">
        <v>23</v>
      </c>
      <c r="V130" s="1226">
        <v>91504</v>
      </c>
      <c r="W130" s="1071">
        <v>91504</v>
      </c>
      <c r="X130" s="2013">
        <v>44049</v>
      </c>
      <c r="Y130" s="1384">
        <f>'Water Mangt'!G11</f>
        <v>232745</v>
      </c>
      <c r="Z130" s="2025">
        <f t="shared" si="54"/>
        <v>4.2837748870575947</v>
      </c>
      <c r="AA130" s="1084">
        <v>2360128</v>
      </c>
      <c r="AB130" s="1071">
        <v>2360128</v>
      </c>
      <c r="AC130" s="1227">
        <v>2118166</v>
      </c>
      <c r="AD130" s="2039">
        <v>0</v>
      </c>
      <c r="AE130" s="2048">
        <v>0</v>
      </c>
      <c r="AF130" s="1087">
        <f>AD130-(AD130*0.25)</f>
        <v>0</v>
      </c>
      <c r="AG130" s="2280">
        <v>0</v>
      </c>
      <c r="AH130" s="1089">
        <v>5484158</v>
      </c>
      <c r="AI130" s="1090">
        <v>5484158</v>
      </c>
      <c r="AJ130" s="2286">
        <v>4795202.777777778</v>
      </c>
      <c r="AK130" s="2286">
        <f t="shared" si="49"/>
        <v>4795202.78</v>
      </c>
      <c r="AL130" s="2392">
        <f t="shared" si="55"/>
        <v>2732428.666666667</v>
      </c>
      <c r="AM130" s="2398">
        <f t="shared" si="50"/>
        <v>2732428.666666667</v>
      </c>
      <c r="AN130" s="2288">
        <f t="shared" si="56"/>
        <v>-0.43017453206995643</v>
      </c>
      <c r="AO130" s="2263">
        <f t="shared" si="57"/>
        <v>-0.43017453233402847</v>
      </c>
      <c r="AP130" s="2369">
        <v>2540317</v>
      </c>
      <c r="AQ130" s="9" t="s">
        <v>23</v>
      </c>
      <c r="AT130" s="1"/>
      <c r="AU130" s="1"/>
      <c r="AV130" s="1"/>
      <c r="AW130" s="1"/>
    </row>
    <row r="131" spans="1:49" s="9" customFormat="1" x14ac:dyDescent="0.25">
      <c r="A131" s="1097" t="s">
        <v>356</v>
      </c>
      <c r="B131" s="1080">
        <v>4908856</v>
      </c>
      <c r="C131" s="1081">
        <v>1769781.6</v>
      </c>
      <c r="D131" s="2008">
        <v>2565075</v>
      </c>
      <c r="E131" s="1082">
        <f>E127+E128</f>
        <v>1937707</v>
      </c>
      <c r="F131" s="1303">
        <f t="shared" si="48"/>
        <v>-0.24458076274572868</v>
      </c>
      <c r="G131" s="1080">
        <v>1430249</v>
      </c>
      <c r="H131" s="1081">
        <v>482300</v>
      </c>
      <c r="I131" s="2008">
        <v>743376</v>
      </c>
      <c r="J131" s="2378">
        <f>J127+J128</f>
        <v>631078</v>
      </c>
      <c r="K131" s="1104">
        <f t="shared" si="51"/>
        <v>-0.15106487161275048</v>
      </c>
      <c r="L131" s="1080">
        <v>9881882</v>
      </c>
      <c r="M131" s="1081">
        <v>6693483</v>
      </c>
      <c r="N131" s="1204">
        <v>8043297</v>
      </c>
      <c r="O131" s="1083">
        <v>8299918.9199999999</v>
      </c>
      <c r="P131" s="2362">
        <v>9282314</v>
      </c>
      <c r="Q131" s="2260">
        <f t="shared" si="52"/>
        <v>0.11836200925201328</v>
      </c>
      <c r="R131" s="2385">
        <f>R127+R128</f>
        <v>9046911.6228</v>
      </c>
      <c r="S131" s="2062">
        <f t="shared" si="53"/>
        <v>9.0000000000000011E-2</v>
      </c>
      <c r="T131" s="2366"/>
      <c r="U131" s="2250" t="s">
        <v>356</v>
      </c>
      <c r="V131" s="1215">
        <v>577972</v>
      </c>
      <c r="W131" s="1081">
        <v>486468</v>
      </c>
      <c r="X131" s="2008">
        <v>424528</v>
      </c>
      <c r="Y131" s="2389">
        <f>Y127+Y128</f>
        <v>442956</v>
      </c>
      <c r="Z131" s="2026">
        <f t="shared" si="54"/>
        <v>4.3408208645837262E-2</v>
      </c>
      <c r="AA131" s="2031">
        <v>7966905</v>
      </c>
      <c r="AB131" s="1081">
        <v>4561400.84</v>
      </c>
      <c r="AC131" s="1228">
        <v>2672335</v>
      </c>
      <c r="AD131" s="2040">
        <v>0</v>
      </c>
      <c r="AE131" s="2049">
        <f>AE127+AE128</f>
        <v>1509.3130000000001</v>
      </c>
      <c r="AF131" s="1099">
        <f>SUM(AF127:AF128)</f>
        <v>1539.57</v>
      </c>
      <c r="AG131" s="2281">
        <f>(AF131-AA131)/AA131</f>
        <v>-0.99980675431676413</v>
      </c>
      <c r="AH131" s="1080">
        <v>24765863.999999996</v>
      </c>
      <c r="AI131" s="1081">
        <v>13993433.439999999</v>
      </c>
      <c r="AJ131" s="2399">
        <v>14448611</v>
      </c>
      <c r="AK131" s="2399">
        <f t="shared" si="49"/>
        <v>14705232.92</v>
      </c>
      <c r="AL131" s="2392">
        <f t="shared" si="55"/>
        <v>12060192.1928</v>
      </c>
      <c r="AM131" s="2400">
        <f t="shared" si="50"/>
        <v>12060192.1928</v>
      </c>
      <c r="AN131" s="2288">
        <f t="shared" si="56"/>
        <v>-0.16530438858101998</v>
      </c>
      <c r="AO131" s="2298">
        <f t="shared" si="57"/>
        <v>-0.17987071279929101</v>
      </c>
      <c r="AP131" s="2369">
        <v>12948202.35</v>
      </c>
      <c r="AQ131" s="9" t="s">
        <v>356</v>
      </c>
      <c r="AT131" s="1"/>
      <c r="AU131" s="1"/>
      <c r="AV131" s="1"/>
      <c r="AW131" s="1"/>
    </row>
    <row r="132" spans="1:49" s="9" customFormat="1" x14ac:dyDescent="0.25">
      <c r="A132" s="1101" t="s">
        <v>357</v>
      </c>
      <c r="B132" s="1308">
        <v>6317049</v>
      </c>
      <c r="C132" s="1309">
        <v>5262551.5999999996</v>
      </c>
      <c r="D132" s="2009">
        <v>7616946.7800000003</v>
      </c>
      <c r="E132" s="2383">
        <f>'Water Mangt'!L13</f>
        <v>3211824</v>
      </c>
      <c r="F132" s="1311">
        <f t="shared" si="48"/>
        <v>-0.57833183127478804</v>
      </c>
      <c r="G132" s="1308">
        <v>3181768</v>
      </c>
      <c r="H132" s="1309">
        <v>3181768</v>
      </c>
      <c r="I132" s="2009">
        <v>3748876</v>
      </c>
      <c r="J132" s="2379">
        <f>'Water Mangt'!Q13</f>
        <v>1856644.6666666667</v>
      </c>
      <c r="K132" s="1313">
        <f t="shared" si="51"/>
        <v>-0.50474631151666083</v>
      </c>
      <c r="L132" s="1308">
        <v>12213833</v>
      </c>
      <c r="M132" s="1309">
        <v>8739308.1600000001</v>
      </c>
      <c r="N132" s="1310">
        <v>18614553</v>
      </c>
      <c r="O132" s="1312">
        <v>10836742.1184</v>
      </c>
      <c r="P132" s="2362">
        <v>26179873</v>
      </c>
      <c r="Q132" s="2261">
        <f t="shared" si="52"/>
        <v>1.415843499269811</v>
      </c>
      <c r="R132" s="2386">
        <f>SUM(R127:R130)</f>
        <v>11812048.909056</v>
      </c>
      <c r="S132" s="2262">
        <f t="shared" si="53"/>
        <v>9.0000000000000038E-2</v>
      </c>
      <c r="T132" s="2366"/>
      <c r="U132" s="2251" t="s">
        <v>357</v>
      </c>
      <c r="V132" s="1295">
        <v>16149172</v>
      </c>
      <c r="W132" s="1296">
        <v>16149172</v>
      </c>
      <c r="X132" s="2009">
        <v>19768623</v>
      </c>
      <c r="Y132" s="2390">
        <f>'Water Mangt'!G13</f>
        <v>675701</v>
      </c>
      <c r="Z132" s="2027">
        <f t="shared" si="54"/>
        <v>-0.96581952116745817</v>
      </c>
      <c r="AA132" s="2032">
        <v>9966975</v>
      </c>
      <c r="AB132" s="1309">
        <v>7254651.96</v>
      </c>
      <c r="AC132" s="1368">
        <v>5367766</v>
      </c>
      <c r="AD132" s="2041">
        <v>0</v>
      </c>
      <c r="AE132" s="2050">
        <f>AE131</f>
        <v>1509.3130000000001</v>
      </c>
      <c r="AF132" s="1299">
        <f>SUM(AF127:AF130)</f>
        <v>1539.57</v>
      </c>
      <c r="AG132" s="2282">
        <f>(AF132-AA132)/AA132</f>
        <v>-0.99984553287231082</v>
      </c>
      <c r="AH132" s="1320">
        <v>47828797.299999997</v>
      </c>
      <c r="AI132" s="1296">
        <v>40587451.719999999</v>
      </c>
      <c r="AJ132" s="2401">
        <v>55116764.777777776</v>
      </c>
      <c r="AK132" s="2401">
        <f t="shared" si="49"/>
        <v>47338953.898400001</v>
      </c>
      <c r="AL132" s="2392">
        <f t="shared" si="55"/>
        <v>17557758.145722669</v>
      </c>
      <c r="AM132" s="2402">
        <f t="shared" si="50"/>
        <v>17557758.145722669</v>
      </c>
      <c r="AN132" s="2288">
        <f t="shared" si="56"/>
        <v>-0.68144432612268113</v>
      </c>
      <c r="AO132" s="2297">
        <f t="shared" si="57"/>
        <v>-0.62910548924664556</v>
      </c>
      <c r="AP132" s="2369">
        <v>68012353.449999988</v>
      </c>
      <c r="AQ132" s="9" t="s">
        <v>357</v>
      </c>
      <c r="AT132" s="1"/>
      <c r="AU132" s="39"/>
      <c r="AV132" s="1"/>
      <c r="AW132" s="1"/>
    </row>
    <row r="133" spans="1:49" s="4462" customFormat="1" x14ac:dyDescent="0.25">
      <c r="A133" s="4434" t="s">
        <v>358</v>
      </c>
      <c r="B133" s="4435">
        <v>1.2989335544196914</v>
      </c>
      <c r="C133" s="4436">
        <v>1.0821041367741542</v>
      </c>
      <c r="D133" s="4437">
        <v>1.96345043316334</v>
      </c>
      <c r="E133" s="4438">
        <f>E132/E124</f>
        <v>1.0958381695994066</v>
      </c>
      <c r="F133" s="4439">
        <f t="shared" si="48"/>
        <v>-0.44188141901097661</v>
      </c>
      <c r="G133" s="4435">
        <v>4.7644024371800224</v>
      </c>
      <c r="H133" s="4436">
        <v>4.7644024371800224</v>
      </c>
      <c r="I133" s="4437">
        <v>5.7740839942149433</v>
      </c>
      <c r="J133" s="4438">
        <f>J132/J124</f>
        <v>2.0821288056775131</v>
      </c>
      <c r="K133" s="4440">
        <f t="shared" si="51"/>
        <v>-0.63940101879993461</v>
      </c>
      <c r="L133" s="4435">
        <v>2.9997683952616079</v>
      </c>
      <c r="M133" s="4436">
        <v>2.1464105833786884</v>
      </c>
      <c r="N133" s="4441">
        <v>3.6894955764630892</v>
      </c>
      <c r="O133" s="4442">
        <v>2.6615491233895736</v>
      </c>
      <c r="P133" s="4443">
        <v>4.7639003534823932</v>
      </c>
      <c r="Q133" s="4444">
        <f t="shared" si="52"/>
        <v>0.7898975869419248</v>
      </c>
      <c r="R133" s="4445">
        <f>R132/P124</f>
        <v>2.7578885123879746</v>
      </c>
      <c r="S133" s="4446">
        <f t="shared" si="53"/>
        <v>3.6196735259092082E-2</v>
      </c>
      <c r="T133" s="4447"/>
      <c r="U133" s="4448" t="s">
        <v>358</v>
      </c>
      <c r="V133" s="4449">
        <v>6.7595579399159593</v>
      </c>
      <c r="W133" s="4436">
        <v>6.7595579399159593</v>
      </c>
      <c r="X133" s="4450">
        <v>4.7591257235783315</v>
      </c>
      <c r="Y133" s="4438">
        <f>Y132/Y124</f>
        <v>0.15973147813722674</v>
      </c>
      <c r="Z133" s="4451">
        <f t="shared" si="54"/>
        <v>-0.96643680217442829</v>
      </c>
      <c r="AA133" s="4435">
        <v>1.1206176398498793</v>
      </c>
      <c r="AB133" s="4436">
        <v>0.81566282220508246</v>
      </c>
      <c r="AC133" s="4452">
        <v>0.59740083693184343</v>
      </c>
      <c r="AD133" s="4453">
        <v>0</v>
      </c>
      <c r="AE133" s="4454">
        <f>AE132/AE124</f>
        <v>6.6451663264808871E-5</v>
      </c>
      <c r="AF133" s="4455">
        <f>AF132/AF124</f>
        <v>1.2480433078493856E-4</v>
      </c>
      <c r="AG133" s="4456">
        <f>(AF133-AA133)/AA133</f>
        <v>-0.99988862897892483</v>
      </c>
      <c r="AH133" s="4435">
        <v>2.4074019609762192</v>
      </c>
      <c r="AI133" s="4436">
        <v>2.0429179987295147</v>
      </c>
      <c r="AJ133" s="4457">
        <v>2.4266674263446792</v>
      </c>
      <c r="AK133" s="4457">
        <f t="shared" si="49"/>
        <v>2.0842278730553492</v>
      </c>
      <c r="AL133" s="4458">
        <f>AL132/AL124</f>
        <v>1.4233092717191953</v>
      </c>
      <c r="AM133" s="4459">
        <f>AM132/AL124</f>
        <v>1.4233092717191953</v>
      </c>
      <c r="AN133" s="4460">
        <f t="shared" si="56"/>
        <v>-0.41347163757699396</v>
      </c>
      <c r="AO133" s="4461">
        <f t="shared" si="57"/>
        <v>-0.31710477049099628</v>
      </c>
      <c r="AP133" s="4447">
        <v>4.5742016100763268</v>
      </c>
      <c r="AQ133" s="4462" t="s">
        <v>358</v>
      </c>
      <c r="AT133" s="4463"/>
      <c r="AU133" s="4463"/>
      <c r="AV133" s="4463"/>
      <c r="AW133" s="4463"/>
    </row>
    <row r="134" spans="1:49" s="9" customFormat="1" x14ac:dyDescent="0.25">
      <c r="A134" s="1103" t="s">
        <v>359</v>
      </c>
      <c r="B134" s="1084">
        <v>0.42863796245233132</v>
      </c>
      <c r="C134" s="1090">
        <v>0.42863796245233132</v>
      </c>
      <c r="D134" s="2014">
        <v>0.46076777970019861</v>
      </c>
      <c r="E134" s="2382">
        <f>E130/E124</f>
        <v>0.43471436826410381</v>
      </c>
      <c r="F134" s="1233">
        <f t="shared" si="48"/>
        <v>-5.654347500827122E-2</v>
      </c>
      <c r="G134" s="1084">
        <v>1.4194656951488498</v>
      </c>
      <c r="H134" s="1090">
        <v>1.4194656951488498</v>
      </c>
      <c r="I134" s="2010">
        <v>1.3022538001013464</v>
      </c>
      <c r="J134" s="1302">
        <f>J130/J124</f>
        <v>1.3744082030118332</v>
      </c>
      <c r="K134" s="1074">
        <f t="shared" si="51"/>
        <v>5.5407327592264632E-2</v>
      </c>
      <c r="L134" s="1105">
        <v>0</v>
      </c>
      <c r="M134" s="1106">
        <v>0</v>
      </c>
      <c r="N134" s="1209">
        <v>0</v>
      </c>
      <c r="O134" s="1102">
        <v>0</v>
      </c>
      <c r="P134" s="2363">
        <v>0</v>
      </c>
      <c r="Q134" s="2246">
        <v>0</v>
      </c>
      <c r="R134" s="857">
        <f>R130/P124</f>
        <v>0</v>
      </c>
      <c r="S134" s="1973">
        <v>0</v>
      </c>
      <c r="T134" s="2366"/>
      <c r="U134" s="2249" t="s">
        <v>359</v>
      </c>
      <c r="V134" s="1213">
        <v>3.8300823703783078E-2</v>
      </c>
      <c r="W134" s="1090">
        <v>3.8300823703783078E-2</v>
      </c>
      <c r="X134" s="2016">
        <v>1.0604417363713292E-2</v>
      </c>
      <c r="Y134" s="1302">
        <f>Y130/Y124</f>
        <v>5.5019458131701504E-2</v>
      </c>
      <c r="Z134" s="2025">
        <f t="shared" si="54"/>
        <v>4.1883527632522037</v>
      </c>
      <c r="AA134" s="1084">
        <v>0.26535644657517615</v>
      </c>
      <c r="AB134" s="1090">
        <v>0.26535644657517615</v>
      </c>
      <c r="AC134" s="1207">
        <v>0.23573943818724125</v>
      </c>
      <c r="AD134" s="2042">
        <v>0</v>
      </c>
      <c r="AE134" s="2048">
        <f>AE130/AE124</f>
        <v>0</v>
      </c>
      <c r="AF134" s="1095">
        <f>AF130/AF124</f>
        <v>0</v>
      </c>
      <c r="AG134" s="2280">
        <v>0</v>
      </c>
      <c r="AH134" s="1084">
        <v>0.27603815000180698</v>
      </c>
      <c r="AI134" s="1090">
        <v>0.27603815000180698</v>
      </c>
      <c r="AJ134" s="2403">
        <v>0.21112201397282407</v>
      </c>
      <c r="AK134" s="2403">
        <f t="shared" si="49"/>
        <v>0.21112201407066353</v>
      </c>
      <c r="AL134" s="2393">
        <f>AL130/AL124</f>
        <v>0.22150271255020254</v>
      </c>
      <c r="AM134" s="2404">
        <f>AM130/AL124</f>
        <v>0.22150271255020254</v>
      </c>
      <c r="AN134" s="2288">
        <f t="shared" si="56"/>
        <v>4.9169190753905419E-2</v>
      </c>
      <c r="AO134" s="2263">
        <f t="shared" si="57"/>
        <v>4.9169190267693001E-2</v>
      </c>
      <c r="AP134" s="2369">
        <v>0.17085016944821318</v>
      </c>
      <c r="AQ134" s="9" t="s">
        <v>359</v>
      </c>
      <c r="AT134" s="1"/>
      <c r="AU134" s="1"/>
      <c r="AV134" s="1"/>
      <c r="AW134" s="1"/>
    </row>
    <row r="135" spans="1:49" s="9" customFormat="1" x14ac:dyDescent="0.25">
      <c r="A135" s="1107" t="s">
        <v>360</v>
      </c>
      <c r="B135" s="1084">
        <v>0.58073805666900669</v>
      </c>
      <c r="C135" s="1090">
        <v>0.36390863902346948</v>
      </c>
      <c r="D135" s="2014">
        <v>0.51264922533773538</v>
      </c>
      <c r="E135" s="2382">
        <f>E127/E124</f>
        <v>0.32414328757876826</v>
      </c>
      <c r="F135" s="1233">
        <f t="shared" si="48"/>
        <v>-0.36770939746330183</v>
      </c>
      <c r="G135" s="1084">
        <v>0.11670043319991436</v>
      </c>
      <c r="H135" s="1090">
        <v>0.11670043319991436</v>
      </c>
      <c r="I135" s="2010">
        <v>0.11068002137821732</v>
      </c>
      <c r="J135" s="1302">
        <f>J127/J124</f>
        <v>1.3917158701588529E-2</v>
      </c>
      <c r="K135" s="1074">
        <f t="shared" si="51"/>
        <v>-0.87425771581638367</v>
      </c>
      <c r="L135" s="1105">
        <v>1.2988951250518226</v>
      </c>
      <c r="M135" s="1106">
        <v>0.26066175589302665</v>
      </c>
      <c r="N135" s="1209">
        <v>0.94055755830593479</v>
      </c>
      <c r="O135" s="1210">
        <v>0.32322057730735304</v>
      </c>
      <c r="P135" s="2363">
        <v>0.90031129492115969</v>
      </c>
      <c r="Q135" s="2246">
        <f t="shared" si="52"/>
        <v>1.785439288616351</v>
      </c>
      <c r="R135" s="2384">
        <f>R127/P124</f>
        <v>0.33492010697443819</v>
      </c>
      <c r="S135" s="1973">
        <f t="shared" si="53"/>
        <v>3.619673525909204E-2</v>
      </c>
      <c r="T135" s="2366"/>
      <c r="U135" s="2249" t="s">
        <v>360</v>
      </c>
      <c r="V135" s="1213">
        <v>7.8910060621484271E-2</v>
      </c>
      <c r="W135" s="1090">
        <v>7.8910060621484271E-2</v>
      </c>
      <c r="X135" s="2017">
        <v>3.9796958714055808E-2</v>
      </c>
      <c r="Y135" s="2382">
        <f>Y127/Y124</f>
        <v>4.0797302297730605E-2</v>
      </c>
      <c r="Z135" s="2025">
        <f t="shared" si="54"/>
        <v>2.5136181658059399E-2</v>
      </c>
      <c r="AA135" s="1084">
        <v>3.5776204214441353E-2</v>
      </c>
      <c r="AB135" s="1090">
        <v>2.1406713153995085E-2</v>
      </c>
      <c r="AC135" s="1207">
        <v>0.1</v>
      </c>
      <c r="AD135" s="2042">
        <v>0</v>
      </c>
      <c r="AE135" s="2048">
        <f>AE127/AE124</f>
        <v>6.6451663264808871E-5</v>
      </c>
      <c r="AF135" s="1095">
        <f>AF127/AF124</f>
        <v>1.2480433078493856E-4</v>
      </c>
      <c r="AG135" s="2280">
        <v>0</v>
      </c>
      <c r="AH135" s="1084">
        <v>0.43777805415998522</v>
      </c>
      <c r="AI135" s="1090">
        <v>0.16549445240535435</v>
      </c>
      <c r="AJ135" s="2403">
        <v>0.31117100283837468</v>
      </c>
      <c r="AK135" s="2403">
        <f t="shared" si="49"/>
        <v>0.16018408231321424</v>
      </c>
      <c r="AL135" s="2393">
        <f>AL127/AL124</f>
        <v>0.20841958413245276</v>
      </c>
      <c r="AM135" s="2404">
        <f>AM127/AL124</f>
        <v>0.20841958413245276</v>
      </c>
      <c r="AN135" s="2288">
        <f t="shared" si="56"/>
        <v>-0.33020884905298203</v>
      </c>
      <c r="AO135" s="2263">
        <f t="shared" si="57"/>
        <v>0.301125437201193</v>
      </c>
      <c r="AP135" s="2369">
        <v>0.45278135101537559</v>
      </c>
      <c r="AQ135" s="9" t="s">
        <v>360</v>
      </c>
      <c r="AT135" s="1"/>
      <c r="AU135" s="1"/>
      <c r="AV135" s="1"/>
      <c r="AW135" s="1"/>
    </row>
    <row r="136" spans="1:49" s="9" customFormat="1" x14ac:dyDescent="0.25">
      <c r="A136" s="1107" t="s">
        <v>444</v>
      </c>
      <c r="B136" s="1323">
        <v>1.0093760191213379</v>
      </c>
      <c r="C136" s="1324">
        <v>0.36390863902346948</v>
      </c>
      <c r="D136" s="2011">
        <v>0.6612095062907154</v>
      </c>
      <c r="E136" s="2380">
        <f>E131/E124</f>
        <v>0.66112380133530269</v>
      </c>
      <c r="F136" s="1327">
        <f t="shared" si="48"/>
        <v>-1.296184561736036E-4</v>
      </c>
      <c r="G136" s="1323">
        <v>2.1416652066946082</v>
      </c>
      <c r="H136" s="1324">
        <v>0.72219951154575857</v>
      </c>
      <c r="I136" s="2011">
        <v>1.1449606397446936</v>
      </c>
      <c r="J136" s="2380">
        <f>J131/J124</f>
        <v>0.70772060266567982</v>
      </c>
      <c r="K136" s="1328">
        <f t="shared" si="51"/>
        <v>-0.38188215550930271</v>
      </c>
      <c r="L136" s="1329">
        <v>2.4270314903850876</v>
      </c>
      <c r="M136" s="1330">
        <v>1.6439473797964039</v>
      </c>
      <c r="N136" s="1331">
        <v>1.5942208605105281</v>
      </c>
      <c r="O136" s="1326">
        <v>2.0384947509475411</v>
      </c>
      <c r="P136" s="2363">
        <v>1.689084547726208</v>
      </c>
      <c r="Q136" s="2247">
        <f t="shared" si="52"/>
        <v>-0.17140598623514675</v>
      </c>
      <c r="R136" s="2387">
        <f>R131/P124</f>
        <v>2.1122816057746379</v>
      </c>
      <c r="S136" s="2258">
        <f t="shared" si="53"/>
        <v>3.6196735259091985E-2</v>
      </c>
      <c r="T136" s="2366"/>
      <c r="U136" s="2252" t="s">
        <v>444</v>
      </c>
      <c r="V136" s="1337">
        <v>0.24192170481861899</v>
      </c>
      <c r="W136" s="1324">
        <v>0.20362088111483592</v>
      </c>
      <c r="X136" s="2018">
        <v>0.10220145961503045</v>
      </c>
      <c r="Y136" s="2380">
        <f>Y131/Y124</f>
        <v>0.10471202000552525</v>
      </c>
      <c r="Z136" s="2025">
        <f t="shared" si="54"/>
        <v>2.4564819327938227E-2</v>
      </c>
      <c r="AA136" s="1323">
        <v>0.89574362110953454</v>
      </c>
      <c r="AB136" s="1324">
        <v>0.51285231915702179</v>
      </c>
      <c r="AC136" s="1325">
        <v>0.29741519387437121</v>
      </c>
      <c r="AD136" s="2043">
        <v>0</v>
      </c>
      <c r="AE136" s="2051">
        <f>AE131/AE124</f>
        <v>6.6451663264808871E-5</v>
      </c>
      <c r="AF136" s="1339">
        <f>AF131/AF124</f>
        <v>1.2480433078493856E-4</v>
      </c>
      <c r="AG136" s="2283">
        <f>(AF136-AA136)/AA136</f>
        <v>-0.99986066958464026</v>
      </c>
      <c r="AH136" s="1323">
        <v>1.2465584109276848</v>
      </c>
      <c r="AI136" s="1324">
        <v>0.70434175655606956</v>
      </c>
      <c r="AJ136" s="2405">
        <v>0.63613990790261088</v>
      </c>
      <c r="AK136" s="2405">
        <f t="shared" si="49"/>
        <v>0.64743839497203171</v>
      </c>
      <c r="AL136" s="2394">
        <f>AL131/AL124</f>
        <v>0.97765234173187621</v>
      </c>
      <c r="AM136" s="2406">
        <f>AM131/AL124</f>
        <v>0.97765234173187621</v>
      </c>
      <c r="AN136" s="2289">
        <f t="shared" si="56"/>
        <v>0.53685113854160016</v>
      </c>
      <c r="AO136" s="2299">
        <f t="shared" si="57"/>
        <v>0.510031455230747</v>
      </c>
      <c r="AP136" s="2369">
        <v>0.87083720872129433</v>
      </c>
      <c r="AQ136" s="9" t="s">
        <v>444</v>
      </c>
      <c r="AT136" s="1"/>
      <c r="AU136" s="1"/>
      <c r="AV136" s="1"/>
      <c r="AW136" s="1"/>
    </row>
    <row r="137" spans="1:49" s="9" customFormat="1" ht="15.75" thickBot="1" x14ac:dyDescent="0.3">
      <c r="A137" s="1107" t="s">
        <v>361</v>
      </c>
      <c r="B137" s="1343">
        <v>0.22291943595815072</v>
      </c>
      <c r="C137" s="1344">
        <v>0.26758749500907508</v>
      </c>
      <c r="D137" s="2012">
        <v>0.42856857140860843</v>
      </c>
      <c r="E137" s="1346">
        <f>E129/E132</f>
        <v>0.51132316092039909</v>
      </c>
      <c r="F137" s="1347">
        <f>E137-D137</f>
        <v>8.2754589511790655E-2</v>
      </c>
      <c r="G137" s="1343">
        <v>0.55048608195192106</v>
      </c>
      <c r="H137" s="1344">
        <v>0.55048608195192106</v>
      </c>
      <c r="I137" s="2012">
        <v>0.57617269816339622</v>
      </c>
      <c r="J137" s="1346">
        <f>J129/J132</f>
        <v>0.96949084136364982</v>
      </c>
      <c r="K137" s="1349">
        <v>0.03</v>
      </c>
      <c r="L137" s="1350">
        <v>0.19092704149467246</v>
      </c>
      <c r="M137" s="1351">
        <v>0.2340946357016892</v>
      </c>
      <c r="N137" s="1379">
        <v>0.56790275866414841</v>
      </c>
      <c r="O137" s="1352">
        <v>0.23409463570168923</v>
      </c>
      <c r="P137" s="2364">
        <v>0.64544083158844967</v>
      </c>
      <c r="Q137" s="2257">
        <f>P137-O137</f>
        <v>0.41134619588676047</v>
      </c>
      <c r="R137" s="2388">
        <f>R129/R132</f>
        <v>0.23409463570168926</v>
      </c>
      <c r="S137" s="2259">
        <f t="shared" si="53"/>
        <v>1.1856561997857273E-16</v>
      </c>
      <c r="T137" s="2367"/>
      <c r="U137" s="2253" t="s">
        <v>361</v>
      </c>
      <c r="V137" s="1358">
        <v>0.96421042515368593</v>
      </c>
      <c r="W137" s="1351">
        <v>0.96421042515368593</v>
      </c>
      <c r="X137" s="1352">
        <v>0.97629460585089811</v>
      </c>
      <c r="Y137" s="2391">
        <f>Y129/Y132</f>
        <v>44.930716299073104</v>
      </c>
      <c r="Z137" s="2028">
        <f>Y137-X137</f>
        <v>43.954421693222208</v>
      </c>
      <c r="AA137" s="1343">
        <v>0.20066971172296511</v>
      </c>
      <c r="AB137" s="1344">
        <v>4.5918552928071822E-2</v>
      </c>
      <c r="AC137" s="1364">
        <v>0.10754287724166814</v>
      </c>
      <c r="AD137" s="2044">
        <v>0</v>
      </c>
      <c r="AE137" s="2052">
        <f>AE129/AE132</f>
        <v>0</v>
      </c>
      <c r="AF137" s="1362">
        <f>AF129/AF132</f>
        <v>0</v>
      </c>
      <c r="AG137" s="2284">
        <v>0.01</v>
      </c>
      <c r="AH137" s="1343">
        <v>1.246558410927685</v>
      </c>
      <c r="AI137" s="1344">
        <v>0.52010804781808562</v>
      </c>
      <c r="AJ137" s="1344">
        <v>0.65085287833264482</v>
      </c>
      <c r="AK137" s="1344">
        <f t="shared" si="49"/>
        <v>0.58806690697364361</v>
      </c>
      <c r="AL137" s="2395">
        <f>AL129/AL132</f>
        <v>2.0826774646718951</v>
      </c>
      <c r="AM137" s="2407">
        <f>AM129/AM132</f>
        <v>2.0826774646718951</v>
      </c>
      <c r="AN137" s="2257">
        <v>7.0000000000000007E-2</v>
      </c>
      <c r="AO137" s="2300">
        <f>AM137-AK137</f>
        <v>1.4946105576982514</v>
      </c>
      <c r="AP137" s="2371">
        <v>0.7722690281349176</v>
      </c>
      <c r="AQ137" s="9" t="s">
        <v>361</v>
      </c>
      <c r="AT137" s="1"/>
      <c r="AU137" s="1"/>
      <c r="AV137" s="1"/>
      <c r="AW137" s="1"/>
    </row>
    <row r="138" spans="1:49" s="9" customFormat="1" x14ac:dyDescent="0.25">
      <c r="L138" s="1"/>
      <c r="M138" s="1"/>
      <c r="N138" s="1"/>
      <c r="O138" s="1"/>
      <c r="P138" s="1"/>
      <c r="Q138" s="1194"/>
      <c r="R138" s="1195"/>
      <c r="S138" s="1195"/>
      <c r="T138" s="1195"/>
      <c r="U138" s="1195"/>
      <c r="V138" s="1"/>
      <c r="W138" s="1"/>
      <c r="X138" s="1"/>
      <c r="Y138" s="1"/>
      <c r="Z138" s="1"/>
      <c r="AA138" s="39"/>
      <c r="AI138" s="1116"/>
      <c r="AJ138" s="1"/>
      <c r="AK138" s="1"/>
      <c r="AL138" s="1111"/>
      <c r="AM138" s="1112"/>
      <c r="AT138" s="44"/>
      <c r="AU138" s="1"/>
      <c r="AV138" s="1"/>
      <c r="AW138" s="1"/>
    </row>
    <row r="139" spans="1:49" s="9" customFormat="1" x14ac:dyDescent="0.25">
      <c r="L139" s="1"/>
      <c r="M139" s="1"/>
      <c r="N139" s="1"/>
      <c r="O139" s="1"/>
      <c r="P139" s="1"/>
      <c r="Q139" s="1194"/>
      <c r="R139" s="4086"/>
      <c r="S139" s="1195"/>
      <c r="T139" s="1195"/>
      <c r="U139" s="1195"/>
      <c r="V139" s="1"/>
      <c r="W139" s="1"/>
      <c r="X139" s="1"/>
      <c r="Y139" s="1"/>
      <c r="Z139" s="1"/>
      <c r="AA139" s="39"/>
      <c r="AI139" s="1116"/>
      <c r="AJ139" s="258"/>
      <c r="AK139" s="258"/>
      <c r="AL139" s="2064"/>
      <c r="AM139" s="2305"/>
      <c r="AN139" s="1"/>
      <c r="AT139" s="97"/>
      <c r="AU139" s="97"/>
      <c r="AV139" s="97"/>
      <c r="AW139" s="97"/>
    </row>
    <row r="140" spans="1:49" s="9" customFormat="1" x14ac:dyDescent="0.25">
      <c r="L140" s="1"/>
      <c r="M140" s="1"/>
      <c r="N140" s="1"/>
      <c r="O140" s="1"/>
      <c r="P140" s="1"/>
      <c r="Q140" s="1194"/>
      <c r="R140" s="4086"/>
      <c r="S140" s="1195"/>
      <c r="T140" s="1195"/>
      <c r="U140" s="1195"/>
      <c r="V140" s="1"/>
      <c r="W140" s="1"/>
      <c r="X140" s="1"/>
      <c r="Y140" s="1"/>
      <c r="Z140" s="1"/>
      <c r="AA140" s="39"/>
      <c r="AI140" s="1116"/>
      <c r="AJ140" s="258"/>
      <c r="AK140" s="258"/>
      <c r="AL140" s="2064"/>
      <c r="AM140" s="2305"/>
      <c r="AN140" s="1"/>
    </row>
    <row r="141" spans="1:49" s="9" customFormat="1" x14ac:dyDescent="0.25">
      <c r="L141" s="1"/>
      <c r="M141" s="1"/>
      <c r="N141" s="1"/>
      <c r="O141" s="1"/>
      <c r="P141" s="1"/>
      <c r="Q141" s="1194"/>
      <c r="R141" s="1195"/>
      <c r="S141" s="1195"/>
      <c r="T141" s="1195"/>
      <c r="U141" s="1195"/>
      <c r="V141" s="1"/>
      <c r="W141" s="1"/>
      <c r="X141" s="1"/>
      <c r="Y141" s="1"/>
      <c r="Z141" s="1"/>
      <c r="AA141" s="39"/>
      <c r="AI141" s="1116"/>
      <c r="AJ141" s="258"/>
      <c r="AK141" s="258"/>
      <c r="AL141" s="2064"/>
      <c r="AM141" s="2305"/>
      <c r="AN141" s="1"/>
    </row>
    <row r="142" spans="1:49" s="9" customFormat="1" x14ac:dyDescent="0.25">
      <c r="L142" s="1"/>
      <c r="M142" s="1"/>
      <c r="N142" s="1"/>
      <c r="O142" s="1"/>
      <c r="P142" s="1"/>
      <c r="Q142" s="1194"/>
      <c r="R142" s="1195"/>
      <c r="S142" s="1195"/>
      <c r="T142" s="1195"/>
      <c r="U142" s="1195"/>
      <c r="V142" s="1"/>
      <c r="W142" s="1"/>
      <c r="X142" s="1"/>
      <c r="Y142" s="1"/>
      <c r="Z142" s="1"/>
      <c r="AA142" s="39"/>
      <c r="AI142" s="1116"/>
      <c r="AJ142" s="258"/>
      <c r="AK142" s="258"/>
      <c r="AL142" s="2064"/>
      <c r="AM142" s="2305"/>
      <c r="AN142" s="1"/>
    </row>
    <row r="143" spans="1:49" s="9" customFormat="1" x14ac:dyDescent="0.25">
      <c r="L143" s="1"/>
      <c r="M143" s="1"/>
      <c r="N143" s="1"/>
      <c r="O143" s="1"/>
      <c r="P143" s="1"/>
      <c r="Q143" s="1194"/>
      <c r="R143" s="1195"/>
      <c r="S143" s="1195">
        <v>3</v>
      </c>
      <c r="T143" s="1195"/>
      <c r="U143" s="1195"/>
      <c r="V143" s="1"/>
      <c r="W143" s="1"/>
      <c r="X143" s="1"/>
      <c r="Y143" s="1"/>
      <c r="Z143" s="1"/>
      <c r="AA143" s="39"/>
      <c r="AI143" s="1116"/>
      <c r="AJ143" s="258"/>
      <c r="AK143" s="258"/>
      <c r="AL143" s="2064"/>
      <c r="AM143" s="2305"/>
      <c r="AN143" s="1"/>
    </row>
    <row r="144" spans="1:49" s="9" customFormat="1" ht="15" customHeight="1" x14ac:dyDescent="0.25">
      <c r="L144" s="1"/>
      <c r="M144" s="1"/>
      <c r="N144" s="1"/>
      <c r="O144" s="1"/>
      <c r="P144" s="1"/>
      <c r="Q144" s="1194"/>
      <c r="Z144" s="842"/>
      <c r="AA144" s="39"/>
      <c r="AH144" s="39"/>
      <c r="AI144" s="2063"/>
      <c r="AJ144" s="258"/>
      <c r="AK144" s="258"/>
      <c r="AL144" s="2064"/>
      <c r="AM144" s="2065"/>
      <c r="AN144" s="39"/>
      <c r="AO144" s="39"/>
    </row>
    <row r="145" spans="1:47" s="9" customFormat="1" x14ac:dyDescent="0.25">
      <c r="L145" s="1"/>
      <c r="M145" s="1"/>
      <c r="N145" s="1"/>
      <c r="O145" s="1"/>
      <c r="P145" s="1"/>
      <c r="Q145" s="1194"/>
      <c r="Z145" s="842"/>
      <c r="AA145" s="39"/>
      <c r="AH145" s="39"/>
      <c r="AI145" s="2066"/>
      <c r="AJ145" s="2275"/>
      <c r="AK145" s="2275"/>
      <c r="AL145" s="2067"/>
      <c r="AM145" s="2067"/>
      <c r="AN145" s="39"/>
      <c r="AO145" s="39"/>
    </row>
    <row r="146" spans="1:47" s="9" customFormat="1" ht="23.25" customHeight="1" thickBot="1" x14ac:dyDescent="0.3">
      <c r="A146" s="1113" t="s">
        <v>494</v>
      </c>
      <c r="B146" s="9" t="s">
        <v>495</v>
      </c>
      <c r="D146" s="1055"/>
      <c r="I146" s="54"/>
      <c r="L146" s="1"/>
      <c r="M146" s="1"/>
      <c r="Z146" s="842"/>
      <c r="AA146" s="39"/>
      <c r="AH146" s="39"/>
      <c r="AI146" s="2066"/>
      <c r="AJ146" s="2276"/>
      <c r="AK146" s="2276"/>
      <c r="AL146" s="2067"/>
      <c r="AM146" s="2067"/>
      <c r="AN146" s="39"/>
      <c r="AO146" s="39"/>
    </row>
    <row r="147" spans="1:47" s="9" customFormat="1" ht="15.75" thickBot="1" x14ac:dyDescent="0.3">
      <c r="A147" s="17" t="s">
        <v>469</v>
      </c>
      <c r="B147" s="1170">
        <v>20362835</v>
      </c>
      <c r="C147" s="1170">
        <v>19867391.518035099</v>
      </c>
      <c r="D147" s="1171">
        <v>-2.4330771327514124E-2</v>
      </c>
      <c r="E147" s="18"/>
      <c r="F147" s="18"/>
      <c r="G147" s="18"/>
      <c r="H147" s="18"/>
      <c r="I147" s="1172">
        <f>Production!G17</f>
        <v>134614.94208000004</v>
      </c>
      <c r="J147" s="18"/>
      <c r="K147" s="18"/>
      <c r="L147" s="76"/>
      <c r="M147" s="125">
        <f>Production!G16</f>
        <v>12335870</v>
      </c>
      <c r="N147" s="76"/>
      <c r="O147" s="76"/>
      <c r="P147" s="76"/>
      <c r="R147" s="1194"/>
      <c r="S147" s="5104"/>
      <c r="T147" s="5347"/>
      <c r="U147" s="5347"/>
      <c r="V147" s="5347"/>
      <c r="W147" s="5347"/>
      <c r="X147" s="5347"/>
      <c r="Y147" s="5347"/>
      <c r="Z147" s="1199"/>
      <c r="AA147" s="1200"/>
      <c r="AB147" s="39"/>
      <c r="AC147" s="53"/>
      <c r="AD147" s="39"/>
      <c r="AE147" s="39"/>
      <c r="AF147" s="39"/>
      <c r="AG147" s="1"/>
      <c r="AH147" s="39"/>
      <c r="AI147" s="39"/>
      <c r="AJ147" s="2276"/>
      <c r="AK147" s="2276"/>
      <c r="AL147" s="39"/>
      <c r="AM147" s="2067"/>
      <c r="AN147" s="2067"/>
      <c r="AO147" s="39"/>
    </row>
    <row r="148" spans="1:47" s="9" customFormat="1" ht="35.25" thickBot="1" x14ac:dyDescent="0.3">
      <c r="A148" s="40" t="s">
        <v>501</v>
      </c>
      <c r="B148" s="1164" t="s">
        <v>502</v>
      </c>
      <c r="C148" s="1165" t="s">
        <v>503</v>
      </c>
      <c r="D148" s="1166" t="s">
        <v>443</v>
      </c>
      <c r="E148" s="1167" t="s">
        <v>504</v>
      </c>
      <c r="F148" s="1168" t="s">
        <v>471</v>
      </c>
      <c r="G148" s="1165" t="s">
        <v>472</v>
      </c>
      <c r="H148" s="1169" t="s">
        <v>473</v>
      </c>
      <c r="I148" s="1255" t="s">
        <v>512</v>
      </c>
      <c r="J148" s="1290" t="s">
        <v>545</v>
      </c>
      <c r="K148" s="2264" t="s">
        <v>544</v>
      </c>
      <c r="L148" s="2266" t="s">
        <v>841</v>
      </c>
      <c r="M148" s="555" t="s">
        <v>925</v>
      </c>
      <c r="N148" s="555" t="s">
        <v>844</v>
      </c>
      <c r="O148" s="2267" t="s">
        <v>902</v>
      </c>
      <c r="P148" s="2296" t="s">
        <v>840</v>
      </c>
      <c r="Q148" s="1"/>
      <c r="R148" s="1194"/>
      <c r="S148" s="5347"/>
      <c r="T148" s="5347"/>
      <c r="U148" s="5347"/>
      <c r="V148" s="5347"/>
      <c r="W148" s="5347"/>
      <c r="X148" s="5347"/>
      <c r="Y148" s="5347"/>
      <c r="Z148" s="1199"/>
      <c r="AA148" s="1200"/>
      <c r="AB148" s="39"/>
      <c r="AC148" s="39"/>
      <c r="AD148" s="39"/>
      <c r="AE148" s="39"/>
      <c r="AF148" s="39"/>
      <c r="AG148" s="39"/>
      <c r="AH148" s="39"/>
      <c r="AI148" s="39"/>
      <c r="AJ148" s="2277"/>
      <c r="AK148" s="2277"/>
      <c r="AL148" s="39"/>
      <c r="AM148" s="2067"/>
      <c r="AN148" s="2067"/>
      <c r="AO148" s="39"/>
    </row>
    <row r="149" spans="1:47" s="9" customFormat="1" x14ac:dyDescent="0.25">
      <c r="A149" s="1117" t="s">
        <v>108</v>
      </c>
      <c r="B149" s="1126">
        <v>962117</v>
      </c>
      <c r="C149" s="1127">
        <v>964768</v>
      </c>
      <c r="D149" s="1128">
        <v>2.7553821416729982E-3</v>
      </c>
      <c r="E149" s="1126">
        <v>977070.96</v>
      </c>
      <c r="F149" s="1128">
        <v>1.5542766628175121E-2</v>
      </c>
      <c r="G149" s="1129">
        <v>977070.96</v>
      </c>
      <c r="H149" s="1155">
        <v>1.5542766628175121E-2</v>
      </c>
      <c r="I149" s="1161">
        <f>'Water Mangt'!G34</f>
        <v>2498372.06</v>
      </c>
      <c r="J149" s="1288">
        <v>1065203.4704</v>
      </c>
      <c r="K149" s="1422">
        <f t="shared" ref="K149:K159" si="58">(J149-E149)/E149</f>
        <v>9.0200726465148484E-2</v>
      </c>
      <c r="L149" s="922">
        <v>1040991</v>
      </c>
      <c r="M149" s="2242">
        <f t="shared" ref="M149:M157" si="59">AL126</f>
        <v>1163129.392736</v>
      </c>
      <c r="N149" s="2244">
        <f t="shared" ref="N149:N157" si="60">AM126</f>
        <v>1163129.392736</v>
      </c>
      <c r="O149" s="2142">
        <f t="shared" ref="O149:O157" si="61">AN126</f>
        <v>0.11732896128400727</v>
      </c>
      <c r="P149" s="2263">
        <f t="shared" ref="P149:P157" si="62">AO126</f>
        <v>9.1931659121639323E-2</v>
      </c>
      <c r="Q149" s="204" t="s">
        <v>108</v>
      </c>
      <c r="S149" s="1897"/>
      <c r="T149" s="39"/>
      <c r="U149" s="39"/>
      <c r="V149" s="39"/>
      <c r="W149" s="39"/>
      <c r="X149" s="39"/>
      <c r="Y149" s="39"/>
      <c r="Z149" s="1199"/>
      <c r="AA149" s="1200"/>
      <c r="AB149" s="39"/>
      <c r="AC149" s="39"/>
      <c r="AD149" s="39"/>
      <c r="AE149" s="39"/>
      <c r="AF149" s="39"/>
      <c r="AG149" s="2108"/>
      <c r="AH149" s="200"/>
      <c r="AI149" s="39"/>
      <c r="AJ149" s="2277"/>
      <c r="AK149" s="2277"/>
      <c r="AL149" s="39"/>
      <c r="AM149" s="2305"/>
      <c r="AN149" s="2306"/>
    </row>
    <row r="150" spans="1:47" s="9" customFormat="1" ht="21.75" customHeight="1" thickBot="1" x14ac:dyDescent="0.3">
      <c r="A150" s="1118" t="s">
        <v>109</v>
      </c>
      <c r="B150" s="1130">
        <v>3725858</v>
      </c>
      <c r="C150" s="1131">
        <v>8697508</v>
      </c>
      <c r="D150" s="1132">
        <v>1.3343637894949298</v>
      </c>
      <c r="E150" s="1130">
        <v>3287943.08</v>
      </c>
      <c r="F150" s="1132">
        <v>-0.11753398009263905</v>
      </c>
      <c r="G150" s="1133">
        <v>3246568.33</v>
      </c>
      <c r="H150" s="1156">
        <v>-0.12863873770820033</v>
      </c>
      <c r="I150" s="1161">
        <f>'Water Mangt'!G35</f>
        <v>2907763.94</v>
      </c>
      <c r="J150" s="2505">
        <v>3638252.3168000001</v>
      </c>
      <c r="K150" s="1422">
        <f t="shared" si="58"/>
        <v>0.10654358310850079</v>
      </c>
      <c r="L150" s="1609">
        <v>7067610</v>
      </c>
      <c r="M150" s="2242">
        <f t="shared" si="59"/>
        <v>2571036.8953120001</v>
      </c>
      <c r="N150" s="2244">
        <f t="shared" si="60"/>
        <v>2571036.8953120001</v>
      </c>
      <c r="O150" s="2142">
        <f t="shared" si="61"/>
        <v>-0.63622258510132845</v>
      </c>
      <c r="P150" s="2263">
        <f t="shared" si="62"/>
        <v>-0.29333188810463318</v>
      </c>
      <c r="Q150" s="2085" t="s">
        <v>109</v>
      </c>
      <c r="S150" s="1897"/>
      <c r="T150" s="2113"/>
      <c r="U150" s="2113"/>
      <c r="V150" s="2113"/>
      <c r="W150" s="2113"/>
      <c r="X150" s="2113"/>
      <c r="Y150" s="2113"/>
      <c r="Z150" s="2114"/>
      <c r="AA150" s="2114"/>
      <c r="AB150" s="2114"/>
      <c r="AC150" s="2114"/>
      <c r="AD150" s="2114"/>
      <c r="AE150" s="2114"/>
      <c r="AF150" s="39"/>
      <c r="AG150" s="2109"/>
      <c r="AH150" s="200"/>
      <c r="AI150" s="39"/>
      <c r="AJ150" s="2277"/>
      <c r="AK150" s="2277"/>
      <c r="AL150" s="39"/>
      <c r="AM150" s="1"/>
      <c r="AN150" s="1"/>
    </row>
    <row r="151" spans="1:47" s="9" customFormat="1" x14ac:dyDescent="0.25">
      <c r="A151" s="1119" t="s">
        <v>21</v>
      </c>
      <c r="B151" s="1130">
        <v>10073226</v>
      </c>
      <c r="C151" s="1134">
        <v>10584198</v>
      </c>
      <c r="D151" s="1135">
        <v>5.0725755582173973E-2</v>
      </c>
      <c r="E151" s="1130">
        <v>10705490.359999999</v>
      </c>
      <c r="F151" s="1135">
        <v>6.2766819686166014E-2</v>
      </c>
      <c r="G151" s="1136">
        <v>9881789.6099999994</v>
      </c>
      <c r="H151" s="1157">
        <v>-1.9004476818052191E-2</v>
      </c>
      <c r="I151" s="1161">
        <f>'Water Mangt'!G36</f>
        <v>6310356</v>
      </c>
      <c r="J151" s="1288">
        <v>11067026.6032</v>
      </c>
      <c r="K151" s="1422">
        <f t="shared" si="58"/>
        <v>3.3771105390075787E-2</v>
      </c>
      <c r="L151" s="922">
        <v>7381047</v>
      </c>
      <c r="M151" s="2242">
        <f t="shared" si="59"/>
        <v>9489155.2974880002</v>
      </c>
      <c r="N151" s="2244">
        <f t="shared" si="60"/>
        <v>9489155.2974880002</v>
      </c>
      <c r="O151" s="2142">
        <f t="shared" si="61"/>
        <v>0.28561101121399174</v>
      </c>
      <c r="P151" s="2263">
        <f t="shared" si="62"/>
        <v>-0.14257409530901122</v>
      </c>
      <c r="Q151" s="204" t="s">
        <v>21</v>
      </c>
      <c r="S151" s="1897"/>
      <c r="T151" s="2116"/>
      <c r="U151" s="2116"/>
      <c r="V151" s="2116"/>
      <c r="W151" s="2116"/>
      <c r="X151" s="2116"/>
      <c r="Y151" s="842"/>
      <c r="Z151" s="2116"/>
      <c r="AA151" s="2116"/>
      <c r="AB151" s="2116"/>
      <c r="AC151" s="2116"/>
      <c r="AD151" s="2116"/>
      <c r="AE151" s="842"/>
      <c r="AF151" s="39"/>
      <c r="AG151" s="874"/>
      <c r="AH151" s="200"/>
      <c r="AI151" s="39"/>
      <c r="AJ151" s="39"/>
      <c r="AK151" s="39"/>
      <c r="AL151" s="39"/>
      <c r="AM151" s="1"/>
      <c r="AN151" s="1"/>
      <c r="AU151" s="11"/>
    </row>
    <row r="152" spans="1:47" s="9" customFormat="1" x14ac:dyDescent="0.25">
      <c r="A152" s="1118" t="s">
        <v>22</v>
      </c>
      <c r="B152" s="1130">
        <v>21029818</v>
      </c>
      <c r="C152" s="1131">
        <v>23062933.300000001</v>
      </c>
      <c r="D152" s="1132">
        <v>9.6677741100755166E-2</v>
      </c>
      <c r="E152" s="1130">
        <v>21109860.280000001</v>
      </c>
      <c r="F152" s="1132">
        <v>3.8061327967746175E-3</v>
      </c>
      <c r="G152" s="1133">
        <v>21106880.530000001</v>
      </c>
      <c r="H152" s="1156">
        <v>3.6644411283065404E-3</v>
      </c>
      <c r="I152" s="1161">
        <f>'Water Mangt'!G39</f>
        <v>51385296.934</v>
      </c>
      <c r="J152" s="1288">
        <v>27838472.198399998</v>
      </c>
      <c r="K152" s="1422">
        <f t="shared" si="58"/>
        <v>0.31874260791649334</v>
      </c>
      <c r="L152" s="1609">
        <v>35872905</v>
      </c>
      <c r="M152" s="2242">
        <f t="shared" si="59"/>
        <v>36567147.220256001</v>
      </c>
      <c r="N152" s="2244">
        <f t="shared" si="60"/>
        <v>36567147.220256001</v>
      </c>
      <c r="O152" s="2142">
        <f t="shared" si="61"/>
        <v>1.9352829670638626E-2</v>
      </c>
      <c r="P152" s="2263">
        <f t="shared" si="62"/>
        <v>0.31354720042279038</v>
      </c>
      <c r="Q152" s="2085" t="s">
        <v>22</v>
      </c>
      <c r="R152" s="39"/>
      <c r="S152" s="2059">
        <f>N152+AR126</f>
        <v>36567147.220256001</v>
      </c>
      <c r="T152" s="1691"/>
      <c r="U152" s="1691"/>
      <c r="V152" s="1691"/>
      <c r="W152" s="1199"/>
      <c r="X152" s="1199"/>
      <c r="Y152" s="2117"/>
      <c r="Z152" s="1199"/>
      <c r="AA152" s="1199"/>
      <c r="AB152" s="1199"/>
      <c r="AC152" s="1199"/>
      <c r="AD152" s="1199"/>
      <c r="AE152" s="2121"/>
      <c r="AF152" s="39"/>
      <c r="AG152" s="874"/>
      <c r="AH152" s="200"/>
      <c r="AI152" s="39"/>
      <c r="AJ152" s="116"/>
      <c r="AK152" s="116"/>
      <c r="AL152" s="116"/>
      <c r="AU152" s="310"/>
    </row>
    <row r="153" spans="1:47" s="9" customFormat="1" ht="15" customHeight="1" x14ac:dyDescent="0.25">
      <c r="A153" s="1119" t="s">
        <v>23</v>
      </c>
      <c r="B153" s="1130">
        <v>4388449</v>
      </c>
      <c r="C153" s="1134">
        <v>5484158</v>
      </c>
      <c r="D153" s="1135">
        <v>0.24968024010305234</v>
      </c>
      <c r="E153" s="1130">
        <v>5484158</v>
      </c>
      <c r="F153" s="1135">
        <v>0.24968024010305234</v>
      </c>
      <c r="G153" s="1136">
        <v>5386022.75</v>
      </c>
      <c r="H153" s="1157">
        <v>0.22731806841095795</v>
      </c>
      <c r="I153" s="1161">
        <f>'Water Mangt'!G40</f>
        <v>2732428.666666667</v>
      </c>
      <c r="J153" s="1288">
        <v>4795202.777777778</v>
      </c>
      <c r="K153" s="1422">
        <f t="shared" si="58"/>
        <v>-0.125626435675672</v>
      </c>
      <c r="L153" s="922">
        <v>4795202.777777778</v>
      </c>
      <c r="M153" s="2242">
        <f t="shared" si="59"/>
        <v>2732428.666666667</v>
      </c>
      <c r="N153" s="2244">
        <f t="shared" si="60"/>
        <v>2732428.666666667</v>
      </c>
      <c r="O153" s="2142">
        <f t="shared" si="61"/>
        <v>-0.43017453206995643</v>
      </c>
      <c r="P153" s="2263">
        <f t="shared" si="62"/>
        <v>-0.43017453233402847</v>
      </c>
      <c r="Q153" s="204" t="s">
        <v>23</v>
      </c>
      <c r="R153" s="1691"/>
      <c r="S153" s="1897"/>
      <c r="T153" s="2118"/>
      <c r="U153" s="2118"/>
      <c r="V153" s="1691"/>
      <c r="W153" s="1199"/>
      <c r="X153" s="1199"/>
      <c r="Y153" s="2117"/>
      <c r="Z153" s="1199"/>
      <c r="AA153" s="1199"/>
      <c r="AB153" s="1199"/>
      <c r="AC153" s="1199"/>
      <c r="AD153" s="1199"/>
      <c r="AE153" s="2121"/>
      <c r="AF153" s="39"/>
      <c r="AG153" s="874"/>
      <c r="AH153" s="200"/>
      <c r="AI153" s="39"/>
      <c r="AJ153" s="116"/>
      <c r="AK153" s="116"/>
      <c r="AL153" s="116"/>
      <c r="AU153" s="310"/>
    </row>
    <row r="154" spans="1:47" s="9" customFormat="1" x14ac:dyDescent="0.25">
      <c r="A154" s="1118" t="s">
        <v>356</v>
      </c>
      <c r="B154" s="1130">
        <v>19149650</v>
      </c>
      <c r="C154" s="1137">
        <v>24765863.999999996</v>
      </c>
      <c r="D154" s="1138">
        <v>0.29328024271984066</v>
      </c>
      <c r="E154" s="1130">
        <v>13993433.439999999</v>
      </c>
      <c r="F154" s="1139">
        <v>-0.26925904964320502</v>
      </c>
      <c r="G154" s="1133">
        <v>13128357.939999999</v>
      </c>
      <c r="H154" s="1156">
        <v>-0.31443353063894119</v>
      </c>
      <c r="I154" s="1161">
        <f>'Water Mangt'!G37</f>
        <v>11950548.606666667</v>
      </c>
      <c r="J154" s="1288">
        <v>14705232.92</v>
      </c>
      <c r="K154" s="1422">
        <f t="shared" si="58"/>
        <v>5.0866678506886906E-2</v>
      </c>
      <c r="L154" s="1609">
        <v>14448611</v>
      </c>
      <c r="M154" s="2242">
        <f t="shared" si="59"/>
        <v>12060192.1928</v>
      </c>
      <c r="N154" s="2244">
        <f t="shared" si="60"/>
        <v>12060192.1928</v>
      </c>
      <c r="O154" s="2142">
        <f t="shared" si="61"/>
        <v>-0.16530438858101998</v>
      </c>
      <c r="P154" s="2298">
        <f t="shared" si="62"/>
        <v>-0.17987071279929101</v>
      </c>
      <c r="Q154" s="2085" t="s">
        <v>356</v>
      </c>
      <c r="R154" s="39"/>
      <c r="S154" s="1897"/>
      <c r="T154" s="1199"/>
      <c r="U154" s="2119"/>
      <c r="V154" s="2120"/>
      <c r="W154" s="1199"/>
      <c r="X154" s="1199"/>
      <c r="Y154" s="2117"/>
      <c r="Z154" s="1199"/>
      <c r="AA154" s="1199"/>
      <c r="AB154" s="1199"/>
      <c r="AC154" s="1199"/>
      <c r="AD154" s="1199"/>
      <c r="AE154" s="2121"/>
      <c r="AF154" s="39"/>
      <c r="AG154" s="2109"/>
      <c r="AH154" s="200"/>
      <c r="AI154" s="39"/>
      <c r="AJ154" s="116"/>
      <c r="AK154" s="116"/>
      <c r="AL154" s="116"/>
      <c r="AU154" s="310"/>
    </row>
    <row r="155" spans="1:47" s="9" customFormat="1" ht="15.75" thickBot="1" x14ac:dyDescent="0.3">
      <c r="A155" s="1120" t="s">
        <v>357</v>
      </c>
      <c r="B155" s="1140">
        <v>40179468</v>
      </c>
      <c r="C155" s="1141">
        <v>47828797.299999997</v>
      </c>
      <c r="D155" s="1142">
        <v>0.19037905877698522</v>
      </c>
      <c r="E155" s="1143">
        <v>40587451.719999999</v>
      </c>
      <c r="F155" s="1142">
        <v>1.0154034891651597E-2</v>
      </c>
      <c r="G155" s="1144">
        <v>39621261.219999999</v>
      </c>
      <c r="H155" s="1158">
        <v>-1.3892836510428689E-2</v>
      </c>
      <c r="I155" s="1161">
        <f>'Water Mangt'!G42</f>
        <v>11950548.606666667</v>
      </c>
      <c r="J155" s="1288">
        <v>47338953.898400001</v>
      </c>
      <c r="K155" s="1422">
        <f t="shared" si="58"/>
        <v>0.16634456937519709</v>
      </c>
      <c r="L155" s="2268">
        <v>55116764.777777776</v>
      </c>
      <c r="M155" s="2242">
        <f t="shared" si="59"/>
        <v>17557758.145722669</v>
      </c>
      <c r="N155" s="2244">
        <f t="shared" si="60"/>
        <v>17557758.145722669</v>
      </c>
      <c r="O155" s="2142">
        <f t="shared" si="61"/>
        <v>-0.68144432612268113</v>
      </c>
      <c r="P155" s="2297">
        <f t="shared" si="62"/>
        <v>-0.62910548924664556</v>
      </c>
      <c r="Q155" s="2086" t="s">
        <v>357</v>
      </c>
      <c r="R155" s="1199"/>
      <c r="S155" s="1897"/>
      <c r="T155" s="1199"/>
      <c r="U155" s="2119"/>
      <c r="V155" s="1199"/>
      <c r="W155" s="1199"/>
      <c r="X155" s="1199"/>
      <c r="Y155" s="2117"/>
      <c r="Z155" s="1199"/>
      <c r="AA155" s="1199"/>
      <c r="AB155" s="1199"/>
      <c r="AC155" s="2121"/>
      <c r="AD155" s="1199"/>
      <c r="AE155" s="2121"/>
      <c r="AF155" s="39"/>
      <c r="AG155" s="874"/>
      <c r="AH155" s="2086"/>
      <c r="AI155" s="39"/>
      <c r="AJ155" s="116"/>
      <c r="AK155" s="116"/>
      <c r="AL155" s="116"/>
      <c r="AU155" s="1191"/>
    </row>
    <row r="156" spans="1:47" s="9" customFormat="1" ht="24.75" x14ac:dyDescent="0.25">
      <c r="A156" s="1121" t="s">
        <v>358</v>
      </c>
      <c r="B156" s="1130">
        <v>1.9731765247815445</v>
      </c>
      <c r="C156" s="1131">
        <v>2.4074019609762192</v>
      </c>
      <c r="D156" s="1132">
        <v>0.22006416088025826</v>
      </c>
      <c r="E156" s="1130">
        <v>2.0429179987295147</v>
      </c>
      <c r="F156" s="1132">
        <v>3.5344771778942338E-2</v>
      </c>
      <c r="G156" s="1145"/>
      <c r="H156" s="1159"/>
      <c r="I156" s="1161">
        <f>I155/Production!G16</f>
        <v>0.9687641493195589</v>
      </c>
      <c r="J156" s="1289">
        <v>2.0854540899672274</v>
      </c>
      <c r="K156" s="1422">
        <f t="shared" si="58"/>
        <v>2.0821242587399841E-2</v>
      </c>
      <c r="L156" s="2269">
        <v>2.4266674263446792</v>
      </c>
      <c r="M156" s="2396">
        <f t="shared" si="59"/>
        <v>1.4233092717191953</v>
      </c>
      <c r="N156" s="125">
        <f t="shared" si="60"/>
        <v>1.4233092717191953</v>
      </c>
      <c r="O156" s="123">
        <f t="shared" si="61"/>
        <v>-0.41347163757699396</v>
      </c>
      <c r="P156" s="2263">
        <f t="shared" si="62"/>
        <v>-0.31710477049099628</v>
      </c>
      <c r="Q156" s="2087" t="s">
        <v>358</v>
      </c>
      <c r="R156" s="1199"/>
      <c r="S156" s="1897"/>
      <c r="T156" s="1199"/>
      <c r="U156" s="2119"/>
      <c r="V156" s="1199"/>
      <c r="W156" s="1199"/>
      <c r="X156" s="1199"/>
      <c r="Y156" s="2117"/>
      <c r="Z156" s="1199"/>
      <c r="AA156" s="1199"/>
      <c r="AB156" s="1199"/>
      <c r="AC156" s="1199"/>
      <c r="AD156" s="1199"/>
      <c r="AE156" s="2121"/>
      <c r="AF156" s="39"/>
      <c r="AG156" s="39"/>
      <c r="AH156" s="39"/>
      <c r="AI156" s="39"/>
      <c r="AJ156" s="39"/>
      <c r="AK156" s="39"/>
      <c r="AL156" s="39"/>
      <c r="AM156" s="1"/>
      <c r="AN156" s="1"/>
      <c r="AO156" s="1"/>
      <c r="AP156" s="1"/>
    </row>
    <row r="157" spans="1:47" s="9" customFormat="1" ht="20.25" customHeight="1" x14ac:dyDescent="0.25">
      <c r="A157" s="1122" t="s">
        <v>359</v>
      </c>
      <c r="B157" s="1146">
        <v>0.21551267296523299</v>
      </c>
      <c r="C157" s="1134">
        <v>0.27603815000180698</v>
      </c>
      <c r="D157" s="1135">
        <v>0.28084416662744516</v>
      </c>
      <c r="E157" s="1146">
        <v>0.27603815000180698</v>
      </c>
      <c r="F157" s="1135">
        <v>0.28084416662744516</v>
      </c>
      <c r="G157" s="1147"/>
      <c r="H157" s="1069"/>
      <c r="I157" s="1161">
        <f>I153/Production!G16</f>
        <v>0.22150271255020254</v>
      </c>
      <c r="J157" s="1289">
        <v>0.21112201397282407</v>
      </c>
      <c r="K157" s="1422">
        <f t="shared" si="58"/>
        <v>-0.23517088499744679</v>
      </c>
      <c r="L157" s="2270">
        <v>0.21112201397282407</v>
      </c>
      <c r="M157" s="2396">
        <f t="shared" si="59"/>
        <v>0.22150271255020254</v>
      </c>
      <c r="N157" s="125">
        <f t="shared" si="60"/>
        <v>0.22150271255020254</v>
      </c>
      <c r="O157" s="2142">
        <f t="shared" si="61"/>
        <v>4.9169190753905419E-2</v>
      </c>
      <c r="P157" s="2263">
        <f t="shared" si="62"/>
        <v>4.9169190267693001E-2</v>
      </c>
      <c r="Q157" s="2088" t="s">
        <v>359</v>
      </c>
      <c r="R157" s="39"/>
      <c r="S157" s="1897"/>
      <c r="T157" s="1199"/>
      <c r="U157" s="1199"/>
      <c r="V157" s="1199"/>
      <c r="W157" s="1199"/>
      <c r="X157" s="1199"/>
      <c r="Y157" s="2117"/>
      <c r="Z157" s="1199"/>
      <c r="AA157" s="1199"/>
      <c r="AB157" s="1199"/>
      <c r="AC157" s="2122"/>
      <c r="AD157" s="2122"/>
      <c r="AE157" s="2304"/>
      <c r="AF157" s="2301"/>
      <c r="AG157" s="1196"/>
      <c r="AH157" s="1"/>
      <c r="AO157" s="1"/>
      <c r="AP157" s="1"/>
    </row>
    <row r="158" spans="1:47" s="9" customFormat="1" ht="16.5" customHeight="1" x14ac:dyDescent="0.25">
      <c r="A158" s="1123" t="s">
        <v>360</v>
      </c>
      <c r="B158" s="1148">
        <v>0.18297344156646164</v>
      </c>
      <c r="C158" s="1131">
        <v>0.43777805415998522</v>
      </c>
      <c r="D158" s="1132">
        <v>1.3925770341974502</v>
      </c>
      <c r="E158" s="1148">
        <v>0.16549445240535435</v>
      </c>
      <c r="F158" s="1132">
        <v>-9.5527465688283408E-2</v>
      </c>
      <c r="G158" s="1145"/>
      <c r="H158" s="1159"/>
      <c r="I158" s="1161">
        <f>I150/Production!G16</f>
        <v>0.23571616270275222</v>
      </c>
      <c r="J158" s="1289">
        <v>0.16141029932293205</v>
      </c>
      <c r="K158" s="1422">
        <f t="shared" si="58"/>
        <v>-2.4678489357569312E-2</v>
      </c>
      <c r="L158" s="2271">
        <v>0.31117100283837468</v>
      </c>
      <c r="M158" s="2396">
        <f t="shared" ref="M158:O160" si="63">AL135</f>
        <v>0.20841958413245276</v>
      </c>
      <c r="N158" s="125">
        <f t="shared" si="63"/>
        <v>0.20841958413245276</v>
      </c>
      <c r="O158" s="2142">
        <f t="shared" si="63"/>
        <v>-0.33020884905298203</v>
      </c>
      <c r="P158" s="2263">
        <f>AO135</f>
        <v>0.301125437201193</v>
      </c>
      <c r="Q158" s="2089" t="s">
        <v>360</v>
      </c>
      <c r="R158" s="1200"/>
      <c r="S158" s="1897"/>
      <c r="T158" s="2113"/>
      <c r="U158" s="2113"/>
      <c r="V158" s="2113"/>
      <c r="W158" s="2113"/>
      <c r="X158" s="2113"/>
      <c r="Y158" s="2113"/>
      <c r="Z158" s="2113"/>
      <c r="AA158" s="2113"/>
      <c r="AB158" s="2113"/>
      <c r="AC158" s="39"/>
      <c r="AD158" s="2112"/>
      <c r="AE158" s="2112"/>
      <c r="AF158" s="2302"/>
      <c r="AG158" s="1647"/>
      <c r="AH158" s="1196"/>
      <c r="AI158" s="1"/>
      <c r="AP158" s="1"/>
      <c r="AQ158" s="1"/>
    </row>
    <row r="159" spans="1:47" s="9" customFormat="1" x14ac:dyDescent="0.25">
      <c r="A159" s="1124" t="s">
        <v>444</v>
      </c>
      <c r="B159" s="1146">
        <v>0.94042160632348104</v>
      </c>
      <c r="C159" s="1134">
        <v>1.2465584109276848</v>
      </c>
      <c r="D159" s="1135">
        <v>0.32553144520044186</v>
      </c>
      <c r="E159" s="1146">
        <v>0.70434175655606956</v>
      </c>
      <c r="F159" s="1135">
        <v>-0.25103618226122087</v>
      </c>
      <c r="G159" s="1147"/>
      <c r="H159" s="1069"/>
      <c r="I159" s="1161">
        <f>I154/Production!G16</f>
        <v>0.9687641493195589</v>
      </c>
      <c r="J159" s="1289">
        <v>0.64866663725848817</v>
      </c>
      <c r="K159" s="1422">
        <f t="shared" si="58"/>
        <v>-7.90456036140878E-2</v>
      </c>
      <c r="L159" s="2272">
        <v>0.63613990790261088</v>
      </c>
      <c r="M159" s="2396">
        <f t="shared" si="63"/>
        <v>0.97765234173187621</v>
      </c>
      <c r="N159" s="125">
        <f t="shared" si="63"/>
        <v>0.97765234173187621</v>
      </c>
      <c r="O159" s="2142">
        <f t="shared" si="63"/>
        <v>0.53685113854160016</v>
      </c>
      <c r="P159" s="2299">
        <f>AO136</f>
        <v>0.510031455230747</v>
      </c>
      <c r="Q159" s="2063" t="s">
        <v>444</v>
      </c>
      <c r="R159" s="1200"/>
      <c r="S159" s="1897"/>
      <c r="T159" s="2123"/>
      <c r="U159" s="2124"/>
      <c r="V159" s="2187"/>
      <c r="W159" s="2124"/>
      <c r="X159" s="2124"/>
      <c r="Y159" s="2124"/>
      <c r="Z159" s="2124"/>
      <c r="AA159" s="2124"/>
      <c r="AB159" s="2124"/>
      <c r="AC159" s="39"/>
      <c r="AD159" s="1637"/>
      <c r="AE159" s="2303"/>
      <c r="AF159" s="2115"/>
      <c r="AG159" s="1678"/>
      <c r="AH159" s="1195"/>
      <c r="AI159" s="1"/>
      <c r="AP159" s="1"/>
      <c r="AQ159" s="1"/>
    </row>
    <row r="160" spans="1:47" s="9" customFormat="1" ht="15.75" thickBot="1" x14ac:dyDescent="0.3">
      <c r="A160" s="1125" t="s">
        <v>361</v>
      </c>
      <c r="B160" s="1149">
        <v>0.5233971241231965</v>
      </c>
      <c r="C160" s="1150">
        <v>1.246558410927685</v>
      </c>
      <c r="D160" s="1151">
        <v>1.3816684377392028</v>
      </c>
      <c r="E160" s="1152">
        <v>0.52010804781808562</v>
      </c>
      <c r="F160" s="1151">
        <v>-3.2890763051108829E-3</v>
      </c>
      <c r="G160" s="1153">
        <v>0.53271601862450768</v>
      </c>
      <c r="H160" s="1160">
        <v>9.3188945013111812E-3</v>
      </c>
      <c r="I160" s="1162">
        <f xml:space="preserve"> 100*I152/I155</f>
        <v>429.98274493720294</v>
      </c>
      <c r="J160" s="1163">
        <v>0.58772113211812604</v>
      </c>
      <c r="K160" s="2265">
        <f>0.07*100</f>
        <v>7.0000000000000009</v>
      </c>
      <c r="L160" s="2271">
        <v>65.085287833264474</v>
      </c>
      <c r="M160" s="2397">
        <f t="shared" si="63"/>
        <v>2.0826774646718951</v>
      </c>
      <c r="N160" s="123">
        <f t="shared" si="63"/>
        <v>2.0826774646718951</v>
      </c>
      <c r="O160" s="2142">
        <f t="shared" si="63"/>
        <v>7.0000000000000007E-2</v>
      </c>
      <c r="P160" s="2300">
        <f>AO137</f>
        <v>1.4946105576982514</v>
      </c>
      <c r="Q160" s="2089" t="s">
        <v>361</v>
      </c>
      <c r="R160" s="39"/>
      <c r="S160" s="5356"/>
      <c r="T160" s="39"/>
      <c r="U160" s="39"/>
      <c r="V160" s="39"/>
      <c r="W160" s="39"/>
      <c r="X160" s="39"/>
      <c r="Y160" s="39"/>
      <c r="Z160" s="39"/>
      <c r="AA160" s="39"/>
      <c r="AB160" s="39"/>
      <c r="AC160" s="39"/>
      <c r="AD160" s="1637"/>
      <c r="AE160" s="1678"/>
      <c r="AF160" s="1195"/>
      <c r="AG160" s="1678"/>
      <c r="AH160" s="1195"/>
      <c r="AI160" s="1"/>
      <c r="AP160" s="1"/>
      <c r="AQ160" s="1"/>
    </row>
    <row r="161" spans="1:43" s="9" customFormat="1" ht="15.75" thickBot="1" x14ac:dyDescent="0.3">
      <c r="A161" s="5154">
        <v>2017</v>
      </c>
      <c r="B161" s="4995"/>
      <c r="C161" s="4995"/>
      <c r="D161" s="4995"/>
      <c r="E161" s="4996"/>
      <c r="L161" s="2472">
        <f>L155-L152</f>
        <v>19243859.777777776</v>
      </c>
      <c r="M161" s="1"/>
      <c r="N161" s="54">
        <f>N155-N152</f>
        <v>-19009389.074533332</v>
      </c>
      <c r="O161" s="2473">
        <f>(N161-L161)/L161</f>
        <v>-1.9878158173073364</v>
      </c>
      <c r="Q161" s="1" t="s">
        <v>939</v>
      </c>
      <c r="R161" s="39"/>
      <c r="S161" s="5356"/>
      <c r="T161" s="39"/>
      <c r="U161" s="39"/>
      <c r="V161" s="39"/>
      <c r="W161" s="39"/>
      <c r="X161" s="39"/>
      <c r="Y161" s="39"/>
      <c r="Z161" s="39"/>
      <c r="AA161" s="39"/>
      <c r="AB161" s="39"/>
      <c r="AC161" s="39"/>
      <c r="AD161" s="1637"/>
      <c r="AE161" s="1679"/>
      <c r="AF161" s="1197"/>
      <c r="AG161" s="1679"/>
      <c r="AH161" s="1197"/>
      <c r="AP161" s="1"/>
      <c r="AQ161" s="1"/>
    </row>
    <row r="162" spans="1:43" s="9" customFormat="1" x14ac:dyDescent="0.25">
      <c r="A162" s="2090" t="s">
        <v>845</v>
      </c>
      <c r="B162" s="2091"/>
      <c r="C162" s="2091"/>
      <c r="D162" s="2091"/>
      <c r="E162" s="2092"/>
      <c r="F162" s="1154"/>
      <c r="G162" s="5334" t="s">
        <v>847</v>
      </c>
      <c r="H162" s="5335"/>
      <c r="I162" s="5335"/>
      <c r="J162" s="5336"/>
      <c r="L162" s="1"/>
      <c r="M162" s="1"/>
      <c r="N162" s="2059">
        <f>I162+AM136</f>
        <v>0.97765234173187621</v>
      </c>
      <c r="O162" s="54"/>
      <c r="Q162" s="1200"/>
      <c r="S162" s="2125"/>
      <c r="T162" s="2126"/>
      <c r="U162" s="2127"/>
      <c r="V162" s="2128"/>
      <c r="W162" s="2127"/>
      <c r="X162" s="2127"/>
      <c r="Y162" s="2127"/>
      <c r="Z162" s="2127"/>
      <c r="AA162" s="2127"/>
      <c r="AB162" s="2127"/>
      <c r="AC162" s="53"/>
      <c r="AD162" s="1637"/>
      <c r="AE162" s="1679"/>
      <c r="AF162" s="1197"/>
      <c r="AG162" s="1679"/>
      <c r="AH162" s="1197"/>
    </row>
    <row r="163" spans="1:43" s="9" customFormat="1" x14ac:dyDescent="0.25">
      <c r="A163" s="2090" t="s">
        <v>476</v>
      </c>
      <c r="B163" s="2091"/>
      <c r="C163" s="2091"/>
      <c r="D163" s="2091"/>
      <c r="E163" s="2092"/>
      <c r="F163" s="1154"/>
      <c r="G163" s="12" t="s">
        <v>846</v>
      </c>
      <c r="H163" s="1"/>
      <c r="I163" s="1"/>
      <c r="J163" s="13"/>
      <c r="L163" s="445">
        <f>(M155-L155)/L155</f>
        <v>-0.68144432612268113</v>
      </c>
      <c r="M163" s="1"/>
      <c r="S163" s="2125"/>
      <c r="T163" s="2129"/>
      <c r="U163" s="2130"/>
      <c r="V163" s="2130"/>
      <c r="W163" s="2130"/>
      <c r="X163" s="2130"/>
      <c r="Y163" s="2130"/>
      <c r="Z163" s="2130"/>
      <c r="AA163" s="2130"/>
      <c r="AB163" s="2130"/>
      <c r="AC163" s="39"/>
      <c r="AD163" s="1637"/>
      <c r="AE163" s="1678"/>
      <c r="AF163" s="1195"/>
      <c r="AG163" s="1678"/>
      <c r="AH163" s="1195"/>
    </row>
    <row r="164" spans="1:43" s="9" customFormat="1" x14ac:dyDescent="0.25">
      <c r="A164" s="2093" t="s">
        <v>477</v>
      </c>
      <c r="B164" s="2091"/>
      <c r="C164" s="2091"/>
      <c r="D164" s="2091"/>
      <c r="E164" s="2092"/>
      <c r="F164" s="1154"/>
      <c r="G164" s="12"/>
      <c r="H164" s="1"/>
      <c r="I164" s="1"/>
      <c r="J164" s="13"/>
      <c r="M164" s="1636"/>
      <c r="N164" s="2059">
        <f>I164+AM138</f>
        <v>0</v>
      </c>
      <c r="R164" s="1690"/>
      <c r="S164" s="2125"/>
      <c r="T164" s="2126"/>
      <c r="U164" s="2127"/>
      <c r="V164" s="2127"/>
      <c r="W164" s="2127"/>
      <c r="X164" s="2127"/>
      <c r="Y164" s="2127"/>
      <c r="Z164" s="2127"/>
      <c r="AA164" s="2127"/>
      <c r="AB164" s="2127"/>
      <c r="AC164" s="39"/>
      <c r="AD164" s="39"/>
      <c r="AE164" s="854"/>
      <c r="AG164" s="854"/>
    </row>
    <row r="165" spans="1:43" s="9" customFormat="1" x14ac:dyDescent="0.25">
      <c r="A165" s="2094" t="s">
        <v>511</v>
      </c>
      <c r="B165" s="2091"/>
      <c r="C165" s="2091"/>
      <c r="D165" s="2091"/>
      <c r="E165" s="2092"/>
      <c r="F165" s="1154"/>
      <c r="G165" s="12"/>
      <c r="H165" s="1"/>
      <c r="I165" s="1"/>
      <c r="J165" s="13"/>
      <c r="M165" s="1636"/>
      <c r="S165" s="2125"/>
      <c r="T165" s="2131"/>
      <c r="U165" s="2131"/>
      <c r="V165" s="2131"/>
      <c r="W165" s="2131"/>
      <c r="X165" s="2131"/>
      <c r="Y165" s="2131"/>
      <c r="Z165" s="2131"/>
      <c r="AA165" s="2131"/>
      <c r="AB165" s="2131"/>
      <c r="AC165" s="1660"/>
      <c r="AD165" s="1660"/>
    </row>
    <row r="166" spans="1:43" s="9" customFormat="1" ht="15.75" thickBot="1" x14ac:dyDescent="0.3">
      <c r="A166" s="2094" t="s">
        <v>491</v>
      </c>
      <c r="B166" s="2091"/>
      <c r="C166" s="2091"/>
      <c r="D166" s="2091"/>
      <c r="E166" s="2092"/>
      <c r="F166" s="1154"/>
      <c r="G166" s="12"/>
      <c r="H166" s="1"/>
      <c r="I166" s="1"/>
      <c r="J166" s="13"/>
      <c r="M166" s="1636"/>
      <c r="S166" s="2125"/>
      <c r="T166" s="39"/>
      <c r="U166" s="39"/>
      <c r="V166" s="1691"/>
      <c r="W166" s="39"/>
      <c r="X166" s="39"/>
      <c r="Y166" s="39"/>
      <c r="Z166" s="39"/>
      <c r="AA166" s="39"/>
      <c r="AB166" s="39"/>
      <c r="AC166" s="1660"/>
      <c r="AD166" s="1660"/>
    </row>
    <row r="167" spans="1:43" s="9" customFormat="1" ht="15.75" customHeight="1" thickBot="1" x14ac:dyDescent="0.3">
      <c r="A167" s="5279" t="s">
        <v>546</v>
      </c>
      <c r="B167" s="5280"/>
      <c r="C167" s="5280"/>
      <c r="D167" s="5280"/>
      <c r="E167" s="5280"/>
      <c r="F167" s="5280"/>
      <c r="G167" s="5281"/>
      <c r="H167" s="16"/>
      <c r="I167" s="16"/>
      <c r="J167" s="812"/>
      <c r="M167" s="1636"/>
      <c r="S167" s="2125"/>
      <c r="T167" s="1897"/>
      <c r="U167" s="1897"/>
      <c r="V167" s="1897"/>
      <c r="W167" s="1897"/>
      <c r="X167" s="1897"/>
      <c r="Y167" s="1897"/>
      <c r="Z167" s="1897"/>
      <c r="AA167" s="1897"/>
      <c r="AB167" s="1897"/>
      <c r="AC167" s="1660"/>
      <c r="AD167" s="1660"/>
    </row>
    <row r="168" spans="1:43" s="9" customFormat="1" x14ac:dyDescent="0.25">
      <c r="A168" s="5282"/>
      <c r="B168" s="4990"/>
      <c r="C168" s="4990"/>
      <c r="D168" s="4990"/>
      <c r="E168" s="4990"/>
      <c r="F168" s="4990"/>
      <c r="G168" s="5283"/>
      <c r="H168" s="1"/>
      <c r="I168" s="1"/>
      <c r="J168" s="1"/>
      <c r="M168" s="1636"/>
      <c r="S168" s="2125"/>
      <c r="T168" s="1897"/>
      <c r="U168" s="1897"/>
      <c r="V168" s="1897"/>
      <c r="W168" s="1897"/>
      <c r="X168" s="1897"/>
      <c r="Y168" s="1897"/>
      <c r="Z168" s="1897"/>
      <c r="AA168" s="1897"/>
      <c r="AB168" s="1897"/>
      <c r="AC168" s="1660"/>
      <c r="AD168" s="1660"/>
    </row>
    <row r="169" spans="1:43" s="9" customFormat="1" ht="15.75" thickBot="1" x14ac:dyDescent="0.3">
      <c r="A169" s="5284"/>
      <c r="B169" s="5285"/>
      <c r="C169" s="5285"/>
      <c r="D169" s="5285"/>
      <c r="E169" s="5285"/>
      <c r="F169" s="5285"/>
      <c r="G169" s="5286"/>
      <c r="H169" s="1"/>
      <c r="I169" s="1"/>
      <c r="J169" s="1"/>
      <c r="M169" s="1636"/>
      <c r="S169" s="2125"/>
      <c r="T169" s="1897"/>
      <c r="U169" s="1897"/>
      <c r="V169" s="1897"/>
      <c r="W169" s="1897"/>
      <c r="X169" s="1897"/>
      <c r="Y169" s="1897"/>
      <c r="Z169" s="1897"/>
      <c r="AA169" s="1897"/>
      <c r="AB169" s="1897"/>
      <c r="AC169" s="1660"/>
      <c r="AD169" s="1660"/>
    </row>
    <row r="170" spans="1:43" s="9" customFormat="1" ht="33" customHeight="1" thickBot="1" x14ac:dyDescent="0.3">
      <c r="A170" s="5287" t="s">
        <v>1388</v>
      </c>
      <c r="B170" s="5288"/>
      <c r="C170" s="5288"/>
      <c r="D170" s="5288"/>
      <c r="E170" s="5288"/>
      <c r="F170" s="5288"/>
      <c r="G170" s="5289"/>
      <c r="H170" s="5340" t="s">
        <v>532</v>
      </c>
      <c r="I170" s="5341"/>
      <c r="J170" s="5341"/>
      <c r="K170" s="5341"/>
      <c r="L170" s="5341"/>
      <c r="M170" s="5341"/>
      <c r="N170" s="5342"/>
      <c r="O170" s="5343" t="s">
        <v>640</v>
      </c>
      <c r="P170" s="5344"/>
      <c r="Q170" s="5344"/>
      <c r="R170" s="5344"/>
      <c r="S170" s="5344"/>
      <c r="T170" s="5345"/>
      <c r="U170" s="39"/>
      <c r="V170" s="39"/>
      <c r="W170" s="39"/>
      <c r="X170" s="39"/>
      <c r="Y170" s="39"/>
      <c r="Z170" s="39"/>
      <c r="AA170" s="39"/>
      <c r="AB170" s="39"/>
      <c r="AC170" s="854"/>
      <c r="AD170" s="854"/>
    </row>
    <row r="171" spans="1:43" s="9" customFormat="1" ht="15.75" thickBot="1" x14ac:dyDescent="0.3">
      <c r="A171" s="2135"/>
      <c r="B171" s="2136" t="s">
        <v>121</v>
      </c>
      <c r="C171" s="2136" t="s">
        <v>529</v>
      </c>
      <c r="D171" s="2136" t="s">
        <v>523</v>
      </c>
      <c r="E171" s="2136" t="s">
        <v>530</v>
      </c>
      <c r="F171" s="2136" t="s">
        <v>531</v>
      </c>
      <c r="G171" s="2137" t="s">
        <v>533</v>
      </c>
      <c r="H171" s="1256"/>
      <c r="I171" s="1257" t="s">
        <v>121</v>
      </c>
      <c r="J171" s="1257" t="s">
        <v>529</v>
      </c>
      <c r="K171" s="1257" t="s">
        <v>523</v>
      </c>
      <c r="L171" s="1257" t="s">
        <v>530</v>
      </c>
      <c r="M171" s="1257" t="s">
        <v>531</v>
      </c>
      <c r="N171" s="1642" t="s">
        <v>533</v>
      </c>
      <c r="O171" s="2132" t="s">
        <v>121</v>
      </c>
      <c r="P171" s="2133" t="s">
        <v>529</v>
      </c>
      <c r="Q171" s="2133" t="s">
        <v>523</v>
      </c>
      <c r="R171" s="2133" t="s">
        <v>530</v>
      </c>
      <c r="S171" s="2133" t="s">
        <v>531</v>
      </c>
      <c r="T171" s="2134" t="s">
        <v>533</v>
      </c>
      <c r="U171" s="1897"/>
      <c r="V171" s="1897"/>
      <c r="W171" s="1897"/>
      <c r="X171" s="1897"/>
      <c r="Y171" s="1897"/>
      <c r="Z171" s="1897"/>
      <c r="AA171" s="1897"/>
      <c r="AB171" s="1897"/>
      <c r="AC171" s="854"/>
      <c r="AD171" s="854"/>
    </row>
    <row r="172" spans="1:43" s="9" customFormat="1" x14ac:dyDescent="0.25">
      <c r="A172" s="2138" t="s">
        <v>528</v>
      </c>
      <c r="B172" s="2307">
        <f>'Water Mangt'!G7</f>
        <v>270374</v>
      </c>
      <c r="C172" s="2307">
        <f>'Water Mangt'!G11</f>
        <v>232745</v>
      </c>
      <c r="D172" s="2308">
        <v>0</v>
      </c>
      <c r="E172" s="2307">
        <f>'Water Mangt'!G6</f>
        <v>172582</v>
      </c>
      <c r="F172" s="2309">
        <f>'Water Mangt'!G10</f>
        <v>30359729.933999997</v>
      </c>
      <c r="G172" s="2310">
        <f t="shared" ref="G172:G177" si="64">SUM(B172:F172)</f>
        <v>31035430.933999997</v>
      </c>
      <c r="H172" s="1690" t="s">
        <v>528</v>
      </c>
      <c r="I172" s="1259">
        <v>259264</v>
      </c>
      <c r="J172" s="1259">
        <v>44049</v>
      </c>
      <c r="K172" s="1259">
        <v>0</v>
      </c>
      <c r="L172" s="1260">
        <v>165171</v>
      </c>
      <c r="M172" s="1260">
        <v>19300000</v>
      </c>
      <c r="N172" s="1640">
        <f t="shared" ref="N172:N177" si="65">SUM(I172:M172)</f>
        <v>19768484</v>
      </c>
      <c r="O172" s="1643">
        <v>297945</v>
      </c>
      <c r="P172" s="1245">
        <v>91504</v>
      </c>
      <c r="Q172" s="1245">
        <v>0</v>
      </c>
      <c r="R172" s="1245">
        <v>188523</v>
      </c>
      <c r="S172" s="1245">
        <v>15571200</v>
      </c>
      <c r="T172" s="1657">
        <f>SUM(O172:S172)</f>
        <v>16149172</v>
      </c>
      <c r="U172" s="39"/>
      <c r="V172" s="39"/>
      <c r="W172" s="39"/>
      <c r="X172" s="39"/>
      <c r="Y172" s="39"/>
      <c r="Z172" s="39"/>
      <c r="AA172" s="39"/>
      <c r="AB172" s="39"/>
      <c r="AC172" s="854"/>
      <c r="AD172" s="854"/>
    </row>
    <row r="173" spans="1:43" s="9" customFormat="1" x14ac:dyDescent="0.25">
      <c r="A173" s="2139" t="s">
        <v>524</v>
      </c>
      <c r="B173" s="2311">
        <f>'Water Mangt'!L7</f>
        <v>987666</v>
      </c>
      <c r="C173" s="2311">
        <f>'Water Mangt'!L11</f>
        <v>1274117</v>
      </c>
      <c r="D173" s="2311">
        <v>0</v>
      </c>
      <c r="E173" s="2311">
        <f>'Water Mangt'!L6</f>
        <v>950041</v>
      </c>
      <c r="F173" s="2312">
        <f>'Water Mangt'!L10</f>
        <v>1642280</v>
      </c>
      <c r="G173" s="2310">
        <f t="shared" si="64"/>
        <v>4854104</v>
      </c>
      <c r="H173" s="1690" t="s">
        <v>524</v>
      </c>
      <c r="I173" s="1261">
        <v>576320</v>
      </c>
      <c r="J173" s="1261">
        <v>1787487.7777777778</v>
      </c>
      <c r="K173" s="1262">
        <v>0</v>
      </c>
      <c r="L173" s="1250">
        <v>1988118</v>
      </c>
      <c r="M173" s="1250">
        <v>3264384</v>
      </c>
      <c r="N173" s="1640">
        <f t="shared" si="65"/>
        <v>7616309.777777778</v>
      </c>
      <c r="O173" s="1643">
        <v>0</v>
      </c>
      <c r="P173" s="1245">
        <v>2084577</v>
      </c>
      <c r="Q173" s="1245">
        <v>0</v>
      </c>
      <c r="R173" s="1245">
        <v>1769781.6</v>
      </c>
      <c r="S173" s="1245">
        <v>1408193</v>
      </c>
      <c r="T173" s="1657">
        <f>SUM(O173:S173)</f>
        <v>5262551.5999999996</v>
      </c>
      <c r="U173" s="1897"/>
      <c r="V173" s="1897"/>
      <c r="W173" s="1897"/>
      <c r="X173" s="1897"/>
      <c r="Y173" s="1897"/>
      <c r="Z173" s="1897"/>
      <c r="AA173" s="1897"/>
      <c r="AB173" s="1897"/>
      <c r="AC173" s="854"/>
      <c r="AD173" s="854"/>
    </row>
    <row r="174" spans="1:43" s="9" customFormat="1" x14ac:dyDescent="0.25">
      <c r="A174" s="2139" t="s">
        <v>849</v>
      </c>
      <c r="B174" s="2311">
        <f>'Water Mangt'!AK7</f>
        <v>0</v>
      </c>
      <c r="C174" s="2311">
        <v>0</v>
      </c>
      <c r="D174" s="2311">
        <v>0</v>
      </c>
      <c r="E174" s="2311">
        <f>'Water Mangt'!AK6</f>
        <v>1539.57</v>
      </c>
      <c r="F174" s="2312">
        <v>0</v>
      </c>
      <c r="G174" s="2310">
        <f t="shared" si="64"/>
        <v>1539.57</v>
      </c>
      <c r="H174" s="1690" t="s">
        <v>526</v>
      </c>
      <c r="I174" s="1250">
        <f>0.2*2576030</f>
        <v>515206</v>
      </c>
      <c r="J174" s="1263">
        <v>2118166</v>
      </c>
      <c r="K174" s="1264">
        <f>0.8*2576030</f>
        <v>2060824</v>
      </c>
      <c r="L174" s="1250">
        <v>125002</v>
      </c>
      <c r="M174" s="1250">
        <v>577265</v>
      </c>
      <c r="N174" s="1640">
        <f t="shared" si="65"/>
        <v>5396463</v>
      </c>
      <c r="O174" s="1643">
        <f>0.2*K123</f>
        <v>0</v>
      </c>
      <c r="P174" s="1245">
        <v>2360128</v>
      </c>
      <c r="Q174" s="1245">
        <f>0.8*K123</f>
        <v>0</v>
      </c>
      <c r="R174" s="1245">
        <v>190395.16</v>
      </c>
      <c r="S174" s="1245">
        <v>333123.12</v>
      </c>
      <c r="T174" s="1657">
        <f>SUM(O174:S174)</f>
        <v>2883646.2800000003</v>
      </c>
      <c r="U174" s="39"/>
      <c r="V174" s="39"/>
      <c r="W174" s="39"/>
      <c r="X174" s="39"/>
      <c r="Y174" s="39"/>
      <c r="Z174" s="39"/>
      <c r="AA174" s="39"/>
      <c r="AB174" s="39"/>
      <c r="AC174" s="854"/>
      <c r="AD174" s="854"/>
    </row>
    <row r="175" spans="1:43" s="9" customFormat="1" x14ac:dyDescent="0.25">
      <c r="A175" s="2139" t="s">
        <v>525</v>
      </c>
      <c r="B175" s="2313">
        <f>'Water Mangt'!Q7</f>
        <v>618668</v>
      </c>
      <c r="C175" s="2313">
        <f>'Water Mangt'!Q11</f>
        <v>1225566.6666666667</v>
      </c>
      <c r="D175" s="2311">
        <v>0</v>
      </c>
      <c r="E175" s="2313">
        <f>'Water Mangt'!Q6</f>
        <v>12410</v>
      </c>
      <c r="F175" s="2312">
        <f>'Water Mangt'!Q10</f>
        <v>1800000</v>
      </c>
      <c r="G175" s="2310">
        <f t="shared" si="64"/>
        <v>3656644.666666667</v>
      </c>
      <c r="H175" s="1690" t="s">
        <v>525</v>
      </c>
      <c r="I175" s="1250">
        <v>671516</v>
      </c>
      <c r="J175" s="1263">
        <v>845500</v>
      </c>
      <c r="K175" s="1250">
        <v>0</v>
      </c>
      <c r="L175" s="1250">
        <v>71790</v>
      </c>
      <c r="M175" s="1250">
        <v>2160000</v>
      </c>
      <c r="N175" s="1640">
        <f t="shared" si="65"/>
        <v>3748806</v>
      </c>
      <c r="O175" s="1643">
        <v>404365</v>
      </c>
      <c r="P175" s="1245">
        <v>947949</v>
      </c>
      <c r="Q175" s="1245">
        <v>0</v>
      </c>
      <c r="R175" s="1644">
        <v>77935</v>
      </c>
      <c r="S175" s="1245">
        <v>1751519</v>
      </c>
      <c r="T175" s="1657">
        <f>SUM(O175:S175)</f>
        <v>3181768</v>
      </c>
      <c r="U175" s="2110"/>
      <c r="V175" s="2110"/>
      <c r="W175" s="2110"/>
      <c r="X175" s="2110"/>
      <c r="Y175" s="2110"/>
      <c r="Z175" s="2110"/>
      <c r="AA175" s="2110"/>
      <c r="AC175" s="854"/>
      <c r="AD175" s="854"/>
    </row>
    <row r="176" spans="1:43" s="9" customFormat="1" x14ac:dyDescent="0.25">
      <c r="A176" s="2139" t="s">
        <v>527</v>
      </c>
      <c r="B176" s="2311">
        <v>7612447</v>
      </c>
      <c r="C176" s="2311">
        <v>0</v>
      </c>
      <c r="D176" s="2311">
        <v>0</v>
      </c>
      <c r="E176" s="2313">
        <f>L176*1.09</f>
        <v>1434464.325312</v>
      </c>
      <c r="F176" s="2312">
        <f>'Water Mangt'!V10</f>
        <v>17583287</v>
      </c>
      <c r="G176" s="2310">
        <f t="shared" si="64"/>
        <v>26630198.325312</v>
      </c>
      <c r="H176" s="1690" t="s">
        <v>527</v>
      </c>
      <c r="I176" s="1250">
        <v>6983896.6031999998</v>
      </c>
      <c r="J176" s="1263">
        <v>0</v>
      </c>
      <c r="K176" s="1250">
        <v>0</v>
      </c>
      <c r="L176" s="1250">
        <v>1316022.3167999999</v>
      </c>
      <c r="M176" s="1250">
        <v>2536823.1984000001</v>
      </c>
      <c r="N176" s="1640">
        <f t="shared" si="65"/>
        <v>10836742.1184</v>
      </c>
      <c r="O176" s="1643">
        <v>5632174.6799999997</v>
      </c>
      <c r="P176" s="1245">
        <v>0</v>
      </c>
      <c r="Q176" s="1245">
        <v>0</v>
      </c>
      <c r="R176" s="1245">
        <v>1061308.32</v>
      </c>
      <c r="S176" s="1245">
        <v>2045825.16</v>
      </c>
      <c r="T176" s="1657">
        <f>SUM(O176:S176)</f>
        <v>8739308.1600000001</v>
      </c>
      <c r="U176" s="1198"/>
      <c r="V176" s="2111"/>
      <c r="W176" s="842"/>
      <c r="X176" s="842"/>
      <c r="Y176" s="2111"/>
      <c r="Z176" s="842"/>
      <c r="AA176" s="842"/>
      <c r="AC176" s="854"/>
      <c r="AD176" s="854"/>
    </row>
    <row r="177" spans="1:39" s="9" customFormat="1" ht="15.75" thickBot="1" x14ac:dyDescent="0.3">
      <c r="A177" s="2140" t="s">
        <v>143</v>
      </c>
      <c r="B177" s="2314">
        <f xml:space="preserve"> SUM(B172:B176)</f>
        <v>9489155</v>
      </c>
      <c r="C177" s="2314">
        <f xml:space="preserve"> SUM(C172:C176)</f>
        <v>2732428.666666667</v>
      </c>
      <c r="D177" s="2314">
        <f xml:space="preserve"> SUM(D172:D176)</f>
        <v>0</v>
      </c>
      <c r="E177" s="2314">
        <f xml:space="preserve"> SUM(E172:E176)</f>
        <v>2571036.8953120001</v>
      </c>
      <c r="F177" s="2315">
        <f xml:space="preserve"> SUM(F172:F176)</f>
        <v>51385296.934</v>
      </c>
      <c r="G177" s="2316">
        <f t="shared" si="64"/>
        <v>66177917.495978668</v>
      </c>
      <c r="H177" s="1690" t="s">
        <v>143</v>
      </c>
      <c r="I177" s="1638">
        <f>SUM(I172:I176)</f>
        <v>9006202.6031999998</v>
      </c>
      <c r="J177" s="1638">
        <f>SUM(J172:J176)</f>
        <v>4795202.777777778</v>
      </c>
      <c r="K177" s="1638">
        <f>SUM(K172:K176)</f>
        <v>2060824</v>
      </c>
      <c r="L177" s="2504">
        <f>SUM(L172:L176)</f>
        <v>3666103.3168000001</v>
      </c>
      <c r="M177" s="1638">
        <f>SUM(M172:M176)</f>
        <v>27838472.198399998</v>
      </c>
      <c r="N177" s="1641">
        <f t="shared" si="65"/>
        <v>47366804.896177776</v>
      </c>
      <c r="O177" s="1645">
        <f>SUM(O172:O176)</f>
        <v>6334484.6799999997</v>
      </c>
      <c r="P177" s="1646">
        <f>SUM(P172:P176)</f>
        <v>5484158</v>
      </c>
      <c r="Q177" s="1646">
        <f>Q174</f>
        <v>0</v>
      </c>
      <c r="R177" s="1648">
        <f>SUM(R172:R176)</f>
        <v>3287943.08</v>
      </c>
      <c r="S177" s="1648">
        <f>SUM(S172:S176)</f>
        <v>21109860.280000001</v>
      </c>
      <c r="T177" s="1658">
        <f>SUM(T172:T176)</f>
        <v>36216446.040000007</v>
      </c>
      <c r="U177" s="1200"/>
      <c r="V177" s="394"/>
      <c r="W177" s="1199"/>
      <c r="X177" s="1200"/>
      <c r="Y177" s="394"/>
      <c r="Z177" s="1199"/>
      <c r="AA177" s="1200"/>
      <c r="AC177" s="854"/>
      <c r="AD177" s="854"/>
    </row>
    <row r="178" spans="1:39" s="9" customFormat="1" ht="15.75" thickBot="1" x14ac:dyDescent="0.3">
      <c r="A178" s="5337" t="s">
        <v>842</v>
      </c>
      <c r="B178" s="5337"/>
      <c r="C178" s="5337"/>
      <c r="D178" s="5337"/>
      <c r="E178" s="5337"/>
      <c r="F178" s="5337"/>
      <c r="G178" s="5337"/>
      <c r="H178" s="5338"/>
      <c r="I178" s="5337"/>
      <c r="J178" s="5339"/>
      <c r="K178" s="1"/>
      <c r="L178" s="1196"/>
      <c r="M178" s="1196"/>
      <c r="S178" s="842"/>
      <c r="T178" s="1199"/>
      <c r="U178" s="1200"/>
      <c r="V178" s="842"/>
      <c r="W178" s="1199"/>
      <c r="X178" s="1200"/>
      <c r="Y178" s="842"/>
      <c r="Z178" s="1199"/>
      <c r="AA178" s="1200"/>
      <c r="AC178" s="854"/>
      <c r="AD178" s="854"/>
    </row>
    <row r="179" spans="1:39" s="9" customFormat="1" ht="24.75" thickBot="1" x14ac:dyDescent="0.3">
      <c r="A179" s="2076" t="s">
        <v>639</v>
      </c>
      <c r="B179" s="2077" t="s">
        <v>534</v>
      </c>
      <c r="C179" s="2078" t="s">
        <v>523</v>
      </c>
      <c r="D179" s="2079" t="s">
        <v>446</v>
      </c>
      <c r="E179" s="2078" t="s">
        <v>535</v>
      </c>
      <c r="F179" s="2078" t="s">
        <v>538</v>
      </c>
      <c r="G179" s="2078" t="s">
        <v>536</v>
      </c>
      <c r="H179" s="2078" t="s">
        <v>539</v>
      </c>
      <c r="I179" s="2078" t="s">
        <v>537</v>
      </c>
      <c r="J179" s="2080" t="s">
        <v>540</v>
      </c>
      <c r="K179" s="1"/>
      <c r="L179" s="1194"/>
      <c r="M179" s="1678"/>
      <c r="S179" s="842"/>
      <c r="T179" s="1199"/>
      <c r="U179" s="1200"/>
      <c r="V179" s="842"/>
      <c r="W179" s="1199"/>
      <c r="X179" s="1200"/>
      <c r="Y179" s="842"/>
      <c r="Z179" s="1199"/>
      <c r="AA179" s="1200"/>
      <c r="AC179" s="854"/>
      <c r="AD179" s="854"/>
    </row>
    <row r="180" spans="1:39" s="9" customFormat="1" x14ac:dyDescent="0.25">
      <c r="A180" s="5332">
        <v>2019</v>
      </c>
      <c r="B180" s="2319">
        <v>3219092.6753120003</v>
      </c>
      <c r="C180" s="2319">
        <v>0</v>
      </c>
      <c r="D180" s="2319">
        <v>2540317</v>
      </c>
      <c r="E180" s="2319">
        <v>0</v>
      </c>
      <c r="F180" s="2319">
        <v>0</v>
      </c>
      <c r="G180" s="2319">
        <v>325555</v>
      </c>
      <c r="H180" s="2319">
        <v>9168153</v>
      </c>
      <c r="I180" s="2319">
        <v>0</v>
      </c>
      <c r="J180" s="2320">
        <v>38391412</v>
      </c>
      <c r="K180" s="1">
        <f>G180+H180</f>
        <v>9493708</v>
      </c>
      <c r="L180" s="1194"/>
      <c r="M180" s="1678"/>
      <c r="S180" s="842"/>
      <c r="T180" s="1199"/>
      <c r="U180" s="1200"/>
      <c r="V180" s="842"/>
      <c r="W180" s="1199"/>
      <c r="X180" s="1200"/>
      <c r="Y180" s="842"/>
      <c r="Z180" s="1199"/>
      <c r="AA180" s="1200"/>
      <c r="AC180" s="854"/>
      <c r="AD180" s="854"/>
    </row>
    <row r="181" spans="1:39" ht="15.75" thickBot="1" x14ac:dyDescent="0.3">
      <c r="A181" s="5333"/>
      <c r="B181" s="2317">
        <f>B180/G177</f>
        <v>4.8643003544310837E-2</v>
      </c>
      <c r="C181" s="2317">
        <v>0</v>
      </c>
      <c r="D181" s="2317">
        <f>D180/G177</f>
        <v>3.8386173154426682E-2</v>
      </c>
      <c r="E181" s="2317">
        <f>E180/G177</f>
        <v>0</v>
      </c>
      <c r="F181" s="2317">
        <v>0</v>
      </c>
      <c r="G181" s="2317">
        <f>G180/G177</f>
        <v>4.9193902183425836E-3</v>
      </c>
      <c r="H181" s="2317">
        <f>H180/G177</f>
        <v>0.13853794961978227</v>
      </c>
      <c r="I181" s="2317">
        <v>0</v>
      </c>
      <c r="J181" s="2318">
        <f>J180/G177</f>
        <v>0.58012420838617162</v>
      </c>
      <c r="K181" s="1"/>
      <c r="L181" s="1194"/>
      <c r="M181" s="1679"/>
      <c r="S181" s="842"/>
      <c r="T181" s="1199"/>
      <c r="U181" s="1200"/>
      <c r="V181" s="842"/>
      <c r="W181" s="1199"/>
      <c r="X181" s="1200"/>
      <c r="Y181" s="842"/>
      <c r="Z181" s="1199"/>
      <c r="AA181" s="1200"/>
      <c r="AC181" s="854"/>
      <c r="AD181" s="854"/>
    </row>
    <row r="182" spans="1:39" s="9" customFormat="1" x14ac:dyDescent="0.25">
      <c r="A182" s="2069">
        <v>2018</v>
      </c>
      <c r="B182" s="1639">
        <v>3666103.3168000001</v>
      </c>
      <c r="C182" s="1649">
        <v>2060824</v>
      </c>
      <c r="D182" s="1650">
        <v>4795202.777777778</v>
      </c>
      <c r="E182" s="1649">
        <v>0</v>
      </c>
      <c r="F182" s="1649">
        <v>515206</v>
      </c>
      <c r="G182" s="1649">
        <v>259264</v>
      </c>
      <c r="H182" s="1649">
        <f>I177-I172-I174</f>
        <v>8231732.6031999998</v>
      </c>
      <c r="I182" s="1649">
        <v>0</v>
      </c>
      <c r="J182" s="1651">
        <v>27838472.198399998</v>
      </c>
      <c r="K182" s="161">
        <f>F182+G182+H182</f>
        <v>9006202.6031999998</v>
      </c>
      <c r="L182" s="1194"/>
      <c r="M182" s="1679"/>
      <c r="S182" s="842"/>
      <c r="T182" s="1199"/>
      <c r="U182" s="842"/>
      <c r="V182" s="842"/>
      <c r="W182" s="1199"/>
      <c r="X182" s="39"/>
      <c r="Y182" s="842"/>
      <c r="Z182" s="1199"/>
      <c r="AA182" s="39"/>
      <c r="AC182" s="854"/>
      <c r="AD182" s="854"/>
    </row>
    <row r="183" spans="1:39" s="9" customFormat="1" ht="15.75" thickBot="1" x14ac:dyDescent="0.3">
      <c r="A183" s="2070"/>
      <c r="B183" s="1652">
        <f>B182/N177</f>
        <v>7.7398155202480903E-2</v>
      </c>
      <c r="C183" s="1653">
        <f>C182/N177</f>
        <v>4.3507768879853165E-2</v>
      </c>
      <c r="D183" s="1653">
        <f>D182/N177</f>
        <v>0.10123551268210457</v>
      </c>
      <c r="E183" s="1653">
        <v>0</v>
      </c>
      <c r="F183" s="1653">
        <f>F182/N177</f>
        <v>1.0876942219963291E-2</v>
      </c>
      <c r="G183" s="1653">
        <f>G182/N177</f>
        <v>5.4735378619747491E-3</v>
      </c>
      <c r="H183" s="1653">
        <f>H182/N177</f>
        <v>0.17378695103549727</v>
      </c>
      <c r="I183" s="1653"/>
      <c r="J183" s="1653">
        <f>J182/N177</f>
        <v>0.58772113211812604</v>
      </c>
      <c r="K183" s="44">
        <f>B177-B172</f>
        <v>9218781</v>
      </c>
      <c r="L183" s="1194"/>
      <c r="M183" s="1678"/>
      <c r="S183" s="39"/>
      <c r="T183" s="39"/>
      <c r="U183" s="39"/>
      <c r="V183" s="842"/>
      <c r="W183" s="1199"/>
      <c r="X183" s="39"/>
      <c r="Y183" s="842"/>
      <c r="Z183" s="1199"/>
      <c r="AA183" s="39"/>
      <c r="AC183" s="854"/>
      <c r="AD183" s="854"/>
    </row>
    <row r="184" spans="1:39" s="9" customFormat="1" x14ac:dyDescent="0.25">
      <c r="A184" s="2071">
        <v>2017</v>
      </c>
      <c r="B184" s="1654">
        <v>3287943.08</v>
      </c>
      <c r="C184" s="1655">
        <f>Q177</f>
        <v>0</v>
      </c>
      <c r="D184" s="1655">
        <v>5484158</v>
      </c>
      <c r="E184" s="1655">
        <v>0</v>
      </c>
      <c r="F184" s="1655">
        <f>O174</f>
        <v>0</v>
      </c>
      <c r="G184" s="1655">
        <f>O172</f>
        <v>297945</v>
      </c>
      <c r="H184" s="1655">
        <f>O173+O175+O176</f>
        <v>6036539.6799999997</v>
      </c>
      <c r="I184" s="1655">
        <v>0</v>
      </c>
      <c r="J184" s="1656">
        <v>21109860.280000001</v>
      </c>
      <c r="M184" s="854"/>
      <c r="AC184" s="854"/>
      <c r="AD184" s="854"/>
    </row>
    <row r="185" spans="1:39" s="9" customFormat="1" x14ac:dyDescent="0.25">
      <c r="A185" s="2072"/>
      <c r="B185" s="1692">
        <f>B184/T177</f>
        <v>9.078591191329384E-2</v>
      </c>
      <c r="C185" s="1693">
        <f>C184/T177</f>
        <v>0</v>
      </c>
      <c r="D185" s="1693">
        <f>D184/T177</f>
        <v>0.15142728234412917</v>
      </c>
      <c r="E185" s="1693">
        <f>E184/T177</f>
        <v>0</v>
      </c>
      <c r="F185" s="1693">
        <f>F184/T177</f>
        <v>0</v>
      </c>
      <c r="G185" s="1693">
        <f>G184/T177</f>
        <v>8.2267873460286096E-3</v>
      </c>
      <c r="H185" s="1693">
        <f>H184/T177</f>
        <v>0.16667951552542781</v>
      </c>
      <c r="I185" s="1693">
        <f>I184/T177</f>
        <v>0</v>
      </c>
      <c r="J185" s="1694">
        <f>J184/T177</f>
        <v>0.58288050287112037</v>
      </c>
      <c r="K185" s="854"/>
      <c r="L185" s="854"/>
      <c r="AC185" s="854"/>
      <c r="AD185" s="854"/>
    </row>
    <row r="186" spans="1:39" s="9" customFormat="1" x14ac:dyDescent="0.25">
      <c r="A186" s="2069">
        <v>2018</v>
      </c>
      <c r="B186" s="1254">
        <v>165171</v>
      </c>
      <c r="C186" s="1254"/>
      <c r="D186" s="1262">
        <v>44049</v>
      </c>
      <c r="E186" s="1254"/>
      <c r="F186" s="1254"/>
      <c r="G186" s="1254">
        <v>259264</v>
      </c>
      <c r="H186" s="1254"/>
      <c r="I186" s="1254"/>
      <c r="J186" s="1254">
        <v>19300000</v>
      </c>
      <c r="K186" s="854"/>
      <c r="L186" s="854"/>
      <c r="AC186" s="854"/>
      <c r="AD186" s="854"/>
    </row>
    <row r="187" spans="1:39" s="9" customFormat="1" x14ac:dyDescent="0.25">
      <c r="A187" s="2070"/>
      <c r="B187" s="1695">
        <f>B186/N172</f>
        <v>8.3552689219871384E-3</v>
      </c>
      <c r="C187" s="1695"/>
      <c r="D187" s="1695">
        <f>D186/N172</f>
        <v>2.2282437034625417E-3</v>
      </c>
      <c r="E187" s="1695"/>
      <c r="F187" s="1695"/>
      <c r="G187" s="1695">
        <f>G186/N172</f>
        <v>1.3115016811607809E-2</v>
      </c>
      <c r="H187" s="1695"/>
      <c r="I187" s="1695"/>
      <c r="J187" s="1695">
        <f>J186/N172</f>
        <v>0.97630147056294247</v>
      </c>
      <c r="K187" s="854"/>
      <c r="L187" s="854"/>
      <c r="M187" s="54">
        <f>L177+I177</f>
        <v>12672305.92</v>
      </c>
      <c r="AC187" s="854"/>
      <c r="AD187" s="854"/>
    </row>
    <row r="188" spans="1:39" s="9" customFormat="1" x14ac:dyDescent="0.25">
      <c r="A188" s="2071">
        <v>2017</v>
      </c>
      <c r="B188" s="1696">
        <v>188523</v>
      </c>
      <c r="C188" s="1696"/>
      <c r="D188" s="1696">
        <v>91504</v>
      </c>
      <c r="E188" s="1696"/>
      <c r="F188" s="1696"/>
      <c r="G188" s="1696">
        <v>297945</v>
      </c>
      <c r="H188" s="1696"/>
      <c r="I188" s="1696"/>
      <c r="J188" s="1696">
        <v>15571200</v>
      </c>
      <c r="K188" s="854"/>
      <c r="L188" s="854"/>
      <c r="AC188" s="854"/>
      <c r="AD188" s="854"/>
    </row>
    <row r="189" spans="1:39" s="9" customFormat="1" ht="15.75" thickBot="1" x14ac:dyDescent="0.3">
      <c r="A189" s="2073"/>
      <c r="B189" s="1697">
        <f>B188/T172</f>
        <v>1.1673849284656822E-2</v>
      </c>
      <c r="C189" s="1697"/>
      <c r="D189" s="1697">
        <f>D188/T172</f>
        <v>5.6661728539395082E-3</v>
      </c>
      <c r="E189" s="1697"/>
      <c r="F189" s="1697"/>
      <c r="G189" s="1697">
        <f>G188/T172</f>
        <v>1.8449552707717771E-2</v>
      </c>
      <c r="H189" s="1697"/>
      <c r="I189" s="1697"/>
      <c r="J189" s="1697">
        <f>J188/T172</f>
        <v>0.96421042515368593</v>
      </c>
      <c r="K189" s="854"/>
      <c r="L189" s="854"/>
      <c r="AC189" s="854"/>
      <c r="AD189" s="854"/>
    </row>
    <row r="190" spans="1:39" s="9" customFormat="1" x14ac:dyDescent="0.25">
      <c r="A190" s="2074">
        <v>2016</v>
      </c>
      <c r="B190" s="1698">
        <v>194625</v>
      </c>
      <c r="C190" s="1698"/>
      <c r="D190" s="1698">
        <v>169160</v>
      </c>
      <c r="E190" s="1698"/>
      <c r="F190" s="1698"/>
      <c r="G190" s="1698">
        <v>271399</v>
      </c>
      <c r="H190" s="1698"/>
      <c r="I190" s="1698"/>
      <c r="J190" s="1698">
        <v>16128000</v>
      </c>
      <c r="K190" s="854"/>
      <c r="L190" s="854"/>
      <c r="AC190" s="854"/>
      <c r="AD190" s="854"/>
    </row>
    <row r="191" spans="1:39" ht="15.75" thickBot="1" x14ac:dyDescent="0.3">
      <c r="A191" s="2075"/>
      <c r="B191" s="1699">
        <f>B190/D127</f>
        <v>9.7862733217515485E-2</v>
      </c>
      <c r="C191" s="1699"/>
      <c r="D191" s="1699">
        <f>D190/D127</f>
        <v>8.5058239954142162E-2</v>
      </c>
      <c r="E191" s="1699"/>
      <c r="F191" s="1699"/>
      <c r="G191" s="1699">
        <f>G190/D127</f>
        <v>0.1364667844958278</v>
      </c>
      <c r="H191" s="1699"/>
      <c r="I191" s="1699"/>
      <c r="J191" s="1699">
        <f>J190/D127</f>
        <v>8.1095962046607042</v>
      </c>
      <c r="K191" s="854"/>
      <c r="L191" s="854"/>
      <c r="M191" s="9"/>
    </row>
    <row r="192" spans="1:39" x14ac:dyDescent="0.25">
      <c r="A192" s="39"/>
      <c r="B192" s="39"/>
      <c r="C192" s="39"/>
      <c r="D192" s="39"/>
      <c r="E192" s="39"/>
      <c r="F192" s="39"/>
      <c r="G192" s="39"/>
      <c r="H192" s="39"/>
      <c r="I192" s="39"/>
      <c r="M192" s="1113"/>
      <c r="N192" s="5366"/>
      <c r="O192" s="5366"/>
      <c r="P192" s="5366"/>
      <c r="Q192" s="5366"/>
      <c r="R192" s="5366"/>
      <c r="S192" s="5366"/>
      <c r="T192" s="5366"/>
      <c r="U192" s="5366"/>
      <c r="V192" s="5366"/>
      <c r="W192" s="5366"/>
      <c r="X192" s="5366"/>
      <c r="Y192" s="5366"/>
      <c r="Z192" s="5366"/>
      <c r="AA192" s="5366"/>
      <c r="AB192" s="5366"/>
      <c r="AC192" s="5366"/>
      <c r="AD192" s="5366"/>
      <c r="AE192" s="5366"/>
      <c r="AF192" s="5366"/>
      <c r="AG192" s="5366"/>
      <c r="AH192" s="5366"/>
      <c r="AI192" s="39"/>
      <c r="AJ192" s="39"/>
      <c r="AK192" s="39"/>
      <c r="AL192" s="39"/>
      <c r="AM192" s="39"/>
    </row>
    <row r="193" spans="1:39" x14ac:dyDescent="0.25">
      <c r="A193" s="2068" t="s">
        <v>520</v>
      </c>
      <c r="B193" s="2068"/>
      <c r="C193" s="2068"/>
      <c r="D193" s="2068"/>
      <c r="E193" s="2068"/>
      <c r="F193" s="2068"/>
      <c r="G193" s="2068"/>
      <c r="H193" s="2068"/>
      <c r="I193" s="2068"/>
      <c r="M193" s="5367"/>
      <c r="N193" s="2097"/>
      <c r="O193" s="2097"/>
      <c r="P193" s="995"/>
      <c r="Q193" s="2097"/>
      <c r="R193" s="2097"/>
      <c r="S193" s="2098"/>
      <c r="T193" s="2099"/>
      <c r="U193" s="2097"/>
      <c r="V193" s="2098"/>
      <c r="W193" s="2097"/>
      <c r="X193" s="2097"/>
      <c r="Y193" s="2098"/>
      <c r="Z193" s="2097"/>
      <c r="AA193" s="2097"/>
      <c r="AB193" s="2098"/>
      <c r="AC193" s="2097"/>
      <c r="AD193" s="2097"/>
      <c r="AE193" s="2098"/>
      <c r="AF193" s="2097"/>
      <c r="AG193" s="2099"/>
      <c r="AH193" s="2098"/>
      <c r="AI193" s="39"/>
      <c r="AJ193" s="39"/>
      <c r="AK193" s="39"/>
      <c r="AL193" s="39"/>
      <c r="AM193" s="39"/>
    </row>
    <row r="194" spans="1:39" ht="23.25" x14ac:dyDescent="0.25">
      <c r="A194" s="1242" t="s">
        <v>513</v>
      </c>
      <c r="B194" s="1243" t="s">
        <v>181</v>
      </c>
      <c r="C194" s="1243" t="s">
        <v>98</v>
      </c>
      <c r="D194" s="1247" t="s">
        <v>514</v>
      </c>
      <c r="E194" s="1248" t="s">
        <v>181</v>
      </c>
      <c r="F194" s="1688" t="s">
        <v>98</v>
      </c>
      <c r="G194" s="2082" t="s">
        <v>843</v>
      </c>
      <c r="H194" s="2083" t="s">
        <v>181</v>
      </c>
      <c r="I194" s="2084" t="s">
        <v>98</v>
      </c>
      <c r="M194" s="5367"/>
      <c r="N194" s="99"/>
      <c r="O194" s="99"/>
      <c r="P194" s="99"/>
      <c r="Q194" s="99"/>
      <c r="R194" s="99"/>
      <c r="S194" s="99"/>
      <c r="T194" s="99"/>
      <c r="U194" s="99"/>
      <c r="V194" s="99"/>
      <c r="W194" s="99"/>
      <c r="X194" s="99"/>
      <c r="Y194" s="99"/>
      <c r="Z194" s="99"/>
      <c r="AA194" s="99"/>
      <c r="AB194" s="99"/>
      <c r="AC194" s="99"/>
      <c r="AD194" s="99"/>
      <c r="AE194" s="99"/>
      <c r="AF194" s="99"/>
      <c r="AG194" s="99"/>
      <c r="AH194" s="99"/>
      <c r="AI194" s="39"/>
      <c r="AJ194" s="39"/>
      <c r="AK194" s="39"/>
      <c r="AL194" s="39"/>
      <c r="AM194" s="39"/>
    </row>
    <row r="195" spans="1:39" ht="34.5" x14ac:dyDescent="0.25">
      <c r="A195" s="1244" t="s">
        <v>109</v>
      </c>
      <c r="B195" s="1245">
        <v>3287943.08</v>
      </c>
      <c r="C195" s="1246">
        <f>B195/B200</f>
        <v>8.1008857187745614E-2</v>
      </c>
      <c r="D195" s="1249" t="s">
        <v>521</v>
      </c>
      <c r="E195" s="1250">
        <v>3666103</v>
      </c>
      <c r="F195" s="1689">
        <f>E195/E201</f>
        <v>7.739814851425271E-2</v>
      </c>
      <c r="G195" s="2081" t="s">
        <v>521</v>
      </c>
      <c r="H195" s="1245">
        <f>B180</f>
        <v>3219092.6753120003</v>
      </c>
      <c r="I195" s="1686">
        <f>H195/H201</f>
        <v>4.8643003544310837E-2</v>
      </c>
      <c r="K195" s="54">
        <f>E199-B182</f>
        <v>11039129.6832</v>
      </c>
      <c r="M195" s="200"/>
      <c r="N195" s="1199"/>
      <c r="O195" s="1199"/>
      <c r="P195" s="2096"/>
      <c r="Q195" s="1199"/>
      <c r="R195" s="1199"/>
      <c r="S195" s="1200"/>
      <c r="T195" s="1199"/>
      <c r="U195" s="1199"/>
      <c r="V195" s="1200"/>
      <c r="W195" s="2003"/>
      <c r="X195" s="2003"/>
      <c r="Y195" s="2003"/>
      <c r="Z195" s="2003"/>
      <c r="AA195" s="2003"/>
      <c r="AB195" s="1200"/>
      <c r="AC195" s="2003"/>
      <c r="AD195" s="2003"/>
      <c r="AE195" s="1200"/>
      <c r="AF195" s="2100"/>
      <c r="AG195" s="2003"/>
      <c r="AH195" s="1200"/>
      <c r="AI195" s="39"/>
      <c r="AJ195" s="39"/>
      <c r="AK195" s="39"/>
      <c r="AL195" s="39"/>
      <c r="AM195" s="39"/>
    </row>
    <row r="196" spans="1:39" x14ac:dyDescent="0.25">
      <c r="A196" s="1244" t="s">
        <v>21</v>
      </c>
      <c r="B196" s="1245">
        <v>10705490.359999999</v>
      </c>
      <c r="C196" s="1246">
        <f>B196/B200</f>
        <v>0.26376355021876696</v>
      </c>
      <c r="D196" s="1252" t="s">
        <v>522</v>
      </c>
      <c r="E196" s="1250">
        <v>9006202.6031999998</v>
      </c>
      <c r="F196" s="1689">
        <f>E196/E201</f>
        <v>0.19013743111743531</v>
      </c>
      <c r="G196" s="1244" t="s">
        <v>522</v>
      </c>
      <c r="H196" s="1245">
        <f>G180+H180</f>
        <v>9493708</v>
      </c>
      <c r="I196" s="1686">
        <f>H196/H201</f>
        <v>0.14345733983812484</v>
      </c>
      <c r="M196" s="200"/>
      <c r="N196" s="1199"/>
      <c r="O196" s="1199"/>
      <c r="P196" s="2096"/>
      <c r="Q196" s="1199"/>
      <c r="R196" s="1199"/>
      <c r="S196" s="1200"/>
      <c r="T196" s="1199"/>
      <c r="U196" s="1199"/>
      <c r="V196" s="2096"/>
      <c r="W196" s="2003"/>
      <c r="X196" s="2003"/>
      <c r="Y196" s="1200"/>
      <c r="Z196" s="2003"/>
      <c r="AA196" s="2003"/>
      <c r="AB196" s="2096"/>
      <c r="AC196" s="2003"/>
      <c r="AD196" s="2101"/>
      <c r="AE196" s="1200"/>
      <c r="AF196" s="2100"/>
      <c r="AG196" s="2003"/>
      <c r="AH196" s="2096"/>
      <c r="AI196" s="39"/>
      <c r="AJ196" s="39"/>
      <c r="AK196" s="39"/>
      <c r="AL196" s="39"/>
      <c r="AM196" s="39"/>
    </row>
    <row r="197" spans="1:39" x14ac:dyDescent="0.25">
      <c r="A197" s="1244" t="s">
        <v>22</v>
      </c>
      <c r="B197" s="1245">
        <v>21109860.280000001</v>
      </c>
      <c r="C197" s="1246">
        <f>B197/B200</f>
        <v>0.52010804781808562</v>
      </c>
      <c r="D197" s="1252" t="s">
        <v>22</v>
      </c>
      <c r="E197" s="1250">
        <v>27838472.198399998</v>
      </c>
      <c r="F197" s="1689">
        <f>E197/E201</f>
        <v>0.58772113211812604</v>
      </c>
      <c r="G197" s="1244" t="s">
        <v>22</v>
      </c>
      <c r="H197" s="1245">
        <f>J180</f>
        <v>38391412</v>
      </c>
      <c r="I197" s="1686">
        <f>H197/H201</f>
        <v>0.58012420838617162</v>
      </c>
      <c r="M197" s="200"/>
      <c r="N197" s="1199"/>
      <c r="O197" s="1199"/>
      <c r="P197" s="2096"/>
      <c r="Q197" s="1199"/>
      <c r="R197" s="1199"/>
      <c r="S197" s="2096"/>
      <c r="T197" s="2102"/>
      <c r="U197" s="1199"/>
      <c r="V197" s="1200"/>
      <c r="W197" s="2003"/>
      <c r="X197" s="2003"/>
      <c r="Y197" s="2096"/>
      <c r="Z197" s="2003"/>
      <c r="AA197" s="2003"/>
      <c r="AB197" s="2096"/>
      <c r="AC197" s="2003"/>
      <c r="AD197" s="2003"/>
      <c r="AE197" s="2096"/>
      <c r="AF197" s="2100"/>
      <c r="AG197" s="2003"/>
      <c r="AH197" s="2096"/>
      <c r="AI197" s="39"/>
      <c r="AJ197" s="39"/>
      <c r="AK197" s="39"/>
      <c r="AL197" s="39"/>
      <c r="AM197" s="39"/>
    </row>
    <row r="198" spans="1:39" x14ac:dyDescent="0.25">
      <c r="A198" s="1244" t="s">
        <v>23</v>
      </c>
      <c r="B198" s="1245">
        <v>5484158</v>
      </c>
      <c r="C198" s="1246">
        <f>B198/B200</f>
        <v>0.13511954477540183</v>
      </c>
      <c r="D198" s="1252" t="s">
        <v>23</v>
      </c>
      <c r="E198" s="1250">
        <v>4795202.7777777798</v>
      </c>
      <c r="F198" s="1689">
        <f>E198/E201</f>
        <v>0.10123551268210461</v>
      </c>
      <c r="G198" s="1244" t="s">
        <v>23</v>
      </c>
      <c r="H198" s="1245">
        <f>D180</f>
        <v>2540317</v>
      </c>
      <c r="I198" s="1686">
        <f>H198/H201</f>
        <v>3.8386173154426682E-2</v>
      </c>
      <c r="M198" s="200"/>
      <c r="N198" s="1199"/>
      <c r="O198" s="1199"/>
      <c r="P198" s="2096"/>
      <c r="Q198" s="1199"/>
      <c r="R198" s="1199"/>
      <c r="S198" s="2096"/>
      <c r="T198" s="1199"/>
      <c r="U198" s="1199"/>
      <c r="V198" s="2096"/>
      <c r="W198" s="2003"/>
      <c r="X198" s="2003"/>
      <c r="Y198" s="1200"/>
      <c r="Z198" s="2003"/>
      <c r="AA198" s="2003"/>
      <c r="AB198" s="2096"/>
      <c r="AC198" s="846"/>
      <c r="AD198" s="2003"/>
      <c r="AE198" s="1200"/>
      <c r="AF198" s="2100"/>
      <c r="AG198" s="2003"/>
      <c r="AH198" s="2096"/>
      <c r="AI198" s="39"/>
      <c r="AJ198" s="39"/>
      <c r="AK198" s="39"/>
      <c r="AL198" s="39"/>
      <c r="AM198" s="39"/>
    </row>
    <row r="199" spans="1:39" x14ac:dyDescent="0.25">
      <c r="A199" s="1244" t="s">
        <v>356</v>
      </c>
      <c r="B199" s="1253">
        <v>13993433.439999999</v>
      </c>
      <c r="C199" s="1686">
        <f>B199/B200</f>
        <v>0.3447724074065126</v>
      </c>
      <c r="D199" s="1252" t="s">
        <v>356</v>
      </c>
      <c r="E199" s="1250">
        <v>14705233</v>
      </c>
      <c r="F199" s="1251">
        <f>E199/E201</f>
        <v>0.31045440012751685</v>
      </c>
      <c r="G199" s="1244" t="s">
        <v>356</v>
      </c>
      <c r="H199" s="1245">
        <f>F180+G180+H180+B180</f>
        <v>12712800.675312001</v>
      </c>
      <c r="I199" s="1246">
        <f>H199/H201</f>
        <v>0.1921003433824357</v>
      </c>
      <c r="M199" s="200"/>
      <c r="N199" s="2102"/>
      <c r="O199" s="1199"/>
      <c r="P199" s="2096"/>
      <c r="Q199" s="2102"/>
      <c r="R199" s="1199"/>
      <c r="S199" s="2096"/>
      <c r="T199" s="1199"/>
      <c r="U199" s="1199"/>
      <c r="V199" s="1200"/>
      <c r="W199" s="2100"/>
      <c r="X199" s="2003"/>
      <c r="Y199" s="1200"/>
      <c r="Z199" s="2100"/>
      <c r="AA199" s="2003"/>
      <c r="AB199" s="2096"/>
      <c r="AC199" s="2003"/>
      <c r="AD199" s="2003"/>
      <c r="AE199" s="1200"/>
      <c r="AF199" s="2100"/>
      <c r="AG199" s="2003"/>
      <c r="AH199" s="2096"/>
      <c r="AI199" s="39"/>
      <c r="AJ199" s="39"/>
      <c r="AK199" s="39"/>
      <c r="AL199" s="39"/>
      <c r="AM199" s="39"/>
    </row>
    <row r="200" spans="1:39" ht="18.75" customHeight="1" x14ac:dyDescent="0.25">
      <c r="A200" s="1244" t="s">
        <v>389</v>
      </c>
      <c r="B200" s="1245">
        <v>40587451.719999999</v>
      </c>
      <c r="C200" s="1687"/>
      <c r="D200" s="1252" t="s">
        <v>523</v>
      </c>
      <c r="E200" s="1250">
        <v>2060824</v>
      </c>
      <c r="F200" s="1254"/>
      <c r="G200" s="1244" t="s">
        <v>523</v>
      </c>
      <c r="H200" s="1245">
        <v>0</v>
      </c>
      <c r="I200" s="1696">
        <f>H200/H201</f>
        <v>0</v>
      </c>
      <c r="K200" s="54">
        <f>SUM(E195:E200)</f>
        <v>62072037.57937777</v>
      </c>
      <c r="M200" s="200"/>
      <c r="N200" s="1199"/>
      <c r="O200" s="1199"/>
      <c r="P200" s="2096"/>
      <c r="Q200" s="1199"/>
      <c r="R200" s="1199"/>
      <c r="S200" s="2096"/>
      <c r="T200" s="1199"/>
      <c r="U200" s="1199"/>
      <c r="V200" s="2096"/>
      <c r="W200" s="1199"/>
      <c r="X200" s="1199"/>
      <c r="Y200" s="1200"/>
      <c r="Z200" s="1199"/>
      <c r="AA200" s="1199"/>
      <c r="AB200" s="2096"/>
      <c r="AC200" s="1199"/>
      <c r="AD200" s="1199"/>
      <c r="AE200" s="2096"/>
      <c r="AF200" s="1199"/>
      <c r="AG200" s="1199"/>
      <c r="AH200" s="2096"/>
      <c r="AI200" s="39"/>
      <c r="AJ200" s="39"/>
      <c r="AK200" s="39"/>
      <c r="AL200" s="39"/>
      <c r="AM200" s="39"/>
    </row>
    <row r="201" spans="1:39" ht="21" customHeight="1" x14ac:dyDescent="0.25">
      <c r="A201" s="1696"/>
      <c r="B201" s="1696"/>
      <c r="C201" s="1696"/>
      <c r="D201" s="1252" t="s">
        <v>389</v>
      </c>
      <c r="E201" s="1250">
        <v>47366804.896177776</v>
      </c>
      <c r="F201" s="1254"/>
      <c r="G201" s="1244" t="s">
        <v>389</v>
      </c>
      <c r="H201" s="1245">
        <f>G177</f>
        <v>66177917.495978668</v>
      </c>
      <c r="I201" s="1696"/>
      <c r="M201" s="2103"/>
      <c r="N201" s="1199"/>
      <c r="O201" s="1199"/>
      <c r="P201" s="2096"/>
      <c r="Q201" s="1199"/>
      <c r="R201" s="1199"/>
      <c r="S201" s="2096"/>
      <c r="T201" s="1199"/>
      <c r="U201" s="1199"/>
      <c r="V201" s="2096"/>
      <c r="W201" s="2003"/>
      <c r="X201" s="2003"/>
      <c r="Y201" s="1200"/>
      <c r="Z201" s="2003"/>
      <c r="AA201" s="2003"/>
      <c r="AB201" s="2096"/>
      <c r="AC201" s="2003"/>
      <c r="AD201" s="2003"/>
      <c r="AE201" s="1200"/>
      <c r="AF201" s="2100"/>
      <c r="AG201" s="2003"/>
      <c r="AH201" s="2096"/>
      <c r="AI201" s="39"/>
      <c r="AJ201" s="39"/>
      <c r="AK201" s="39"/>
      <c r="AL201" s="39"/>
      <c r="AM201" s="39"/>
    </row>
    <row r="202" spans="1:39" ht="15.75" thickBot="1" x14ac:dyDescent="0.3">
      <c r="A202" s="1896" t="s">
        <v>931</v>
      </c>
      <c r="B202" s="1896"/>
      <c r="C202" s="2287"/>
      <c r="D202" s="2287"/>
      <c r="E202" s="2287">
        <f>E201-E197</f>
        <v>19528332.697777778</v>
      </c>
      <c r="F202" s="2456"/>
      <c r="G202" s="2456" t="s">
        <v>930</v>
      </c>
      <c r="H202" s="2287">
        <f>H201-H197</f>
        <v>27786505.495978668</v>
      </c>
      <c r="I202" s="1896"/>
      <c r="L202">
        <v>19.5</v>
      </c>
      <c r="M202" s="2104">
        <v>19</v>
      </c>
      <c r="N202" s="2003"/>
      <c r="O202" s="2003"/>
      <c r="P202" s="2096"/>
      <c r="Q202" s="2003"/>
      <c r="R202" s="2003"/>
      <c r="S202" s="2096"/>
      <c r="T202" s="2003"/>
      <c r="U202" s="2003"/>
      <c r="V202" s="2096"/>
      <c r="W202" s="2003"/>
      <c r="X202" s="2003"/>
      <c r="Y202" s="2096"/>
      <c r="Z202" s="2003"/>
      <c r="AA202" s="2003"/>
      <c r="AB202" s="2096"/>
      <c r="AC202" s="2003"/>
      <c r="AD202" s="2003"/>
      <c r="AE202" s="1200"/>
      <c r="AF202" s="2003"/>
      <c r="AG202" s="2003"/>
      <c r="AH202" s="2096"/>
      <c r="AI202" s="39"/>
      <c r="AJ202" s="39"/>
      <c r="AK202" s="39"/>
      <c r="AL202" s="39"/>
      <c r="AM202" s="39"/>
    </row>
    <row r="203" spans="1:39" ht="15.75" thickBot="1" x14ac:dyDescent="0.3">
      <c r="A203" s="299"/>
      <c r="B203" s="299"/>
      <c r="C203" s="2454" t="s">
        <v>517</v>
      </c>
      <c r="D203" s="2455"/>
      <c r="E203" s="2455"/>
      <c r="F203" s="322"/>
      <c r="G203" s="2094" t="s">
        <v>499</v>
      </c>
      <c r="H203" s="1"/>
      <c r="I203" s="1"/>
      <c r="J203" s="15"/>
      <c r="M203" s="2105"/>
      <c r="N203" s="2003"/>
      <c r="O203" s="2003"/>
      <c r="P203" s="2096"/>
      <c r="Q203" s="2003"/>
      <c r="R203" s="2003"/>
      <c r="S203" s="2096"/>
      <c r="T203" s="2095"/>
      <c r="U203" s="2095"/>
      <c r="V203" s="1200"/>
      <c r="W203" s="2003"/>
      <c r="X203" s="2003"/>
      <c r="Y203" s="1200"/>
      <c r="Z203" s="2003"/>
      <c r="AA203" s="2003"/>
      <c r="AB203" s="2096"/>
      <c r="AC203" s="2003"/>
      <c r="AD203" s="2003"/>
      <c r="AE203" s="1200"/>
      <c r="AF203" s="2003"/>
      <c r="AG203" s="2003"/>
      <c r="AH203" s="2096"/>
      <c r="AI203" s="39"/>
      <c r="AJ203" s="39"/>
      <c r="AK203" s="39"/>
      <c r="AL203" s="39"/>
      <c r="AM203" s="39"/>
    </row>
    <row r="204" spans="1:39" x14ac:dyDescent="0.25">
      <c r="A204" s="1178" t="s">
        <v>480</v>
      </c>
      <c r="B204" s="1179" t="s">
        <v>181</v>
      </c>
      <c r="C204" s="1180" t="s">
        <v>481</v>
      </c>
      <c r="D204" s="1179" t="s">
        <v>482</v>
      </c>
      <c r="E204" s="1179" t="s">
        <v>483</v>
      </c>
      <c r="F204" s="1181" t="s">
        <v>484</v>
      </c>
      <c r="G204" s="219" t="s">
        <v>500</v>
      </c>
      <c r="H204" s="204"/>
      <c r="I204" s="204"/>
      <c r="J204" s="204"/>
      <c r="M204" s="2103"/>
      <c r="N204" s="2003"/>
      <c r="O204" s="2003"/>
      <c r="P204" s="2096"/>
      <c r="Q204" s="2003"/>
      <c r="R204" s="2003"/>
      <c r="S204" s="2096"/>
      <c r="T204" s="2095"/>
      <c r="U204" s="2095"/>
      <c r="V204" s="2096"/>
      <c r="W204" s="2003"/>
      <c r="X204" s="2003"/>
      <c r="Y204" s="2096"/>
      <c r="Z204" s="2003"/>
      <c r="AA204" s="2003"/>
      <c r="AB204" s="2096"/>
      <c r="AC204" s="2003"/>
      <c r="AD204" s="2003"/>
      <c r="AE204" s="1200"/>
      <c r="AF204" s="2003"/>
      <c r="AG204" s="2003"/>
      <c r="AH204" s="2096"/>
      <c r="AI204" s="39"/>
      <c r="AJ204" s="39"/>
      <c r="AK204" s="39"/>
      <c r="AL204" s="39"/>
      <c r="AM204" s="39"/>
    </row>
    <row r="205" spans="1:39" x14ac:dyDescent="0.25">
      <c r="A205" s="1182" t="s">
        <v>490</v>
      </c>
      <c r="B205" s="1176">
        <v>19064035.120000001</v>
      </c>
      <c r="C205" s="1175">
        <v>16</v>
      </c>
      <c r="D205" s="1176">
        <f>B205*C205</f>
        <v>305024561.92000002</v>
      </c>
      <c r="E205" s="1176">
        <f>D205/13.59</f>
        <v>22444780.12656365</v>
      </c>
      <c r="F205" s="1183"/>
      <c r="G205" s="1188" t="s">
        <v>508</v>
      </c>
      <c r="H205" s="204"/>
      <c r="I205" s="204"/>
      <c r="J205" s="204"/>
      <c r="M205" s="2103"/>
      <c r="N205" s="2003"/>
      <c r="O205" s="2003"/>
      <c r="P205" s="2096"/>
      <c r="Q205" s="2003"/>
      <c r="R205" s="2003"/>
      <c r="S205" s="2096"/>
      <c r="T205" s="2095"/>
      <c r="U205" s="2095"/>
      <c r="V205" s="2096"/>
      <c r="W205" s="2003"/>
      <c r="X205" s="2003"/>
      <c r="Y205" s="2096"/>
      <c r="Z205" s="2003"/>
      <c r="AA205" s="2003"/>
      <c r="AB205" s="2096"/>
      <c r="AC205" s="2003"/>
      <c r="AD205" s="2003"/>
      <c r="AE205" s="2096"/>
      <c r="AF205" s="2003"/>
      <c r="AG205" s="2003"/>
      <c r="AH205" s="2096"/>
      <c r="AI205" s="39"/>
      <c r="AJ205" s="39"/>
      <c r="AK205" s="39"/>
      <c r="AL205" s="39"/>
      <c r="AM205" s="39"/>
    </row>
    <row r="206" spans="1:39" x14ac:dyDescent="0.25">
      <c r="A206" s="1182" t="s">
        <v>103</v>
      </c>
      <c r="B206" s="1175">
        <v>2045825.16</v>
      </c>
      <c r="C206" s="1175">
        <v>1000</v>
      </c>
      <c r="D206" s="1175">
        <f>B206*C206</f>
        <v>2045825160</v>
      </c>
      <c r="E206" s="1175">
        <f>D206/2280</f>
        <v>897291.73684210528</v>
      </c>
      <c r="F206" s="1183"/>
      <c r="G206" s="1188" t="s">
        <v>509</v>
      </c>
      <c r="H206" s="204"/>
      <c r="I206" s="204"/>
      <c r="J206" s="204"/>
      <c r="M206" s="2103"/>
      <c r="N206" s="1200"/>
      <c r="O206" s="1200"/>
      <c r="P206" s="2096"/>
      <c r="Q206" s="1200"/>
      <c r="R206" s="1200"/>
      <c r="S206" s="2096"/>
      <c r="T206" s="1200"/>
      <c r="U206" s="1200"/>
      <c r="V206" s="1200"/>
      <c r="W206" s="1200"/>
      <c r="X206" s="1200"/>
      <c r="Y206" s="1200"/>
      <c r="Z206" s="1200"/>
      <c r="AA206" s="1200"/>
      <c r="AB206" s="1200"/>
      <c r="AC206" s="1200"/>
      <c r="AD206" s="1200"/>
      <c r="AE206" s="1200"/>
      <c r="AF206" s="1200"/>
      <c r="AG206" s="1200"/>
      <c r="AH206" s="2096"/>
      <c r="AI206" s="39"/>
      <c r="AJ206" s="39"/>
      <c r="AK206" s="39"/>
      <c r="AL206" s="39"/>
      <c r="AM206" s="39"/>
    </row>
    <row r="207" spans="1:39" ht="15.75" thickBot="1" x14ac:dyDescent="0.3">
      <c r="A207" s="1184"/>
      <c r="B207" s="1185"/>
      <c r="C207" s="1186"/>
      <c r="D207" s="1186"/>
      <c r="E207" s="1185">
        <f>SUM(E205:E206)</f>
        <v>23342071.863405757</v>
      </c>
      <c r="F207" s="1187">
        <f>E207/3</f>
        <v>7780690.6211352525</v>
      </c>
      <c r="G207" s="1189" t="s">
        <v>510</v>
      </c>
      <c r="H207" s="1190"/>
      <c r="I207" s="202"/>
      <c r="J207" s="202"/>
      <c r="M207" s="2103"/>
      <c r="N207" s="39"/>
      <c r="O207" s="39"/>
      <c r="P207" s="39"/>
      <c r="Q207" s="39"/>
      <c r="R207" s="39"/>
      <c r="S207" s="39"/>
      <c r="T207" s="853"/>
      <c r="U207" s="39"/>
      <c r="V207" s="39"/>
      <c r="W207" s="39"/>
      <c r="X207" s="39"/>
      <c r="Y207" s="39"/>
      <c r="Z207" s="39"/>
      <c r="AA207" s="39"/>
      <c r="AB207" s="39"/>
      <c r="AC207" s="39"/>
      <c r="AD207" s="39"/>
      <c r="AE207" s="39"/>
      <c r="AF207" s="853"/>
      <c r="AG207" s="39"/>
      <c r="AH207" s="39"/>
      <c r="AI207" s="39"/>
      <c r="AJ207" s="39"/>
      <c r="AK207" s="39"/>
      <c r="AL207" s="39"/>
      <c r="AM207" s="39"/>
    </row>
    <row r="208" spans="1:39" x14ac:dyDescent="0.25">
      <c r="A208" s="99"/>
      <c r="B208" s="39"/>
      <c r="C208" s="39"/>
      <c r="D208" s="39"/>
      <c r="E208" s="39"/>
      <c r="F208" s="39"/>
      <c r="G208" s="39"/>
      <c r="H208" s="39"/>
      <c r="I208" s="39"/>
      <c r="M208" s="200"/>
      <c r="N208" s="39"/>
      <c r="O208" s="39"/>
      <c r="P208" s="39"/>
      <c r="Q208" s="39"/>
      <c r="R208" s="39"/>
      <c r="S208" s="39"/>
      <c r="T208" s="39">
        <f>R220-S220</f>
        <v>18306.5</v>
      </c>
      <c r="U208" s="39"/>
      <c r="V208" s="5366"/>
      <c r="W208" s="5366"/>
      <c r="X208" s="5366"/>
      <c r="Y208" s="5366"/>
      <c r="Z208" s="39"/>
      <c r="AA208" s="39"/>
      <c r="AB208" s="39"/>
      <c r="AC208" s="39"/>
      <c r="AD208" s="39"/>
      <c r="AE208" s="990"/>
      <c r="AF208" s="990"/>
      <c r="AG208" s="427"/>
      <c r="AH208" s="39"/>
      <c r="AI208" s="39"/>
      <c r="AJ208" s="39"/>
      <c r="AK208" s="39"/>
      <c r="AL208" s="39"/>
      <c r="AM208" s="39"/>
    </row>
    <row r="209" spans="1:39" ht="15" customHeight="1" thickBot="1" x14ac:dyDescent="0.3">
      <c r="A209" s="39"/>
      <c r="B209" s="39"/>
      <c r="C209" s="39"/>
      <c r="D209" s="39"/>
      <c r="E209" s="39"/>
      <c r="F209" s="39"/>
      <c r="G209" s="39"/>
      <c r="H209" s="39"/>
      <c r="I209" s="39"/>
      <c r="M209" s="2105"/>
      <c r="N209" s="258"/>
      <c r="O209" s="258"/>
      <c r="P209" s="258"/>
      <c r="Q209" s="258"/>
      <c r="R209" s="258"/>
      <c r="S209" s="258"/>
      <c r="T209" s="5370" t="s">
        <v>934</v>
      </c>
      <c r="U209" s="5370"/>
      <c r="V209" s="39" t="s">
        <v>920</v>
      </c>
      <c r="Y209" s="39"/>
      <c r="Z209" s="991"/>
      <c r="AA209" s="992"/>
      <c r="AB209" s="853"/>
      <c r="AC209" s="853"/>
      <c r="AD209" s="853"/>
      <c r="AE209" s="991"/>
      <c r="AF209" s="853"/>
      <c r="AG209" s="39"/>
      <c r="AH209" s="39"/>
      <c r="AI209" s="39"/>
      <c r="AJ209" s="39"/>
      <c r="AK209" s="39"/>
      <c r="AL209" s="39"/>
      <c r="AM209" s="39"/>
    </row>
    <row r="210" spans="1:39" ht="49.5" thickBot="1" x14ac:dyDescent="0.3">
      <c r="A210" s="39"/>
      <c r="B210" s="39"/>
      <c r="C210" s="34"/>
      <c r="D210" s="34"/>
      <c r="E210" s="34"/>
      <c r="F210" s="39"/>
      <c r="G210" s="39"/>
      <c r="H210" s="39"/>
      <c r="I210" s="39"/>
      <c r="M210" s="2086"/>
      <c r="N210" s="2106"/>
      <c r="O210" s="2106"/>
      <c r="P210" s="2106"/>
      <c r="Q210" s="2106"/>
      <c r="R210" s="2106"/>
      <c r="S210" s="2468" t="s">
        <v>938</v>
      </c>
      <c r="T210" s="2465" t="s">
        <v>933</v>
      </c>
      <c r="U210" s="2465" t="s">
        <v>932</v>
      </c>
      <c r="V210" s="2469" t="s">
        <v>684</v>
      </c>
      <c r="W210" s="2466" t="s">
        <v>935</v>
      </c>
      <c r="X210" s="2467" t="s">
        <v>936</v>
      </c>
      <c r="Y210" s="39"/>
      <c r="Z210" s="993"/>
      <c r="AA210" s="992"/>
      <c r="AB210" s="994"/>
      <c r="AC210" s="992"/>
      <c r="AD210" s="853"/>
      <c r="AE210" s="991"/>
      <c r="AF210" s="992"/>
      <c r="AG210" s="39"/>
      <c r="AH210" s="39"/>
      <c r="AI210" s="39"/>
      <c r="AJ210" s="39"/>
      <c r="AK210" s="39"/>
      <c r="AL210" s="39"/>
      <c r="AM210" s="39"/>
    </row>
    <row r="211" spans="1:39" x14ac:dyDescent="0.25">
      <c r="A211" s="39"/>
      <c r="B211" s="39"/>
      <c r="C211" s="34"/>
      <c r="D211" s="34"/>
      <c r="E211" s="34"/>
      <c r="F211" s="39"/>
      <c r="G211" s="39"/>
      <c r="H211" s="39"/>
      <c r="I211" s="39"/>
      <c r="M211" s="201"/>
      <c r="N211" s="2106"/>
      <c r="O211" s="2106"/>
      <c r="P211" s="2106"/>
      <c r="Q211" s="2106"/>
      <c r="R211" s="2106"/>
      <c r="S211" s="2461" t="s">
        <v>909</v>
      </c>
      <c r="T211" s="1">
        <v>23528.51</v>
      </c>
      <c r="U211" s="1">
        <f>T211-T208</f>
        <v>5222.0099999999984</v>
      </c>
      <c r="V211" s="427">
        <v>4589.6589999999997</v>
      </c>
      <c r="W211" s="1897">
        <f>(V211-U211)/U211</f>
        <v>-0.1210934103917838</v>
      </c>
      <c r="X211" s="2462">
        <f>(V211-T211)/T211</f>
        <v>-0.80493201651953317</v>
      </c>
      <c r="Y211" s="39"/>
      <c r="Z211" s="992"/>
      <c r="AA211" s="853"/>
      <c r="AB211" s="992"/>
      <c r="AC211" s="992"/>
      <c r="AD211" s="992"/>
      <c r="AE211" s="995"/>
      <c r="AF211" s="992"/>
      <c r="AG211" s="39"/>
      <c r="AH211" s="39"/>
      <c r="AI211" s="39"/>
      <c r="AJ211" s="39"/>
      <c r="AK211" s="39"/>
      <c r="AL211" s="39"/>
      <c r="AM211" s="39"/>
    </row>
    <row r="212" spans="1:39" x14ac:dyDescent="0.25">
      <c r="A212" s="39"/>
      <c r="B212" s="39"/>
      <c r="C212" s="34"/>
      <c r="D212" s="34"/>
      <c r="E212" s="34"/>
      <c r="F212" s="39"/>
      <c r="G212" s="39"/>
      <c r="H212" s="39"/>
      <c r="I212" s="39"/>
      <c r="M212" s="201"/>
      <c r="N212" s="2106"/>
      <c r="O212" s="2106"/>
      <c r="P212" s="2106"/>
      <c r="Q212" s="2106"/>
      <c r="R212" s="2106"/>
      <c r="S212" s="2461" t="s">
        <v>910</v>
      </c>
      <c r="T212" s="39">
        <v>24460.560000000001</v>
      </c>
      <c r="U212" s="39">
        <f>T212-T208</f>
        <v>6154.0600000000013</v>
      </c>
      <c r="V212" s="427">
        <v>5467.676120000001</v>
      </c>
      <c r="W212" s="1897">
        <f>(V212-U212)/U212</f>
        <v>-0.11153350471071133</v>
      </c>
      <c r="X212" s="2462">
        <f>(V212-T212)/T212</f>
        <v>-0.7764697079707088</v>
      </c>
      <c r="Y212" s="39"/>
      <c r="Z212" s="993"/>
      <c r="AA212" s="992"/>
      <c r="AB212" s="992"/>
      <c r="AC212" s="992"/>
      <c r="AD212" s="993"/>
      <c r="AE212" s="992"/>
      <c r="AF212" s="992"/>
      <c r="AG212" s="39"/>
      <c r="AH212" s="39"/>
      <c r="AI212" s="39"/>
      <c r="AJ212" s="39"/>
      <c r="AK212" s="39"/>
      <c r="AL212" s="39"/>
      <c r="AM212" s="39"/>
    </row>
    <row r="213" spans="1:39" x14ac:dyDescent="0.25">
      <c r="A213" s="39"/>
      <c r="B213" s="39"/>
      <c r="C213" s="34"/>
      <c r="D213" s="34"/>
      <c r="E213" s="34"/>
      <c r="F213" s="39"/>
      <c r="G213" s="39"/>
      <c r="H213" s="39"/>
      <c r="I213" s="39"/>
      <c r="M213" s="200"/>
      <c r="N213" s="2106"/>
      <c r="O213" s="2106"/>
      <c r="P213" s="2106"/>
      <c r="Q213" s="2106"/>
      <c r="R213" s="2106"/>
      <c r="S213" s="2461" t="s">
        <v>911</v>
      </c>
      <c r="T213" s="427">
        <v>28757.29</v>
      </c>
      <c r="U213" s="427">
        <f>T213-T208</f>
        <v>10450.790000000001</v>
      </c>
      <c r="V213" s="427">
        <v>9777.16</v>
      </c>
      <c r="W213" s="1897">
        <f>(V213-U213)/U213</f>
        <v>-6.4457328106296369E-2</v>
      </c>
      <c r="X213" s="2462">
        <f>(V213-T213)/T213</f>
        <v>-0.66001107892989919</v>
      </c>
      <c r="Y213" s="39"/>
      <c r="Z213" s="39"/>
      <c r="AA213" s="39"/>
      <c r="AB213" s="39"/>
      <c r="AC213" s="39"/>
      <c r="AD213" s="39"/>
      <c r="AE213" s="39"/>
      <c r="AF213" s="39"/>
      <c r="AG213" s="39"/>
      <c r="AH213" s="39"/>
      <c r="AI213" s="39"/>
      <c r="AJ213" s="39"/>
      <c r="AK213" s="39"/>
      <c r="AL213" s="39"/>
      <c r="AM213" s="39"/>
    </row>
    <row r="214" spans="1:39" ht="15.75" thickBot="1" x14ac:dyDescent="0.3">
      <c r="A214" s="39"/>
      <c r="B214" s="39"/>
      <c r="C214" s="34"/>
      <c r="D214" s="34"/>
      <c r="E214" s="34"/>
      <c r="F214" s="39"/>
      <c r="G214" s="39"/>
      <c r="H214" s="39"/>
      <c r="I214" s="39"/>
      <c r="M214" s="200"/>
      <c r="N214" s="2106"/>
      <c r="O214" s="2106"/>
      <c r="P214" s="2106"/>
      <c r="Q214" s="2106"/>
      <c r="R214" s="2106"/>
      <c r="S214" s="2463" t="s">
        <v>912</v>
      </c>
      <c r="T214" s="2464">
        <f>T212/T213</f>
        <v>0.85058640782911044</v>
      </c>
      <c r="U214" s="2464">
        <f>U212/U213</f>
        <v>0.58886074641247221</v>
      </c>
      <c r="V214" s="2464">
        <f>V212/V213</f>
        <v>0.55922948177180298</v>
      </c>
      <c r="W214" s="2464">
        <f>V214-U214</f>
        <v>-2.963126464066923E-2</v>
      </c>
      <c r="X214" s="2470">
        <f>V214-T214</f>
        <v>-0.29135692605730745</v>
      </c>
      <c r="Y214" s="39"/>
      <c r="Z214" s="39"/>
      <c r="AA214" s="39"/>
      <c r="AB214" s="39"/>
      <c r="AC214" s="39"/>
      <c r="AD214" s="39"/>
      <c r="AE214" s="39"/>
      <c r="AF214" s="39"/>
      <c r="AG214" s="39"/>
      <c r="AH214" s="39"/>
      <c r="AI214" s="39"/>
      <c r="AJ214" s="39"/>
      <c r="AK214" s="39"/>
      <c r="AL214" s="39"/>
      <c r="AM214" s="39"/>
    </row>
    <row r="215" spans="1:39" x14ac:dyDescent="0.25">
      <c r="A215" s="1935"/>
      <c r="B215" s="1935"/>
      <c r="C215" s="1936"/>
      <c r="D215" s="1936"/>
      <c r="E215" s="1936"/>
      <c r="F215" s="1936"/>
      <c r="G215" s="1936"/>
      <c r="H215" s="39"/>
      <c r="I215" s="39"/>
      <c r="M215" s="200"/>
      <c r="N215" s="2106"/>
      <c r="O215" s="2106"/>
      <c r="P215" s="2106"/>
      <c r="Q215" s="2106"/>
      <c r="R215" s="2106"/>
      <c r="S215" s="2106"/>
      <c r="T215" s="39"/>
    </row>
    <row r="216" spans="1:39" ht="15.75" thickBot="1" x14ac:dyDescent="0.3">
      <c r="A216" s="39"/>
      <c r="B216" s="39"/>
      <c r="C216" s="39"/>
      <c r="D216" s="39"/>
      <c r="E216" s="39"/>
      <c r="F216" s="39"/>
      <c r="G216" s="39"/>
      <c r="H216" s="39"/>
      <c r="I216" s="39"/>
      <c r="M216" s="2107"/>
      <c r="N216" s="2106"/>
      <c r="O216" s="2106"/>
      <c r="P216" s="2106"/>
      <c r="Q216" s="2106"/>
      <c r="R216" s="2106"/>
      <c r="S216" s="2106"/>
      <c r="T216" s="39"/>
    </row>
    <row r="217" spans="1:39" ht="15.75" x14ac:dyDescent="0.25">
      <c r="A217" s="919" t="s">
        <v>362</v>
      </c>
      <c r="B217" s="9"/>
      <c r="C217" s="9"/>
      <c r="D217" s="9"/>
      <c r="E217" s="9"/>
      <c r="F217" s="9"/>
      <c r="G217" s="9"/>
      <c r="M217" s="200"/>
      <c r="N217" s="39"/>
      <c r="O217" s="2339"/>
      <c r="P217" s="2340"/>
      <c r="Q217" s="2340" t="s">
        <v>937</v>
      </c>
      <c r="R217" s="2340"/>
      <c r="S217" s="2340"/>
      <c r="T217" s="1506"/>
      <c r="U217" s="165"/>
      <c r="V217" s="165"/>
      <c r="W217" s="165"/>
      <c r="X217" s="165"/>
      <c r="Y217" s="81"/>
    </row>
    <row r="218" spans="1:39" ht="60" x14ac:dyDescent="0.25">
      <c r="A218" s="920" t="s">
        <v>363</v>
      </c>
      <c r="B218" s="555" t="s">
        <v>364</v>
      </c>
      <c r="C218" s="555">
        <v>2015</v>
      </c>
      <c r="D218" s="555">
        <v>2016</v>
      </c>
      <c r="E218" s="555">
        <v>2017</v>
      </c>
      <c r="F218" s="1393" t="s">
        <v>548</v>
      </c>
      <c r="G218" s="555">
        <v>2018</v>
      </c>
      <c r="H218" s="1393" t="s">
        <v>549</v>
      </c>
      <c r="I218" s="1394" t="s">
        <v>551</v>
      </c>
      <c r="J218" s="1394" t="s">
        <v>814</v>
      </c>
      <c r="K218" s="1394" t="s">
        <v>851</v>
      </c>
      <c r="L218" s="1394" t="s">
        <v>852</v>
      </c>
      <c r="M218" s="1394" t="s">
        <v>853</v>
      </c>
      <c r="N218" s="2106"/>
      <c r="O218" s="2346" t="s">
        <v>917</v>
      </c>
      <c r="P218" s="2347" t="s">
        <v>918</v>
      </c>
      <c r="Q218" s="2348">
        <v>18306.5</v>
      </c>
      <c r="R218" s="5368" t="s">
        <v>103</v>
      </c>
      <c r="S218" s="5368"/>
      <c r="T218" s="5369" t="s">
        <v>913</v>
      </c>
      <c r="U218" s="5369"/>
      <c r="V218" s="2353" t="s">
        <v>915</v>
      </c>
      <c r="W218" s="2353" t="s">
        <v>916</v>
      </c>
      <c r="X218" s="2345" t="s">
        <v>919</v>
      </c>
      <c r="Y218" s="1704" t="s">
        <v>920</v>
      </c>
      <c r="Z218" t="s">
        <v>154</v>
      </c>
      <c r="AA218" t="s">
        <v>914</v>
      </c>
    </row>
    <row r="219" spans="1:39" x14ac:dyDescent="0.25">
      <c r="A219" s="921" t="s">
        <v>51</v>
      </c>
      <c r="B219" s="912" t="s">
        <v>107</v>
      </c>
      <c r="C219" s="922">
        <v>293.99</v>
      </c>
      <c r="D219" s="922">
        <f>[5]Waste!$G$34</f>
        <v>1185.098</v>
      </c>
      <c r="E219" s="923">
        <v>354.96</v>
      </c>
      <c r="F219" s="944" t="s">
        <v>365</v>
      </c>
      <c r="G219" s="1389">
        <f>Waste!G47</f>
        <v>140.31</v>
      </c>
      <c r="H219" s="1388">
        <f t="shared" ref="H219:H224" si="66">(G219-E219)/E219</f>
        <v>-0.60471602434077076</v>
      </c>
      <c r="I219" s="1395">
        <f t="shared" ref="I219:I225" si="67">G219-E219</f>
        <v>-214.64999999999998</v>
      </c>
      <c r="J219" s="125">
        <v>279.23260000000005</v>
      </c>
      <c r="K219" s="2384">
        <f>Waste!G47</f>
        <v>140.31</v>
      </c>
      <c r="L219" s="123">
        <f t="shared" ref="L219:L224" si="68">(K219-J219)/J219</f>
        <v>-0.49751569121943506</v>
      </c>
      <c r="M219" s="2143">
        <f t="shared" ref="M219:M224" si="69">K219-J219</f>
        <v>-138.92260000000005</v>
      </c>
      <c r="N219" s="1199" t="s">
        <v>51</v>
      </c>
      <c r="O219" s="2349"/>
      <c r="P219" s="2350"/>
      <c r="Q219" s="2345"/>
      <c r="R219" s="2350" t="s">
        <v>907</v>
      </c>
      <c r="S219" s="2350" t="s">
        <v>908</v>
      </c>
      <c r="T219" s="2354" t="s">
        <v>907</v>
      </c>
      <c r="U219" s="2354" t="s">
        <v>908</v>
      </c>
      <c r="V219" s="1254"/>
      <c r="W219" s="1254"/>
      <c r="X219" s="2345"/>
      <c r="Y219" s="1704"/>
    </row>
    <row r="220" spans="1:39" x14ac:dyDescent="0.25">
      <c r="A220" s="112" t="s">
        <v>110</v>
      </c>
      <c r="B220" s="912" t="s">
        <v>107</v>
      </c>
      <c r="C220" s="922">
        <v>2928.13</v>
      </c>
      <c r="D220" s="922">
        <v>19371.7</v>
      </c>
      <c r="E220" s="925">
        <v>9503.92</v>
      </c>
      <c r="F220" s="944" t="s">
        <v>366</v>
      </c>
      <c r="G220" s="1389">
        <f>Waste!G48</f>
        <v>2882.5679999999998</v>
      </c>
      <c r="H220" s="1388">
        <f t="shared" si="66"/>
        <v>-0.69669694189345033</v>
      </c>
      <c r="I220" s="1395">
        <f t="shared" si="67"/>
        <v>-6621.3520000000008</v>
      </c>
      <c r="J220" s="125">
        <v>4261.0768916699999</v>
      </c>
      <c r="K220" s="2384">
        <f>Waste!G48</f>
        <v>2882.5679999999998</v>
      </c>
      <c r="L220" s="123">
        <f t="shared" si="68"/>
        <v>-0.32351185550414591</v>
      </c>
      <c r="M220" s="2143">
        <f t="shared" si="69"/>
        <v>-1378.5088916700001</v>
      </c>
      <c r="N220" s="842" t="s">
        <v>110</v>
      </c>
      <c r="O220" s="2351">
        <f>(X220-R220)/R220</f>
        <v>-0.99038553628250792</v>
      </c>
      <c r="P220" s="2352">
        <f>(X220-S220)/S220</f>
        <v>-0.35962586009174513</v>
      </c>
      <c r="Q220" s="2350" t="s">
        <v>909</v>
      </c>
      <c r="R220" s="2345">
        <v>18585.54</v>
      </c>
      <c r="S220" s="2345">
        <f>R220-Q218</f>
        <v>279.04000000000087</v>
      </c>
      <c r="T220" s="2355">
        <f>AA220-Z220</f>
        <v>22754.720000000001</v>
      </c>
      <c r="U220" s="2355">
        <f>T220-Q218</f>
        <v>4448.2200000000012</v>
      </c>
      <c r="V220" s="1695">
        <f>(Y220-T220)/T220</f>
        <v>-0.79829855080616241</v>
      </c>
      <c r="W220" s="1695">
        <f>(Y220-U220)/U220</f>
        <v>3.1796988458304365E-2</v>
      </c>
      <c r="X220" s="2345">
        <v>178.69</v>
      </c>
      <c r="Y220" s="1704">
        <v>4589.66</v>
      </c>
      <c r="Z220">
        <v>516.53</v>
      </c>
      <c r="AA220" s="854">
        <v>23271.25</v>
      </c>
    </row>
    <row r="221" spans="1:39" x14ac:dyDescent="0.25">
      <c r="A221" s="926" t="s">
        <v>147</v>
      </c>
      <c r="B221" s="927" t="s">
        <v>107</v>
      </c>
      <c r="C221" s="928">
        <f>SUM(C219:C220)</f>
        <v>3222.12</v>
      </c>
      <c r="D221" s="928">
        <f>SUM(D219:D220)</f>
        <v>20556.798000000003</v>
      </c>
      <c r="E221" s="928">
        <v>9858.8799999999992</v>
      </c>
      <c r="F221" s="944" t="s">
        <v>367</v>
      </c>
      <c r="G221" s="1389">
        <f>Waste!G49</f>
        <v>3022.8779999999997</v>
      </c>
      <c r="H221" s="1388">
        <f t="shared" si="66"/>
        <v>-0.69338525268590345</v>
      </c>
      <c r="I221" s="1395">
        <f t="shared" si="67"/>
        <v>-6836.0019999999995</v>
      </c>
      <c r="J221" s="125">
        <v>4540.3094916700002</v>
      </c>
      <c r="K221" s="2384">
        <f>Waste!G49</f>
        <v>3022.8779999999997</v>
      </c>
      <c r="L221" s="123">
        <f t="shared" si="68"/>
        <v>-0.33421322807486947</v>
      </c>
      <c r="M221" s="2143">
        <f t="shared" si="69"/>
        <v>-1517.4314916700005</v>
      </c>
      <c r="N221" s="2471" t="s">
        <v>147</v>
      </c>
      <c r="O221" s="2351">
        <f>(X221-R221)/R221</f>
        <v>-0.98923903961222792</v>
      </c>
      <c r="P221" s="2352">
        <f>(X221-S221)/S221</f>
        <v>-0.37558320046241062</v>
      </c>
      <c r="Q221" s="2345" t="s">
        <v>910</v>
      </c>
      <c r="R221" s="2345">
        <v>18627.519550000005</v>
      </c>
      <c r="S221" s="2348">
        <f>R221-Q218</f>
        <v>321.01955000000453</v>
      </c>
      <c r="T221" s="2355">
        <f>AA221-Z221</f>
        <v>23417.256600000004</v>
      </c>
      <c r="U221" s="2355">
        <f>T221-Q218</f>
        <v>5110.7566000000043</v>
      </c>
      <c r="V221" s="1695">
        <f>(Y221-T221)/T221</f>
        <v>-0.76651065095302418</v>
      </c>
      <c r="W221" s="1695">
        <f>(Y221-U221)/U221</f>
        <v>6.9837683132864467E-2</v>
      </c>
      <c r="X221" s="2345">
        <v>200.45</v>
      </c>
      <c r="Y221" s="1704">
        <v>5467.68</v>
      </c>
      <c r="Z221">
        <v>786.02999999999986</v>
      </c>
      <c r="AA221" s="854">
        <v>24203.286600000003</v>
      </c>
    </row>
    <row r="222" spans="1:39" x14ac:dyDescent="0.25">
      <c r="A222" s="929" t="s">
        <v>111</v>
      </c>
      <c r="B222" s="927" t="s">
        <v>107</v>
      </c>
      <c r="C222" s="928">
        <v>6527.3</v>
      </c>
      <c r="D222" s="928">
        <v>5148.3939099999998</v>
      </c>
      <c r="E222" s="930">
        <v>4527.1899999999996</v>
      </c>
      <c r="F222" s="944" t="s">
        <v>368</v>
      </c>
      <c r="G222" s="1389">
        <f>Waste!G65</f>
        <v>2479.140535</v>
      </c>
      <c r="H222" s="1388">
        <f t="shared" si="66"/>
        <v>-0.45238867045562475</v>
      </c>
      <c r="I222" s="1395">
        <f t="shared" si="67"/>
        <v>-2048.0494649999996</v>
      </c>
      <c r="J222" s="125">
        <v>24203.286600000003</v>
      </c>
      <c r="K222" s="2384">
        <f>Waste!G65</f>
        <v>2479.140535</v>
      </c>
      <c r="L222" s="2457">
        <f t="shared" si="68"/>
        <v>-0.89757008723765641</v>
      </c>
      <c r="M222" s="2143">
        <f t="shared" si="69"/>
        <v>-21724.146065000004</v>
      </c>
      <c r="N222" s="2471" t="s">
        <v>111</v>
      </c>
      <c r="O222" s="2351">
        <f>(X222-R222)/R222</f>
        <v>-0.87527791918171149</v>
      </c>
      <c r="P222" s="2352">
        <f>(X222-S222)/S222</f>
        <v>0.71351993364029387</v>
      </c>
      <c r="Q222" s="2345" t="s">
        <v>911</v>
      </c>
      <c r="R222" s="2345">
        <v>19743.576950000002</v>
      </c>
      <c r="S222" s="2348">
        <f>R222-Q218</f>
        <v>1437.0769500000024</v>
      </c>
      <c r="T222" s="2355">
        <f>AA222-Z222</f>
        <v>26468.309791670003</v>
      </c>
      <c r="U222" s="2355">
        <f>T222-Q218</f>
        <v>8161.8097916700026</v>
      </c>
      <c r="V222" s="1695">
        <f>(Y222-T222)/T222</f>
        <v>-0.63060882704807142</v>
      </c>
      <c r="W222" s="1695">
        <f>(Y222-U222)/U222</f>
        <v>0.19791568899077192</v>
      </c>
      <c r="X222" s="2345">
        <v>2462.46</v>
      </c>
      <c r="Y222" s="1704">
        <v>9777.16</v>
      </c>
      <c r="Z222">
        <v>2288.9825999999998</v>
      </c>
      <c r="AA222" s="854">
        <v>28757.292391670002</v>
      </c>
    </row>
    <row r="223" spans="1:39" ht="15.75" thickBot="1" x14ac:dyDescent="0.3">
      <c r="A223" s="931" t="s">
        <v>62</v>
      </c>
      <c r="B223" s="912" t="s">
        <v>107</v>
      </c>
      <c r="C223" s="922">
        <v>7521.66</v>
      </c>
      <c r="D223" s="922">
        <v>18.23075</v>
      </c>
      <c r="E223" s="923">
        <v>21.01</v>
      </c>
      <c r="F223" s="944" t="s">
        <v>369</v>
      </c>
      <c r="G223" s="110">
        <f>Waste!G69</f>
        <v>12.94787</v>
      </c>
      <c r="H223" s="1388">
        <f t="shared" si="66"/>
        <v>-0.38372822465492629</v>
      </c>
      <c r="I223" s="1395">
        <f t="shared" si="67"/>
        <v>-8.0621300000000016</v>
      </c>
      <c r="J223" s="125">
        <v>13.696299999999999</v>
      </c>
      <c r="K223" s="2384">
        <f>Waste!G69</f>
        <v>12.94787</v>
      </c>
      <c r="L223" s="123">
        <f t="shared" si="68"/>
        <v>-5.4644685060928795E-2</v>
      </c>
      <c r="M223" s="2143">
        <f t="shared" si="69"/>
        <v>-0.74842999999999904</v>
      </c>
      <c r="N223" s="2471" t="s">
        <v>62</v>
      </c>
      <c r="O223" s="2341">
        <f>X223-R223</f>
        <v>-0.86207004327353598</v>
      </c>
      <c r="P223" s="2342">
        <f>X223-S223</f>
        <v>-0.14198135117453473</v>
      </c>
      <c r="Q223" s="2343" t="s">
        <v>912</v>
      </c>
      <c r="R223" s="2342">
        <f>R221/R222</f>
        <v>0.94347238077343443</v>
      </c>
      <c r="S223" s="2342">
        <f>S221/S222</f>
        <v>0.2233836886744332</v>
      </c>
      <c r="T223" s="2342">
        <f>T221/T222</f>
        <v>0.88472806855879349</v>
      </c>
      <c r="U223" s="2342">
        <f>U221/U222</f>
        <v>0.62617933160070416</v>
      </c>
      <c r="V223" s="2342">
        <f>Y223-T223</f>
        <v>-0.32549818994373547</v>
      </c>
      <c r="W223" s="2342">
        <f>Y223-U223</f>
        <v>-6.6949452985646141E-2</v>
      </c>
      <c r="X223" s="2342">
        <f>X221/X222</f>
        <v>8.1402337499898475E-2</v>
      </c>
      <c r="Y223" s="2344">
        <f>Y221/Y222</f>
        <v>0.55922987861505802</v>
      </c>
      <c r="Z223" s="924"/>
      <c r="AA223" s="924"/>
    </row>
    <row r="224" spans="1:39" x14ac:dyDescent="0.25">
      <c r="A224" s="932" t="s">
        <v>112</v>
      </c>
      <c r="B224" s="933" t="s">
        <v>107</v>
      </c>
      <c r="C224" s="934">
        <f>SUM(C221:C223)</f>
        <v>17271.080000000002</v>
      </c>
      <c r="D224" s="934">
        <f>SUM(D221:D223)</f>
        <v>25723.42266</v>
      </c>
      <c r="E224" s="934">
        <f>SUM(E221:E223)</f>
        <v>14407.08</v>
      </c>
      <c r="F224" s="944" t="s">
        <v>370</v>
      </c>
      <c r="G224" s="110">
        <f>Waste!G70</f>
        <v>5514.9664050000001</v>
      </c>
      <c r="H224" s="1388">
        <f t="shared" si="66"/>
        <v>-0.61720442969706557</v>
      </c>
      <c r="I224" s="1395">
        <f t="shared" si="67"/>
        <v>-8892.1135949999989</v>
      </c>
      <c r="J224" s="125">
        <v>28757.292391670002</v>
      </c>
      <c r="K224" s="2384">
        <f>Waste!G70</f>
        <v>5514.9664050000001</v>
      </c>
      <c r="L224" s="123">
        <f t="shared" si="68"/>
        <v>-0.80822372531158404</v>
      </c>
      <c r="M224" s="2143">
        <f t="shared" si="69"/>
        <v>-23242.325986670003</v>
      </c>
      <c r="N224" s="2471" t="s">
        <v>112</v>
      </c>
    </row>
    <row r="225" spans="1:22" ht="30" customHeight="1" x14ac:dyDescent="0.25">
      <c r="A225" s="935" t="s">
        <v>113</v>
      </c>
      <c r="B225" s="933" t="s">
        <v>98</v>
      </c>
      <c r="C225" s="936">
        <f>C222/C224</f>
        <v>0.37793235860177821</v>
      </c>
      <c r="D225" s="937">
        <f>D222/D224</f>
        <v>0.2001442023500927</v>
      </c>
      <c r="E225" s="937">
        <f>E222/E224</f>
        <v>0.31423369621047426</v>
      </c>
      <c r="F225" s="1390">
        <f>E225-D225</f>
        <v>0.11408949386038156</v>
      </c>
      <c r="G225" s="1391">
        <f>G222/G224</f>
        <v>0.44952958058862375</v>
      </c>
      <c r="H225" s="1388">
        <f>G225-E225</f>
        <v>0.13529588437814949</v>
      </c>
      <c r="I225" s="1396">
        <f t="shared" si="67"/>
        <v>0.13529588437814949</v>
      </c>
      <c r="J225" s="2142">
        <v>0.84</v>
      </c>
      <c r="K225" s="2397">
        <f>K222/K224</f>
        <v>0.44952958058862375</v>
      </c>
      <c r="L225" s="123">
        <f>K225-J225</f>
        <v>-0.39047041941137622</v>
      </c>
      <c r="M225" s="76"/>
      <c r="N225" s="2471" t="s">
        <v>113</v>
      </c>
    </row>
    <row r="226" spans="1:22" x14ac:dyDescent="0.25">
      <c r="A226" s="917" t="s">
        <v>291</v>
      </c>
      <c r="B226" s="917" t="s">
        <v>98</v>
      </c>
      <c r="C226" s="917">
        <v>20</v>
      </c>
      <c r="D226" s="917">
        <v>20</v>
      </c>
      <c r="E226" s="917">
        <v>20</v>
      </c>
      <c r="F226" s="1392"/>
      <c r="G226" s="917" t="s">
        <v>550</v>
      </c>
      <c r="H226" s="998"/>
      <c r="I226" s="917"/>
    </row>
    <row r="227" spans="1:22" ht="15.75" thickBot="1" x14ac:dyDescent="0.3">
      <c r="A227" s="40" t="s">
        <v>565</v>
      </c>
      <c r="B227" s="9"/>
      <c r="C227" s="9"/>
      <c r="D227" s="9"/>
      <c r="E227" s="9"/>
      <c r="F227" s="9"/>
      <c r="G227" s="9"/>
    </row>
    <row r="228" spans="1:22" ht="39.75" customHeight="1" thickBot="1" x14ac:dyDescent="0.3">
      <c r="A228" s="2194" t="s">
        <v>371</v>
      </c>
      <c r="B228" s="2196" t="s">
        <v>364</v>
      </c>
      <c r="C228" s="1398" t="s">
        <v>372</v>
      </c>
      <c r="D228" s="2194" t="s">
        <v>558</v>
      </c>
      <c r="E228" s="2204" t="s">
        <v>555</v>
      </c>
      <c r="F228" s="1398" t="s">
        <v>856</v>
      </c>
      <c r="G228" s="1401" t="s">
        <v>857</v>
      </c>
      <c r="J228" s="2324"/>
      <c r="K228" s="2141" t="s">
        <v>854</v>
      </c>
      <c r="L228" s="2141"/>
      <c r="M228" s="2141"/>
      <c r="N228" s="1397"/>
      <c r="O228" s="5383" t="s">
        <v>906</v>
      </c>
      <c r="P228" s="2194"/>
      <c r="Q228" s="2330" t="s">
        <v>850</v>
      </c>
      <c r="R228" s="2330"/>
      <c r="S228" s="2330"/>
      <c r="T228" s="2195"/>
      <c r="U228" s="2331" t="s">
        <v>904</v>
      </c>
      <c r="V228" s="2332" t="s">
        <v>905</v>
      </c>
    </row>
    <row r="229" spans="1:22" ht="15.75" thickBot="1" x14ac:dyDescent="0.3">
      <c r="A229" s="2197" t="s">
        <v>373</v>
      </c>
      <c r="B229" s="940" t="s">
        <v>556</v>
      </c>
      <c r="C229" s="1399" t="s">
        <v>557</v>
      </c>
      <c r="D229" s="2205" t="s">
        <v>556</v>
      </c>
      <c r="E229" s="1415" t="s">
        <v>374</v>
      </c>
      <c r="F229" s="2205" t="s">
        <v>556</v>
      </c>
      <c r="G229" s="941" t="s">
        <v>374</v>
      </c>
      <c r="J229" s="2325" t="s">
        <v>218</v>
      </c>
      <c r="K229" s="2322" t="s">
        <v>553</v>
      </c>
      <c r="L229" s="2322" t="s">
        <v>554</v>
      </c>
      <c r="M229" s="2322" t="s">
        <v>552</v>
      </c>
      <c r="N229" s="2323" t="s">
        <v>66</v>
      </c>
      <c r="O229" s="5384"/>
      <c r="P229" s="2333" t="s">
        <v>218</v>
      </c>
      <c r="Q229" s="2321" t="s">
        <v>553</v>
      </c>
      <c r="R229" s="2321" t="s">
        <v>554</v>
      </c>
      <c r="S229" s="2321" t="s">
        <v>552</v>
      </c>
      <c r="T229" s="2321" t="s">
        <v>66</v>
      </c>
      <c r="U229" s="2321"/>
      <c r="V229" s="2334"/>
    </row>
    <row r="230" spans="1:22" x14ac:dyDescent="0.25">
      <c r="A230" s="28" t="s">
        <v>99</v>
      </c>
      <c r="B230" s="1402"/>
      <c r="C230" s="1400"/>
      <c r="D230" s="1409"/>
      <c r="E230" s="2173"/>
      <c r="F230" s="1409">
        <v>539804</v>
      </c>
      <c r="G230" s="2164">
        <f>F230/14.19</f>
        <v>38041.155743481329</v>
      </c>
      <c r="J230" s="28" t="s">
        <v>99</v>
      </c>
      <c r="K230" s="110">
        <v>621.80000000000007</v>
      </c>
      <c r="L230" s="110">
        <v>3065.5670500000001</v>
      </c>
      <c r="M230" s="110">
        <v>1.6869000000000001</v>
      </c>
      <c r="N230" s="110">
        <v>3689.0539500000004</v>
      </c>
      <c r="O230" s="2326">
        <f>N230</f>
        <v>3689.0539500000004</v>
      </c>
      <c r="P230" s="28" t="s">
        <v>99</v>
      </c>
      <c r="Q230" s="110">
        <f>Waste!G8</f>
        <v>328.8</v>
      </c>
      <c r="R230" s="110">
        <f>Waste!G24</f>
        <v>1201.6969999999999</v>
      </c>
      <c r="S230" s="110">
        <f>Waste!G28</f>
        <v>0.78010000000000002</v>
      </c>
      <c r="T230" s="110">
        <f t="shared" ref="T230:T235" si="70">SUM(Q230:S230)</f>
        <v>1531.2770999999998</v>
      </c>
      <c r="U230" s="123">
        <f>(T230-N230)/N230</f>
        <v>-0.58491333530104661</v>
      </c>
      <c r="V230" s="1973">
        <f>(T230-O230)/O230</f>
        <v>-0.58491333530104661</v>
      </c>
    </row>
    <row r="231" spans="1:22" x14ac:dyDescent="0.25">
      <c r="A231" s="28" t="s">
        <v>100</v>
      </c>
      <c r="B231" s="1402"/>
      <c r="C231" s="1400"/>
      <c r="D231" s="1409">
        <v>3623896.54</v>
      </c>
      <c r="E231" s="2173"/>
      <c r="F231" s="1409">
        <v>3655685.1</v>
      </c>
      <c r="G231" s="2164">
        <f>F231/14.19</f>
        <v>257624.03805496829</v>
      </c>
      <c r="J231" s="28" t="s">
        <v>100</v>
      </c>
      <c r="K231" s="110">
        <v>1068.7518916699998</v>
      </c>
      <c r="L231" s="110">
        <v>1631.47</v>
      </c>
      <c r="M231" s="110">
        <v>2.2469999999999999</v>
      </c>
      <c r="N231" s="110">
        <v>2702.4688916699997</v>
      </c>
      <c r="O231" s="2327">
        <f>N231</f>
        <v>2702.4688916699997</v>
      </c>
      <c r="P231" s="28" t="s">
        <v>100</v>
      </c>
      <c r="Q231" s="110">
        <f>Waste!L8</f>
        <v>219.43299999999999</v>
      </c>
      <c r="R231" s="110">
        <f>Waste!L24</f>
        <v>763.09040000000005</v>
      </c>
      <c r="S231" s="110">
        <f>Waste!L28</f>
        <v>2.2498999999999998</v>
      </c>
      <c r="T231" s="110">
        <f t="shared" si="70"/>
        <v>984.77330000000006</v>
      </c>
      <c r="U231" s="123">
        <f>(T231-N231)/N231</f>
        <v>-0.63560235492980788</v>
      </c>
      <c r="V231" s="1973">
        <f>(T231-O231)/O231</f>
        <v>-0.63560235492980788</v>
      </c>
    </row>
    <row r="232" spans="1:22" x14ac:dyDescent="0.25">
      <c r="A232" s="28" t="s">
        <v>101</v>
      </c>
      <c r="B232" s="1402"/>
      <c r="C232" s="1400"/>
      <c r="D232" s="1409">
        <v>110174</v>
      </c>
      <c r="E232" s="2173"/>
      <c r="F232" s="1409">
        <f>94186.9</f>
        <v>94186.9</v>
      </c>
      <c r="G232" s="2164">
        <f>F232/14.19</f>
        <v>6637.5546159267087</v>
      </c>
      <c r="J232" s="28" t="s">
        <v>101</v>
      </c>
      <c r="K232" s="110">
        <v>240.51</v>
      </c>
      <c r="L232" s="110">
        <v>92.699999999999989</v>
      </c>
      <c r="M232" s="110">
        <v>0</v>
      </c>
      <c r="N232" s="110">
        <v>333.21</v>
      </c>
      <c r="O232" s="2327">
        <f>N232</f>
        <v>333.21</v>
      </c>
      <c r="P232" s="28" t="s">
        <v>101</v>
      </c>
      <c r="Q232" s="110">
        <f>Waste!Q8</f>
        <v>194.70000000000002</v>
      </c>
      <c r="R232" s="110">
        <f>Waste!Q24</f>
        <v>384.38</v>
      </c>
      <c r="S232" s="110">
        <f>Waste!Q28</f>
        <v>0</v>
      </c>
      <c r="T232" s="110">
        <f t="shared" si="70"/>
        <v>579.08000000000004</v>
      </c>
      <c r="U232" s="123">
        <f>(T232-N232)/N232</f>
        <v>0.73788301671618517</v>
      </c>
      <c r="V232" s="1973">
        <f>(T232-O232)/O232</f>
        <v>0.73788301671618517</v>
      </c>
    </row>
    <row r="233" spans="1:22" x14ac:dyDescent="0.25">
      <c r="A233" s="28" t="s">
        <v>103</v>
      </c>
      <c r="B233" s="1400">
        <v>107174804</v>
      </c>
      <c r="C233" s="1400">
        <f>B233/2239</f>
        <v>47867.263957123716</v>
      </c>
      <c r="D233" s="2206">
        <v>120410891.8</v>
      </c>
      <c r="E233" s="2173">
        <f>D233/2229</f>
        <v>54020.139883355761</v>
      </c>
      <c r="F233" s="1409">
        <v>120410891.8</v>
      </c>
      <c r="G233" s="2164">
        <f>F233/2270</f>
        <v>53044.445726872247</v>
      </c>
      <c r="H233" s="1421"/>
      <c r="J233" s="28" t="s">
        <v>154</v>
      </c>
      <c r="K233" s="110">
        <v>1502.9526000000001</v>
      </c>
      <c r="L233" s="110">
        <v>786.02999999999986</v>
      </c>
      <c r="M233" s="110">
        <v>0</v>
      </c>
      <c r="N233" s="110">
        <v>2288.9825999999998</v>
      </c>
      <c r="O233" s="2327">
        <f>N233</f>
        <v>2288.9825999999998</v>
      </c>
      <c r="P233" s="2335" t="s">
        <v>154</v>
      </c>
      <c r="Q233" s="2336">
        <v>0</v>
      </c>
      <c r="R233" s="2336">
        <v>0</v>
      </c>
      <c r="S233" s="2336">
        <v>0</v>
      </c>
      <c r="T233" s="2336">
        <f t="shared" si="70"/>
        <v>0</v>
      </c>
      <c r="U233" s="2337"/>
      <c r="V233" s="2338"/>
    </row>
    <row r="234" spans="1:22" x14ac:dyDescent="0.25">
      <c r="A234" s="28" t="s">
        <v>241</v>
      </c>
      <c r="B234" s="1402"/>
      <c r="C234" s="1400"/>
      <c r="D234" s="1409">
        <v>154560</v>
      </c>
      <c r="E234" s="2173"/>
      <c r="F234" s="2216">
        <v>0</v>
      </c>
      <c r="G234" s="2218"/>
      <c r="H234" s="1421"/>
      <c r="I234" s="9"/>
      <c r="J234" s="28" t="s">
        <v>103</v>
      </c>
      <c r="K234" s="110">
        <v>1106.2950000000001</v>
      </c>
      <c r="L234" s="110">
        <v>18627.519550000005</v>
      </c>
      <c r="M234" s="110">
        <v>9.7623999999999995</v>
      </c>
      <c r="N234" s="110">
        <v>19743.576950000002</v>
      </c>
      <c r="O234" s="2327">
        <v>1158.0369500000015</v>
      </c>
      <c r="P234" s="28" t="s">
        <v>103</v>
      </c>
      <c r="Q234" s="110">
        <f>Waste!V8</f>
        <v>2279.9449999999997</v>
      </c>
      <c r="R234" s="110">
        <f>Waste!V24</f>
        <v>129.97313499999998</v>
      </c>
      <c r="S234" s="110">
        <f>Waste!V28</f>
        <v>9.9178700000000006</v>
      </c>
      <c r="T234" s="110">
        <f t="shared" si="70"/>
        <v>2419.8360050000001</v>
      </c>
      <c r="U234" s="123">
        <f>(T234-N234)/N234</f>
        <v>-0.87743679824946808</v>
      </c>
      <c r="V234" s="1973">
        <f>(T234-O234)/O234</f>
        <v>1.0896017221212129</v>
      </c>
    </row>
    <row r="235" spans="1:22" ht="15.75" thickBot="1" x14ac:dyDescent="0.3">
      <c r="A235" s="28" t="s">
        <v>241</v>
      </c>
      <c r="B235" s="1400">
        <v>0</v>
      </c>
      <c r="C235" s="1400"/>
      <c r="D235" s="1409">
        <v>0</v>
      </c>
      <c r="E235" s="2173"/>
      <c r="F235" s="2216">
        <v>0</v>
      </c>
      <c r="G235" s="2218"/>
      <c r="J235" s="83" t="s">
        <v>325</v>
      </c>
      <c r="K235" s="2328">
        <v>4540.3094916700002</v>
      </c>
      <c r="L235" s="2328">
        <v>24203.286600000003</v>
      </c>
      <c r="M235" s="2328">
        <v>13.696299999999999</v>
      </c>
      <c r="N235" s="2328">
        <v>28757.292391670002</v>
      </c>
      <c r="O235" s="2329">
        <v>10171.752391670001</v>
      </c>
      <c r="P235" s="83" t="s">
        <v>325</v>
      </c>
      <c r="Q235" s="2328">
        <f>Waste!G49</f>
        <v>3022.8779999999997</v>
      </c>
      <c r="R235" s="2328">
        <f>SUM(R230:R234)</f>
        <v>2479.140535</v>
      </c>
      <c r="S235" s="2328">
        <f>SUM(S230:S234)</f>
        <v>12.94787</v>
      </c>
      <c r="T235" s="2328">
        <f t="shared" si="70"/>
        <v>5514.9664049999992</v>
      </c>
      <c r="U235" s="123">
        <f>(T235-N235)/N235</f>
        <v>-0.80822372531158404</v>
      </c>
      <c r="V235" s="1973">
        <f>(T235-O235)/O235</f>
        <v>-0.45781550782573166</v>
      </c>
    </row>
    <row r="236" spans="1:22" x14ac:dyDescent="0.25">
      <c r="A236" s="1417" t="s">
        <v>325</v>
      </c>
      <c r="B236" s="1419"/>
      <c r="C236" s="2201"/>
      <c r="D236" s="1417"/>
      <c r="E236" s="1418"/>
      <c r="F236" s="2219"/>
      <c r="G236" s="2220">
        <f>SUM(G230:G233)</f>
        <v>355347.19414124853</v>
      </c>
      <c r="K236" s="1055">
        <f>(O235-E224)/E224</f>
        <v>-0.29397543487854577</v>
      </c>
    </row>
    <row r="237" spans="1:22" s="9" customFormat="1" ht="15.75" thickBot="1" x14ac:dyDescent="0.3">
      <c r="A237" s="2191"/>
      <c r="B237" s="2198"/>
      <c r="C237" s="2202"/>
      <c r="D237" s="1417"/>
      <c r="E237" s="1418"/>
      <c r="F237" s="2224"/>
      <c r="G237" s="2193"/>
      <c r="K237" s="1055"/>
    </row>
    <row r="238" spans="1:22" x14ac:dyDescent="0.25">
      <c r="A238" s="2189" t="s">
        <v>375</v>
      </c>
      <c r="B238" s="2199"/>
      <c r="C238" s="2203"/>
      <c r="D238" s="2205"/>
      <c r="E238" s="1415"/>
      <c r="F238" s="2225"/>
      <c r="G238" s="2190"/>
      <c r="I238" s="445">
        <f>F232</f>
        <v>94186.9</v>
      </c>
    </row>
    <row r="239" spans="1:22" x14ac:dyDescent="0.25">
      <c r="A239" s="28" t="s">
        <v>99</v>
      </c>
      <c r="B239" s="942">
        <v>1075779.77</v>
      </c>
      <c r="C239" s="1400">
        <f>B239*0.076</f>
        <v>81759.262520000004</v>
      </c>
      <c r="D239" s="1409"/>
      <c r="E239" s="2207"/>
      <c r="F239" s="1409">
        <v>110376</v>
      </c>
      <c r="G239" s="2164">
        <f>F239/14.19</f>
        <v>7778.4355179704016</v>
      </c>
      <c r="I239">
        <f>F232/5</f>
        <v>18837.379999999997</v>
      </c>
    </row>
    <row r="240" spans="1:22" ht="15.75" customHeight="1" x14ac:dyDescent="0.25">
      <c r="A240" s="28" t="s">
        <v>100</v>
      </c>
      <c r="B240" s="942">
        <v>342010</v>
      </c>
      <c r="C240" s="1400">
        <f>B240*0.076</f>
        <v>25992.76</v>
      </c>
      <c r="D240" s="2208">
        <v>903966.9</v>
      </c>
      <c r="E240" s="2207"/>
      <c r="F240" s="1409">
        <v>859709.4</v>
      </c>
      <c r="G240" s="2164">
        <f>F240/14.19</f>
        <v>60585.58139534884</v>
      </c>
      <c r="I240" s="445">
        <f>I238-I239</f>
        <v>75349.51999999999</v>
      </c>
    </row>
    <row r="241" spans="1:24" x14ac:dyDescent="0.25">
      <c r="A241" s="28" t="s">
        <v>101</v>
      </c>
      <c r="B241" s="942">
        <v>624391</v>
      </c>
      <c r="C241" s="1400">
        <f>B241*0.076</f>
        <v>47453.716</v>
      </c>
      <c r="D241" s="1409">
        <v>510879</v>
      </c>
      <c r="E241" s="2207"/>
      <c r="F241" s="1409">
        <v>376747.62</v>
      </c>
      <c r="G241" s="2164">
        <f>F241/14.19</f>
        <v>26550.219873150105</v>
      </c>
      <c r="I241">
        <f>D241/D232</f>
        <v>4.6370196235046377</v>
      </c>
    </row>
    <row r="242" spans="1:24" s="9" customFormat="1" x14ac:dyDescent="0.25">
      <c r="A242" s="28" t="s">
        <v>560</v>
      </c>
      <c r="B242" s="942">
        <v>19547880</v>
      </c>
      <c r="C242" s="1400">
        <f>B242/2239</f>
        <v>8730.6297454220639</v>
      </c>
      <c r="D242" s="2206">
        <v>21752880.84</v>
      </c>
      <c r="E242" s="2207">
        <f>D242/2229</f>
        <v>9759.0313324360704</v>
      </c>
      <c r="F242" s="1409">
        <v>21752880.84</v>
      </c>
      <c r="G242" s="2164">
        <f>F242/2270</f>
        <v>9582.7668898678421</v>
      </c>
    </row>
    <row r="243" spans="1:24" x14ac:dyDescent="0.25">
      <c r="A243" s="28" t="s">
        <v>154</v>
      </c>
      <c r="B243" s="942">
        <v>449136.95</v>
      </c>
      <c r="C243" s="1400">
        <f>B243*0.076</f>
        <v>34134.408199999998</v>
      </c>
      <c r="D243" s="1409">
        <v>302121.55</v>
      </c>
      <c r="E243" s="2207"/>
      <c r="F243" s="2216">
        <v>0</v>
      </c>
      <c r="G243" s="2217"/>
    </row>
    <row r="244" spans="1:24" x14ac:dyDescent="0.25">
      <c r="A244" s="28" t="s">
        <v>241</v>
      </c>
      <c r="B244" s="942">
        <v>433872</v>
      </c>
      <c r="C244" s="1400">
        <f>B244*0.076</f>
        <v>32974.271999999997</v>
      </c>
      <c r="D244" s="1409">
        <v>202478.72</v>
      </c>
      <c r="E244" s="2207"/>
      <c r="F244" s="2216">
        <v>0</v>
      </c>
      <c r="G244" s="2217"/>
    </row>
    <row r="245" spans="1:24" ht="15.75" thickBot="1" x14ac:dyDescent="0.3">
      <c r="A245" s="2191" t="s">
        <v>325</v>
      </c>
      <c r="B245" s="2192">
        <f>SUM(B239:B244)</f>
        <v>22473069.719999999</v>
      </c>
      <c r="C245" s="2192">
        <f>SUM(C239:C244)</f>
        <v>231045.04846542209</v>
      </c>
      <c r="D245" s="2209">
        <f>SUM(D239:D244)</f>
        <v>23672327.009999998</v>
      </c>
      <c r="E245" s="2210">
        <f>SUM(E239:E244)</f>
        <v>9759.0313324360704</v>
      </c>
      <c r="F245" s="2226">
        <f>SUM(F239:F244)</f>
        <v>23099713.859999999</v>
      </c>
      <c r="G245" s="2221">
        <f>SUM(G239:G242)</f>
        <v>104497.00367633719</v>
      </c>
      <c r="U245" t="s">
        <v>584</v>
      </c>
      <c r="V245" t="s">
        <v>583</v>
      </c>
      <c r="W245" t="s">
        <v>585</v>
      </c>
      <c r="X245" t="s">
        <v>586</v>
      </c>
    </row>
    <row r="246" spans="1:24" x14ac:dyDescent="0.25">
      <c r="A246" s="2189" t="s">
        <v>559</v>
      </c>
      <c r="B246" s="2199"/>
      <c r="C246" s="2203"/>
      <c r="D246" s="2205"/>
      <c r="E246" s="1415"/>
      <c r="F246" s="2225"/>
      <c r="G246" s="2222"/>
      <c r="S246" s="39"/>
      <c r="U246" s="1421" t="s">
        <v>582</v>
      </c>
      <c r="V246">
        <v>7.9341999999999997</v>
      </c>
      <c r="W246" s="9">
        <v>7.9341999999999997</v>
      </c>
      <c r="X246">
        <v>20.995339999999999</v>
      </c>
    </row>
    <row r="247" spans="1:24" x14ac:dyDescent="0.25">
      <c r="A247" s="28" t="s">
        <v>99</v>
      </c>
      <c r="B247" s="1402">
        <f t="shared" ref="B247:C249" si="71">B230+B239</f>
        <v>1075779.77</v>
      </c>
      <c r="C247" s="1400">
        <f t="shared" si="71"/>
        <v>81759.262520000004</v>
      </c>
      <c r="D247" s="2211">
        <v>2172537.5</v>
      </c>
      <c r="E247" s="2212">
        <f>D247/12.8557</f>
        <v>168994.10378275783</v>
      </c>
      <c r="F247" s="1409">
        <v>218833.21</v>
      </c>
      <c r="G247" s="2164">
        <f>G230+G239</f>
        <v>45819.591261451729</v>
      </c>
      <c r="S247" s="2153"/>
      <c r="U247">
        <v>4.4449300000000003</v>
      </c>
      <c r="V247">
        <v>431.72994</v>
      </c>
      <c r="W247" s="9">
        <v>431.72994</v>
      </c>
      <c r="X247">
        <v>18.981490000000001</v>
      </c>
    </row>
    <row r="248" spans="1:24" x14ac:dyDescent="0.25">
      <c r="A248" s="28" t="s">
        <v>100</v>
      </c>
      <c r="B248" s="1402">
        <f t="shared" si="71"/>
        <v>342010</v>
      </c>
      <c r="C248" s="1400">
        <f t="shared" si="71"/>
        <v>25992.76</v>
      </c>
      <c r="D248" s="1409">
        <f>D240+D231</f>
        <v>4527863.4400000004</v>
      </c>
      <c r="E248" s="2212">
        <f>D248/12.8557</f>
        <v>352206.6818609644</v>
      </c>
      <c r="F248" s="1409">
        <f>F231+F240</f>
        <v>4515394.5</v>
      </c>
      <c r="G248" s="2164">
        <f>G231+G240</f>
        <v>318209.61945031711</v>
      </c>
      <c r="S248" s="2154"/>
      <c r="U248">
        <v>5.3860000000000001</v>
      </c>
      <c r="V248">
        <v>191.56164699999999</v>
      </c>
      <c r="W248" s="9">
        <v>191.56164699999999</v>
      </c>
      <c r="X248">
        <v>20.758019999999998</v>
      </c>
    </row>
    <row r="249" spans="1:24" x14ac:dyDescent="0.25">
      <c r="A249" s="28" t="s">
        <v>101</v>
      </c>
      <c r="B249" s="1402">
        <f t="shared" si="71"/>
        <v>624391</v>
      </c>
      <c r="C249" s="1400">
        <f t="shared" si="71"/>
        <v>47453.716</v>
      </c>
      <c r="D249" s="1409">
        <f>D232+D241</f>
        <v>621053</v>
      </c>
      <c r="E249" s="2212">
        <f>D249/12.8557</f>
        <v>48309.543626562532</v>
      </c>
      <c r="F249" s="1409">
        <f>F232+F241</f>
        <v>470934.52</v>
      </c>
      <c r="G249" s="2164">
        <f>G232+G241</f>
        <v>33187.774489076815</v>
      </c>
      <c r="S249" s="2154"/>
      <c r="U249">
        <f>SUM(U247:U248)</f>
        <v>9.8309300000000004</v>
      </c>
      <c r="V249">
        <v>20.995339999999999</v>
      </c>
      <c r="W249">
        <f>SUM(W246:W248)</f>
        <v>631.22578699999997</v>
      </c>
      <c r="X249">
        <f>SUM(X246:X248)</f>
        <v>60.734849999999994</v>
      </c>
    </row>
    <row r="250" spans="1:24" s="9" customFormat="1" x14ac:dyDescent="0.25">
      <c r="A250" s="28" t="s">
        <v>103</v>
      </c>
      <c r="B250" s="1402">
        <f>B232+B239</f>
        <v>1075779.77</v>
      </c>
      <c r="C250" s="1400">
        <f>C232+C239</f>
        <v>81759.262520000004</v>
      </c>
      <c r="D250" s="2206">
        <f>D233+D242</f>
        <v>142163772.63999999</v>
      </c>
      <c r="E250" s="2212">
        <f>D250/2229</f>
        <v>63779.17121579183</v>
      </c>
      <c r="F250" s="1409">
        <f>F233+F242</f>
        <v>142163772.63999999</v>
      </c>
      <c r="G250" s="2164">
        <f>G233+G242</f>
        <v>62627.212616740086</v>
      </c>
      <c r="S250" s="2154"/>
    </row>
    <row r="251" spans="1:24" x14ac:dyDescent="0.25">
      <c r="A251" s="28" t="s">
        <v>154</v>
      </c>
      <c r="B251" s="1402">
        <f>B233+B243</f>
        <v>107623940.95</v>
      </c>
      <c r="C251" s="1400">
        <f>C233+C243</f>
        <v>82001.672157123714</v>
      </c>
      <c r="D251" s="2216"/>
      <c r="E251" s="2217">
        <f>D251/12.8557</f>
        <v>0</v>
      </c>
      <c r="F251" s="2216">
        <v>0</v>
      </c>
      <c r="G251" s="2217"/>
      <c r="S251" s="2154"/>
      <c r="V251">
        <v>18.981490000000001</v>
      </c>
    </row>
    <row r="252" spans="1:24" x14ac:dyDescent="0.25">
      <c r="A252" s="28" t="s">
        <v>103</v>
      </c>
      <c r="B252" s="1402">
        <f>B235+B242</f>
        <v>19547880</v>
      </c>
      <c r="C252" s="1400">
        <f>C235+C242</f>
        <v>8730.6297454220639</v>
      </c>
      <c r="D252" s="2216">
        <f>D235+D242</f>
        <v>21752880.84</v>
      </c>
      <c r="E252" s="2217">
        <f>D252/2229</f>
        <v>9759.0313324360704</v>
      </c>
      <c r="F252" s="2216">
        <f>F235+F244</f>
        <v>0</v>
      </c>
      <c r="G252" s="2217"/>
      <c r="S252" s="2154"/>
      <c r="V252">
        <f>SUM(V246:V251)</f>
        <v>671.20261700000003</v>
      </c>
    </row>
    <row r="253" spans="1:24" ht="15.75" thickBot="1" x14ac:dyDescent="0.3">
      <c r="A253" s="948" t="s">
        <v>325</v>
      </c>
      <c r="B253" s="2200"/>
      <c r="C253" s="2188">
        <f>SUM(C247:C252)</f>
        <v>327697.30294254574</v>
      </c>
      <c r="D253" s="2213"/>
      <c r="E253" s="2214">
        <f>SUM(E247:E252)</f>
        <v>643048.53181851259</v>
      </c>
      <c r="F253" s="2215"/>
      <c r="G253" s="2223">
        <f>G236+G245</f>
        <v>459844.19781758572</v>
      </c>
      <c r="H253" s="445">
        <f>SUM(G247:G250)</f>
        <v>459844.19781758572</v>
      </c>
      <c r="S253" s="2154"/>
    </row>
    <row r="254" spans="1:24" s="9" customFormat="1" x14ac:dyDescent="0.25">
      <c r="A254" s="1420"/>
      <c r="B254" s="1420"/>
      <c r="C254" s="2156"/>
      <c r="D254" s="2156"/>
      <c r="E254" s="2156"/>
      <c r="S254" s="2154"/>
    </row>
    <row r="255" spans="1:24" s="9" customFormat="1" x14ac:dyDescent="0.25">
      <c r="A255" s="1513"/>
      <c r="B255" s="1513"/>
      <c r="C255" s="2157"/>
      <c r="D255" s="2157"/>
      <c r="E255" s="2157"/>
      <c r="S255" s="2154"/>
    </row>
    <row r="256" spans="1:24" s="9" customFormat="1" ht="15.75" thickBot="1" x14ac:dyDescent="0.3">
      <c r="A256" s="5385" t="s">
        <v>855</v>
      </c>
      <c r="B256" s="5386"/>
      <c r="C256" s="5386"/>
      <c r="D256" s="5386"/>
      <c r="E256" s="5386"/>
      <c r="F256" s="5386"/>
      <c r="G256" s="5386"/>
      <c r="H256" s="5386"/>
      <c r="I256" s="5386"/>
      <c r="S256" s="2154"/>
    </row>
    <row r="257" spans="1:22" s="9" customFormat="1" x14ac:dyDescent="0.25">
      <c r="A257" s="1403" t="s">
        <v>218</v>
      </c>
      <c r="B257" s="1405">
        <v>2016</v>
      </c>
      <c r="C257" s="1406"/>
      <c r="D257" s="1405">
        <v>2017</v>
      </c>
      <c r="E257" s="1406"/>
      <c r="F257" s="2144">
        <v>2018</v>
      </c>
      <c r="G257" s="2145"/>
      <c r="H257" s="2144">
        <v>2019</v>
      </c>
      <c r="I257" s="2145"/>
      <c r="S257" s="2154"/>
    </row>
    <row r="258" spans="1:22" s="9" customFormat="1" ht="15.75" thickBot="1" x14ac:dyDescent="0.3">
      <c r="A258" s="1404"/>
      <c r="B258" s="1407" t="s">
        <v>561</v>
      </c>
      <c r="C258" s="1408" t="s">
        <v>562</v>
      </c>
      <c r="D258" s="1407" t="s">
        <v>561</v>
      </c>
      <c r="E258" s="1408" t="s">
        <v>562</v>
      </c>
      <c r="F258" s="1407" t="s">
        <v>561</v>
      </c>
      <c r="G258" s="1408" t="s">
        <v>562</v>
      </c>
      <c r="H258" s="1407" t="s">
        <v>561</v>
      </c>
      <c r="I258" s="1408" t="s">
        <v>562</v>
      </c>
      <c r="S258" s="2154"/>
    </row>
    <row r="259" spans="1:22" s="9" customFormat="1" x14ac:dyDescent="0.25">
      <c r="A259" s="2160" t="s">
        <v>99</v>
      </c>
      <c r="B259" s="2161">
        <v>2207895.2999999998</v>
      </c>
      <c r="C259" s="2162">
        <v>1188866.7</v>
      </c>
      <c r="D259" s="2161">
        <v>751592.7</v>
      </c>
      <c r="E259" s="2162">
        <v>1753716.3</v>
      </c>
      <c r="F259" s="2161">
        <v>1391655.3</v>
      </c>
      <c r="G259" s="2162">
        <v>3247195.7</v>
      </c>
      <c r="H259" s="1461">
        <v>1378543</v>
      </c>
      <c r="I259" s="1466">
        <v>3682644</v>
      </c>
      <c r="S259" s="2154"/>
    </row>
    <row r="260" spans="1:22" s="9" customFormat="1" x14ac:dyDescent="0.25">
      <c r="A260" s="1413" t="s">
        <v>100</v>
      </c>
      <c r="B260" s="2149" t="s">
        <v>575</v>
      </c>
      <c r="C260" s="2150" t="s">
        <v>576</v>
      </c>
      <c r="D260" s="2149" t="s">
        <v>577</v>
      </c>
      <c r="E260" s="2150" t="s">
        <v>578</v>
      </c>
      <c r="F260" s="2149" t="s">
        <v>579</v>
      </c>
      <c r="G260" s="2150" t="s">
        <v>580</v>
      </c>
      <c r="H260" s="1409">
        <v>1277369</v>
      </c>
      <c r="I260" s="2164">
        <v>1877931</v>
      </c>
      <c r="S260" s="2154"/>
    </row>
    <row r="261" spans="1:22" s="9" customFormat="1" x14ac:dyDescent="0.25">
      <c r="A261" s="1413" t="s">
        <v>101</v>
      </c>
      <c r="B261" s="1436">
        <v>611947</v>
      </c>
      <c r="C261" s="1437">
        <v>535284</v>
      </c>
      <c r="D261" s="1436">
        <v>433956</v>
      </c>
      <c r="E261" s="1437">
        <v>296847</v>
      </c>
      <c r="F261" s="1436">
        <v>377413</v>
      </c>
      <c r="G261" s="1437">
        <v>306119</v>
      </c>
      <c r="H261" s="1409">
        <v>582968</v>
      </c>
      <c r="I261" s="2164">
        <v>417758</v>
      </c>
      <c r="S261" s="2154"/>
    </row>
    <row r="262" spans="1:22" s="9" customFormat="1" x14ac:dyDescent="0.25">
      <c r="A262" s="1413" t="s">
        <v>103</v>
      </c>
      <c r="B262" s="2151">
        <v>1891932</v>
      </c>
      <c r="C262" s="2152">
        <v>1818821</v>
      </c>
      <c r="D262" s="2151">
        <v>1915211</v>
      </c>
      <c r="E262" s="2152">
        <v>1545429</v>
      </c>
      <c r="F262" s="2151">
        <v>2549053</v>
      </c>
      <c r="G262" s="2152">
        <v>1846754</v>
      </c>
      <c r="H262" s="1409">
        <v>2825874</v>
      </c>
      <c r="I262" s="2164">
        <v>1968716</v>
      </c>
      <c r="S262" s="2154"/>
    </row>
    <row r="263" spans="1:22" s="9" customFormat="1" x14ac:dyDescent="0.25">
      <c r="A263" s="1413" t="s">
        <v>154</v>
      </c>
      <c r="B263" s="1566">
        <v>4200000</v>
      </c>
      <c r="C263" s="1568">
        <v>4200000</v>
      </c>
      <c r="D263" s="1566">
        <v>4200000</v>
      </c>
      <c r="E263" s="1568">
        <v>4200000</v>
      </c>
      <c r="F263" s="1566">
        <v>4200000</v>
      </c>
      <c r="G263" s="1568">
        <v>4200000</v>
      </c>
      <c r="H263" s="2216"/>
      <c r="I263" s="2217"/>
      <c r="S263" s="2154"/>
    </row>
    <row r="264" spans="1:22" s="9" customFormat="1" ht="15.75" thickBot="1" x14ac:dyDescent="0.3">
      <c r="A264" s="1414" t="s">
        <v>325</v>
      </c>
      <c r="B264" s="1567">
        <f t="shared" ref="B264:G264" si="72">SUM(B259:B263)</f>
        <v>8911774.3000000007</v>
      </c>
      <c r="C264" s="1569">
        <f t="shared" si="72"/>
        <v>7742971.7000000002</v>
      </c>
      <c r="D264" s="1567">
        <f t="shared" si="72"/>
        <v>7300759.7000000002</v>
      </c>
      <c r="E264" s="1569">
        <f t="shared" si="72"/>
        <v>7795992.2999999998</v>
      </c>
      <c r="F264" s="1567">
        <f t="shared" si="72"/>
        <v>8518121.3000000007</v>
      </c>
      <c r="G264" s="1569">
        <f t="shared" si="72"/>
        <v>9600068.6999999993</v>
      </c>
      <c r="H264" s="2163">
        <f>SUM(H259:H262)</f>
        <v>6064754</v>
      </c>
      <c r="I264" s="2163">
        <f>SUM(I259:I262)</f>
        <v>7947049</v>
      </c>
      <c r="S264" s="2154"/>
    </row>
    <row r="265" spans="1:22" ht="15.75" thickBot="1" x14ac:dyDescent="0.3">
      <c r="M265" s="149" t="s">
        <v>322</v>
      </c>
      <c r="S265" s="2154"/>
      <c r="V265" s="9"/>
    </row>
    <row r="266" spans="1:22" s="9" customFormat="1" ht="15.75" thickBot="1" x14ac:dyDescent="0.3">
      <c r="A266" s="2159"/>
      <c r="B266" s="2158"/>
      <c r="C266" s="2158"/>
      <c r="D266" s="2158"/>
      <c r="E266" s="2158"/>
      <c r="F266" s="2158"/>
      <c r="G266" s="2158"/>
      <c r="H266" s="1"/>
      <c r="I266" s="1"/>
      <c r="M266" s="2146" t="s">
        <v>0</v>
      </c>
      <c r="N266" s="2147" t="s">
        <v>1</v>
      </c>
      <c r="O266" s="2148" t="s">
        <v>99</v>
      </c>
      <c r="P266" s="2148" t="s">
        <v>100</v>
      </c>
      <c r="Q266" s="2148" t="s">
        <v>101</v>
      </c>
      <c r="R266" s="2148" t="s">
        <v>103</v>
      </c>
      <c r="S266" s="2154"/>
    </row>
    <row r="267" spans="1:22" s="9" customFormat="1" ht="15.75" thickBot="1" x14ac:dyDescent="0.3">
      <c r="A267" s="2159"/>
      <c r="B267" s="2158"/>
      <c r="C267" s="2158"/>
      <c r="D267" s="2158"/>
      <c r="E267" s="2158"/>
      <c r="F267" s="2158"/>
      <c r="G267" s="2158"/>
      <c r="H267" s="1"/>
      <c r="I267" s="1"/>
      <c r="M267" s="1439" t="s">
        <v>78</v>
      </c>
      <c r="N267" s="1438" t="s">
        <v>13</v>
      </c>
      <c r="O267" s="1493">
        <v>44</v>
      </c>
      <c r="P267" s="1493">
        <v>57</v>
      </c>
      <c r="Q267" s="1493">
        <v>55</v>
      </c>
      <c r="R267" s="1493">
        <v>146</v>
      </c>
      <c r="S267" s="2154"/>
    </row>
    <row r="268" spans="1:22" s="9" customFormat="1" ht="15.75" thickBot="1" x14ac:dyDescent="0.3">
      <c r="A268" s="5374" t="s">
        <v>903</v>
      </c>
      <c r="B268" s="5375"/>
      <c r="C268" s="5375"/>
      <c r="D268" s="5375"/>
      <c r="E268" s="5375"/>
      <c r="F268" s="2195"/>
      <c r="G268" s="2195"/>
      <c r="H268" s="2227"/>
      <c r="I268" s="2227"/>
      <c r="J268" s="2227"/>
      <c r="M268" s="1439" t="s">
        <v>79</v>
      </c>
      <c r="N268" s="1438" t="s">
        <v>13</v>
      </c>
      <c r="O268" s="1493">
        <v>0</v>
      </c>
      <c r="P268" s="1493" t="s">
        <v>445</v>
      </c>
      <c r="Q268" s="1493">
        <v>5.4</v>
      </c>
      <c r="R268" s="1493">
        <v>42.7</v>
      </c>
      <c r="S268" s="2154"/>
    </row>
    <row r="269" spans="1:22" s="9" customFormat="1" ht="15.75" thickBot="1" x14ac:dyDescent="0.3">
      <c r="A269" s="2205"/>
      <c r="B269" s="939" t="s">
        <v>561</v>
      </c>
      <c r="C269" s="939" t="s">
        <v>563</v>
      </c>
      <c r="D269" s="939" t="s">
        <v>564</v>
      </c>
      <c r="E269" s="939" t="s">
        <v>889</v>
      </c>
      <c r="F269" s="939" t="s">
        <v>890</v>
      </c>
      <c r="G269" s="939" t="s">
        <v>891</v>
      </c>
      <c r="H269" s="1415" t="s">
        <v>892</v>
      </c>
      <c r="I269" s="2228" t="s">
        <v>893</v>
      </c>
      <c r="J269" s="939" t="s">
        <v>894</v>
      </c>
      <c r="M269" s="1439" t="s">
        <v>80</v>
      </c>
      <c r="N269" s="1438" t="s">
        <v>13</v>
      </c>
      <c r="O269" s="1493">
        <v>0</v>
      </c>
      <c r="P269" s="1493">
        <v>54.22</v>
      </c>
      <c r="Q269" s="1493">
        <v>5.0999999999999996</v>
      </c>
      <c r="R269" s="1493">
        <v>43.3</v>
      </c>
      <c r="S269" s="2154"/>
    </row>
    <row r="270" spans="1:22" s="9" customFormat="1" ht="15.75" thickBot="1" x14ac:dyDescent="0.3">
      <c r="A270" s="28" t="s">
        <v>99</v>
      </c>
      <c r="B270" s="1494">
        <v>194.46</v>
      </c>
      <c r="C270" s="1494">
        <v>372.72</v>
      </c>
      <c r="D270" s="1494">
        <v>8.4</v>
      </c>
      <c r="E270" s="1494">
        <v>0</v>
      </c>
      <c r="F270" s="76">
        <v>0</v>
      </c>
      <c r="G270" s="76">
        <v>0</v>
      </c>
      <c r="H270" s="106">
        <v>43.66</v>
      </c>
      <c r="I270" s="76">
        <v>7.15</v>
      </c>
      <c r="J270" s="82">
        <v>64.69</v>
      </c>
      <c r="M270" s="1439" t="s">
        <v>81</v>
      </c>
      <c r="N270" s="1438" t="s">
        <v>13</v>
      </c>
      <c r="O270" s="1493">
        <v>8.4</v>
      </c>
      <c r="P270" s="1493">
        <v>113.58</v>
      </c>
      <c r="Q270" s="1493">
        <v>119.754</v>
      </c>
      <c r="R270" s="1493">
        <v>22.32</v>
      </c>
      <c r="S270" s="2154"/>
    </row>
    <row r="271" spans="1:22" s="9" customFormat="1" ht="15.75" thickBot="1" x14ac:dyDescent="0.3">
      <c r="A271" s="28" t="s">
        <v>100</v>
      </c>
      <c r="B271" s="1494">
        <v>231.37</v>
      </c>
      <c r="C271" s="1494">
        <v>361.16</v>
      </c>
      <c r="D271" s="1494">
        <v>137.30000000000001</v>
      </c>
      <c r="E271" s="1494">
        <v>10.42</v>
      </c>
      <c r="F271" s="76">
        <v>30</v>
      </c>
      <c r="G271" s="76">
        <v>0</v>
      </c>
      <c r="H271" s="2229">
        <v>57</v>
      </c>
      <c r="I271" s="76">
        <v>0</v>
      </c>
      <c r="J271" s="2360"/>
      <c r="M271" s="1439" t="s">
        <v>82</v>
      </c>
      <c r="N271" s="1438" t="s">
        <v>13</v>
      </c>
      <c r="O271" s="1493">
        <v>446.75</v>
      </c>
      <c r="P271" s="1493">
        <v>256.54000000000002</v>
      </c>
      <c r="Q271" s="1564">
        <v>151</v>
      </c>
      <c r="R271" s="1493">
        <v>415.2</v>
      </c>
      <c r="S271" s="2154"/>
    </row>
    <row r="272" spans="1:22" s="9" customFormat="1" ht="15.75" thickBot="1" x14ac:dyDescent="0.3">
      <c r="A272" s="28" t="s">
        <v>101</v>
      </c>
      <c r="B272" s="1494">
        <v>83.93</v>
      </c>
      <c r="C272" s="1494">
        <v>153.75</v>
      </c>
      <c r="D272" s="1494">
        <v>113.12</v>
      </c>
      <c r="E272" s="2359">
        <v>6.0999999999999999E-2</v>
      </c>
      <c r="F272" s="76">
        <v>0</v>
      </c>
      <c r="G272" s="76">
        <v>0</v>
      </c>
      <c r="H272" s="106">
        <v>158.9</v>
      </c>
      <c r="I272" s="76">
        <v>0.57999999999999996</v>
      </c>
      <c r="J272" s="2360"/>
      <c r="M272" s="1439" t="s">
        <v>83</v>
      </c>
      <c r="N272" s="1438" t="s">
        <v>13</v>
      </c>
      <c r="O272" s="1493">
        <v>255.5</v>
      </c>
      <c r="P272" s="1493">
        <v>185.25</v>
      </c>
      <c r="Q272" s="1564">
        <v>90.381</v>
      </c>
      <c r="R272" s="1493">
        <v>210.8</v>
      </c>
      <c r="S272" s="2154"/>
    </row>
    <row r="273" spans="1:22" s="9" customFormat="1" ht="15.75" thickBot="1" x14ac:dyDescent="0.3">
      <c r="A273" s="28" t="s">
        <v>103</v>
      </c>
      <c r="B273" s="1494">
        <v>211.3</v>
      </c>
      <c r="C273" s="1494">
        <v>415.4</v>
      </c>
      <c r="D273" s="1494">
        <v>22.32</v>
      </c>
      <c r="E273" s="1494">
        <v>2.2000000000000002</v>
      </c>
      <c r="F273" s="76">
        <v>49.5</v>
      </c>
      <c r="G273" s="76">
        <v>48.94</v>
      </c>
      <c r="H273" s="106">
        <v>146</v>
      </c>
      <c r="I273" s="76">
        <v>2.2000000000000002</v>
      </c>
      <c r="J273" s="82">
        <v>46.8</v>
      </c>
      <c r="M273" s="1439" t="s">
        <v>84</v>
      </c>
      <c r="N273" s="1438" t="s">
        <v>13</v>
      </c>
      <c r="O273" s="1493">
        <v>3.04</v>
      </c>
      <c r="P273" s="1493">
        <v>19.3</v>
      </c>
      <c r="Q273" s="1493">
        <v>8.0060000000000002</v>
      </c>
      <c r="R273" s="1493">
        <v>13</v>
      </c>
      <c r="S273" s="2154"/>
    </row>
    <row r="274" spans="1:22" s="9" customFormat="1" ht="15.75" thickBot="1" x14ac:dyDescent="0.3">
      <c r="A274" s="28" t="s">
        <v>120</v>
      </c>
      <c r="B274" s="1494">
        <f>SUM(B270:B273)</f>
        <v>721.06000000000006</v>
      </c>
      <c r="C274" s="1494">
        <f t="shared" ref="C274:J274" si="73">SUM(C270:C273)</f>
        <v>1303.0300000000002</v>
      </c>
      <c r="D274" s="1494">
        <f t="shared" si="73"/>
        <v>281.14000000000004</v>
      </c>
      <c r="E274" s="1494">
        <f t="shared" si="73"/>
        <v>12.681000000000001</v>
      </c>
      <c r="F274" s="1494">
        <f t="shared" si="73"/>
        <v>79.5</v>
      </c>
      <c r="G274" s="1494">
        <f t="shared" si="73"/>
        <v>48.94</v>
      </c>
      <c r="H274" s="1494">
        <f t="shared" si="73"/>
        <v>405.56</v>
      </c>
      <c r="I274" s="1494">
        <f t="shared" si="73"/>
        <v>9.93</v>
      </c>
      <c r="J274" s="1494">
        <f t="shared" si="73"/>
        <v>111.49</v>
      </c>
      <c r="M274" s="1439" t="s">
        <v>581</v>
      </c>
      <c r="N274" s="1438" t="s">
        <v>13</v>
      </c>
      <c r="O274" s="1493">
        <v>0</v>
      </c>
      <c r="P274" s="1493">
        <v>7.25</v>
      </c>
      <c r="Q274" s="1493">
        <v>0.75</v>
      </c>
      <c r="R274" s="1493">
        <v>2.2000000000000002</v>
      </c>
      <c r="S274" s="2154"/>
    </row>
    <row r="275" spans="1:22" s="9" customFormat="1" ht="15.75" thickBot="1" x14ac:dyDescent="0.3">
      <c r="A275" s="83"/>
      <c r="B275" s="85"/>
      <c r="C275" s="85"/>
      <c r="D275" s="85"/>
      <c r="E275" s="85"/>
      <c r="F275" s="85"/>
      <c r="G275" s="85"/>
      <c r="H275" s="134"/>
      <c r="I275" s="85"/>
      <c r="J275" s="84"/>
      <c r="M275" s="1439" t="s">
        <v>85</v>
      </c>
      <c r="N275" s="1438" t="s">
        <v>13</v>
      </c>
      <c r="O275" s="1493">
        <v>63.7</v>
      </c>
      <c r="P275" s="1493">
        <v>80</v>
      </c>
      <c r="Q275" s="1493">
        <v>8.3800000000000008</v>
      </c>
      <c r="R275" s="1493">
        <v>46.6</v>
      </c>
      <c r="S275" s="2154"/>
    </row>
    <row r="276" spans="1:22" ht="15.75" thickBot="1" x14ac:dyDescent="0.3">
      <c r="S276" s="2154"/>
      <c r="V276" s="9"/>
    </row>
    <row r="277" spans="1:22" x14ac:dyDescent="0.25">
      <c r="A277" s="555" t="s">
        <v>376</v>
      </c>
      <c r="B277" s="986" t="s">
        <v>364</v>
      </c>
      <c r="C277" s="5205">
        <v>2016</v>
      </c>
      <c r="D277" s="5206"/>
      <c r="E277" s="5207"/>
      <c r="F277" s="5205">
        <v>2017</v>
      </c>
      <c r="G277" s="5379"/>
      <c r="H277" s="5380"/>
      <c r="I277" s="5363">
        <v>2018</v>
      </c>
      <c r="J277" s="5364"/>
      <c r="K277" s="5365"/>
      <c r="L277" s="5363">
        <v>2019</v>
      </c>
      <c r="M277" s="5364"/>
      <c r="N277" s="5365"/>
      <c r="S277" s="2154"/>
    </row>
    <row r="278" spans="1:22" x14ac:dyDescent="0.25">
      <c r="A278" s="939" t="s">
        <v>0</v>
      </c>
      <c r="B278" s="940" t="s">
        <v>13</v>
      </c>
      <c r="C278" s="1410" t="s">
        <v>377</v>
      </c>
      <c r="D278" s="1411" t="s">
        <v>378</v>
      </c>
      <c r="E278" s="1412" t="s">
        <v>379</v>
      </c>
      <c r="F278" s="1410" t="s">
        <v>377</v>
      </c>
      <c r="G278" s="939" t="s">
        <v>378</v>
      </c>
      <c r="H278" s="940" t="s">
        <v>379</v>
      </c>
      <c r="I278" s="939" t="s">
        <v>377</v>
      </c>
      <c r="J278" s="939" t="s">
        <v>378</v>
      </c>
      <c r="K278" s="939" t="s">
        <v>379</v>
      </c>
      <c r="L278" s="939" t="s">
        <v>377</v>
      </c>
      <c r="M278" s="939" t="s">
        <v>378</v>
      </c>
      <c r="N278" s="939" t="s">
        <v>379</v>
      </c>
    </row>
    <row r="279" spans="1:22" x14ac:dyDescent="0.25">
      <c r="A279" s="76" t="s">
        <v>99</v>
      </c>
      <c r="B279" s="106"/>
      <c r="C279" s="945">
        <v>1642</v>
      </c>
      <c r="D279" s="109">
        <v>2673.24</v>
      </c>
      <c r="E279" s="82">
        <v>1633.5</v>
      </c>
      <c r="F279" s="945">
        <v>1642</v>
      </c>
      <c r="G279" s="109">
        <v>2673.24</v>
      </c>
      <c r="H279" s="106">
        <v>1633.49</v>
      </c>
      <c r="I279" s="78">
        <v>1642</v>
      </c>
      <c r="J279" s="78">
        <v>2673.24</v>
      </c>
      <c r="K279" s="78">
        <v>1631.2</v>
      </c>
      <c r="L279" s="2230">
        <f>'Land Management'!G14</f>
        <v>1642</v>
      </c>
      <c r="M279" s="78">
        <f>Biodiversity!G5</f>
        <v>2673.24</v>
      </c>
      <c r="N279" s="2230">
        <f>'Land Management'!G18</f>
        <v>1631.2</v>
      </c>
    </row>
    <row r="280" spans="1:22" x14ac:dyDescent="0.25">
      <c r="A280" s="76" t="s">
        <v>100</v>
      </c>
      <c r="B280" s="106"/>
      <c r="C280" s="945">
        <v>1406</v>
      </c>
      <c r="D280" s="109">
        <v>1388</v>
      </c>
      <c r="E280" s="82">
        <v>1171</v>
      </c>
      <c r="F280" s="945">
        <v>1406</v>
      </c>
      <c r="G280" s="109">
        <v>1388</v>
      </c>
      <c r="H280" s="106">
        <v>1171</v>
      </c>
      <c r="I280" s="945">
        <v>1406</v>
      </c>
      <c r="J280" s="109">
        <v>1388</v>
      </c>
      <c r="K280" s="76">
        <v>1008.48</v>
      </c>
      <c r="L280" s="2061">
        <f>'Land Management'!L14</f>
        <v>1406</v>
      </c>
      <c r="M280" s="1389">
        <f>Biodiversity!L5</f>
        <v>1388</v>
      </c>
      <c r="N280" s="110">
        <f>'Land Management'!L18</f>
        <v>1008.5</v>
      </c>
    </row>
    <row r="281" spans="1:22" x14ac:dyDescent="0.25">
      <c r="A281" s="76" t="s">
        <v>380</v>
      </c>
      <c r="B281" s="106"/>
      <c r="C281" s="1417">
        <v>717.63</v>
      </c>
      <c r="D281" s="595">
        <v>0</v>
      </c>
      <c r="E281" s="1418">
        <v>673.61</v>
      </c>
      <c r="F281" s="1417">
        <v>717.63</v>
      </c>
      <c r="G281" s="595">
        <v>0</v>
      </c>
      <c r="H281" s="1419">
        <v>655.63</v>
      </c>
      <c r="I281" s="1416"/>
      <c r="J281" s="1416"/>
      <c r="K281" s="1416"/>
      <c r="L281" s="1416"/>
      <c r="M281" s="1416"/>
      <c r="N281" s="1416"/>
    </row>
    <row r="282" spans="1:22" x14ac:dyDescent="0.25">
      <c r="A282" s="76" t="s">
        <v>154</v>
      </c>
      <c r="B282" s="106"/>
      <c r="C282" s="1417">
        <v>3659.81</v>
      </c>
      <c r="D282" s="595">
        <v>3600</v>
      </c>
      <c r="E282" s="1418">
        <v>3666.71</v>
      </c>
      <c r="F282" s="1417">
        <v>3659.81</v>
      </c>
      <c r="G282" s="595">
        <v>3274</v>
      </c>
      <c r="H282" s="1419">
        <v>3666.71</v>
      </c>
      <c r="I282" s="1416"/>
      <c r="J282" s="1416"/>
      <c r="K282" s="1416"/>
      <c r="L282" s="1416"/>
      <c r="M282" s="1416"/>
      <c r="N282" s="1416"/>
    </row>
    <row r="283" spans="1:22" x14ac:dyDescent="0.25">
      <c r="A283" s="76" t="s">
        <v>219</v>
      </c>
      <c r="B283" s="106"/>
      <c r="C283" s="28">
        <f t="shared" ref="C283:H283" si="74">SUM(C281:C282)</f>
        <v>4377.4399999999996</v>
      </c>
      <c r="D283" s="28">
        <f t="shared" si="74"/>
        <v>3600</v>
      </c>
      <c r="E283" s="28">
        <f t="shared" si="74"/>
        <v>4340.32</v>
      </c>
      <c r="F283" s="945">
        <f t="shared" si="74"/>
        <v>4377.4399999999996</v>
      </c>
      <c r="G283" s="945">
        <v>3274</v>
      </c>
      <c r="H283" s="951">
        <f t="shared" si="74"/>
        <v>4322.34</v>
      </c>
      <c r="I283" s="76">
        <v>4377.4399999999996</v>
      </c>
      <c r="J283" s="109">
        <v>3600</v>
      </c>
      <c r="K283" s="76">
        <v>4369.4409999999998</v>
      </c>
      <c r="L283" s="2155"/>
      <c r="M283" s="2155"/>
      <c r="N283" s="2155"/>
    </row>
    <row r="284" spans="1:22" x14ac:dyDescent="0.25">
      <c r="A284" s="76" t="s">
        <v>101</v>
      </c>
      <c r="B284" s="106"/>
      <c r="C284" s="28">
        <v>1642</v>
      </c>
      <c r="D284" s="76">
        <v>2014</v>
      </c>
      <c r="E284" s="82">
        <v>1636</v>
      </c>
      <c r="F284" s="945">
        <v>1642</v>
      </c>
      <c r="G284" s="109">
        <v>2014</v>
      </c>
      <c r="H284" s="106">
        <v>1636</v>
      </c>
      <c r="I284" s="76">
        <v>1642</v>
      </c>
      <c r="J284" s="76">
        <v>2014</v>
      </c>
      <c r="K284" s="76">
        <v>1636</v>
      </c>
      <c r="L284" s="110">
        <f>'Land Management'!Q14</f>
        <v>1642</v>
      </c>
      <c r="M284" s="76">
        <f>Biodiversity!Q5</f>
        <v>2014</v>
      </c>
      <c r="N284" s="110">
        <f>'Land Management'!Q18</f>
        <v>1636</v>
      </c>
    </row>
    <row r="285" spans="1:22" x14ac:dyDescent="0.25">
      <c r="A285" s="76" t="s">
        <v>103</v>
      </c>
      <c r="B285" s="106"/>
      <c r="C285" s="28">
        <v>653.47</v>
      </c>
      <c r="D285" s="76">
        <v>906</v>
      </c>
      <c r="E285" s="82">
        <v>304.2</v>
      </c>
      <c r="F285" s="945">
        <v>671.2</v>
      </c>
      <c r="G285" s="109">
        <v>906</v>
      </c>
      <c r="H285" s="106">
        <v>311.33000000000004</v>
      </c>
      <c r="I285" s="76">
        <v>684.05</v>
      </c>
      <c r="J285" s="76">
        <v>906</v>
      </c>
      <c r="K285" s="76">
        <v>302.89999999999998</v>
      </c>
      <c r="L285" s="110">
        <f>'Land Management'!V14</f>
        <v>699.26</v>
      </c>
      <c r="M285" s="76">
        <f>Biodiversity!V5</f>
        <v>906</v>
      </c>
      <c r="N285" s="110">
        <f>'Land Management'!V18</f>
        <v>293.78999999999996</v>
      </c>
    </row>
    <row r="286" spans="1:22" x14ac:dyDescent="0.25">
      <c r="A286" s="943" t="s">
        <v>143</v>
      </c>
      <c r="B286" s="946"/>
      <c r="C286" s="947">
        <f t="shared" ref="C286:H286" si="75">SUM(C279:C282)+SUM(C284:C285)</f>
        <v>9720.91</v>
      </c>
      <c r="D286" s="947">
        <f t="shared" si="75"/>
        <v>10581.24</v>
      </c>
      <c r="E286" s="947">
        <f t="shared" si="75"/>
        <v>9085.02</v>
      </c>
      <c r="F286" s="947">
        <f t="shared" si="75"/>
        <v>9738.64</v>
      </c>
      <c r="G286" s="947">
        <f t="shared" si="75"/>
        <v>10255.24</v>
      </c>
      <c r="H286" s="952">
        <f t="shared" si="75"/>
        <v>9074.16</v>
      </c>
      <c r="I286" s="943">
        <f t="shared" ref="I286:N286" si="76">SUM(I279:I285)</f>
        <v>9751.489999999998</v>
      </c>
      <c r="J286" s="1420">
        <f t="shared" si="76"/>
        <v>10581.24</v>
      </c>
      <c r="K286" s="943">
        <f t="shared" si="76"/>
        <v>8948.0209999999988</v>
      </c>
      <c r="L286" s="943">
        <f t="shared" si="76"/>
        <v>5389.26</v>
      </c>
      <c r="M286" s="1420">
        <f t="shared" si="76"/>
        <v>6981.24</v>
      </c>
      <c r="N286" s="943">
        <f t="shared" si="76"/>
        <v>4569.49</v>
      </c>
    </row>
    <row r="287" spans="1:22" ht="15.75" thickBot="1" x14ac:dyDescent="0.3">
      <c r="A287" s="943" t="s">
        <v>381</v>
      </c>
      <c r="B287" s="946"/>
      <c r="C287" s="948"/>
      <c r="D287" s="949"/>
      <c r="E287" s="950"/>
      <c r="F287" s="948"/>
      <c r="G287" s="949">
        <f>SUM(G281:G282)</f>
        <v>3274</v>
      </c>
      <c r="H287" s="953"/>
      <c r="I287" s="943"/>
      <c r="J287" s="943"/>
      <c r="K287" s="943"/>
      <c r="L287" s="943"/>
      <c r="M287" s="2458">
        <f>M286/L286</f>
        <v>1.2953986261564667</v>
      </c>
      <c r="N287" s="943"/>
      <c r="S287" s="1565"/>
    </row>
    <row r="288" spans="1:22" ht="15.75" thickBot="1" x14ac:dyDescent="0.3"/>
    <row r="289" spans="1:21" x14ac:dyDescent="0.25">
      <c r="H289" s="2231" t="s">
        <v>570</v>
      </c>
      <c r="I289" s="2232"/>
      <c r="J289" s="2233"/>
      <c r="K289" s="2234"/>
      <c r="L289" s="2236" t="s">
        <v>858</v>
      </c>
      <c r="M289" s="2237">
        <v>14.19</v>
      </c>
    </row>
    <row r="290" spans="1:21" ht="15.75" x14ac:dyDescent="0.25">
      <c r="A290" s="919" t="s">
        <v>382</v>
      </c>
      <c r="B290" s="40"/>
      <c r="C290" s="40"/>
      <c r="H290" s="2205"/>
      <c r="I290" s="939" t="s">
        <v>571</v>
      </c>
      <c r="J290" s="939" t="s">
        <v>572</v>
      </c>
      <c r="K290" s="1415">
        <v>12.855700000000001</v>
      </c>
      <c r="L290" s="2205" t="s">
        <v>571</v>
      </c>
      <c r="M290" s="1415" t="s">
        <v>572</v>
      </c>
    </row>
    <row r="291" spans="1:21" x14ac:dyDescent="0.25">
      <c r="A291" s="555" t="s">
        <v>0</v>
      </c>
      <c r="B291" s="555" t="s">
        <v>364</v>
      </c>
      <c r="C291" s="555">
        <v>2017</v>
      </c>
      <c r="D291" s="555">
        <v>2018</v>
      </c>
      <c r="E291" s="555">
        <v>2019</v>
      </c>
      <c r="H291" s="28" t="s">
        <v>99</v>
      </c>
      <c r="I291" s="125">
        <v>261604429.47</v>
      </c>
      <c r="J291" s="125">
        <f>I291/K290</f>
        <v>20349294.824085813</v>
      </c>
      <c r="K291" s="82"/>
      <c r="L291" s="28"/>
      <c r="M291" s="82"/>
      <c r="U291" s="1"/>
    </row>
    <row r="292" spans="1:21" x14ac:dyDescent="0.25">
      <c r="A292" s="76" t="s">
        <v>383</v>
      </c>
      <c r="B292" s="76"/>
      <c r="C292" s="76">
        <v>6</v>
      </c>
      <c r="D292" s="76"/>
      <c r="E292" s="76"/>
      <c r="H292" s="28" t="s">
        <v>100</v>
      </c>
      <c r="I292" s="125">
        <v>362587146.17000002</v>
      </c>
      <c r="J292" s="125">
        <f>I292/K290</f>
        <v>28204387.638946149</v>
      </c>
      <c r="K292" s="82"/>
      <c r="L292" s="28"/>
      <c r="M292" s="82"/>
      <c r="U292" s="965"/>
    </row>
    <row r="293" spans="1:21" x14ac:dyDescent="0.25">
      <c r="A293" s="76" t="s">
        <v>384</v>
      </c>
      <c r="B293" s="76"/>
      <c r="C293" s="76">
        <v>4</v>
      </c>
      <c r="D293" s="76"/>
      <c r="E293" s="76"/>
      <c r="H293" s="28" t="s">
        <v>380</v>
      </c>
      <c r="I293" s="125">
        <v>114032686.06</v>
      </c>
      <c r="J293" s="125">
        <f>I293/K290</f>
        <v>8870204.34982148</v>
      </c>
      <c r="K293" s="82"/>
      <c r="L293" s="28"/>
      <c r="M293" s="82"/>
      <c r="U293" s="962"/>
    </row>
    <row r="294" spans="1:21" x14ac:dyDescent="0.25">
      <c r="A294" s="76" t="s">
        <v>385</v>
      </c>
      <c r="B294" s="76"/>
      <c r="C294" s="76">
        <v>1</v>
      </c>
      <c r="D294" s="76"/>
      <c r="E294" s="76"/>
      <c r="H294" s="28" t="s">
        <v>154</v>
      </c>
      <c r="I294" s="125">
        <v>214182452.25999999</v>
      </c>
      <c r="J294" s="125">
        <f>I294/K290</f>
        <v>16660504.85465591</v>
      </c>
      <c r="K294" s="82"/>
      <c r="L294" s="28"/>
      <c r="M294" s="82"/>
      <c r="U294" s="954"/>
    </row>
    <row r="295" spans="1:21" x14ac:dyDescent="0.25">
      <c r="A295" s="76" t="s">
        <v>386</v>
      </c>
      <c r="B295" s="76"/>
      <c r="C295" s="76">
        <v>1</v>
      </c>
      <c r="D295" s="76"/>
      <c r="E295" s="76"/>
      <c r="H295" s="28" t="s">
        <v>101</v>
      </c>
      <c r="I295" s="125">
        <v>110254792.72</v>
      </c>
      <c r="J295" s="125">
        <f>I295/K290</f>
        <v>8576335.2225083038</v>
      </c>
      <c r="K295" s="82"/>
      <c r="L295" s="28"/>
      <c r="M295" s="82"/>
      <c r="U295" s="954"/>
    </row>
    <row r="296" spans="1:21" x14ac:dyDescent="0.25">
      <c r="A296" s="76" t="s">
        <v>387</v>
      </c>
      <c r="B296" s="76"/>
      <c r="C296" s="76">
        <v>5</v>
      </c>
      <c r="D296" s="76"/>
      <c r="E296" s="76"/>
      <c r="H296" s="945" t="s">
        <v>573</v>
      </c>
      <c r="I296" s="528">
        <v>25940136.010000002</v>
      </c>
      <c r="J296" s="125">
        <f>I296/K290</f>
        <v>2017792.5752778924</v>
      </c>
      <c r="K296" s="82"/>
      <c r="L296" s="28"/>
      <c r="M296" s="82"/>
      <c r="U296" s="954"/>
    </row>
    <row r="297" spans="1:21" x14ac:dyDescent="0.25">
      <c r="A297" s="76" t="s">
        <v>388</v>
      </c>
      <c r="B297" s="76"/>
      <c r="C297" s="76">
        <v>5</v>
      </c>
      <c r="D297" s="76"/>
      <c r="E297" s="76"/>
      <c r="H297" s="945" t="s">
        <v>103</v>
      </c>
      <c r="I297" s="76">
        <v>0</v>
      </c>
      <c r="J297" s="125">
        <v>5060792</v>
      </c>
      <c r="K297" s="82"/>
      <c r="L297" s="28"/>
      <c r="M297" s="82"/>
      <c r="U297" s="954"/>
    </row>
    <row r="298" spans="1:21" ht="15.75" thickBot="1" x14ac:dyDescent="0.3">
      <c r="A298" s="943" t="s">
        <v>389</v>
      </c>
      <c r="B298" s="943"/>
      <c r="C298" s="943">
        <f>SUM(C292:C297)</f>
        <v>22</v>
      </c>
      <c r="D298" s="938"/>
      <c r="E298" s="938"/>
      <c r="H298" s="1917" t="s">
        <v>143</v>
      </c>
      <c r="I298" s="2235">
        <f>SUM(I291:I297)</f>
        <v>1088601642.6900001</v>
      </c>
      <c r="J298" s="803">
        <f>SUM(J291:J297)</f>
        <v>89739311.465295553</v>
      </c>
      <c r="K298" s="84"/>
      <c r="L298" s="83">
        <v>663610333.72000003</v>
      </c>
      <c r="M298" s="84">
        <f>L298/14.19</f>
        <v>46766055.935165614</v>
      </c>
      <c r="U298" s="956"/>
    </row>
    <row r="299" spans="1:21" x14ac:dyDescent="0.25">
      <c r="R299" s="968"/>
      <c r="S299" s="954"/>
      <c r="T299" s="954"/>
      <c r="U299" s="954"/>
    </row>
    <row r="300" spans="1:21" x14ac:dyDescent="0.25">
      <c r="R300" s="968"/>
      <c r="S300" s="954"/>
      <c r="T300" s="954"/>
      <c r="U300" s="954"/>
    </row>
    <row r="301" spans="1:21" ht="19.5" thickBot="1" x14ac:dyDescent="0.35">
      <c r="A301" s="5232" t="s">
        <v>390</v>
      </c>
      <c r="B301" s="5232"/>
      <c r="C301" s="9"/>
      <c r="D301" s="9"/>
      <c r="E301" s="9"/>
      <c r="F301" s="9"/>
      <c r="G301" s="9"/>
      <c r="H301" s="9"/>
      <c r="I301" s="9"/>
      <c r="J301" s="9"/>
      <c r="K301" s="9"/>
      <c r="L301" s="9"/>
      <c r="M301" s="9"/>
      <c r="N301" s="9"/>
      <c r="O301" s="9"/>
      <c r="P301" s="9"/>
      <c r="Q301" s="9"/>
      <c r="R301" s="969"/>
      <c r="S301" s="954"/>
      <c r="T301" s="954"/>
      <c r="U301" s="954"/>
    </row>
    <row r="302" spans="1:21" ht="15.75" thickBot="1" x14ac:dyDescent="0.3">
      <c r="A302" s="5381" t="s">
        <v>371</v>
      </c>
      <c r="B302" s="5371" t="s">
        <v>391</v>
      </c>
      <c r="C302" s="5372"/>
      <c r="D302" s="5372"/>
      <c r="E302" s="5372"/>
      <c r="F302" s="5373"/>
      <c r="G302" s="5371" t="s">
        <v>392</v>
      </c>
      <c r="H302" s="5372"/>
      <c r="I302" s="5372"/>
      <c r="J302" s="5372"/>
      <c r="K302" s="5373"/>
      <c r="L302" s="965"/>
      <c r="M302" s="965"/>
      <c r="N302" s="5376"/>
      <c r="O302" s="5376"/>
      <c r="P302" s="5376"/>
      <c r="Q302" s="5376"/>
      <c r="R302" s="1"/>
      <c r="S302" s="1"/>
      <c r="T302" s="1"/>
      <c r="U302" s="1"/>
    </row>
    <row r="303" spans="1:21" ht="15.75" thickBot="1" x14ac:dyDescent="0.3">
      <c r="A303" s="5382"/>
      <c r="B303" s="971">
        <v>2018</v>
      </c>
      <c r="C303" s="972">
        <v>2017</v>
      </c>
      <c r="D303" s="972">
        <v>2016</v>
      </c>
      <c r="E303" s="972">
        <v>2015</v>
      </c>
      <c r="F303" s="973">
        <v>2014</v>
      </c>
      <c r="G303" s="972">
        <v>2018</v>
      </c>
      <c r="H303" s="972">
        <v>2017</v>
      </c>
      <c r="I303" s="972">
        <v>2016</v>
      </c>
      <c r="J303" s="972">
        <v>2015</v>
      </c>
      <c r="K303" s="973">
        <v>2014</v>
      </c>
      <c r="L303" s="962"/>
      <c r="M303" s="962"/>
      <c r="N303" s="962"/>
      <c r="O303" s="962"/>
      <c r="P303" s="962"/>
      <c r="Q303" s="962"/>
      <c r="R303" s="5376"/>
      <c r="S303" s="5376"/>
      <c r="T303" s="5376"/>
      <c r="U303" s="5376"/>
    </row>
    <row r="304" spans="1:21" x14ac:dyDescent="0.25">
      <c r="A304" s="966" t="s">
        <v>100</v>
      </c>
      <c r="B304" s="10"/>
      <c r="C304" s="970">
        <v>818</v>
      </c>
      <c r="D304" s="958" t="s">
        <v>395</v>
      </c>
      <c r="E304" s="958" t="s">
        <v>396</v>
      </c>
      <c r="F304" s="959" t="s">
        <v>397</v>
      </c>
      <c r="G304" s="15"/>
      <c r="H304" s="960" t="s">
        <v>398</v>
      </c>
      <c r="I304" s="960" t="s">
        <v>398</v>
      </c>
      <c r="J304" s="960" t="s">
        <v>398</v>
      </c>
      <c r="K304" s="961" t="s">
        <v>398</v>
      </c>
      <c r="L304" s="954"/>
      <c r="M304" s="954"/>
      <c r="N304" s="963"/>
      <c r="O304" s="956"/>
      <c r="P304" s="956"/>
      <c r="Q304" s="956"/>
      <c r="R304" s="962"/>
      <c r="S304" s="962"/>
      <c r="T304" s="962"/>
      <c r="U304" s="962"/>
    </row>
    <row r="305" spans="1:21" x14ac:dyDescent="0.25">
      <c r="A305" s="967" t="s">
        <v>99</v>
      </c>
      <c r="B305" s="12"/>
      <c r="C305" s="969">
        <v>1659</v>
      </c>
      <c r="D305" s="954" t="s">
        <v>405</v>
      </c>
      <c r="E305" s="954" t="s">
        <v>406</v>
      </c>
      <c r="F305" s="955" t="s">
        <v>407</v>
      </c>
      <c r="G305" s="1"/>
      <c r="H305" s="956" t="s">
        <v>398</v>
      </c>
      <c r="I305" s="956" t="s">
        <v>398</v>
      </c>
      <c r="J305" s="956" t="s">
        <v>398</v>
      </c>
      <c r="K305" s="957" t="s">
        <v>398</v>
      </c>
      <c r="L305" s="956"/>
      <c r="M305" s="956"/>
      <c r="N305" s="963"/>
      <c r="O305" s="956"/>
      <c r="P305" s="956"/>
      <c r="Q305" s="956"/>
      <c r="R305" s="956"/>
      <c r="S305" s="956"/>
      <c r="T305" s="956"/>
      <c r="U305" s="956"/>
    </row>
    <row r="306" spans="1:21" x14ac:dyDescent="0.25">
      <c r="A306" s="967" t="s">
        <v>101</v>
      </c>
      <c r="B306" s="12"/>
      <c r="C306" s="968">
        <v>302</v>
      </c>
      <c r="D306" s="954">
        <v>417</v>
      </c>
      <c r="E306" s="954">
        <v>386</v>
      </c>
      <c r="F306" s="955">
        <v>344</v>
      </c>
      <c r="G306" s="1"/>
      <c r="H306" s="956">
        <v>154</v>
      </c>
      <c r="I306" s="954">
        <v>188</v>
      </c>
      <c r="J306" s="954">
        <v>262</v>
      </c>
      <c r="K306" s="955">
        <v>129</v>
      </c>
      <c r="L306" s="956"/>
      <c r="M306" s="956"/>
      <c r="N306" s="963"/>
      <c r="O306" s="956"/>
      <c r="P306" s="956"/>
      <c r="Q306" s="956"/>
      <c r="R306" s="956"/>
      <c r="S306" s="956"/>
      <c r="T306" s="956"/>
      <c r="U306" s="956"/>
    </row>
    <row r="307" spans="1:21" x14ac:dyDescent="0.25">
      <c r="A307" s="967" t="s">
        <v>241</v>
      </c>
      <c r="B307" s="12"/>
      <c r="C307" s="968">
        <v>0</v>
      </c>
      <c r="D307" s="954">
        <v>560</v>
      </c>
      <c r="E307" s="954">
        <v>707</v>
      </c>
      <c r="F307" s="955">
        <v>435</v>
      </c>
      <c r="G307" s="1"/>
      <c r="H307" s="956">
        <v>184</v>
      </c>
      <c r="I307" s="954">
        <v>152</v>
      </c>
      <c r="J307" s="954">
        <v>105</v>
      </c>
      <c r="K307" s="955">
        <v>352</v>
      </c>
      <c r="L307" s="956"/>
      <c r="M307" s="956"/>
      <c r="N307" s="963"/>
      <c r="O307" s="956"/>
      <c r="P307" s="956"/>
      <c r="Q307" s="956"/>
      <c r="R307" s="956"/>
      <c r="S307" s="954"/>
      <c r="T307" s="954"/>
      <c r="U307" s="954"/>
    </row>
    <row r="308" spans="1:21" x14ac:dyDescent="0.25">
      <c r="A308" s="967" t="s">
        <v>154</v>
      </c>
      <c r="B308" s="12"/>
      <c r="C308" s="969">
        <v>3065</v>
      </c>
      <c r="D308" s="956" t="s">
        <v>398</v>
      </c>
      <c r="E308" s="956" t="s">
        <v>398</v>
      </c>
      <c r="F308" s="957" t="s">
        <v>398</v>
      </c>
      <c r="G308" s="1"/>
      <c r="H308" s="956">
        <v>51</v>
      </c>
      <c r="I308" s="956" t="s">
        <v>398</v>
      </c>
      <c r="J308" s="956" t="s">
        <v>398</v>
      </c>
      <c r="K308" s="957" t="s">
        <v>398</v>
      </c>
      <c r="L308" s="956"/>
      <c r="M308" s="956"/>
      <c r="N308" s="963"/>
      <c r="O308" s="956"/>
      <c r="P308" s="956"/>
      <c r="Q308" s="956"/>
      <c r="R308" s="956"/>
      <c r="S308" s="954"/>
      <c r="T308" s="954"/>
      <c r="U308" s="954"/>
    </row>
    <row r="309" spans="1:21" x14ac:dyDescent="0.25">
      <c r="A309" s="967" t="s">
        <v>425</v>
      </c>
      <c r="B309" s="12"/>
      <c r="C309" s="968">
        <v>0</v>
      </c>
      <c r="D309" s="954">
        <v>0</v>
      </c>
      <c r="E309" s="954">
        <v>0</v>
      </c>
      <c r="F309" s="955">
        <v>21</v>
      </c>
      <c r="G309" s="1"/>
      <c r="H309" s="956">
        <v>0</v>
      </c>
      <c r="I309" s="954">
        <v>0</v>
      </c>
      <c r="J309" s="954">
        <v>0</v>
      </c>
      <c r="K309" s="955">
        <v>149</v>
      </c>
      <c r="L309" s="956"/>
      <c r="M309" s="956"/>
      <c r="N309" s="956"/>
      <c r="O309" s="956"/>
      <c r="P309" s="956"/>
      <c r="Q309" s="956"/>
      <c r="R309" s="956"/>
      <c r="S309" s="956"/>
      <c r="T309" s="956"/>
      <c r="U309" s="956"/>
    </row>
    <row r="310" spans="1:21" x14ac:dyDescent="0.25">
      <c r="A310" s="967" t="s">
        <v>103</v>
      </c>
      <c r="B310" s="12"/>
      <c r="C310" s="968">
        <v>191</v>
      </c>
      <c r="D310" s="954">
        <v>183</v>
      </c>
      <c r="E310" s="954">
        <v>287</v>
      </c>
      <c r="F310" s="955">
        <v>307</v>
      </c>
      <c r="G310" s="1"/>
      <c r="H310" s="956">
        <v>1270</v>
      </c>
      <c r="I310" s="954">
        <v>185</v>
      </c>
      <c r="J310" s="954">
        <v>205</v>
      </c>
      <c r="K310" s="955">
        <v>218</v>
      </c>
      <c r="L310" s="956"/>
      <c r="M310" s="956"/>
      <c r="N310" s="963"/>
      <c r="O310" s="956"/>
      <c r="P310" s="956"/>
      <c r="Q310" s="956"/>
      <c r="R310" s="956"/>
      <c r="S310" s="954"/>
      <c r="T310" s="954"/>
      <c r="U310" s="954"/>
    </row>
    <row r="311" spans="1:21" ht="15.75" thickBot="1" x14ac:dyDescent="0.3">
      <c r="A311" s="976" t="s">
        <v>120</v>
      </c>
      <c r="B311" s="977"/>
      <c r="C311" s="978">
        <v>6035</v>
      </c>
      <c r="D311" s="979" t="s">
        <v>434</v>
      </c>
      <c r="E311" s="979" t="s">
        <v>435</v>
      </c>
      <c r="F311" s="980" t="s">
        <v>436</v>
      </c>
      <c r="G311" s="981"/>
      <c r="H311" s="982">
        <v>1659</v>
      </c>
      <c r="I311" s="979">
        <v>525</v>
      </c>
      <c r="J311" s="979">
        <v>573</v>
      </c>
      <c r="K311" s="980">
        <v>849</v>
      </c>
      <c r="L311" s="956"/>
      <c r="M311" s="956"/>
      <c r="N311" s="963"/>
      <c r="O311" s="956"/>
      <c r="P311" s="956"/>
      <c r="Q311" s="956"/>
      <c r="R311" s="956"/>
      <c r="S311" s="954"/>
      <c r="T311" s="954"/>
      <c r="U311" s="954"/>
    </row>
    <row r="312" spans="1:21" ht="15.75" thickBot="1" x14ac:dyDescent="0.3">
      <c r="R312" s="956"/>
      <c r="S312" s="954"/>
      <c r="T312" s="954"/>
      <c r="U312" s="954"/>
    </row>
    <row r="313" spans="1:21" ht="15.75" customHeight="1" thickBot="1" x14ac:dyDescent="0.3">
      <c r="A313" s="5377" t="s">
        <v>371</v>
      </c>
      <c r="B313" s="5371" t="s">
        <v>393</v>
      </c>
      <c r="C313" s="5372"/>
      <c r="D313" s="5372"/>
      <c r="E313" s="5372"/>
      <c r="F313" s="5373"/>
      <c r="G313" s="5371" t="s">
        <v>394</v>
      </c>
      <c r="H313" s="5372"/>
      <c r="I313" s="5372"/>
      <c r="J313" s="5372"/>
      <c r="K313" s="5373"/>
    </row>
    <row r="314" spans="1:21" ht="15.75" thickBot="1" x14ac:dyDescent="0.3">
      <c r="A314" s="5378"/>
      <c r="B314" s="974">
        <v>2018</v>
      </c>
      <c r="C314" s="972">
        <v>2017</v>
      </c>
      <c r="D314" s="972">
        <v>2016</v>
      </c>
      <c r="E314" s="972">
        <v>2015</v>
      </c>
      <c r="F314" s="973">
        <v>2014</v>
      </c>
      <c r="G314" s="975">
        <v>2018</v>
      </c>
      <c r="H314" s="972">
        <v>2017</v>
      </c>
      <c r="I314" s="972">
        <v>2016</v>
      </c>
      <c r="J314" s="972">
        <v>2015</v>
      </c>
      <c r="K314" s="973">
        <v>2014</v>
      </c>
    </row>
    <row r="315" spans="1:21" x14ac:dyDescent="0.25">
      <c r="A315" s="71" t="s">
        <v>100</v>
      </c>
      <c r="B315" s="12"/>
      <c r="C315" s="963">
        <v>11466</v>
      </c>
      <c r="D315" s="954" t="s">
        <v>399</v>
      </c>
      <c r="E315" s="954" t="s">
        <v>400</v>
      </c>
      <c r="F315" s="955" t="s">
        <v>401</v>
      </c>
      <c r="G315" s="10"/>
      <c r="H315" s="964">
        <v>337414</v>
      </c>
      <c r="I315" s="960" t="s">
        <v>402</v>
      </c>
      <c r="J315" s="960" t="s">
        <v>403</v>
      </c>
      <c r="K315" s="961" t="s">
        <v>404</v>
      </c>
    </row>
    <row r="316" spans="1:21" x14ac:dyDescent="0.25">
      <c r="A316" s="159" t="s">
        <v>99</v>
      </c>
      <c r="B316" s="12"/>
      <c r="C316" s="963">
        <v>15902</v>
      </c>
      <c r="D316" s="956" t="s">
        <v>408</v>
      </c>
      <c r="E316" s="956" t="s">
        <v>409</v>
      </c>
      <c r="F316" s="957" t="s">
        <v>410</v>
      </c>
      <c r="G316" s="12"/>
      <c r="H316" s="963">
        <v>143880</v>
      </c>
      <c r="I316" s="956" t="s">
        <v>411</v>
      </c>
      <c r="J316" s="956" t="s">
        <v>412</v>
      </c>
      <c r="K316" s="957" t="s">
        <v>413</v>
      </c>
    </row>
    <row r="317" spans="1:21" x14ac:dyDescent="0.25">
      <c r="A317" s="159" t="s">
        <v>101</v>
      </c>
      <c r="B317" s="12"/>
      <c r="C317" s="963">
        <v>1630</v>
      </c>
      <c r="D317" s="956" t="s">
        <v>414</v>
      </c>
      <c r="E317" s="956" t="s">
        <v>415</v>
      </c>
      <c r="F317" s="957">
        <v>420</v>
      </c>
      <c r="G317" s="12"/>
      <c r="H317" s="963">
        <v>153090</v>
      </c>
      <c r="I317" s="956" t="s">
        <v>416</v>
      </c>
      <c r="J317" s="956" t="s">
        <v>417</v>
      </c>
      <c r="K317" s="957" t="s">
        <v>418</v>
      </c>
    </row>
    <row r="318" spans="1:21" x14ac:dyDescent="0.25">
      <c r="A318" s="159" t="s">
        <v>241</v>
      </c>
      <c r="B318" s="12"/>
      <c r="C318" s="956">
        <v>0</v>
      </c>
      <c r="D318" s="956" t="s">
        <v>419</v>
      </c>
      <c r="E318" s="956" t="s">
        <v>420</v>
      </c>
      <c r="F318" s="957" t="s">
        <v>421</v>
      </c>
      <c r="G318" s="12"/>
      <c r="H318" s="963">
        <v>58612</v>
      </c>
      <c r="I318" s="956" t="s">
        <v>422</v>
      </c>
      <c r="J318" s="956" t="s">
        <v>423</v>
      </c>
      <c r="K318" s="957" t="s">
        <v>424</v>
      </c>
    </row>
    <row r="319" spans="1:21" x14ac:dyDescent="0.25">
      <c r="A319" s="159" t="s">
        <v>154</v>
      </c>
      <c r="B319" s="12"/>
      <c r="C319" s="963">
        <v>3367</v>
      </c>
      <c r="D319" s="956" t="s">
        <v>398</v>
      </c>
      <c r="E319" s="956" t="s">
        <v>398</v>
      </c>
      <c r="F319" s="957" t="s">
        <v>398</v>
      </c>
      <c r="G319" s="12"/>
      <c r="H319" s="963">
        <v>50552</v>
      </c>
      <c r="I319" s="956" t="s">
        <v>398</v>
      </c>
      <c r="J319" s="956" t="s">
        <v>398</v>
      </c>
      <c r="K319" s="957" t="s">
        <v>398</v>
      </c>
    </row>
    <row r="320" spans="1:21" x14ac:dyDescent="0.25">
      <c r="A320" s="159" t="s">
        <v>425</v>
      </c>
      <c r="B320" s="12"/>
      <c r="C320" s="956">
        <v>0</v>
      </c>
      <c r="D320" s="956">
        <v>0</v>
      </c>
      <c r="E320" s="956">
        <v>0</v>
      </c>
      <c r="F320" s="957" t="s">
        <v>426</v>
      </c>
      <c r="G320" s="12"/>
      <c r="H320" s="956">
        <v>0</v>
      </c>
      <c r="I320" s="956">
        <v>0</v>
      </c>
      <c r="J320" s="956">
        <v>0</v>
      </c>
      <c r="K320" s="957" t="s">
        <v>427</v>
      </c>
    </row>
    <row r="321" spans="1:11" x14ac:dyDescent="0.25">
      <c r="A321" s="159" t="s">
        <v>103</v>
      </c>
      <c r="B321" s="12"/>
      <c r="C321" s="963">
        <v>5760</v>
      </c>
      <c r="D321" s="956" t="s">
        <v>428</v>
      </c>
      <c r="E321" s="956" t="s">
        <v>429</v>
      </c>
      <c r="F321" s="957" t="s">
        <v>430</v>
      </c>
      <c r="G321" s="12"/>
      <c r="H321" s="963">
        <v>25111</v>
      </c>
      <c r="I321" s="956" t="s">
        <v>431</v>
      </c>
      <c r="J321" s="956" t="s">
        <v>432</v>
      </c>
      <c r="K321" s="957" t="s">
        <v>433</v>
      </c>
    </row>
    <row r="322" spans="1:11" ht="15.75" thickBot="1" x14ac:dyDescent="0.3">
      <c r="A322" s="983" t="s">
        <v>120</v>
      </c>
      <c r="B322" s="977"/>
      <c r="C322" s="984">
        <v>38125</v>
      </c>
      <c r="D322" s="982" t="s">
        <v>437</v>
      </c>
      <c r="E322" s="982" t="s">
        <v>438</v>
      </c>
      <c r="F322" s="985" t="s">
        <v>439</v>
      </c>
      <c r="G322" s="977"/>
      <c r="H322" s="984">
        <v>768659</v>
      </c>
      <c r="I322" s="982" t="s">
        <v>440</v>
      </c>
      <c r="J322" s="982" t="s">
        <v>441</v>
      </c>
      <c r="K322" s="985" t="s">
        <v>442</v>
      </c>
    </row>
  </sheetData>
  <mergeCells count="62">
    <mergeCell ref="AT103:AT104"/>
    <mergeCell ref="AU103:AU104"/>
    <mergeCell ref="AX103:AX104"/>
    <mergeCell ref="AU107:AU108"/>
    <mergeCell ref="AV107:AV108"/>
    <mergeCell ref="AW107:AW108"/>
    <mergeCell ref="AX107:AX108"/>
    <mergeCell ref="B313:F313"/>
    <mergeCell ref="G313:K313"/>
    <mergeCell ref="A268:E268"/>
    <mergeCell ref="V208:Y208"/>
    <mergeCell ref="R303:U303"/>
    <mergeCell ref="N302:Q302"/>
    <mergeCell ref="A313:A314"/>
    <mergeCell ref="C277:E277"/>
    <mergeCell ref="F277:H277"/>
    <mergeCell ref="I277:K277"/>
    <mergeCell ref="A301:B301"/>
    <mergeCell ref="A302:A303"/>
    <mergeCell ref="B302:F302"/>
    <mergeCell ref="G302:K302"/>
    <mergeCell ref="O228:O229"/>
    <mergeCell ref="A256:I256"/>
    <mergeCell ref="L277:N277"/>
    <mergeCell ref="W192:Y192"/>
    <mergeCell ref="Z192:AB192"/>
    <mergeCell ref="AF192:AH192"/>
    <mergeCell ref="M193:M194"/>
    <mergeCell ref="N192:P192"/>
    <mergeCell ref="Q192:S192"/>
    <mergeCell ref="T192:V192"/>
    <mergeCell ref="AC192:AE192"/>
    <mergeCell ref="R218:S218"/>
    <mergeCell ref="T218:U218"/>
    <mergeCell ref="T209:U209"/>
    <mergeCell ref="AH100:AN100"/>
    <mergeCell ref="L100:P100"/>
    <mergeCell ref="V100:Z100"/>
    <mergeCell ref="A62:H62"/>
    <mergeCell ref="AH123:AN123"/>
    <mergeCell ref="AE123:AG123"/>
    <mergeCell ref="AA100:AG100"/>
    <mergeCell ref="O170:T170"/>
    <mergeCell ref="K25:Q25"/>
    <mergeCell ref="S147:Y148"/>
    <mergeCell ref="V123:Z123"/>
    <mergeCell ref="A46:B46"/>
    <mergeCell ref="O62:T62"/>
    <mergeCell ref="B123:F123"/>
    <mergeCell ref="G123:K123"/>
    <mergeCell ref="L123:P123"/>
    <mergeCell ref="B100:F100"/>
    <mergeCell ref="G100:K100"/>
    <mergeCell ref="R25:S25"/>
    <mergeCell ref="S160:S161"/>
    <mergeCell ref="A180:A181"/>
    <mergeCell ref="A167:G169"/>
    <mergeCell ref="A170:G170"/>
    <mergeCell ref="A161:E161"/>
    <mergeCell ref="G162:J162"/>
    <mergeCell ref="A178:J178"/>
    <mergeCell ref="H170:N170"/>
  </mergeCells>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FFC000"/>
  </sheetPr>
  <dimension ref="A3:AL314"/>
  <sheetViews>
    <sheetView topLeftCell="A331" workbookViewId="0">
      <selection activeCell="D80" sqref="D80"/>
    </sheetView>
  </sheetViews>
  <sheetFormatPr defaultRowHeight="15" x14ac:dyDescent="0.25"/>
  <cols>
    <col min="1" max="1" width="9.140625" style="9"/>
    <col min="2" max="2" width="11.5703125" customWidth="1"/>
    <col min="3" max="4" width="25.85546875" customWidth="1"/>
    <col min="5" max="5" width="13.140625" customWidth="1"/>
    <col min="6" max="6" width="11.140625" customWidth="1"/>
    <col min="7" max="7" width="9.85546875" bestFit="1" customWidth="1"/>
    <col min="31" max="31" width="12" customWidth="1"/>
    <col min="32" max="32" width="10.85546875" bestFit="1" customWidth="1"/>
    <col min="33" max="33" width="12" customWidth="1"/>
  </cols>
  <sheetData>
    <row r="3" spans="1:7" x14ac:dyDescent="0.25">
      <c r="B3" s="1"/>
      <c r="C3" s="1"/>
      <c r="D3" s="1"/>
      <c r="E3" s="1"/>
      <c r="F3" s="1"/>
      <c r="G3" s="1"/>
    </row>
    <row r="4" spans="1:7" x14ac:dyDescent="0.25">
      <c r="B4" s="1"/>
      <c r="C4" s="4987"/>
      <c r="D4" s="4987"/>
      <c r="E4" s="4987"/>
      <c r="F4" s="4987"/>
      <c r="G4" s="4987"/>
    </row>
    <row r="5" spans="1:7" x14ac:dyDescent="0.25">
      <c r="B5" s="1"/>
      <c r="C5" s="1"/>
      <c r="D5" s="1"/>
      <c r="E5" s="104"/>
      <c r="F5" s="104"/>
      <c r="G5" s="1"/>
    </row>
    <row r="6" spans="1:7" x14ac:dyDescent="0.25">
      <c r="B6" s="1"/>
      <c r="C6" s="1"/>
      <c r="D6" s="1"/>
      <c r="E6" s="1"/>
      <c r="F6" s="1"/>
      <c r="G6" s="1"/>
    </row>
    <row r="7" spans="1:7" x14ac:dyDescent="0.25">
      <c r="B7" s="1"/>
      <c r="C7" s="1"/>
      <c r="D7" s="1"/>
      <c r="E7" s="1"/>
      <c r="F7" s="1"/>
      <c r="G7" s="1"/>
    </row>
    <row r="8" spans="1:7" x14ac:dyDescent="0.25">
      <c r="B8" s="1" t="s">
        <v>115</v>
      </c>
      <c r="C8" s="1"/>
      <c r="D8" s="1"/>
      <c r="E8" s="1"/>
      <c r="F8" s="1"/>
      <c r="G8" s="1"/>
    </row>
    <row r="9" spans="1:7" ht="60" x14ac:dyDescent="0.25">
      <c r="B9" s="1"/>
      <c r="C9" s="855" t="s">
        <v>1066</v>
      </c>
      <c r="D9" s="855" t="s">
        <v>300</v>
      </c>
      <c r="E9" s="105" t="s">
        <v>300</v>
      </c>
      <c r="F9" s="1"/>
      <c r="G9" s="1"/>
    </row>
    <row r="10" spans="1:7" x14ac:dyDescent="0.25">
      <c r="B10" s="1" t="s">
        <v>99</v>
      </c>
      <c r="C10" s="1">
        <v>1</v>
      </c>
      <c r="D10" s="859">
        <v>1</v>
      </c>
      <c r="E10" s="1">
        <v>1</v>
      </c>
      <c r="G10" s="1"/>
    </row>
    <row r="11" spans="1:7" x14ac:dyDescent="0.25">
      <c r="B11" s="1" t="s">
        <v>100</v>
      </c>
      <c r="C11" s="1">
        <v>0</v>
      </c>
      <c r="D11" s="859">
        <v>0</v>
      </c>
      <c r="E11" s="1">
        <v>1</v>
      </c>
      <c r="G11" s="1"/>
    </row>
    <row r="12" spans="1:7" x14ac:dyDescent="0.25">
      <c r="B12" s="1" t="s">
        <v>101</v>
      </c>
      <c r="C12" s="40">
        <v>9</v>
      </c>
      <c r="D12" s="856">
        <v>3</v>
      </c>
      <c r="E12">
        <v>4</v>
      </c>
    </row>
    <row r="13" spans="1:7" s="9" customFormat="1" ht="33.75" customHeight="1" x14ac:dyDescent="0.25">
      <c r="B13" s="1" t="s">
        <v>103</v>
      </c>
      <c r="C13" s="856">
        <v>0</v>
      </c>
      <c r="D13" s="856">
        <v>0</v>
      </c>
      <c r="E13" s="128" t="s">
        <v>301</v>
      </c>
    </row>
    <row r="15" spans="1:7" x14ac:dyDescent="0.25">
      <c r="A15" s="1"/>
      <c r="B15" s="1"/>
      <c r="C15" s="860"/>
      <c r="D15" s="860"/>
    </row>
    <row r="20" spans="1:7" x14ac:dyDescent="0.25">
      <c r="B20" t="s">
        <v>116</v>
      </c>
    </row>
    <row r="21" spans="1:7" ht="48.75" x14ac:dyDescent="0.25">
      <c r="B21" s="76" t="s">
        <v>1065</v>
      </c>
      <c r="C21" s="3091" t="s">
        <v>1111</v>
      </c>
      <c r="D21" s="3093" t="s">
        <v>1109</v>
      </c>
      <c r="E21" s="3091" t="s">
        <v>1110</v>
      </c>
      <c r="F21" s="3092" t="s">
        <v>1112</v>
      </c>
    </row>
    <row r="22" spans="1:7" x14ac:dyDescent="0.25">
      <c r="B22" s="76" t="s">
        <v>99</v>
      </c>
      <c r="C22" s="3390">
        <v>3</v>
      </c>
      <c r="D22" s="3390">
        <v>3</v>
      </c>
      <c r="E22" s="3391">
        <v>0</v>
      </c>
      <c r="F22" s="3391">
        <v>2</v>
      </c>
      <c r="G22" s="3392">
        <v>43586</v>
      </c>
    </row>
    <row r="23" spans="1:7" x14ac:dyDescent="0.25">
      <c r="B23" s="76" t="s">
        <v>100</v>
      </c>
      <c r="C23" s="2345">
        <v>7</v>
      </c>
      <c r="D23" s="2345">
        <v>4</v>
      </c>
      <c r="E23" s="2345">
        <v>3</v>
      </c>
      <c r="F23" s="76">
        <v>0</v>
      </c>
      <c r="G23" s="1618">
        <v>43862</v>
      </c>
    </row>
    <row r="24" spans="1:7" x14ac:dyDescent="0.25">
      <c r="B24" s="76" t="s">
        <v>101</v>
      </c>
      <c r="C24" s="3389">
        <v>4</v>
      </c>
      <c r="D24" s="3389">
        <v>4</v>
      </c>
      <c r="E24" s="2345">
        <v>0</v>
      </c>
      <c r="F24" s="76">
        <v>2</v>
      </c>
      <c r="G24" s="1618">
        <v>43800</v>
      </c>
    </row>
    <row r="25" spans="1:7" x14ac:dyDescent="0.25">
      <c r="B25" s="1"/>
      <c r="C25" s="1"/>
      <c r="D25" s="1"/>
    </row>
    <row r="26" spans="1:7" x14ac:dyDescent="0.25">
      <c r="B26" s="1"/>
      <c r="C26" s="1"/>
      <c r="D26" s="1"/>
    </row>
    <row r="30" spans="1:7" x14ac:dyDescent="0.25">
      <c r="G30">
        <v>1</v>
      </c>
    </row>
    <row r="31" spans="1:7" x14ac:dyDescent="0.25">
      <c r="A31" s="66">
        <v>27</v>
      </c>
      <c r="B31" s="121">
        <v>0</v>
      </c>
      <c r="C31" s="9">
        <v>8</v>
      </c>
      <c r="D31" s="39">
        <v>39</v>
      </c>
      <c r="E31" s="39">
        <v>74</v>
      </c>
      <c r="G31">
        <v>238</v>
      </c>
    </row>
    <row r="32" spans="1:7" x14ac:dyDescent="0.25">
      <c r="A32" s="67">
        <v>71</v>
      </c>
      <c r="B32" s="121">
        <v>409</v>
      </c>
      <c r="C32">
        <v>5</v>
      </c>
      <c r="D32" s="39">
        <v>27</v>
      </c>
      <c r="E32" s="39">
        <v>512</v>
      </c>
      <c r="G32">
        <v>157</v>
      </c>
    </row>
    <row r="33" spans="1:7" x14ac:dyDescent="0.25">
      <c r="A33" s="68">
        <v>98</v>
      </c>
      <c r="B33" s="307">
        <f>SUM(B31:B32)</f>
        <v>409</v>
      </c>
      <c r="C33">
        <v>13</v>
      </c>
      <c r="D33" s="39">
        <v>66</v>
      </c>
      <c r="E33" s="39">
        <v>586</v>
      </c>
      <c r="G33">
        <v>396</v>
      </c>
    </row>
    <row r="34" spans="1:7" x14ac:dyDescent="0.25">
      <c r="B34" s="1"/>
      <c r="C34" s="1"/>
      <c r="D34" s="1"/>
      <c r="E34" s="1"/>
      <c r="F34" s="1"/>
      <c r="G34" s="1"/>
    </row>
    <row r="35" spans="1:7" x14ac:dyDescent="0.25">
      <c r="B35" s="1"/>
      <c r="C35" s="1"/>
      <c r="D35" s="1"/>
      <c r="E35" s="1"/>
      <c r="F35" s="1"/>
      <c r="G35" s="1"/>
    </row>
    <row r="36" spans="1:7" x14ac:dyDescent="0.25">
      <c r="B36" s="1"/>
      <c r="C36" s="1"/>
      <c r="D36" s="1"/>
      <c r="E36" s="1"/>
      <c r="F36" s="1"/>
      <c r="G36" s="1"/>
    </row>
    <row r="37" spans="1:7" x14ac:dyDescent="0.25">
      <c r="B37" s="1"/>
      <c r="C37" s="1"/>
      <c r="D37" s="1"/>
      <c r="E37" s="1"/>
      <c r="F37" s="1"/>
      <c r="G37" s="1"/>
    </row>
    <row r="38" spans="1:7" x14ac:dyDescent="0.25">
      <c r="B38" s="1"/>
      <c r="C38" s="1"/>
      <c r="D38" s="1"/>
      <c r="E38" s="1"/>
      <c r="F38" s="1"/>
      <c r="G38" s="1"/>
    </row>
    <row r="39" spans="1:7" x14ac:dyDescent="0.25">
      <c r="B39" s="1"/>
      <c r="C39" s="1"/>
      <c r="D39" s="1"/>
      <c r="E39" s="1"/>
      <c r="F39" s="1"/>
      <c r="G39" s="1"/>
    </row>
    <row r="40" spans="1:7" x14ac:dyDescent="0.25">
      <c r="B40" s="1701" t="s">
        <v>117</v>
      </c>
      <c r="C40" s="1"/>
      <c r="D40" s="1"/>
      <c r="E40" s="1"/>
      <c r="F40" s="1"/>
      <c r="G40" s="1"/>
    </row>
    <row r="41" spans="1:7" x14ac:dyDescent="0.25">
      <c r="B41" t="s">
        <v>967</v>
      </c>
      <c r="C41" s="106"/>
      <c r="D41" s="107"/>
      <c r="E41" s="107"/>
      <c r="F41" s="107"/>
      <c r="G41" s="108"/>
    </row>
    <row r="42" spans="1:7" x14ac:dyDescent="0.25">
      <c r="B42" s="76" t="s">
        <v>967</v>
      </c>
      <c r="C42" s="78" t="s">
        <v>66</v>
      </c>
      <c r="D42" s="78" t="s">
        <v>65</v>
      </c>
      <c r="E42" s="78" t="s">
        <v>104</v>
      </c>
      <c r="F42" s="78" t="s">
        <v>152</v>
      </c>
      <c r="G42" s="78"/>
    </row>
    <row r="43" spans="1:7" x14ac:dyDescent="0.25">
      <c r="B43" s="76" t="s">
        <v>99</v>
      </c>
      <c r="C43" s="857">
        <v>481</v>
      </c>
      <c r="D43" s="857">
        <v>338</v>
      </c>
      <c r="E43" s="857">
        <v>141</v>
      </c>
      <c r="F43" s="857">
        <v>2</v>
      </c>
      <c r="G43" s="76"/>
    </row>
    <row r="44" spans="1:7" x14ac:dyDescent="0.25">
      <c r="B44" s="76" t="s">
        <v>100</v>
      </c>
      <c r="C44" s="857">
        <v>1440</v>
      </c>
      <c r="D44" s="857">
        <v>1437</v>
      </c>
      <c r="E44" s="857">
        <v>3</v>
      </c>
      <c r="F44" s="857">
        <v>0</v>
      </c>
      <c r="G44" s="76"/>
    </row>
    <row r="45" spans="1:7" x14ac:dyDescent="0.25">
      <c r="B45" s="76" t="s">
        <v>101</v>
      </c>
      <c r="C45" s="857">
        <v>29</v>
      </c>
      <c r="D45" s="857">
        <v>15</v>
      </c>
      <c r="E45" s="857">
        <v>13</v>
      </c>
      <c r="F45" s="857">
        <v>1</v>
      </c>
      <c r="G45" s="76"/>
    </row>
    <row r="46" spans="1:7" x14ac:dyDescent="0.25">
      <c r="B46" s="76" t="s">
        <v>103</v>
      </c>
      <c r="C46" s="857">
        <v>396</v>
      </c>
      <c r="D46" s="857">
        <v>157</v>
      </c>
      <c r="E46" s="857">
        <v>238</v>
      </c>
      <c r="F46" s="857">
        <v>0</v>
      </c>
      <c r="G46" s="76"/>
    </row>
    <row r="50" spans="2:4" x14ac:dyDescent="0.25">
      <c r="B50" s="1900" t="s">
        <v>135</v>
      </c>
    </row>
    <row r="51" spans="2:4" x14ac:dyDescent="0.25">
      <c r="B51" s="76"/>
      <c r="C51" s="112" t="s">
        <v>150</v>
      </c>
      <c r="D51" s="112" t="s">
        <v>134</v>
      </c>
    </row>
    <row r="52" spans="2:4" s="9" customFormat="1" x14ac:dyDescent="0.25">
      <c r="B52" s="76" t="s">
        <v>99</v>
      </c>
      <c r="C52" s="128">
        <v>18</v>
      </c>
      <c r="D52" s="128">
        <v>0</v>
      </c>
    </row>
    <row r="53" spans="2:4" s="9" customFormat="1" x14ac:dyDescent="0.25">
      <c r="B53" s="76" t="s">
        <v>100</v>
      </c>
      <c r="C53" s="858">
        <v>57</v>
      </c>
      <c r="D53" s="128">
        <v>1</v>
      </c>
    </row>
    <row r="54" spans="2:4" s="9" customFormat="1" x14ac:dyDescent="0.25">
      <c r="B54" s="76" t="s">
        <v>101</v>
      </c>
      <c r="C54" s="858">
        <v>13</v>
      </c>
      <c r="D54" s="128">
        <v>3</v>
      </c>
    </row>
    <row r="55" spans="2:4" s="9" customFormat="1" x14ac:dyDescent="0.25">
      <c r="B55" s="76" t="s">
        <v>154</v>
      </c>
      <c r="C55" s="858">
        <v>3</v>
      </c>
      <c r="D55" s="128">
        <v>0</v>
      </c>
    </row>
    <row r="56" spans="2:4" s="9" customFormat="1" x14ac:dyDescent="0.25">
      <c r="B56" s="109" t="s">
        <v>103</v>
      </c>
      <c r="C56" s="128">
        <v>2</v>
      </c>
      <c r="D56" s="128">
        <v>2</v>
      </c>
    </row>
    <row r="57" spans="2:4" x14ac:dyDescent="0.25">
      <c r="B57" s="109"/>
      <c r="C57" s="109"/>
      <c r="D57" s="109"/>
    </row>
    <row r="58" spans="2:4" s="9" customFormat="1" x14ac:dyDescent="0.25"/>
    <row r="67" spans="2:9" x14ac:dyDescent="0.25">
      <c r="B67" t="s">
        <v>313</v>
      </c>
    </row>
    <row r="68" spans="2:9" ht="45" x14ac:dyDescent="0.25">
      <c r="C68" s="105" t="s">
        <v>792</v>
      </c>
      <c r="D68" s="105" t="s">
        <v>793</v>
      </c>
      <c r="E68" s="1899" t="s">
        <v>794</v>
      </c>
    </row>
    <row r="69" spans="2:9" x14ac:dyDescent="0.25">
      <c r="B69" s="76" t="s">
        <v>99</v>
      </c>
      <c r="C69" s="76">
        <v>0.17</v>
      </c>
      <c r="D69" s="76">
        <v>0.17</v>
      </c>
      <c r="E69" s="76"/>
    </row>
    <row r="70" spans="2:9" x14ac:dyDescent="0.25">
      <c r="B70" s="76" t="s">
        <v>100</v>
      </c>
      <c r="C70" s="76">
        <v>1.01</v>
      </c>
      <c r="D70" s="76">
        <v>0.75</v>
      </c>
      <c r="E70" s="76"/>
    </row>
    <row r="71" spans="2:9" x14ac:dyDescent="0.25">
      <c r="B71" s="76" t="s">
        <v>101</v>
      </c>
      <c r="C71" s="76">
        <v>2.0099999999999998</v>
      </c>
      <c r="D71" s="76">
        <v>0.62</v>
      </c>
      <c r="E71" s="76"/>
    </row>
    <row r="72" spans="2:9" x14ac:dyDescent="0.25">
      <c r="B72" s="76" t="s">
        <v>103</v>
      </c>
      <c r="C72" s="76">
        <v>2.5</v>
      </c>
      <c r="D72" s="76">
        <v>2.17</v>
      </c>
      <c r="E72" s="76"/>
    </row>
    <row r="73" spans="2:9" x14ac:dyDescent="0.25">
      <c r="B73" s="109" t="s">
        <v>119</v>
      </c>
      <c r="C73" s="76">
        <v>1.32</v>
      </c>
      <c r="D73" s="76">
        <v>1.03</v>
      </c>
      <c r="E73" s="76"/>
    </row>
    <row r="79" spans="2:9" x14ac:dyDescent="0.25">
      <c r="C79" s="9" t="s">
        <v>118</v>
      </c>
      <c r="D79" s="9"/>
      <c r="E79" s="9"/>
      <c r="F79" s="9"/>
      <c r="G79" s="9"/>
      <c r="H79" s="9"/>
      <c r="I79" s="9"/>
    </row>
    <row r="80" spans="2:9" x14ac:dyDescent="0.25">
      <c r="C80" s="9"/>
      <c r="D80" s="4616" t="s">
        <v>1454</v>
      </c>
      <c r="E80" s="9"/>
      <c r="F80" s="96"/>
      <c r="G80" s="96"/>
      <c r="H80" s="9"/>
      <c r="I80" s="9"/>
    </row>
    <row r="81" spans="3:9" ht="30" x14ac:dyDescent="0.25">
      <c r="C81" s="76">
        <v>2020</v>
      </c>
      <c r="D81" s="105" t="s">
        <v>121</v>
      </c>
      <c r="E81" s="105" t="s">
        <v>124</v>
      </c>
      <c r="F81" s="105" t="s">
        <v>125</v>
      </c>
      <c r="G81" s="105" t="s">
        <v>122</v>
      </c>
      <c r="H81" s="76" t="s">
        <v>123</v>
      </c>
      <c r="I81" s="76" t="s">
        <v>126</v>
      </c>
    </row>
    <row r="82" spans="3:9" x14ac:dyDescent="0.25">
      <c r="C82" s="76" t="s">
        <v>92</v>
      </c>
      <c r="D82" s="76"/>
      <c r="E82" s="76"/>
      <c r="F82" s="76"/>
      <c r="G82" s="76"/>
      <c r="H82" s="76"/>
      <c r="I82" s="76"/>
    </row>
    <row r="83" spans="3:9" x14ac:dyDescent="0.25">
      <c r="C83" s="9" t="s">
        <v>93</v>
      </c>
      <c r="D83" s="76"/>
      <c r="E83" s="76"/>
      <c r="F83" s="76"/>
      <c r="G83" s="76"/>
      <c r="H83" s="76"/>
      <c r="I83" s="76"/>
    </row>
    <row r="84" spans="3:9" x14ac:dyDescent="0.25">
      <c r="C84" s="76" t="s">
        <v>94</v>
      </c>
      <c r="D84" s="76">
        <v>4</v>
      </c>
      <c r="E84" s="76">
        <v>3</v>
      </c>
      <c r="F84" s="76">
        <v>2</v>
      </c>
      <c r="G84" s="76">
        <v>0</v>
      </c>
      <c r="H84" s="76">
        <v>0</v>
      </c>
      <c r="I84" s="76">
        <v>0</v>
      </c>
    </row>
    <row r="85" spans="3:9" x14ac:dyDescent="0.25">
      <c r="C85" s="76" t="s">
        <v>95</v>
      </c>
      <c r="D85" s="76"/>
      <c r="E85" s="76"/>
      <c r="F85" s="76"/>
      <c r="G85" s="76"/>
      <c r="H85" s="76"/>
      <c r="I85" s="76"/>
    </row>
    <row r="86" spans="3:9" x14ac:dyDescent="0.25">
      <c r="C86" s="109" t="s">
        <v>967</v>
      </c>
      <c r="D86" s="76">
        <v>7</v>
      </c>
      <c r="E86" s="76">
        <v>7</v>
      </c>
      <c r="F86" s="76">
        <v>3</v>
      </c>
      <c r="G86" s="76">
        <v>0</v>
      </c>
      <c r="H86" s="76">
        <v>0</v>
      </c>
      <c r="I86" s="76">
        <v>3</v>
      </c>
    </row>
    <row r="94" spans="3:9" x14ac:dyDescent="0.25">
      <c r="C94" t="s">
        <v>128</v>
      </c>
    </row>
    <row r="96" spans="3:9" x14ac:dyDescent="0.25">
      <c r="C96" s="76"/>
      <c r="D96" s="4616" t="s">
        <v>1455</v>
      </c>
      <c r="E96" s="76"/>
      <c r="F96" s="76"/>
      <c r="G96" s="76"/>
      <c r="H96" s="76"/>
      <c r="I96" s="76"/>
    </row>
    <row r="97" spans="3:14" ht="30" x14ac:dyDescent="0.25">
      <c r="C97" s="76">
        <v>2020</v>
      </c>
      <c r="D97" s="105" t="s">
        <v>121</v>
      </c>
      <c r="E97" s="105" t="s">
        <v>124</v>
      </c>
      <c r="F97" s="105" t="s">
        <v>125</v>
      </c>
      <c r="G97" s="105" t="s">
        <v>122</v>
      </c>
      <c r="H97" s="76" t="s">
        <v>123</v>
      </c>
      <c r="I97" s="105" t="s">
        <v>126</v>
      </c>
    </row>
    <row r="98" spans="3:14" x14ac:dyDescent="0.25">
      <c r="C98" s="76"/>
      <c r="D98" s="76"/>
      <c r="E98" s="76"/>
      <c r="F98" s="76"/>
      <c r="G98" s="76"/>
      <c r="H98" s="76"/>
      <c r="I98" s="76"/>
    </row>
    <row r="99" spans="3:14" x14ac:dyDescent="0.25">
      <c r="C99" s="76"/>
      <c r="D99" s="76"/>
      <c r="E99" s="76"/>
      <c r="F99" s="76"/>
      <c r="G99" s="76"/>
      <c r="H99" s="76"/>
      <c r="I99" s="76"/>
    </row>
    <row r="100" spans="3:14" x14ac:dyDescent="0.25">
      <c r="C100" s="76" t="s">
        <v>967</v>
      </c>
      <c r="D100" s="76">
        <v>0</v>
      </c>
      <c r="E100" s="76">
        <v>29</v>
      </c>
      <c r="F100" s="76">
        <v>5</v>
      </c>
      <c r="G100" s="76">
        <v>0</v>
      </c>
      <c r="H100" s="76">
        <v>0</v>
      </c>
      <c r="I100" s="76">
        <v>0</v>
      </c>
    </row>
    <row r="101" spans="3:14" x14ac:dyDescent="0.25">
      <c r="C101" s="76"/>
      <c r="D101" s="76"/>
      <c r="E101" s="76"/>
      <c r="F101" s="76"/>
      <c r="G101" s="76"/>
      <c r="H101" s="76"/>
      <c r="I101" s="76"/>
    </row>
    <row r="109" spans="3:14" x14ac:dyDescent="0.25">
      <c r="N109">
        <v>9</v>
      </c>
    </row>
    <row r="110" spans="3:14" x14ac:dyDescent="0.25">
      <c r="G110">
        <v>0</v>
      </c>
    </row>
    <row r="114" spans="3:29" x14ac:dyDescent="0.25">
      <c r="C114" t="s">
        <v>313</v>
      </c>
    </row>
    <row r="116" spans="3:29" x14ac:dyDescent="0.25">
      <c r="C116" s="76"/>
      <c r="D116" s="76" t="s">
        <v>129</v>
      </c>
      <c r="E116" s="76"/>
      <c r="F116" s="76"/>
      <c r="G116" s="76"/>
      <c r="H116" s="76"/>
      <c r="I116" s="76"/>
    </row>
    <row r="117" spans="3:29" x14ac:dyDescent="0.25">
      <c r="C117" s="76"/>
      <c r="D117" s="76" t="s">
        <v>121</v>
      </c>
      <c r="E117" s="76" t="s">
        <v>124</v>
      </c>
      <c r="F117" s="76" t="s">
        <v>125</v>
      </c>
      <c r="G117" s="76" t="s">
        <v>122</v>
      </c>
      <c r="H117" s="76" t="s">
        <v>123</v>
      </c>
      <c r="I117" s="76" t="s">
        <v>126</v>
      </c>
    </row>
    <row r="118" spans="3:29" x14ac:dyDescent="0.25">
      <c r="C118" s="76" t="s">
        <v>92</v>
      </c>
      <c r="D118" s="76"/>
      <c r="E118" s="76"/>
      <c r="F118" s="76"/>
      <c r="G118" s="76"/>
      <c r="H118" s="76"/>
      <c r="I118" s="76"/>
    </row>
    <row r="119" spans="3:29" ht="15.75" thickBot="1" x14ac:dyDescent="0.3">
      <c r="C119" s="76" t="s">
        <v>93</v>
      </c>
      <c r="D119" s="76"/>
      <c r="E119" s="76"/>
      <c r="F119" s="76"/>
      <c r="G119" s="76"/>
      <c r="H119" s="76"/>
      <c r="I119" s="76"/>
    </row>
    <row r="120" spans="3:29" ht="15.75" thickBot="1" x14ac:dyDescent="0.3">
      <c r="C120" s="76" t="s">
        <v>967</v>
      </c>
      <c r="D120" s="76">
        <v>6</v>
      </c>
      <c r="E120" s="76">
        <v>4</v>
      </c>
      <c r="F120" s="76"/>
      <c r="G120" s="76"/>
      <c r="H120" s="76"/>
      <c r="I120" s="76"/>
      <c r="W120" t="s">
        <v>319</v>
      </c>
      <c r="X120" s="836">
        <v>0.13</v>
      </c>
      <c r="Y120" s="837">
        <v>0.6</v>
      </c>
      <c r="Z120" s="837">
        <v>0.33</v>
      </c>
      <c r="AA120" s="837">
        <v>1.1399999999999999</v>
      </c>
      <c r="AB120" s="837">
        <v>1.35</v>
      </c>
      <c r="AC120" s="837">
        <v>0.59</v>
      </c>
    </row>
    <row r="121" spans="3:29" ht="15.75" thickBot="1" x14ac:dyDescent="0.3">
      <c r="C121" s="76" t="s">
        <v>95</v>
      </c>
      <c r="D121" s="76"/>
      <c r="E121" s="76"/>
      <c r="F121" s="76"/>
      <c r="G121" s="76"/>
      <c r="H121" s="76"/>
      <c r="I121" s="76"/>
      <c r="W121" t="s">
        <v>320</v>
      </c>
      <c r="X121" s="838">
        <v>98.14</v>
      </c>
      <c r="Y121" s="839">
        <v>26.13</v>
      </c>
      <c r="Z121" s="839">
        <v>4.9800000000000004</v>
      </c>
      <c r="AA121" s="839">
        <v>61.02</v>
      </c>
      <c r="AB121" s="839">
        <v>56.18</v>
      </c>
      <c r="AC121" s="839">
        <v>70</v>
      </c>
    </row>
    <row r="125" spans="3:29" x14ac:dyDescent="0.25">
      <c r="P125">
        <v>6</v>
      </c>
    </row>
    <row r="132" spans="3:9" x14ac:dyDescent="0.25">
      <c r="C132" t="s">
        <v>312</v>
      </c>
    </row>
    <row r="134" spans="3:9" x14ac:dyDescent="0.25">
      <c r="C134" s="76">
        <v>2018</v>
      </c>
      <c r="D134" s="76" t="s">
        <v>130</v>
      </c>
      <c r="E134" s="76"/>
      <c r="F134" s="76"/>
      <c r="G134" s="76"/>
      <c r="H134" s="76"/>
      <c r="I134" s="76"/>
    </row>
    <row r="135" spans="3:9" x14ac:dyDescent="0.25">
      <c r="C135" s="76"/>
      <c r="D135" s="76" t="s">
        <v>121</v>
      </c>
      <c r="E135" s="76" t="s">
        <v>124</v>
      </c>
      <c r="F135" s="76" t="s">
        <v>125</v>
      </c>
      <c r="G135" s="76" t="s">
        <v>122</v>
      </c>
      <c r="H135" s="76" t="s">
        <v>123</v>
      </c>
      <c r="I135" s="76" t="s">
        <v>126</v>
      </c>
    </row>
    <row r="136" spans="3:9" x14ac:dyDescent="0.25">
      <c r="C136" s="76" t="s">
        <v>92</v>
      </c>
      <c r="D136" s="76"/>
      <c r="E136" s="76"/>
      <c r="F136" s="76"/>
      <c r="G136" s="76"/>
      <c r="H136" s="76"/>
      <c r="I136" s="76"/>
    </row>
    <row r="137" spans="3:9" x14ac:dyDescent="0.25">
      <c r="C137" s="76" t="s">
        <v>93</v>
      </c>
      <c r="D137" s="76"/>
      <c r="E137" s="76"/>
      <c r="F137" s="76"/>
      <c r="G137" s="76"/>
      <c r="H137" s="76"/>
      <c r="I137" s="76"/>
    </row>
    <row r="138" spans="3:9" x14ac:dyDescent="0.25">
      <c r="C138" s="76" t="s">
        <v>1456</v>
      </c>
      <c r="D138" s="76">
        <v>10</v>
      </c>
      <c r="E138" s="76">
        <v>0</v>
      </c>
      <c r="F138" s="76">
        <v>0</v>
      </c>
      <c r="G138" s="76">
        <v>0</v>
      </c>
      <c r="H138" s="76">
        <v>0</v>
      </c>
      <c r="I138" s="76">
        <v>0</v>
      </c>
    </row>
    <row r="139" spans="3:9" x14ac:dyDescent="0.25">
      <c r="C139" s="76" t="s">
        <v>95</v>
      </c>
      <c r="D139" s="76">
        <v>0</v>
      </c>
      <c r="E139" s="76">
        <v>0</v>
      </c>
      <c r="F139" s="76">
        <v>0</v>
      </c>
      <c r="G139" s="76">
        <v>0</v>
      </c>
      <c r="H139" s="76">
        <v>0</v>
      </c>
      <c r="I139" s="76">
        <v>0</v>
      </c>
    </row>
    <row r="146" spans="2:34" x14ac:dyDescent="0.25">
      <c r="R146" t="s">
        <v>967</v>
      </c>
      <c r="T146" t="s">
        <v>92</v>
      </c>
      <c r="U146" t="s">
        <v>93</v>
      </c>
    </row>
    <row r="147" spans="2:34" x14ac:dyDescent="0.25">
      <c r="R147" t="s">
        <v>12</v>
      </c>
      <c r="S147" t="s">
        <v>13</v>
      </c>
      <c r="T147">
        <v>5380.28</v>
      </c>
      <c r="U147">
        <v>5386.61</v>
      </c>
    </row>
    <row r="148" spans="2:34" x14ac:dyDescent="0.25">
      <c r="R148" t="s">
        <v>14</v>
      </c>
      <c r="S148" t="s">
        <v>13</v>
      </c>
      <c r="T148">
        <v>0</v>
      </c>
      <c r="U148">
        <v>3.63</v>
      </c>
    </row>
    <row r="149" spans="2:34" x14ac:dyDescent="0.25">
      <c r="R149" t="s">
        <v>15</v>
      </c>
      <c r="S149" t="s">
        <v>13</v>
      </c>
      <c r="T149">
        <v>742.46</v>
      </c>
      <c r="U149">
        <v>746.09</v>
      </c>
    </row>
    <row r="150" spans="2:34" x14ac:dyDescent="0.25">
      <c r="B150" t="s">
        <v>1440</v>
      </c>
      <c r="C150" t="s">
        <v>314</v>
      </c>
      <c r="R150" t="s">
        <v>16</v>
      </c>
      <c r="S150" t="s">
        <v>13</v>
      </c>
      <c r="T150">
        <v>124</v>
      </c>
      <c r="U150">
        <v>124</v>
      </c>
      <c r="AE150" s="9"/>
      <c r="AF150" s="9"/>
      <c r="AG150" s="9"/>
      <c r="AH150" s="9"/>
    </row>
    <row r="151" spans="2:34" x14ac:dyDescent="0.25">
      <c r="C151" t="s">
        <v>315</v>
      </c>
      <c r="R151" t="s">
        <v>17</v>
      </c>
      <c r="S151" t="s">
        <v>13</v>
      </c>
      <c r="T151">
        <v>4513.82</v>
      </c>
      <c r="U151">
        <v>4516.5200000000004</v>
      </c>
      <c r="AE151" s="9"/>
      <c r="AF151" s="9"/>
      <c r="AG151" s="9"/>
      <c r="AH151" s="9"/>
    </row>
    <row r="152" spans="2:34" x14ac:dyDescent="0.25">
      <c r="C152" s="76" t="s">
        <v>967</v>
      </c>
      <c r="D152" s="125" t="s">
        <v>967</v>
      </c>
      <c r="E152" s="76"/>
      <c r="F152" s="76"/>
      <c r="G152" s="76"/>
      <c r="H152" s="76"/>
      <c r="I152" s="76"/>
      <c r="AE152" s="9"/>
      <c r="AF152" s="2442"/>
      <c r="AG152" s="2442"/>
      <c r="AH152" s="2498"/>
    </row>
    <row r="153" spans="2:34" ht="15.75" thickBot="1" x14ac:dyDescent="0.3">
      <c r="B153">
        <v>695.77</v>
      </c>
      <c r="C153" s="76" t="s">
        <v>140</v>
      </c>
      <c r="D153" s="835">
        <f>B153/B156</f>
        <v>0.1291030679536708</v>
      </c>
      <c r="E153" s="76"/>
      <c r="F153" s="76"/>
      <c r="G153" s="76"/>
      <c r="H153" s="76"/>
      <c r="I153" s="76"/>
      <c r="R153" t="s">
        <v>12</v>
      </c>
      <c r="S153" t="s">
        <v>13</v>
      </c>
      <c r="T153">
        <v>5375.1859999999997</v>
      </c>
      <c r="U153">
        <v>5376.0599999999995</v>
      </c>
      <c r="X153" s="9"/>
      <c r="AE153" s="9"/>
      <c r="AF153" s="2442"/>
      <c r="AG153" s="2442"/>
      <c r="AH153" s="2498"/>
    </row>
    <row r="154" spans="2:34" ht="15.75" thickBot="1" x14ac:dyDescent="0.3">
      <c r="B154" s="3354">
        <v>124</v>
      </c>
      <c r="C154" s="76" t="s">
        <v>141</v>
      </c>
      <c r="D154" s="835">
        <f>B154/B156</f>
        <v>2.30087247599856E-2</v>
      </c>
      <c r="E154" s="76"/>
      <c r="F154" s="76"/>
      <c r="G154" s="76"/>
      <c r="H154" s="76"/>
      <c r="I154" s="76"/>
      <c r="R154" t="s">
        <v>14</v>
      </c>
      <c r="S154" t="s">
        <v>13</v>
      </c>
      <c r="T154">
        <v>18.46</v>
      </c>
      <c r="U154">
        <v>0</v>
      </c>
      <c r="AE154" s="9"/>
      <c r="AF154" s="2442"/>
      <c r="AG154" s="2442"/>
      <c r="AH154" s="2498"/>
    </row>
    <row r="155" spans="2:34" x14ac:dyDescent="0.25">
      <c r="B155" s="445">
        <v>4569.49</v>
      </c>
      <c r="C155" s="76" t="s">
        <v>317</v>
      </c>
      <c r="D155" s="835">
        <f>B155/B156</f>
        <v>0.84788820728634351</v>
      </c>
      <c r="E155" s="76"/>
      <c r="F155" s="76"/>
      <c r="G155" s="76"/>
      <c r="H155" s="76"/>
      <c r="I155" s="76"/>
      <c r="R155" t="s">
        <v>15</v>
      </c>
      <c r="S155" t="s">
        <v>13</v>
      </c>
      <c r="T155">
        <v>579.96</v>
      </c>
      <c r="U155">
        <v>579.96</v>
      </c>
    </row>
    <row r="156" spans="2:34" x14ac:dyDescent="0.25">
      <c r="B156" s="445">
        <v>5389.26</v>
      </c>
      <c r="C156" s="109" t="s">
        <v>316</v>
      </c>
      <c r="D156" s="76"/>
      <c r="E156" s="76"/>
      <c r="F156" s="76"/>
      <c r="G156" s="76"/>
      <c r="H156" s="76"/>
      <c r="I156" s="76"/>
      <c r="R156" t="s">
        <v>16</v>
      </c>
      <c r="S156" t="s">
        <v>13</v>
      </c>
      <c r="T156">
        <v>286.52</v>
      </c>
      <c r="U156">
        <v>286.52</v>
      </c>
    </row>
    <row r="157" spans="2:34" x14ac:dyDescent="0.25">
      <c r="D157" s="76"/>
      <c r="E157" s="76"/>
      <c r="F157" s="76"/>
      <c r="G157" s="76"/>
      <c r="H157" s="76"/>
      <c r="I157" s="76"/>
      <c r="R157" t="s">
        <v>17</v>
      </c>
      <c r="S157" t="s">
        <v>13</v>
      </c>
      <c r="T157">
        <v>4508.7060000000001</v>
      </c>
      <c r="U157">
        <v>4509.58</v>
      </c>
    </row>
    <row r="159" spans="2:34" x14ac:dyDescent="0.25">
      <c r="C159" s="1"/>
      <c r="D159" s="1"/>
      <c r="E159" s="1"/>
      <c r="F159" s="1"/>
      <c r="G159" s="1"/>
      <c r="H159" s="1"/>
      <c r="I159" s="1"/>
    </row>
    <row r="160" spans="2:34" x14ac:dyDescent="0.25">
      <c r="C160" s="1"/>
      <c r="D160" s="104"/>
      <c r="E160" s="1"/>
      <c r="F160" s="1"/>
      <c r="G160" s="1"/>
      <c r="H160" s="1"/>
      <c r="I160" s="1"/>
    </row>
    <row r="161" spans="2:33" x14ac:dyDescent="0.25">
      <c r="C161" s="1"/>
      <c r="D161" s="1"/>
      <c r="E161" s="1"/>
      <c r="F161" s="1"/>
      <c r="G161" s="1"/>
      <c r="H161" s="1"/>
      <c r="I161" s="1"/>
    </row>
    <row r="162" spans="2:33" x14ac:dyDescent="0.25">
      <c r="C162" s="1"/>
      <c r="D162" s="1"/>
      <c r="E162" s="1"/>
      <c r="F162" s="1"/>
      <c r="G162" s="1"/>
      <c r="H162" s="1"/>
      <c r="I162" s="1"/>
    </row>
    <row r="163" spans="2:33" x14ac:dyDescent="0.25">
      <c r="C163" s="1"/>
      <c r="D163" s="1"/>
      <c r="E163" s="1"/>
      <c r="F163" s="1"/>
      <c r="G163" s="1"/>
      <c r="H163" s="1"/>
      <c r="I163" s="1"/>
    </row>
    <row r="164" spans="2:33" x14ac:dyDescent="0.25">
      <c r="C164" s="1"/>
      <c r="D164" s="1"/>
      <c r="E164" s="1"/>
      <c r="F164" s="1"/>
      <c r="G164" s="1"/>
      <c r="H164" s="1"/>
      <c r="I164" s="1"/>
    </row>
    <row r="165" spans="2:33" x14ac:dyDescent="0.25">
      <c r="C165" s="1"/>
      <c r="D165" s="1"/>
      <c r="E165" s="1"/>
      <c r="F165" s="1"/>
      <c r="G165" s="1"/>
      <c r="H165" s="1"/>
      <c r="I165" s="1"/>
    </row>
    <row r="166" spans="2:33" x14ac:dyDescent="0.25">
      <c r="C166" s="9" t="s">
        <v>313</v>
      </c>
    </row>
    <row r="167" spans="2:33" ht="15.75" thickBot="1" x14ac:dyDescent="0.3">
      <c r="B167" t="s">
        <v>1441</v>
      </c>
      <c r="D167" t="s">
        <v>99</v>
      </c>
      <c r="E167" t="s">
        <v>100</v>
      </c>
      <c r="F167" s="9" t="s">
        <v>101</v>
      </c>
      <c r="G167" s="9" t="s">
        <v>103</v>
      </c>
      <c r="H167" s="9" t="s">
        <v>119</v>
      </c>
      <c r="I167" s="1"/>
    </row>
    <row r="168" spans="2:33" ht="30.75" thickBot="1" x14ac:dyDescent="0.3">
      <c r="C168" s="96" t="s">
        <v>318</v>
      </c>
      <c r="D168" s="4573">
        <v>0.159</v>
      </c>
      <c r="E168" s="4574">
        <v>1.0900000000000001</v>
      </c>
      <c r="F168" s="4574">
        <v>2.08</v>
      </c>
      <c r="G168" s="4574">
        <v>1.45</v>
      </c>
      <c r="H168" s="4575">
        <v>0.97</v>
      </c>
      <c r="I168" s="1813"/>
    </row>
    <row r="169" spans="2:33" ht="30.75" thickBot="1" x14ac:dyDescent="0.3">
      <c r="C169" s="3017" t="s">
        <v>1055</v>
      </c>
      <c r="D169" s="2181">
        <v>0.06</v>
      </c>
      <c r="E169" s="2182">
        <v>0.34</v>
      </c>
      <c r="F169" s="2182">
        <v>0.69</v>
      </c>
      <c r="G169" s="3089">
        <v>1.04</v>
      </c>
      <c r="H169" s="2182">
        <v>0.51</v>
      </c>
      <c r="I169" s="1814"/>
    </row>
    <row r="170" spans="2:33" ht="15.75" thickBot="1" x14ac:dyDescent="0.3">
      <c r="C170" t="s">
        <v>694</v>
      </c>
      <c r="D170" s="2183">
        <v>98</v>
      </c>
      <c r="E170" s="2184">
        <v>34</v>
      </c>
      <c r="F170" s="2184">
        <v>49</v>
      </c>
      <c r="G170" s="2184">
        <v>74</v>
      </c>
      <c r="H170" s="2184">
        <v>81</v>
      </c>
    </row>
    <row r="175" spans="2:33" ht="15.75" thickBot="1" x14ac:dyDescent="0.3">
      <c r="B175" t="s">
        <v>696</v>
      </c>
      <c r="AF175" t="s">
        <v>946</v>
      </c>
    </row>
    <row r="176" spans="2:33" x14ac:dyDescent="0.25">
      <c r="B176" t="s">
        <v>321</v>
      </c>
      <c r="C176" t="s">
        <v>695</v>
      </c>
      <c r="N176" s="10" t="s">
        <v>953</v>
      </c>
      <c r="O176" s="15"/>
      <c r="P176" s="15"/>
      <c r="Q176" s="11"/>
      <c r="R176" s="10"/>
      <c r="S176" s="15" t="s">
        <v>945</v>
      </c>
      <c r="T176" s="15"/>
      <c r="U176" s="11"/>
      <c r="AF176" t="s">
        <v>307</v>
      </c>
      <c r="AG176" t="s">
        <v>308</v>
      </c>
    </row>
    <row r="177" spans="2:33" ht="18" x14ac:dyDescent="0.35">
      <c r="C177" t="s">
        <v>146</v>
      </c>
      <c r="D177" t="s">
        <v>155</v>
      </c>
      <c r="E177" t="s">
        <v>322</v>
      </c>
      <c r="N177" s="12"/>
      <c r="O177" s="1"/>
      <c r="P177" s="1"/>
      <c r="Q177" s="13"/>
      <c r="R177" s="12"/>
      <c r="S177" s="1" t="s">
        <v>942</v>
      </c>
      <c r="T177" s="1" t="s">
        <v>943</v>
      </c>
      <c r="U177" s="13" t="s">
        <v>944</v>
      </c>
      <c r="AE177" t="s">
        <v>99</v>
      </c>
      <c r="AF177" s="54">
        <f>'SR archived'!C29</f>
        <v>6578.3609926839099</v>
      </c>
      <c r="AG177" s="54">
        <f>'SR archived'!C30</f>
        <v>208652.62260960002</v>
      </c>
    </row>
    <row r="178" spans="2:33" ht="30" x14ac:dyDescent="0.25">
      <c r="B178" t="s">
        <v>92</v>
      </c>
      <c r="C178">
        <v>37.26</v>
      </c>
      <c r="D178">
        <v>25.34</v>
      </c>
      <c r="E178">
        <v>30.93</v>
      </c>
      <c r="N178" s="12"/>
      <c r="O178" s="1" t="s">
        <v>684</v>
      </c>
      <c r="P178" s="104" t="s">
        <v>954</v>
      </c>
      <c r="Q178" s="2503" t="s">
        <v>955</v>
      </c>
      <c r="R178" s="12" t="s">
        <v>155</v>
      </c>
      <c r="S178" s="2499">
        <f>'SR archived'!Y32</f>
        <v>0.15157373632351234</v>
      </c>
      <c r="T178" s="2499">
        <f>'SR archived'!Y33</f>
        <v>3.1655246207288684E-2</v>
      </c>
      <c r="U178" s="2500">
        <v>1.2999999999999999E-3</v>
      </c>
      <c r="AE178" t="s">
        <v>100</v>
      </c>
      <c r="AF178" s="54">
        <f>'SR archived'!D29</f>
        <v>6026.5007256605631</v>
      </c>
      <c r="AG178" s="54">
        <f>'SR archived'!D30</f>
        <v>173719.28098107025</v>
      </c>
    </row>
    <row r="179" spans="2:33" ht="15.75" thickBot="1" x14ac:dyDescent="0.3">
      <c r="B179" t="s">
        <v>93</v>
      </c>
      <c r="C179">
        <v>33.33</v>
      </c>
      <c r="D179">
        <v>32.979999999999997</v>
      </c>
      <c r="E179">
        <v>29.29</v>
      </c>
      <c r="N179" s="14" t="s">
        <v>228</v>
      </c>
      <c r="O179" s="16">
        <v>33.520000000000003</v>
      </c>
      <c r="P179" s="16">
        <v>28.7</v>
      </c>
      <c r="Q179" s="812">
        <v>36.78</v>
      </c>
      <c r="R179" s="12" t="s">
        <v>941</v>
      </c>
      <c r="S179" s="2499">
        <f>'SR archived'!Q32</f>
        <v>0.13102697148069151</v>
      </c>
      <c r="T179" s="2499">
        <f>'SR archived'!Q33</f>
        <v>2.8023602035699775E-2</v>
      </c>
      <c r="U179" s="2500">
        <v>1.1000000000000001E-3</v>
      </c>
      <c r="AE179" t="s">
        <v>101</v>
      </c>
      <c r="AF179" s="54">
        <f>'SR archived'!F29</f>
        <v>1902.4859576822857</v>
      </c>
      <c r="AG179" s="54">
        <f>'SR archived'!F30</f>
        <v>45431.630815999997</v>
      </c>
    </row>
    <row r="180" spans="2:33" ht="15.75" thickBot="1" x14ac:dyDescent="0.3">
      <c r="B180" t="s">
        <v>94</v>
      </c>
      <c r="C180">
        <v>31.53</v>
      </c>
      <c r="D180">
        <v>34.07</v>
      </c>
      <c r="E180" s="854">
        <v>28.42</v>
      </c>
      <c r="R180" s="14" t="s">
        <v>684</v>
      </c>
      <c r="S180" s="2501">
        <f>'SR archived'!H32</f>
        <v>0.13362301325638104</v>
      </c>
      <c r="T180" s="2501">
        <f>'SR archived'!H33</f>
        <v>3.8878210570624828E-2</v>
      </c>
      <c r="U180" s="2502">
        <v>1E-3</v>
      </c>
      <c r="AE180" t="s">
        <v>103</v>
      </c>
      <c r="AF180" s="54">
        <f>'SR archived'!G29</f>
        <v>12997.668556735862</v>
      </c>
      <c r="AG180" s="54">
        <f>'SR archived'!G30</f>
        <v>23644.038812775983</v>
      </c>
    </row>
    <row r="181" spans="2:33" x14ac:dyDescent="0.25">
      <c r="B181" t="s">
        <v>95</v>
      </c>
      <c r="C181">
        <v>33.33</v>
      </c>
      <c r="D181">
        <v>31.65</v>
      </c>
      <c r="E181">
        <v>26.85</v>
      </c>
      <c r="AE181" s="129" t="s">
        <v>947</v>
      </c>
      <c r="AF181" s="54">
        <f>'SR archived'!E29</f>
        <v>291.43361510670542</v>
      </c>
      <c r="AG181" s="54">
        <f>'SR archived'!E30</f>
        <v>352.50122720000002</v>
      </c>
    </row>
    <row r="182" spans="2:33" x14ac:dyDescent="0.25">
      <c r="B182" t="s">
        <v>323</v>
      </c>
      <c r="C182">
        <v>33.799999999999997</v>
      </c>
      <c r="D182">
        <v>30.6</v>
      </c>
      <c r="E182">
        <v>28.81</v>
      </c>
      <c r="AE182" t="s">
        <v>143</v>
      </c>
      <c r="AF182" s="54">
        <f>'SR archived'!H29</f>
        <v>27796.449847869328</v>
      </c>
      <c r="AG182" s="54">
        <f>'SR archived'!H30</f>
        <v>451800.07444664621</v>
      </c>
    </row>
    <row r="192" spans="2:33" s="9" customFormat="1" x14ac:dyDescent="0.25">
      <c r="C192" s="1"/>
      <c r="D192" s="1"/>
      <c r="E192" s="1"/>
      <c r="F192" s="1"/>
      <c r="G192" s="1"/>
      <c r="H192" s="1"/>
      <c r="I192" s="1"/>
    </row>
    <row r="193" spans="2:38" s="9" customFormat="1" x14ac:dyDescent="0.25">
      <c r="C193" s="4579"/>
      <c r="D193" s="253"/>
      <c r="E193" s="253"/>
      <c r="F193" s="253"/>
      <c r="G193" s="253"/>
      <c r="H193" s="253"/>
      <c r="I193" s="1"/>
    </row>
    <row r="194" spans="2:38" s="9" customFormat="1" x14ac:dyDescent="0.25">
      <c r="C194" s="4550"/>
      <c r="D194" s="253"/>
      <c r="E194" s="253"/>
      <c r="F194" s="253"/>
      <c r="G194" s="1"/>
      <c r="H194" s="253"/>
      <c r="I194" s="1"/>
    </row>
    <row r="195" spans="2:38" s="9" customFormat="1" x14ac:dyDescent="0.25">
      <c r="C195" s="4550"/>
      <c r="D195" s="44"/>
      <c r="E195" s="44"/>
      <c r="F195" s="138"/>
      <c r="G195" s="1660"/>
      <c r="H195" s="138"/>
      <c r="I195" s="1"/>
    </row>
    <row r="196" spans="2:38" s="9" customFormat="1" ht="15.75" thickBot="1" x14ac:dyDescent="0.3">
      <c r="B196" t="s">
        <v>1056</v>
      </c>
      <c r="C196"/>
      <c r="D196"/>
      <c r="E196" s="4581"/>
      <c r="F196" s="4580"/>
      <c r="G196" s="4580"/>
      <c r="H196" s="4580"/>
      <c r="I196" s="1"/>
      <c r="R196" s="9" t="s">
        <v>94</v>
      </c>
    </row>
    <row r="197" spans="2:38" s="9" customFormat="1" x14ac:dyDescent="0.25">
      <c r="C197" s="4594" t="s">
        <v>1438</v>
      </c>
      <c r="D197" s="15"/>
      <c r="E197" s="15"/>
      <c r="F197" s="15"/>
      <c r="G197" s="15"/>
      <c r="H197" s="11"/>
    </row>
    <row r="198" spans="2:38" s="9" customFormat="1" x14ac:dyDescent="0.25">
      <c r="C198" s="12"/>
      <c r="D198" s="1" t="s">
        <v>99</v>
      </c>
      <c r="E198" s="1" t="s">
        <v>100</v>
      </c>
      <c r="F198" s="1" t="s">
        <v>101</v>
      </c>
      <c r="G198" s="1" t="s">
        <v>103</v>
      </c>
      <c r="H198" s="13" t="s">
        <v>119</v>
      </c>
    </row>
    <row r="199" spans="2:38" s="9" customFormat="1" x14ac:dyDescent="0.25">
      <c r="C199" s="2834" t="s">
        <v>875</v>
      </c>
      <c r="D199" s="4582">
        <v>62.66</v>
      </c>
      <c r="E199" s="4582">
        <v>45.74</v>
      </c>
      <c r="F199" s="4582">
        <v>66.05</v>
      </c>
      <c r="G199" s="4582">
        <v>11.56</v>
      </c>
      <c r="H199" s="4583">
        <v>36.799999999999997</v>
      </c>
    </row>
    <row r="200" spans="2:38" s="9" customFormat="1" ht="18.75" x14ac:dyDescent="0.35">
      <c r="C200" s="2834" t="s">
        <v>886</v>
      </c>
      <c r="D200" s="4582">
        <v>49.002168007984288</v>
      </c>
      <c r="E200" s="4582">
        <v>55.38</v>
      </c>
      <c r="F200" s="4582">
        <v>64.989999999999995</v>
      </c>
      <c r="G200" s="4582">
        <v>9.01</v>
      </c>
      <c r="H200" s="4583">
        <v>28.7</v>
      </c>
      <c r="AE200" s="9" t="s">
        <v>952</v>
      </c>
      <c r="AJ200" s="9" t="s">
        <v>951</v>
      </c>
    </row>
    <row r="201" spans="2:38" s="9" customFormat="1" ht="15.75" thickBot="1" x14ac:dyDescent="0.3">
      <c r="C201" s="2834" t="s">
        <v>887</v>
      </c>
      <c r="D201" s="4582">
        <v>42.01</v>
      </c>
      <c r="E201" s="4582">
        <v>56.97</v>
      </c>
      <c r="F201" s="4582">
        <v>46.78</v>
      </c>
      <c r="G201" s="4582">
        <v>9.4</v>
      </c>
      <c r="H201" s="4583">
        <v>33.619999999999997</v>
      </c>
      <c r="AF201" s="9" t="s">
        <v>307</v>
      </c>
      <c r="AG201" s="9" t="s">
        <v>308</v>
      </c>
      <c r="AK201" s="9" t="s">
        <v>307</v>
      </c>
      <c r="AL201" s="9" t="s">
        <v>308</v>
      </c>
    </row>
    <row r="202" spans="2:38" s="9" customFormat="1" ht="15.75" thickBot="1" x14ac:dyDescent="0.3">
      <c r="C202" s="2834" t="s">
        <v>967</v>
      </c>
      <c r="D202" s="4577">
        <v>47.43</v>
      </c>
      <c r="E202" s="4578">
        <v>56.99</v>
      </c>
      <c r="F202" s="4578">
        <v>48.99</v>
      </c>
      <c r="G202" s="4578">
        <v>10.48</v>
      </c>
      <c r="H202" s="3353">
        <v>37.020000000000003</v>
      </c>
      <c r="AE202" s="9" t="s">
        <v>145</v>
      </c>
      <c r="AF202" s="73">
        <f>'SR archived'!F14</f>
        <v>55036.51</v>
      </c>
      <c r="AG202" s="73">
        <f>'SR archived'!F15</f>
        <v>530823.73</v>
      </c>
      <c r="AJ202" s="9" t="s">
        <v>145</v>
      </c>
      <c r="AK202" s="9">
        <v>55</v>
      </c>
      <c r="AL202" s="9">
        <v>531</v>
      </c>
    </row>
    <row r="203" spans="2:38" s="9" customFormat="1" x14ac:dyDescent="0.25">
      <c r="C203" s="12"/>
      <c r="D203" s="1"/>
      <c r="E203" s="1"/>
      <c r="F203" s="1"/>
      <c r="G203" s="1"/>
      <c r="H203" s="13"/>
      <c r="AE203" s="9" t="s">
        <v>146</v>
      </c>
      <c r="AF203" s="445">
        <f>'SR archived'!G14</f>
        <v>43803.63</v>
      </c>
      <c r="AG203" s="445">
        <f>'SR archived'!G15</f>
        <v>559586.68000000005</v>
      </c>
      <c r="AJ203" s="9" t="s">
        <v>146</v>
      </c>
      <c r="AK203" s="9">
        <v>44</v>
      </c>
      <c r="AL203" s="9">
        <v>560</v>
      </c>
    </row>
    <row r="204" spans="2:38" ht="15.75" thickBot="1" x14ac:dyDescent="0.3">
      <c r="C204" s="14"/>
      <c r="D204" s="16"/>
      <c r="E204" s="16"/>
      <c r="F204" s="16"/>
      <c r="G204" s="16"/>
      <c r="H204" s="812"/>
      <c r="AE204" t="s">
        <v>155</v>
      </c>
      <c r="AF204" s="445">
        <f>'SR archived'!I14</f>
        <v>52580.222650792843</v>
      </c>
      <c r="AG204" s="445">
        <f>'SR archived'!I15</f>
        <v>576326.95331727993</v>
      </c>
      <c r="AJ204" t="s">
        <v>155</v>
      </c>
      <c r="AK204">
        <v>53</v>
      </c>
      <c r="AL204">
        <v>576</v>
      </c>
    </row>
    <row r="205" spans="2:38" x14ac:dyDescent="0.25">
      <c r="AE205" t="s">
        <v>322</v>
      </c>
      <c r="AF205" s="445">
        <f>'SR archived'!L14</f>
        <v>49752.769311927957</v>
      </c>
      <c r="AG205" s="445">
        <f>'SR archived'!L15</f>
        <v>586745.82575357903</v>
      </c>
      <c r="AJ205" t="s">
        <v>322</v>
      </c>
      <c r="AK205">
        <v>50</v>
      </c>
      <c r="AL205">
        <v>587</v>
      </c>
    </row>
    <row r="206" spans="2:38" ht="15.75" thickBot="1" x14ac:dyDescent="0.3">
      <c r="B206" t="s">
        <v>324</v>
      </c>
      <c r="C206" s="840"/>
      <c r="D206" s="840"/>
      <c r="E206" s="840"/>
      <c r="AE206" t="s">
        <v>684</v>
      </c>
      <c r="AF206" s="445">
        <f>'SR archived'!N14</f>
        <v>27796.453882502552</v>
      </c>
      <c r="AG206" s="445">
        <f>'SR archived'!N15</f>
        <v>451800.07444664626</v>
      </c>
      <c r="AJ206" t="s">
        <v>684</v>
      </c>
      <c r="AK206">
        <v>38</v>
      </c>
      <c r="AL206">
        <v>437</v>
      </c>
    </row>
    <row r="207" spans="2:38" x14ac:dyDescent="0.25">
      <c r="B207" s="10"/>
      <c r="C207" s="15" t="s">
        <v>1447</v>
      </c>
      <c r="D207" s="15"/>
      <c r="E207" s="15"/>
      <c r="F207" s="15"/>
      <c r="G207" s="15"/>
      <c r="H207" s="11"/>
    </row>
    <row r="208" spans="2:38" s="9" customFormat="1" x14ac:dyDescent="0.25">
      <c r="B208" s="12"/>
      <c r="C208" s="1" t="s">
        <v>92</v>
      </c>
      <c r="D208" s="1" t="s">
        <v>93</v>
      </c>
      <c r="E208" s="1" t="s">
        <v>94</v>
      </c>
      <c r="F208" s="1" t="s">
        <v>95</v>
      </c>
      <c r="G208" s="1" t="s">
        <v>967</v>
      </c>
      <c r="H208" s="22" t="s">
        <v>684</v>
      </c>
    </row>
    <row r="209" spans="1:31" x14ac:dyDescent="0.25">
      <c r="B209" s="12" t="s">
        <v>99</v>
      </c>
      <c r="C209" s="829">
        <v>497.50740000000002</v>
      </c>
      <c r="D209" s="829">
        <v>371.09180000000003</v>
      </c>
      <c r="E209" s="161">
        <v>531.2978999999998</v>
      </c>
      <c r="F209" s="4595">
        <v>131.37999999999997</v>
      </c>
      <c r="G209" s="4595">
        <v>1531.2770999999998</v>
      </c>
      <c r="H209" s="13">
        <v>4132</v>
      </c>
    </row>
    <row r="210" spans="1:31" x14ac:dyDescent="0.25">
      <c r="B210" s="12" t="s">
        <v>100</v>
      </c>
      <c r="C210" s="829">
        <v>380.40630000000004</v>
      </c>
      <c r="D210" s="161">
        <v>372.96299999999997</v>
      </c>
      <c r="E210" s="161">
        <v>199.57399999999998</v>
      </c>
      <c r="F210" s="4595">
        <v>31.83</v>
      </c>
      <c r="G210" s="4595">
        <v>984.77330000000006</v>
      </c>
      <c r="H210" s="13">
        <v>2786</v>
      </c>
    </row>
    <row r="211" spans="1:31" x14ac:dyDescent="0.25">
      <c r="B211" s="12" t="s">
        <v>101</v>
      </c>
      <c r="C211" s="829">
        <v>96.29</v>
      </c>
      <c r="D211" s="829">
        <v>128.97999999999999</v>
      </c>
      <c r="E211" s="161">
        <v>245.25000000000003</v>
      </c>
      <c r="F211" s="4595">
        <v>76.180000000000007</v>
      </c>
      <c r="G211" s="4595">
        <v>546.70000000000005</v>
      </c>
      <c r="H211" s="13">
        <v>432</v>
      </c>
    </row>
    <row r="212" spans="1:31" x14ac:dyDescent="0.25">
      <c r="B212" s="12" t="s">
        <v>103</v>
      </c>
      <c r="C212" s="161">
        <v>712.0085499999999</v>
      </c>
      <c r="D212" s="829">
        <v>588.08900499999993</v>
      </c>
      <c r="E212" s="161">
        <v>565.39773500000001</v>
      </c>
      <c r="F212" s="4595">
        <v>554.34071500000005</v>
      </c>
      <c r="G212" s="4595">
        <v>2419.8360050000001</v>
      </c>
      <c r="H212" s="13">
        <v>2462</v>
      </c>
    </row>
    <row r="213" spans="1:31" ht="15.75" thickBot="1" x14ac:dyDescent="0.3">
      <c r="B213" s="14" t="s">
        <v>120</v>
      </c>
      <c r="C213" s="1933">
        <f>Waste!C70</f>
        <v>1688.75225</v>
      </c>
      <c r="D213" s="1933">
        <f>Waste!D70</f>
        <v>1474.5638049999998</v>
      </c>
      <c r="E213" s="1933">
        <f>Waste!E70</f>
        <v>1557.9196349999997</v>
      </c>
      <c r="F213" s="4596">
        <f>Waste!F70</f>
        <v>793.73071500000003</v>
      </c>
      <c r="G213" s="4596">
        <f>Waste!G70</f>
        <v>5514.9664050000001</v>
      </c>
      <c r="H213" s="812">
        <f>SUM(H209:H212)</f>
        <v>9812</v>
      </c>
    </row>
    <row r="214" spans="1:31" ht="15.75" thickBot="1" x14ac:dyDescent="0.3">
      <c r="C214" s="840"/>
    </row>
    <row r="215" spans="1:31" x14ac:dyDescent="0.25">
      <c r="A215" s="9" t="s">
        <v>1438</v>
      </c>
      <c r="B215" s="10" t="s">
        <v>1446</v>
      </c>
      <c r="C215" s="143"/>
      <c r="D215" s="15"/>
      <c r="E215" s="15"/>
      <c r="F215" s="11"/>
    </row>
    <row r="216" spans="1:31" x14ac:dyDescent="0.25">
      <c r="B216" s="21" t="s">
        <v>107</v>
      </c>
      <c r="C216" s="1" t="s">
        <v>375</v>
      </c>
      <c r="D216" s="4603" t="s">
        <v>1442</v>
      </c>
      <c r="E216" s="1" t="s">
        <v>1443</v>
      </c>
      <c r="F216" s="13" t="s">
        <v>1444</v>
      </c>
    </row>
    <row r="217" spans="1:31" x14ac:dyDescent="0.25">
      <c r="B217" s="12" t="s">
        <v>99</v>
      </c>
      <c r="C217" s="4599">
        <v>34.64</v>
      </c>
      <c r="D217" s="4599">
        <v>294.15999999999997</v>
      </c>
      <c r="E217" s="4599">
        <v>1201.6969999999999</v>
      </c>
      <c r="F217" s="4602">
        <v>1531.2770999999998</v>
      </c>
    </row>
    <row r="218" spans="1:31" x14ac:dyDescent="0.25">
      <c r="B218" s="12" t="s">
        <v>100</v>
      </c>
      <c r="C218" s="4599">
        <v>75.37</v>
      </c>
      <c r="D218" s="4599">
        <v>144.06300000000002</v>
      </c>
      <c r="E218" s="4599">
        <v>763.09040000000005</v>
      </c>
      <c r="F218" s="4602">
        <v>984.77330000000006</v>
      </c>
    </row>
    <row r="219" spans="1:31" x14ac:dyDescent="0.25">
      <c r="B219" s="12" t="s">
        <v>101</v>
      </c>
      <c r="C219" s="4599">
        <v>30.3</v>
      </c>
      <c r="D219" s="4599">
        <v>150.96</v>
      </c>
      <c r="E219" s="4599">
        <v>365.44</v>
      </c>
      <c r="F219" s="4602">
        <v>546.70000000000005</v>
      </c>
    </row>
    <row r="220" spans="1:31" x14ac:dyDescent="0.25">
      <c r="B220" s="12" t="s">
        <v>103</v>
      </c>
      <c r="C220" s="4599">
        <v>0</v>
      </c>
      <c r="D220" s="4598">
        <v>2279.9449999999997</v>
      </c>
      <c r="E220" s="4599">
        <v>129.97313499999998</v>
      </c>
      <c r="F220" s="4602">
        <v>2419.8360050000001</v>
      </c>
    </row>
    <row r="221" spans="1:31" x14ac:dyDescent="0.25">
      <c r="B221" s="12" t="s">
        <v>120</v>
      </c>
      <c r="C221" s="4599">
        <v>140.31</v>
      </c>
      <c r="D221" s="4600">
        <v>2869.1279999999997</v>
      </c>
      <c r="E221" s="4599">
        <v>2460.2005349999999</v>
      </c>
      <c r="F221" s="4602">
        <v>5482.586405</v>
      </c>
      <c r="AA221" s="4997" t="s">
        <v>1210</v>
      </c>
      <c r="AB221" s="4997"/>
      <c r="AC221" s="4997"/>
    </row>
    <row r="222" spans="1:31" x14ac:dyDescent="0.25">
      <c r="A222" s="9" t="s">
        <v>1438</v>
      </c>
      <c r="B222" s="12"/>
      <c r="C222" t="s">
        <v>375</v>
      </c>
      <c r="D222" s="1" t="s">
        <v>1442</v>
      </c>
      <c r="E222" s="1" t="s">
        <v>1443</v>
      </c>
      <c r="F222" s="13"/>
      <c r="Q222" t="s">
        <v>1445</v>
      </c>
      <c r="S222" s="9"/>
      <c r="T222" s="9"/>
      <c r="U222" s="9"/>
      <c r="V222" s="9"/>
      <c r="W222" s="9"/>
      <c r="AA222" t="s">
        <v>99</v>
      </c>
      <c r="AB222" t="s">
        <v>100</v>
      </c>
      <c r="AC222" t="s">
        <v>101</v>
      </c>
      <c r="AD222" t="s">
        <v>103</v>
      </c>
      <c r="AE222" t="s">
        <v>143</v>
      </c>
    </row>
    <row r="223" spans="1:31" x14ac:dyDescent="0.25">
      <c r="B223" s="12" t="s">
        <v>99</v>
      </c>
      <c r="C223" s="4601">
        <f>C217/F217</f>
        <v>2.2621640459457016E-2</v>
      </c>
      <c r="D223" s="4601">
        <f>D217/F217</f>
        <v>0.19210108999866843</v>
      </c>
      <c r="E223" s="4601">
        <f>E217/F217</f>
        <v>0.78476782549677004</v>
      </c>
      <c r="F223" s="13"/>
      <c r="S223" s="9"/>
      <c r="T223" s="1826"/>
      <c r="U223" s="1826"/>
      <c r="V223" s="1826"/>
      <c r="W223" s="1826"/>
      <c r="X223" s="903"/>
      <c r="Z223" s="129" t="s">
        <v>697</v>
      </c>
      <c r="AA223">
        <v>92</v>
      </c>
      <c r="AB223">
        <v>45</v>
      </c>
      <c r="AC223">
        <v>83</v>
      </c>
      <c r="AD223">
        <v>11</v>
      </c>
      <c r="AE223">
        <v>56</v>
      </c>
    </row>
    <row r="224" spans="1:31" x14ac:dyDescent="0.25">
      <c r="B224" s="12" t="s">
        <v>100</v>
      </c>
      <c r="C224" s="4601">
        <f t="shared" ref="C224:C227" si="0">C218/F218</f>
        <v>7.65353812902929E-2</v>
      </c>
      <c r="D224" s="4601">
        <f t="shared" ref="D224:D227" si="1">D218/F218</f>
        <v>0.14629052188965724</v>
      </c>
      <c r="E224" s="4601">
        <f t="shared" ref="E224:E227" si="2">E218/F218</f>
        <v>0.77488940855727917</v>
      </c>
      <c r="F224" s="13"/>
      <c r="S224" s="9"/>
      <c r="T224" s="1826"/>
      <c r="U224" s="1826"/>
      <c r="V224" s="1826"/>
      <c r="W224" s="1826"/>
      <c r="X224" s="903"/>
      <c r="Z224" s="129" t="s">
        <v>1057</v>
      </c>
      <c r="AA224">
        <v>79</v>
      </c>
      <c r="AB224">
        <v>76</v>
      </c>
      <c r="AC224">
        <v>72</v>
      </c>
      <c r="AD224">
        <v>17</v>
      </c>
      <c r="AE224">
        <v>51</v>
      </c>
    </row>
    <row r="225" spans="1:31" x14ac:dyDescent="0.25">
      <c r="B225" s="12" t="s">
        <v>101</v>
      </c>
      <c r="C225" s="4601">
        <f t="shared" si="0"/>
        <v>5.5423449789646972E-2</v>
      </c>
      <c r="D225" s="4601">
        <f t="shared" si="1"/>
        <v>0.2761295042985184</v>
      </c>
      <c r="E225" s="4601">
        <f t="shared" si="2"/>
        <v>0.66844704591183457</v>
      </c>
      <c r="F225" s="13"/>
      <c r="S225" s="9"/>
      <c r="T225" s="1826"/>
      <c r="U225" s="1826"/>
      <c r="V225" s="1826"/>
      <c r="W225" s="1826"/>
      <c r="X225" s="903"/>
      <c r="Z225" s="129" t="s">
        <v>1107</v>
      </c>
      <c r="AA225">
        <v>91</v>
      </c>
      <c r="AB225">
        <v>13</v>
      </c>
      <c r="AC225">
        <v>0</v>
      </c>
      <c r="AD225">
        <v>16</v>
      </c>
      <c r="AE225">
        <v>52</v>
      </c>
    </row>
    <row r="226" spans="1:31" x14ac:dyDescent="0.25">
      <c r="B226" s="12" t="s">
        <v>103</v>
      </c>
      <c r="C226" s="4601">
        <f t="shared" si="0"/>
        <v>0</v>
      </c>
      <c r="D226" s="4601">
        <f t="shared" si="1"/>
        <v>0.94218988199574272</v>
      </c>
      <c r="E226" s="4601">
        <f t="shared" si="2"/>
        <v>5.371154686988798E-2</v>
      </c>
      <c r="F226" s="13"/>
      <c r="S226" s="9"/>
      <c r="T226" s="1826"/>
      <c r="U226" s="1826"/>
      <c r="V226" s="1826"/>
      <c r="W226" s="1826"/>
      <c r="X226" s="903"/>
      <c r="Z226" s="129" t="s">
        <v>1108</v>
      </c>
      <c r="AA226">
        <v>75</v>
      </c>
      <c r="AB226">
        <v>76</v>
      </c>
      <c r="AC226">
        <v>62</v>
      </c>
      <c r="AD226">
        <v>0.5</v>
      </c>
      <c r="AE226">
        <v>45</v>
      </c>
    </row>
    <row r="227" spans="1:31" x14ac:dyDescent="0.25">
      <c r="B227" s="12" t="s">
        <v>120</v>
      </c>
      <c r="C227" s="4601">
        <f t="shared" si="0"/>
        <v>2.559193592864133E-2</v>
      </c>
      <c r="D227" s="4601">
        <f t="shared" si="1"/>
        <v>0.52331651305730764</v>
      </c>
      <c r="E227" s="4601">
        <f t="shared" si="2"/>
        <v>0.44872991563914988</v>
      </c>
      <c r="F227" s="13"/>
      <c r="S227" s="9"/>
      <c r="T227" s="1826"/>
      <c r="U227" s="1826"/>
      <c r="V227" s="1826"/>
      <c r="W227" s="1826"/>
      <c r="X227" s="903"/>
      <c r="Z227" t="s">
        <v>1207</v>
      </c>
      <c r="AA227">
        <v>73</v>
      </c>
      <c r="AB227">
        <v>78</v>
      </c>
      <c r="AC227">
        <v>64</v>
      </c>
      <c r="AD227">
        <v>5</v>
      </c>
      <c r="AE227">
        <v>50</v>
      </c>
    </row>
    <row r="228" spans="1:31" ht="15.75" thickBot="1" x14ac:dyDescent="0.3">
      <c r="B228" s="14"/>
      <c r="C228" s="4597"/>
      <c r="D228" s="16"/>
      <c r="E228" s="16"/>
      <c r="F228" s="812"/>
      <c r="Z228" t="s">
        <v>1206</v>
      </c>
      <c r="AA228">
        <v>83</v>
      </c>
      <c r="AB228">
        <v>79</v>
      </c>
      <c r="AC228">
        <v>63</v>
      </c>
      <c r="AD228">
        <v>1</v>
      </c>
      <c r="AE228">
        <v>49</v>
      </c>
    </row>
    <row r="229" spans="1:31" x14ac:dyDescent="0.25">
      <c r="B229" s="9"/>
      <c r="C229" s="9"/>
      <c r="Z229" t="s">
        <v>1208</v>
      </c>
    </row>
    <row r="230" spans="1:31" x14ac:dyDescent="0.25">
      <c r="B230" s="9"/>
      <c r="C230" s="9"/>
      <c r="Z230" t="s">
        <v>1209</v>
      </c>
    </row>
    <row r="231" spans="1:31" x14ac:dyDescent="0.25">
      <c r="B231" s="9"/>
      <c r="C231" s="9"/>
    </row>
    <row r="232" spans="1:31" x14ac:dyDescent="0.25">
      <c r="B232" s="9"/>
      <c r="C232" s="9"/>
    </row>
    <row r="233" spans="1:31" x14ac:dyDescent="0.25">
      <c r="B233" s="9"/>
      <c r="C233" s="9"/>
    </row>
    <row r="234" spans="1:31" x14ac:dyDescent="0.25">
      <c r="C234" s="4587"/>
      <c r="E234" s="9"/>
      <c r="F234" s="9"/>
    </row>
    <row r="235" spans="1:31" s="9" customFormat="1" x14ac:dyDescent="0.25">
      <c r="A235" s="4587" t="s">
        <v>1210</v>
      </c>
    </row>
    <row r="236" spans="1:31" s="9" customFormat="1" x14ac:dyDescent="0.25">
      <c r="A236" s="129"/>
    </row>
    <row r="237" spans="1:31" s="9" customFormat="1" x14ac:dyDescent="0.25">
      <c r="A237" s="129"/>
      <c r="Q237"/>
      <c r="R237" t="s">
        <v>704</v>
      </c>
      <c r="S237" t="s">
        <v>93</v>
      </c>
      <c r="T237" t="s">
        <v>94</v>
      </c>
      <c r="U237" t="s">
        <v>95</v>
      </c>
    </row>
    <row r="238" spans="1:31" s="9" customFormat="1" x14ac:dyDescent="0.25">
      <c r="A238" s="129"/>
      <c r="Q238">
        <f>W223</f>
        <v>0</v>
      </c>
      <c r="R238" s="1826">
        <f>Waste!C30</f>
        <v>0.79627157304594864</v>
      </c>
      <c r="S238" s="1826">
        <f>Waste!D30</f>
        <v>0.74942372749815545</v>
      </c>
      <c r="T238" s="1826">
        <f>Waste!E30</f>
        <v>0.82846365475941097</v>
      </c>
      <c r="U238" s="1826">
        <f>Waste!F30</f>
        <v>0.6643324706956919</v>
      </c>
    </row>
    <row r="239" spans="1:31" s="9" customFormat="1" x14ac:dyDescent="0.25">
      <c r="A239" s="129"/>
      <c r="Q239">
        <f>W224</f>
        <v>0</v>
      </c>
      <c r="R239" s="1826">
        <f>Waste!H30</f>
        <v>0.75516730401152665</v>
      </c>
      <c r="S239" s="1826">
        <f>Waste!I30</f>
        <v>0.80375265106726412</v>
      </c>
      <c r="T239" s="1826">
        <f>Waste!J30</f>
        <v>0.78547305761271513</v>
      </c>
      <c r="U239" s="1826">
        <f>Waste!K30</f>
        <v>0.60603204524033927</v>
      </c>
    </row>
    <row r="240" spans="1:31" s="9" customFormat="1" x14ac:dyDescent="0.25">
      <c r="Q240">
        <f>W225</f>
        <v>0</v>
      </c>
      <c r="R240" s="1826">
        <f>Waste!M30</f>
        <v>0.7320651624000809</v>
      </c>
      <c r="S240" s="1826">
        <f>Waste!N30</f>
        <v>0.57800870664232551</v>
      </c>
      <c r="T240" s="1826">
        <f>Waste!O30</f>
        <v>0.65381234473533345</v>
      </c>
      <c r="U240" s="1826">
        <f>Waste!P30</f>
        <v>0.76975584142819631</v>
      </c>
    </row>
    <row r="241" spans="1:26" s="9" customFormat="1" x14ac:dyDescent="0.25">
      <c r="Q241">
        <f>W226</f>
        <v>0</v>
      </c>
      <c r="R241" s="1826">
        <f>Waste!R30</f>
        <v>0.16888934830908986</v>
      </c>
      <c r="S241" s="1826">
        <f>Waste!S30</f>
        <v>5.9276996685221151E-3</v>
      </c>
      <c r="T241" s="1826">
        <f>Waste!T30</f>
        <v>8.8800231928767796E-3</v>
      </c>
      <c r="U241" s="1826">
        <f>Waste!U30</f>
        <v>2.1930826423240445E-3</v>
      </c>
    </row>
    <row r="242" spans="1:26" s="9" customFormat="1" x14ac:dyDescent="0.25">
      <c r="Q242">
        <f>W227</f>
        <v>0</v>
      </c>
      <c r="R242" s="1826">
        <f>Waste!C71</f>
        <v>0.51873924076192945</v>
      </c>
      <c r="S242" s="1826">
        <f>Waste!D71</f>
        <v>0.45008633247986174</v>
      </c>
      <c r="T242" s="1826">
        <f>Waste!E71</f>
        <v>0.49618204150819373</v>
      </c>
      <c r="U242" s="1826">
        <f>Waste!F71</f>
        <v>0.2096752864099507</v>
      </c>
    </row>
    <row r="243" spans="1:26" ht="15.75" customHeight="1" x14ac:dyDescent="0.25">
      <c r="B243" s="9"/>
      <c r="C243" s="9"/>
      <c r="D243" s="9"/>
      <c r="E243" s="9"/>
      <c r="F243" s="9"/>
    </row>
    <row r="244" spans="1:26" s="9" customFormat="1" ht="15.75" customHeight="1" x14ac:dyDescent="0.25">
      <c r="N244" s="5274" t="s">
        <v>33</v>
      </c>
      <c r="O244" s="5274"/>
      <c r="P244" s="3933" t="s">
        <v>228</v>
      </c>
      <c r="Q244" s="1998">
        <v>37.015344184983284</v>
      </c>
      <c r="R244" s="3970">
        <v>36.087576139222655</v>
      </c>
      <c r="S244" s="3971">
        <v>47.433998327780614</v>
      </c>
      <c r="T244" s="3972">
        <v>46.758709085778605</v>
      </c>
      <c r="U244" s="3971">
        <v>56.991398484392718</v>
      </c>
      <c r="V244" s="3972">
        <v>55.376228869091207</v>
      </c>
      <c r="W244" s="3971">
        <v>48.989587812112745</v>
      </c>
      <c r="X244" s="3972">
        <v>45.895188565725206</v>
      </c>
      <c r="Y244" s="3971">
        <v>10.478062898136104</v>
      </c>
      <c r="Z244" s="3972">
        <v>10.213762559104817</v>
      </c>
    </row>
    <row r="245" spans="1:26" s="9" customFormat="1" ht="15.75" customHeight="1" x14ac:dyDescent="0.25">
      <c r="N245" s="5275" t="s">
        <v>1301</v>
      </c>
      <c r="O245" s="5275"/>
      <c r="P245" s="4551" t="s">
        <v>228</v>
      </c>
      <c r="Q245" s="3973">
        <v>33.615134981618397</v>
      </c>
      <c r="R245" s="3974">
        <v>33.615134981618418</v>
      </c>
      <c r="S245" s="3975">
        <v>42.007795998974643</v>
      </c>
      <c r="T245" s="3974">
        <v>42.007795998974643</v>
      </c>
      <c r="U245" s="3975">
        <v>56.969000000000001</v>
      </c>
      <c r="V245" s="3974">
        <v>56.969000000000001</v>
      </c>
      <c r="W245" s="3975">
        <v>46.776357004814507</v>
      </c>
      <c r="X245" s="3974">
        <v>46.776357004814507</v>
      </c>
      <c r="Y245" s="3975">
        <v>9.3958230820114075</v>
      </c>
      <c r="Z245" s="3974">
        <v>9.3958230820114075</v>
      </c>
    </row>
    <row r="246" spans="1:26" s="9" customFormat="1" ht="15.75" customHeight="1" x14ac:dyDescent="0.25"/>
    <row r="247" spans="1:26" s="9" customFormat="1" ht="15.75" customHeight="1" x14ac:dyDescent="0.25"/>
    <row r="248" spans="1:26" s="9" customFormat="1" ht="15.75" customHeight="1" x14ac:dyDescent="0.25">
      <c r="A248" s="9" t="s">
        <v>1229</v>
      </c>
    </row>
    <row r="249" spans="1:26" s="9" customFormat="1" ht="15.75" customHeight="1" x14ac:dyDescent="0.25">
      <c r="B249" s="9" t="s">
        <v>795</v>
      </c>
      <c r="C249" s="9" t="s">
        <v>1207</v>
      </c>
      <c r="D249" s="9" t="s">
        <v>1206</v>
      </c>
    </row>
    <row r="250" spans="1:26" s="9" customFormat="1" x14ac:dyDescent="0.25">
      <c r="A250" s="9" t="s">
        <v>99</v>
      </c>
      <c r="B250" s="2442">
        <v>0.13102017824312154</v>
      </c>
      <c r="C250" s="2442">
        <v>0.12782930298476475</v>
      </c>
      <c r="D250" s="2442">
        <v>0.13400000000000001</v>
      </c>
    </row>
    <row r="251" spans="1:26" s="9" customFormat="1" x14ac:dyDescent="0.25">
      <c r="A251" s="9" t="s">
        <v>100</v>
      </c>
      <c r="B251" s="2442">
        <v>0.10404202126991637</v>
      </c>
      <c r="C251" s="2442">
        <v>0.13024492526463163</v>
      </c>
      <c r="D251" s="2442">
        <v>9.9000000000000005E-2</v>
      </c>
    </row>
    <row r="252" spans="1:26" s="9" customFormat="1" x14ac:dyDescent="0.25">
      <c r="A252" s="9" t="s">
        <v>101</v>
      </c>
      <c r="B252" s="2442">
        <v>0.39531627693790927</v>
      </c>
      <c r="C252" s="2442">
        <v>0.68940309165677827</v>
      </c>
      <c r="D252" s="2442">
        <v>0.46</v>
      </c>
    </row>
    <row r="253" spans="1:26" s="9" customFormat="1" x14ac:dyDescent="0.25">
      <c r="A253" s="9" t="s">
        <v>103</v>
      </c>
      <c r="B253" s="2442">
        <v>9.7765973785708477E-2</v>
      </c>
      <c r="C253" s="2442">
        <v>8.9243649796370866E-2</v>
      </c>
      <c r="D253" s="2442">
        <v>0.17100000000000001</v>
      </c>
    </row>
    <row r="254" spans="1:26" s="9" customFormat="1" x14ac:dyDescent="0.25">
      <c r="A254" s="9" t="s">
        <v>143</v>
      </c>
      <c r="B254" s="2442">
        <v>0.12766166154931416</v>
      </c>
      <c r="C254" s="2442">
        <v>0.12481501184025956</v>
      </c>
      <c r="D254" s="2442">
        <v>0.127</v>
      </c>
    </row>
    <row r="257" spans="1:6" x14ac:dyDescent="0.25">
      <c r="B257" t="s">
        <v>698</v>
      </c>
    </row>
    <row r="258" spans="1:6" x14ac:dyDescent="0.25">
      <c r="A258" s="9" t="s">
        <v>322</v>
      </c>
      <c r="B258" t="s">
        <v>92</v>
      </c>
      <c r="C258" t="s">
        <v>93</v>
      </c>
      <c r="D258" t="s">
        <v>94</v>
      </c>
      <c r="E258" t="s">
        <v>95</v>
      </c>
      <c r="F258" t="s">
        <v>322</v>
      </c>
    </row>
    <row r="259" spans="1:6" x14ac:dyDescent="0.25">
      <c r="A259" s="9" t="s">
        <v>99</v>
      </c>
      <c r="B259">
        <v>0.2</v>
      </c>
      <c r="C259">
        <v>0.14000000000000001</v>
      </c>
      <c r="D259">
        <v>0.14000000000000001</v>
      </c>
      <c r="E259">
        <v>0.12</v>
      </c>
      <c r="F259">
        <v>0.15</v>
      </c>
    </row>
    <row r="260" spans="1:6" x14ac:dyDescent="0.25">
      <c r="A260" s="9" t="s">
        <v>100</v>
      </c>
      <c r="B260">
        <v>0.11</v>
      </c>
      <c r="C260">
        <v>0.12</v>
      </c>
      <c r="D260">
        <v>0.11</v>
      </c>
      <c r="E260">
        <v>0.12</v>
      </c>
      <c r="F260">
        <v>0.1</v>
      </c>
    </row>
    <row r="261" spans="1:6" x14ac:dyDescent="0.25">
      <c r="A261" s="9" t="s">
        <v>101</v>
      </c>
      <c r="B261">
        <v>0.79</v>
      </c>
      <c r="C261">
        <v>0.41</v>
      </c>
      <c r="D261">
        <v>0.41</v>
      </c>
      <c r="E261">
        <v>0.23</v>
      </c>
      <c r="F261">
        <v>0.46</v>
      </c>
    </row>
    <row r="262" spans="1:6" x14ac:dyDescent="0.25">
      <c r="A262" s="9" t="s">
        <v>103</v>
      </c>
      <c r="B262">
        <v>0.08</v>
      </c>
      <c r="C262">
        <v>0.08</v>
      </c>
      <c r="D262">
        <v>0.1</v>
      </c>
      <c r="E262">
        <v>0.08</v>
      </c>
      <c r="F262">
        <v>0.03</v>
      </c>
    </row>
    <row r="263" spans="1:6" x14ac:dyDescent="0.25">
      <c r="A263" s="9" t="s">
        <v>143</v>
      </c>
      <c r="B263">
        <v>0.15</v>
      </c>
      <c r="C263">
        <v>0.14000000000000001</v>
      </c>
      <c r="D263">
        <v>0.13</v>
      </c>
      <c r="E263">
        <v>0.13</v>
      </c>
      <c r="F263">
        <v>0.14000000000000001</v>
      </c>
    </row>
    <row r="265" spans="1:6" x14ac:dyDescent="0.25">
      <c r="B265" t="s">
        <v>705</v>
      </c>
      <c r="C265" t="s">
        <v>706</v>
      </c>
      <c r="D265" t="s">
        <v>1108</v>
      </c>
    </row>
    <row r="266" spans="1:6" x14ac:dyDescent="0.25">
      <c r="A266" s="9" t="s">
        <v>99</v>
      </c>
      <c r="B266" s="2442">
        <v>0.13</v>
      </c>
      <c r="C266" s="2442">
        <v>0.14099999999999999</v>
      </c>
      <c r="D266">
        <v>0.14099999999999999</v>
      </c>
    </row>
    <row r="267" spans="1:6" x14ac:dyDescent="0.25">
      <c r="A267" s="9" t="s">
        <v>100</v>
      </c>
      <c r="B267" s="2442">
        <v>0.114</v>
      </c>
      <c r="C267" s="2442">
        <v>0.114</v>
      </c>
      <c r="D267">
        <v>0.121</v>
      </c>
    </row>
    <row r="268" spans="1:6" x14ac:dyDescent="0.25">
      <c r="A268" s="9" t="s">
        <v>101</v>
      </c>
      <c r="B268" s="2442">
        <v>0.40200000000000002</v>
      </c>
      <c r="C268" s="2442">
        <v>1.4910000000000001</v>
      </c>
      <c r="D268">
        <v>0.56100000000000005</v>
      </c>
    </row>
    <row r="269" spans="1:6" x14ac:dyDescent="0.25">
      <c r="A269" s="9" t="s">
        <v>103</v>
      </c>
      <c r="B269" s="2442">
        <v>7.6999999999999999E-2</v>
      </c>
      <c r="C269" s="2442">
        <v>7.2999999999999995E-2</v>
      </c>
      <c r="D269">
        <v>7.6999999999999999E-2</v>
      </c>
    </row>
    <row r="270" spans="1:6" x14ac:dyDescent="0.25">
      <c r="A270" s="9" t="s">
        <v>143</v>
      </c>
      <c r="B270" s="2442">
        <v>0.13500000000000001</v>
      </c>
      <c r="C270" s="2442">
        <v>0.125</v>
      </c>
      <c r="D270">
        <v>0.13100000000000001</v>
      </c>
    </row>
    <row r="272" spans="1:6" x14ac:dyDescent="0.25">
      <c r="B272" s="1823" t="s">
        <v>700</v>
      </c>
      <c r="C272" s="1823" t="s">
        <v>699</v>
      </c>
      <c r="D272" t="s">
        <v>703</v>
      </c>
    </row>
    <row r="273" spans="1:6" x14ac:dyDescent="0.25">
      <c r="A273" s="9" t="s">
        <v>99</v>
      </c>
      <c r="B273">
        <v>0.2</v>
      </c>
      <c r="C273">
        <v>0.13</v>
      </c>
      <c r="D273" s="1055">
        <f>(C273-B273)/B273</f>
        <v>-0.35000000000000003</v>
      </c>
    </row>
    <row r="274" spans="1:6" x14ac:dyDescent="0.25">
      <c r="A274" s="9" t="s">
        <v>100</v>
      </c>
      <c r="B274">
        <v>0.11</v>
      </c>
      <c r="C274">
        <v>0.1</v>
      </c>
      <c r="D274" s="1055">
        <f>(C274-B274)/B274</f>
        <v>-9.090909090909087E-2</v>
      </c>
    </row>
    <row r="275" spans="1:6" x14ac:dyDescent="0.25">
      <c r="A275" s="9" t="s">
        <v>101</v>
      </c>
      <c r="B275">
        <v>0.79</v>
      </c>
      <c r="C275">
        <v>0.69</v>
      </c>
      <c r="D275" s="1055">
        <f>(C275-B275)/B275</f>
        <v>-0.12658227848101278</v>
      </c>
    </row>
    <row r="276" spans="1:6" x14ac:dyDescent="0.25">
      <c r="A276" s="9" t="s">
        <v>103</v>
      </c>
      <c r="B276">
        <v>0.08</v>
      </c>
      <c r="C276">
        <v>0.08</v>
      </c>
      <c r="D276" s="1055">
        <f>(C276-B276)/B276</f>
        <v>0</v>
      </c>
    </row>
    <row r="277" spans="1:6" x14ac:dyDescent="0.25">
      <c r="A277" s="9" t="s">
        <v>143</v>
      </c>
      <c r="B277">
        <v>0.15</v>
      </c>
      <c r="C277">
        <v>0.12</v>
      </c>
      <c r="D277" s="1055">
        <f>(C277-B277)/B277</f>
        <v>-0.2</v>
      </c>
    </row>
    <row r="278" spans="1:6" x14ac:dyDescent="0.25">
      <c r="B278" t="s">
        <v>700</v>
      </c>
      <c r="C278" t="s">
        <v>699</v>
      </c>
      <c r="D278" t="s">
        <v>1058</v>
      </c>
    </row>
    <row r="279" spans="1:6" x14ac:dyDescent="0.25">
      <c r="A279" s="9" t="s">
        <v>99</v>
      </c>
      <c r="B279" s="2442">
        <v>0.2</v>
      </c>
      <c r="C279" s="2442">
        <v>0.13</v>
      </c>
      <c r="D279" s="2442">
        <v>0.13500000000000001</v>
      </c>
    </row>
    <row r="280" spans="1:6" x14ac:dyDescent="0.25">
      <c r="A280" s="9" t="s">
        <v>100</v>
      </c>
      <c r="B280" s="2442">
        <v>0.11</v>
      </c>
      <c r="C280" s="2442">
        <v>0.1</v>
      </c>
      <c r="D280" s="2442">
        <v>0.108</v>
      </c>
    </row>
    <row r="281" spans="1:6" x14ac:dyDescent="0.25">
      <c r="A281" s="9" t="s">
        <v>101</v>
      </c>
      <c r="B281" s="2442">
        <v>0.79</v>
      </c>
      <c r="C281" s="2442">
        <v>0.69</v>
      </c>
      <c r="D281" s="2442">
        <v>0.69299999999999995</v>
      </c>
    </row>
    <row r="282" spans="1:6" x14ac:dyDescent="0.25">
      <c r="A282" s="9" t="s">
        <v>103</v>
      </c>
      <c r="B282" s="2442">
        <v>0.08</v>
      </c>
      <c r="C282" s="2442">
        <v>0.08</v>
      </c>
      <c r="D282" s="2442">
        <v>7.2999999999999995E-2</v>
      </c>
    </row>
    <row r="283" spans="1:6" x14ac:dyDescent="0.25">
      <c r="A283" s="9" t="s">
        <v>143</v>
      </c>
      <c r="B283" s="2442">
        <v>0.15</v>
      </c>
      <c r="C283" s="2442">
        <v>0.12</v>
      </c>
      <c r="D283" s="2442">
        <v>0.127</v>
      </c>
    </row>
    <row r="285" spans="1:6" x14ac:dyDescent="0.25">
      <c r="A285" s="9" t="s">
        <v>1228</v>
      </c>
    </row>
    <row r="286" spans="1:6" s="9" customFormat="1" x14ac:dyDescent="0.25">
      <c r="A286" s="9" t="s">
        <v>967</v>
      </c>
      <c r="B286" s="9" t="s">
        <v>92</v>
      </c>
      <c r="C286" s="9" t="s">
        <v>93</v>
      </c>
      <c r="D286" s="9" t="s">
        <v>94</v>
      </c>
      <c r="E286" s="9" t="s">
        <v>95</v>
      </c>
      <c r="F286" s="9" t="s">
        <v>1045</v>
      </c>
    </row>
    <row r="287" spans="1:6" x14ac:dyDescent="0.25">
      <c r="A287" s="9" t="s">
        <v>99</v>
      </c>
      <c r="B287" s="54">
        <v>62096.010147554654</v>
      </c>
      <c r="C287" s="54">
        <v>59877.492668802173</v>
      </c>
      <c r="D287" s="54">
        <v>53677.127093248317</v>
      </c>
      <c r="E287" s="54"/>
      <c r="F287" s="54">
        <f>SUM(B287:D287)</f>
        <v>175650.62990960514</v>
      </c>
    </row>
    <row r="288" spans="1:6" x14ac:dyDescent="0.25">
      <c r="A288" s="9" t="s">
        <v>100</v>
      </c>
      <c r="B288" s="54">
        <v>51944.618612513717</v>
      </c>
      <c r="C288" s="54">
        <v>47347.982731173732</v>
      </c>
      <c r="D288" s="54">
        <v>44128.247562545555</v>
      </c>
      <c r="E288" s="54"/>
      <c r="F288" s="54">
        <f>SUM(B288:D288)</f>
        <v>143420.848906233</v>
      </c>
    </row>
    <row r="289" spans="1:6" x14ac:dyDescent="0.25">
      <c r="A289" s="9" t="s">
        <v>101</v>
      </c>
      <c r="B289" s="54">
        <v>14033.378172142793</v>
      </c>
      <c r="C289" s="54">
        <v>13525.405765858453</v>
      </c>
      <c r="D289" s="54">
        <v>7968</v>
      </c>
      <c r="E289" s="54"/>
      <c r="F289" s="54">
        <f>SUM(B289:D289)</f>
        <v>35526.783938001245</v>
      </c>
    </row>
    <row r="290" spans="1:6" x14ac:dyDescent="0.25">
      <c r="A290" s="9" t="s">
        <v>103</v>
      </c>
      <c r="B290" s="54">
        <v>12157.992257575872</v>
      </c>
      <c r="C290" s="54">
        <v>11879.32829589997</v>
      </c>
      <c r="D290" s="54">
        <v>11981.034293091599</v>
      </c>
      <c r="E290" s="54"/>
      <c r="F290" s="54">
        <f>SUM(B290:D290)</f>
        <v>36018.354846567439</v>
      </c>
    </row>
    <row r="291" spans="1:6" x14ac:dyDescent="0.25">
      <c r="A291" s="9" t="s">
        <v>143</v>
      </c>
      <c r="B291" s="54">
        <v>140503.78649494069</v>
      </c>
      <c r="C291" s="54">
        <v>132925.3414281001</v>
      </c>
      <c r="D291" s="54">
        <v>118031.11317959325</v>
      </c>
      <c r="E291" s="54"/>
      <c r="F291" s="54">
        <f>SUM(B291:D291)</f>
        <v>391460.241102634</v>
      </c>
    </row>
    <row r="295" spans="1:6" ht="18" x14ac:dyDescent="0.35">
      <c r="B295" t="s">
        <v>797</v>
      </c>
    </row>
    <row r="296" spans="1:6" x14ac:dyDescent="0.25">
      <c r="B296" t="s">
        <v>795</v>
      </c>
      <c r="C296" t="s">
        <v>796</v>
      </c>
    </row>
    <row r="297" spans="1:6" x14ac:dyDescent="0.25">
      <c r="A297" s="9" t="s">
        <v>99</v>
      </c>
      <c r="B297">
        <v>0.13</v>
      </c>
      <c r="C297" s="445">
        <f>'GHG '!S75</f>
        <v>0.13257268208928188</v>
      </c>
    </row>
    <row r="298" spans="1:6" x14ac:dyDescent="0.25">
      <c r="A298" s="9" t="s">
        <v>100</v>
      </c>
      <c r="B298" s="854">
        <v>0.1</v>
      </c>
      <c r="C298" s="445">
        <f>'GHG '!S111</f>
        <v>9.9261102921152228E-2</v>
      </c>
    </row>
    <row r="299" spans="1:6" x14ac:dyDescent="0.25">
      <c r="A299" s="9" t="s">
        <v>101</v>
      </c>
      <c r="B299" s="854">
        <v>0.4</v>
      </c>
      <c r="C299" s="445">
        <f>'GHG '!S147</f>
        <v>0.67053665847209332</v>
      </c>
    </row>
    <row r="300" spans="1:6" x14ac:dyDescent="0.25">
      <c r="A300" s="9" t="s">
        <v>103</v>
      </c>
      <c r="B300" s="854">
        <v>0.1</v>
      </c>
      <c r="C300" s="445">
        <f>'GHG '!S183</f>
        <v>0.16990156101270798</v>
      </c>
    </row>
    <row r="301" spans="1:6" x14ac:dyDescent="0.25">
      <c r="A301" s="9" t="s">
        <v>143</v>
      </c>
      <c r="B301">
        <v>0.13</v>
      </c>
      <c r="C301" s="445">
        <f>'GHG '!S75</f>
        <v>0.13257268208928188</v>
      </c>
    </row>
    <row r="308" spans="1:3" ht="18" x14ac:dyDescent="0.35">
      <c r="B308" s="9" t="s">
        <v>797</v>
      </c>
      <c r="C308" s="9"/>
    </row>
    <row r="309" spans="1:3" x14ac:dyDescent="0.25">
      <c r="B309" s="9" t="s">
        <v>886</v>
      </c>
      <c r="C309" s="9" t="s">
        <v>887</v>
      </c>
    </row>
    <row r="310" spans="1:3" x14ac:dyDescent="0.25">
      <c r="A310" s="9" t="s">
        <v>99</v>
      </c>
      <c r="B310" s="1557">
        <f>'SR archived'!L37</f>
        <v>0.14839523919284406</v>
      </c>
      <c r="C310" s="1557" t="e">
        <f>'SR archived'!C37</f>
        <v>#REF!</v>
      </c>
    </row>
    <row r="311" spans="1:3" x14ac:dyDescent="0.25">
      <c r="A311" s="9" t="s">
        <v>100</v>
      </c>
      <c r="B311" s="1557">
        <f>'SR archived'!M37</f>
        <v>0.1042126128508462</v>
      </c>
      <c r="C311" s="1557" t="e">
        <f>'SR archived'!D37</f>
        <v>#REF!</v>
      </c>
    </row>
    <row r="312" spans="1:3" x14ac:dyDescent="0.25">
      <c r="A312" s="9" t="s">
        <v>101</v>
      </c>
      <c r="B312" s="1557">
        <f>'SR archived'!O37</f>
        <v>0.80429417597903707</v>
      </c>
      <c r="C312" s="1557" t="e">
        <f>'SR archived'!F37</f>
        <v>#REF!</v>
      </c>
    </row>
    <row r="313" spans="1:3" x14ac:dyDescent="0.25">
      <c r="A313" s="9" t="s">
        <v>103</v>
      </c>
      <c r="B313" s="1557">
        <f>'SR archived'!P37</f>
        <v>8.2113936460386075E-2</v>
      </c>
      <c r="C313" s="1557" t="e">
        <f>'SR archived'!G37</f>
        <v>#REF!</v>
      </c>
    </row>
    <row r="314" spans="1:3" x14ac:dyDescent="0.25">
      <c r="A314" s="9" t="s">
        <v>143</v>
      </c>
      <c r="B314" s="1557">
        <f>'SR archived'!Q37</f>
        <v>0.13259655497238751</v>
      </c>
      <c r="C314" s="1557">
        <v>0.124</v>
      </c>
    </row>
  </sheetData>
  <mergeCells count="4">
    <mergeCell ref="C4:G4"/>
    <mergeCell ref="AA221:AC221"/>
    <mergeCell ref="N244:O244"/>
    <mergeCell ref="N245:O24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92D050"/>
  </sheetPr>
  <dimension ref="A1:AK46"/>
  <sheetViews>
    <sheetView workbookViewId="0">
      <selection activeCell="I21" sqref="I21"/>
    </sheetView>
  </sheetViews>
  <sheetFormatPr defaultRowHeight="15" x14ac:dyDescent="0.25"/>
  <cols>
    <col min="1" max="1" width="19.140625" customWidth="1"/>
    <col min="2" max="2" width="9.140625" customWidth="1"/>
    <col min="3" max="3" width="11.5703125" bestFit="1" customWidth="1"/>
    <col min="4" max="4" width="12" customWidth="1"/>
    <col min="5" max="5" width="10" bestFit="1" customWidth="1"/>
    <col min="6" max="6" width="11.42578125" bestFit="1" customWidth="1"/>
    <col min="7" max="7" width="15.28515625" customWidth="1"/>
    <col min="8" max="8" width="10" bestFit="1" customWidth="1"/>
    <col min="9" max="9" width="11.42578125" customWidth="1"/>
    <col min="10" max="10" width="10" customWidth="1"/>
    <col min="11" max="11" width="10.85546875" customWidth="1"/>
    <col min="12" max="12" width="13" customWidth="1"/>
    <col min="13" max="13" width="11.42578125" bestFit="1" customWidth="1"/>
    <col min="14" max="14" width="10.28515625" customWidth="1"/>
    <col min="15" max="16" width="9.28515625" bestFit="1" customWidth="1"/>
    <col min="17" max="17" width="11.7109375" customWidth="1"/>
    <col min="18" max="18" width="9.28515625" bestFit="1" customWidth="1"/>
    <col min="19" max="19" width="11.7109375" customWidth="1"/>
    <col min="20" max="20" width="9.28515625" bestFit="1" customWidth="1"/>
    <col min="21" max="21" width="11.5703125" customWidth="1"/>
    <col min="22" max="22" width="10.85546875" bestFit="1" customWidth="1"/>
    <col min="23" max="23" width="10.85546875" style="9" customWidth="1"/>
    <col min="24" max="24" width="30.85546875" customWidth="1"/>
    <col min="25" max="25" width="10.42578125" customWidth="1"/>
    <col min="26" max="26" width="11.5703125" customWidth="1"/>
    <col min="27" max="27" width="12.85546875" customWidth="1"/>
    <col min="28" max="28" width="12.140625" customWidth="1"/>
    <col min="29" max="29" width="12.42578125" customWidth="1"/>
    <col min="30" max="30" width="13.5703125" customWidth="1"/>
    <col min="33" max="33" width="11" customWidth="1"/>
  </cols>
  <sheetData>
    <row r="1" spans="1:36" ht="15.75" thickBot="1" x14ac:dyDescent="0.3">
      <c r="A1" s="129" t="s">
        <v>199</v>
      </c>
      <c r="B1" s="129"/>
      <c r="C1" s="129" t="s">
        <v>221</v>
      </c>
      <c r="D1" s="129"/>
      <c r="E1" s="129"/>
      <c r="F1" s="129"/>
      <c r="G1" s="129"/>
      <c r="H1" s="129"/>
      <c r="I1" s="129"/>
      <c r="J1" s="129"/>
      <c r="K1" s="129"/>
      <c r="L1" s="129"/>
      <c r="M1" s="129"/>
      <c r="N1" s="129"/>
      <c r="O1" s="129"/>
      <c r="P1" s="129"/>
      <c r="Q1" s="129"/>
      <c r="R1" s="129"/>
      <c r="S1" s="129"/>
      <c r="T1" s="129"/>
      <c r="U1" s="129"/>
      <c r="V1" s="129"/>
      <c r="W1" s="129"/>
    </row>
    <row r="2" spans="1:36" ht="15.75" thickBot="1" x14ac:dyDescent="0.3">
      <c r="A2" s="129"/>
      <c r="B2" s="129"/>
      <c r="C2" s="129"/>
      <c r="D2" s="129"/>
      <c r="E2" s="129"/>
      <c r="F2" s="129"/>
      <c r="G2" s="129"/>
      <c r="H2" s="129"/>
      <c r="I2" s="129"/>
      <c r="J2" s="129"/>
      <c r="K2" s="129"/>
      <c r="L2" s="129"/>
      <c r="M2" s="129"/>
      <c r="N2" s="129"/>
      <c r="O2" s="129"/>
      <c r="P2" s="129"/>
      <c r="Q2" s="129"/>
      <c r="R2" s="129"/>
      <c r="S2" s="129"/>
      <c r="T2" s="129"/>
      <c r="U2" s="129"/>
      <c r="V2" s="129"/>
      <c r="W2" s="129"/>
      <c r="X2" s="10"/>
      <c r="Y2" s="15"/>
      <c r="Z2" s="15"/>
      <c r="AA2" s="15"/>
      <c r="AB2" s="15"/>
      <c r="AC2" s="15"/>
      <c r="AD2" s="15"/>
      <c r="AE2" s="15"/>
      <c r="AF2" s="15"/>
      <c r="AG2" s="15"/>
      <c r="AH2" s="15"/>
      <c r="AI2" s="15"/>
      <c r="AJ2" s="11"/>
    </row>
    <row r="3" spans="1:36" ht="15.75" thickBot="1" x14ac:dyDescent="0.3">
      <c r="A3" s="129"/>
      <c r="B3" s="129"/>
      <c r="C3" s="4969" t="s">
        <v>2</v>
      </c>
      <c r="D3" s="4970"/>
      <c r="E3" s="4970"/>
      <c r="F3" s="4970"/>
      <c r="G3" s="4971"/>
      <c r="H3" s="4972" t="s">
        <v>8</v>
      </c>
      <c r="I3" s="4973"/>
      <c r="J3" s="4973"/>
      <c r="K3" s="4973"/>
      <c r="L3" s="4974"/>
      <c r="M3" s="4969" t="s">
        <v>9</v>
      </c>
      <c r="N3" s="4970"/>
      <c r="O3" s="4970"/>
      <c r="P3" s="4970"/>
      <c r="Q3" s="4971"/>
      <c r="R3" s="4969" t="s">
        <v>10</v>
      </c>
      <c r="S3" s="4970"/>
      <c r="T3" s="4970"/>
      <c r="U3" s="4970"/>
      <c r="V3" s="4971"/>
      <c r="W3" s="831"/>
      <c r="X3" s="12"/>
      <c r="Y3" s="4965" t="s">
        <v>1281</v>
      </c>
      <c r="Z3" s="4965"/>
      <c r="AA3" s="4965"/>
      <c r="AB3" s="4965"/>
      <c r="AC3" s="4965"/>
      <c r="AD3" s="1"/>
      <c r="AE3" s="4962" t="s">
        <v>1250</v>
      </c>
      <c r="AF3" s="4963"/>
      <c r="AG3" s="4963"/>
      <c r="AH3" s="4963"/>
      <c r="AI3" s="4964"/>
      <c r="AJ3" s="13"/>
    </row>
    <row r="4" spans="1:36" ht="15.75" thickBot="1" x14ac:dyDescent="0.3">
      <c r="A4" s="130" t="s">
        <v>0</v>
      </c>
      <c r="B4" s="131" t="s">
        <v>1</v>
      </c>
      <c r="C4" s="130" t="s">
        <v>3</v>
      </c>
      <c r="D4" s="132" t="s">
        <v>4</v>
      </c>
      <c r="E4" s="132" t="s">
        <v>5</v>
      </c>
      <c r="F4" s="132" t="s">
        <v>6</v>
      </c>
      <c r="G4" s="131" t="s">
        <v>7</v>
      </c>
      <c r="H4" s="132" t="s">
        <v>3</v>
      </c>
      <c r="I4" s="132" t="s">
        <v>4</v>
      </c>
      <c r="J4" s="132" t="s">
        <v>5</v>
      </c>
      <c r="K4" s="132" t="s">
        <v>6</v>
      </c>
      <c r="L4" s="131" t="s">
        <v>7</v>
      </c>
      <c r="M4" s="130" t="s">
        <v>3</v>
      </c>
      <c r="N4" s="132" t="s">
        <v>4</v>
      </c>
      <c r="O4" s="132" t="s">
        <v>5</v>
      </c>
      <c r="P4" s="132" t="s">
        <v>6</v>
      </c>
      <c r="Q4" s="131" t="s">
        <v>7</v>
      </c>
      <c r="R4" s="130" t="s">
        <v>3</v>
      </c>
      <c r="S4" s="132" t="s">
        <v>4</v>
      </c>
      <c r="T4" s="132" t="s">
        <v>5</v>
      </c>
      <c r="U4" s="132" t="s">
        <v>6</v>
      </c>
      <c r="V4" s="131" t="s">
        <v>7</v>
      </c>
      <c r="W4" s="204"/>
      <c r="X4" s="12"/>
      <c r="Y4" s="3654" t="s">
        <v>99</v>
      </c>
      <c r="Z4" s="3655" t="s">
        <v>100</v>
      </c>
      <c r="AA4" s="3655" t="s">
        <v>101</v>
      </c>
      <c r="AB4" s="3655" t="s">
        <v>103</v>
      </c>
      <c r="AC4" s="3656" t="s">
        <v>143</v>
      </c>
      <c r="AD4" s="1"/>
      <c r="AE4" s="3654" t="s">
        <v>99</v>
      </c>
      <c r="AF4" s="3655" t="s">
        <v>100</v>
      </c>
      <c r="AG4" s="3655" t="s">
        <v>101</v>
      </c>
      <c r="AH4" s="3655" t="s">
        <v>103</v>
      </c>
      <c r="AI4" s="3656" t="s">
        <v>143</v>
      </c>
      <c r="AJ4" s="13"/>
    </row>
    <row r="5" spans="1:36" x14ac:dyDescent="0.25">
      <c r="A5" s="219" t="s">
        <v>200</v>
      </c>
      <c r="B5" s="310" t="s">
        <v>107</v>
      </c>
      <c r="C5" s="2495">
        <v>1206432.7588500001</v>
      </c>
      <c r="D5" s="2491">
        <v>1088763.8999999999</v>
      </c>
      <c r="E5" s="230">
        <v>1016652</v>
      </c>
      <c r="F5" s="369">
        <v>660832.78700000001</v>
      </c>
      <c r="G5" s="1722">
        <f t="shared" ref="G5:G10" si="0">SUM(C5:F5)</f>
        <v>3972681.4458500003</v>
      </c>
      <c r="H5" s="229">
        <v>813621.27367999998</v>
      </c>
      <c r="I5" s="233">
        <v>720635</v>
      </c>
      <c r="J5" s="233">
        <v>724689</v>
      </c>
      <c r="K5" s="235">
        <v>460443</v>
      </c>
      <c r="L5" s="1723">
        <f t="shared" ref="L5:L10" si="1">SUM(H5:K5)</f>
        <v>2719388.2736800001</v>
      </c>
      <c r="M5" s="1736">
        <v>314302</v>
      </c>
      <c r="N5" s="2496">
        <v>246994</v>
      </c>
      <c r="O5" s="1728">
        <v>236350</v>
      </c>
      <c r="P5" s="233">
        <v>94059</v>
      </c>
      <c r="Q5" s="1721">
        <f>SUM(M5:P5)</f>
        <v>891705</v>
      </c>
      <c r="R5" s="1736">
        <v>1312286</v>
      </c>
      <c r="S5" s="1728">
        <v>1342620</v>
      </c>
      <c r="T5" s="233">
        <v>1225429</v>
      </c>
      <c r="U5" s="233">
        <v>100103</v>
      </c>
      <c r="V5" s="1721">
        <f>SUM(R5:U5)</f>
        <v>3980438</v>
      </c>
      <c r="W5" s="3645"/>
      <c r="X5" s="3657" t="s">
        <v>200</v>
      </c>
      <c r="Y5" s="2244">
        <f>G5-AE5</f>
        <v>3852157.7048500003</v>
      </c>
      <c r="Z5" s="2244">
        <f>L5-AF5</f>
        <v>2646709.3736800002</v>
      </c>
      <c r="AA5" s="2244">
        <f>Q5-AG5</f>
        <v>891705</v>
      </c>
      <c r="AB5" s="2244">
        <f>V5-AH5</f>
        <v>3880335</v>
      </c>
      <c r="AC5" s="2244">
        <f>G14-AI5</f>
        <v>11270907.078530001</v>
      </c>
      <c r="AD5" s="1"/>
      <c r="AE5" s="1277">
        <v>120523.74099999999</v>
      </c>
      <c r="AF5" s="2244">
        <v>72678.900000000009</v>
      </c>
      <c r="AG5" s="2244">
        <v>0</v>
      </c>
      <c r="AH5" s="2244">
        <v>100103</v>
      </c>
      <c r="AI5" s="3475">
        <f>SUM(AE5:AH5)</f>
        <v>293305.641</v>
      </c>
      <c r="AJ5" s="13"/>
    </row>
    <row r="6" spans="1:36" x14ac:dyDescent="0.25">
      <c r="A6" s="219" t="s">
        <v>201</v>
      </c>
      <c r="B6" s="310" t="s">
        <v>107</v>
      </c>
      <c r="C6" s="231">
        <v>66854.913534000007</v>
      </c>
      <c r="D6" s="256">
        <v>50257.62</v>
      </c>
      <c r="E6" s="230">
        <v>37412</v>
      </c>
      <c r="F6" s="230">
        <v>103024.70451100002</v>
      </c>
      <c r="G6" s="1722">
        <f t="shared" si="0"/>
        <v>257549.23804500003</v>
      </c>
      <c r="H6" s="231">
        <v>88536.8444160699</v>
      </c>
      <c r="I6" s="230">
        <v>85631</v>
      </c>
      <c r="J6" s="230">
        <v>37373</v>
      </c>
      <c r="K6" s="232">
        <v>0</v>
      </c>
      <c r="L6" s="1724">
        <f t="shared" si="1"/>
        <v>211540.84441606991</v>
      </c>
      <c r="M6" s="231">
        <v>0</v>
      </c>
      <c r="N6" s="234">
        <v>0</v>
      </c>
      <c r="O6" s="234">
        <v>0</v>
      </c>
      <c r="P6" s="230">
        <v>0</v>
      </c>
      <c r="Q6" s="1722">
        <f>+SUM(M6:P6)</f>
        <v>0</v>
      </c>
      <c r="R6" s="231">
        <v>106037.5</v>
      </c>
      <c r="S6" s="230">
        <v>92660</v>
      </c>
      <c r="T6" s="230">
        <v>94802</v>
      </c>
      <c r="U6" s="230">
        <v>9067</v>
      </c>
      <c r="V6" s="1722">
        <f>SUM(R6:U6)</f>
        <v>302566.5</v>
      </c>
      <c r="W6" s="3645"/>
      <c r="X6" s="219" t="s">
        <v>201</v>
      </c>
      <c r="Y6" s="2244">
        <f t="shared" ref="Y6:Y11" si="2">G6-AE6</f>
        <v>250821.01381700003</v>
      </c>
      <c r="Z6" s="2244">
        <f t="shared" ref="Z6:Z11" si="3">L6-AF6</f>
        <v>211540.84441606991</v>
      </c>
      <c r="AA6" s="2244">
        <f t="shared" ref="AA6:AA11" si="4">Q6-AG6</f>
        <v>0</v>
      </c>
      <c r="AB6" s="2244">
        <f t="shared" ref="AB6:AB11" si="5">V6-AH6</f>
        <v>293499.5</v>
      </c>
      <c r="AC6" s="2244">
        <f t="shared" ref="AC6:AC11" si="6">G15-AI6</f>
        <v>755861.35823306988</v>
      </c>
      <c r="AD6" s="1"/>
      <c r="AE6" s="1277">
        <v>6728.224228</v>
      </c>
      <c r="AF6" s="2244">
        <v>0</v>
      </c>
      <c r="AG6" s="2244">
        <v>0</v>
      </c>
      <c r="AH6" s="2244">
        <v>9067</v>
      </c>
      <c r="AI6" s="3475">
        <f>SUM(AE6:AH6)</f>
        <v>15795.224227999999</v>
      </c>
      <c r="AJ6" s="13"/>
    </row>
    <row r="7" spans="1:36" x14ac:dyDescent="0.25">
      <c r="A7" s="1720" t="s">
        <v>202</v>
      </c>
      <c r="B7" s="2493" t="s">
        <v>107</v>
      </c>
      <c r="C7" s="2535">
        <f>SUM(C5:C6)</f>
        <v>1273287.6723840002</v>
      </c>
      <c r="D7" s="1725">
        <f>SUM(D5:D6)</f>
        <v>1139021.52</v>
      </c>
      <c r="E7" s="1725">
        <f>E5+E6</f>
        <v>1054064</v>
      </c>
      <c r="F7" s="1725">
        <f>F5+F6</f>
        <v>763857.49151100009</v>
      </c>
      <c r="G7" s="1726">
        <f t="shared" si="0"/>
        <v>4230230.6838950003</v>
      </c>
      <c r="H7" s="2535">
        <f>H5+H6</f>
        <v>902158.1180960699</v>
      </c>
      <c r="I7" s="1725">
        <f>SUM(I5:I6)</f>
        <v>806266</v>
      </c>
      <c r="J7" s="1725">
        <f>J5+J6</f>
        <v>762062</v>
      </c>
      <c r="K7" s="2536">
        <f>SUM(K5:K6)</f>
        <v>460443</v>
      </c>
      <c r="L7" s="2537">
        <f t="shared" si="1"/>
        <v>2930929.1180960699</v>
      </c>
      <c r="M7" s="2535">
        <f t="shared" ref="M7:U7" si="7">M5+M6</f>
        <v>314302</v>
      </c>
      <c r="N7" s="1725">
        <f t="shared" si="7"/>
        <v>246994</v>
      </c>
      <c r="O7" s="1725">
        <f t="shared" si="7"/>
        <v>236350</v>
      </c>
      <c r="P7" s="1725">
        <f t="shared" si="7"/>
        <v>94059</v>
      </c>
      <c r="Q7" s="1726">
        <f t="shared" si="7"/>
        <v>891705</v>
      </c>
      <c r="R7" s="2535">
        <f t="shared" si="7"/>
        <v>1418323.5</v>
      </c>
      <c r="S7" s="1725">
        <f t="shared" si="7"/>
        <v>1435280</v>
      </c>
      <c r="T7" s="1725">
        <f t="shared" si="7"/>
        <v>1320231</v>
      </c>
      <c r="U7" s="1725">
        <f t="shared" si="7"/>
        <v>109170</v>
      </c>
      <c r="V7" s="1726">
        <f>SUM(R7:U7)</f>
        <v>4283004.5</v>
      </c>
      <c r="W7" s="1725"/>
      <c r="X7" s="3984" t="s">
        <v>202</v>
      </c>
      <c r="Y7" s="3036">
        <f t="shared" si="2"/>
        <v>4102978.7186670001</v>
      </c>
      <c r="Z7" s="3036">
        <f t="shared" si="3"/>
        <v>2858250.21809607</v>
      </c>
      <c r="AA7" s="3036">
        <f t="shared" si="4"/>
        <v>891705</v>
      </c>
      <c r="AB7" s="3036">
        <f t="shared" si="5"/>
        <v>4173834.5</v>
      </c>
      <c r="AC7" s="3036">
        <f t="shared" si="6"/>
        <v>12026769.134772001</v>
      </c>
      <c r="AD7" s="1"/>
      <c r="AE7" s="3036">
        <f>SUM(AE5:AE6)</f>
        <v>127251.965228</v>
      </c>
      <c r="AF7" s="3036">
        <f>SUM(AF5:AF6)</f>
        <v>72678.900000000009</v>
      </c>
      <c r="AG7" s="3036">
        <f>SUM(AG5:AG6)</f>
        <v>0</v>
      </c>
      <c r="AH7" s="3036">
        <f>SUM(AH5:AH6)</f>
        <v>109170</v>
      </c>
      <c r="AI7" s="3036">
        <f>SUM(AI5:AI6)</f>
        <v>309100.86522799998</v>
      </c>
      <c r="AJ7" s="13"/>
    </row>
    <row r="8" spans="1:36" x14ac:dyDescent="0.25">
      <c r="A8" s="219" t="s">
        <v>203</v>
      </c>
      <c r="B8" s="310" t="s">
        <v>107</v>
      </c>
      <c r="C8" s="231">
        <v>0</v>
      </c>
      <c r="D8" s="230">
        <v>0</v>
      </c>
      <c r="E8" s="230">
        <v>0</v>
      </c>
      <c r="F8" s="230">
        <v>0</v>
      </c>
      <c r="G8" s="1722">
        <f t="shared" si="0"/>
        <v>0</v>
      </c>
      <c r="H8" s="231">
        <v>0</v>
      </c>
      <c r="I8" s="230">
        <v>0</v>
      </c>
      <c r="J8" s="230">
        <v>0</v>
      </c>
      <c r="K8" s="230"/>
      <c r="L8" s="1724">
        <f t="shared" si="1"/>
        <v>0</v>
      </c>
      <c r="M8" s="231">
        <v>0</v>
      </c>
      <c r="N8" s="230"/>
      <c r="O8" s="230"/>
      <c r="P8" s="230"/>
      <c r="Q8" s="1722">
        <f>+SUM(M8:P8)</f>
        <v>0</v>
      </c>
      <c r="R8" s="1737">
        <v>38094.995040000002</v>
      </c>
      <c r="S8" s="886">
        <v>71871.443360000005</v>
      </c>
      <c r="T8" s="1734">
        <v>22775.463680000001</v>
      </c>
      <c r="U8" s="886">
        <v>1873.0400000000002</v>
      </c>
      <c r="V8" s="1727">
        <f>SUM(R8:U8)</f>
        <v>134614.94208000004</v>
      </c>
      <c r="W8" s="3646"/>
      <c r="X8" s="219" t="s">
        <v>203</v>
      </c>
      <c r="Y8" s="2244">
        <f t="shared" si="2"/>
        <v>0</v>
      </c>
      <c r="Z8" s="2244">
        <f t="shared" si="3"/>
        <v>0</v>
      </c>
      <c r="AA8" s="2244">
        <f t="shared" si="4"/>
        <v>0</v>
      </c>
      <c r="AB8" s="2244">
        <f t="shared" si="5"/>
        <v>132741.90208000003</v>
      </c>
      <c r="AC8" s="2244">
        <f t="shared" si="6"/>
        <v>132741.90208000003</v>
      </c>
      <c r="AD8" s="1"/>
      <c r="AE8" s="1277"/>
      <c r="AF8" s="2244">
        <v>0</v>
      </c>
      <c r="AG8" s="2244">
        <v>0</v>
      </c>
      <c r="AH8" s="2244">
        <v>1873.0400000000002</v>
      </c>
      <c r="AI8" s="3475">
        <f>SUM(AE8:AH8)</f>
        <v>1873.0400000000002</v>
      </c>
      <c r="AJ8" s="13"/>
    </row>
    <row r="9" spans="1:36" s="9" customFormat="1" x14ac:dyDescent="0.25">
      <c r="A9" s="219" t="s">
        <v>222</v>
      </c>
      <c r="B9" s="310" t="s">
        <v>107</v>
      </c>
      <c r="C9" s="231">
        <v>8821</v>
      </c>
      <c r="D9" s="230">
        <v>11775</v>
      </c>
      <c r="E9" s="230">
        <v>4260</v>
      </c>
      <c r="F9" s="230">
        <v>3474</v>
      </c>
      <c r="G9" s="1722">
        <f t="shared" si="0"/>
        <v>28330</v>
      </c>
      <c r="H9" s="231">
        <v>1019.61</v>
      </c>
      <c r="I9" s="230">
        <v>11803.9</v>
      </c>
      <c r="J9" s="230">
        <v>3022.3975800000335</v>
      </c>
      <c r="K9" s="230"/>
      <c r="L9" s="1724">
        <f t="shared" si="1"/>
        <v>15845.907580000034</v>
      </c>
      <c r="M9" s="231">
        <v>794</v>
      </c>
      <c r="N9" s="230">
        <v>1140</v>
      </c>
      <c r="O9" s="230">
        <v>0</v>
      </c>
      <c r="P9" s="230"/>
      <c r="Q9" s="1722">
        <f>+SUM(M9:P9)</f>
        <v>1934</v>
      </c>
      <c r="R9" s="1737">
        <v>934045</v>
      </c>
      <c r="S9" s="886">
        <v>557717</v>
      </c>
      <c r="T9" s="1735">
        <v>855569</v>
      </c>
      <c r="U9" s="1735">
        <v>26400</v>
      </c>
      <c r="V9" s="1727">
        <f>SUM(R9:U9)</f>
        <v>2373731</v>
      </c>
      <c r="W9" s="3646"/>
      <c r="X9" s="219" t="s">
        <v>222</v>
      </c>
      <c r="Y9" s="2244">
        <f t="shared" si="2"/>
        <v>28330</v>
      </c>
      <c r="Z9" s="2244">
        <f t="shared" si="3"/>
        <v>15845.907580000034</v>
      </c>
      <c r="AA9" s="2244">
        <f t="shared" si="4"/>
        <v>1934</v>
      </c>
      <c r="AB9" s="2244">
        <f t="shared" si="5"/>
        <v>2347331</v>
      </c>
      <c r="AC9" s="2244">
        <f t="shared" si="6"/>
        <v>2393440.9075799999</v>
      </c>
      <c r="AD9" s="1"/>
      <c r="AE9" s="1277"/>
      <c r="AF9" s="2244">
        <v>0</v>
      </c>
      <c r="AG9" s="2244">
        <v>0</v>
      </c>
      <c r="AH9" s="2244">
        <v>26400</v>
      </c>
      <c r="AI9" s="3475">
        <f>SUM(AE9:AH9)</f>
        <v>26400</v>
      </c>
      <c r="AJ9" s="13"/>
    </row>
    <row r="10" spans="1:36" x14ac:dyDescent="0.25">
      <c r="A10" s="219" t="s">
        <v>204</v>
      </c>
      <c r="B10" s="310" t="s">
        <v>205</v>
      </c>
      <c r="C10" s="3012">
        <v>462919.43000000005</v>
      </c>
      <c r="D10" s="230">
        <v>426867.31</v>
      </c>
      <c r="E10" s="230">
        <v>400542</v>
      </c>
      <c r="F10" s="230">
        <v>288071.50632553123</v>
      </c>
      <c r="G10" s="1722">
        <f t="shared" si="0"/>
        <v>1578400.2463255313</v>
      </c>
      <c r="H10" s="231">
        <v>482451.74398099992</v>
      </c>
      <c r="I10" s="230">
        <v>431104.84</v>
      </c>
      <c r="J10" s="230">
        <v>444578</v>
      </c>
      <c r="K10" s="230">
        <v>285433.89</v>
      </c>
      <c r="L10" s="1722">
        <f t="shared" si="1"/>
        <v>1643568.473981</v>
      </c>
      <c r="M10" s="231">
        <v>20419.949999999997</v>
      </c>
      <c r="N10" s="234">
        <v>24125</v>
      </c>
      <c r="O10" s="234">
        <v>17307</v>
      </c>
      <c r="P10" s="230">
        <v>7225.4199999999992</v>
      </c>
      <c r="Q10" s="1722">
        <f>+SUM(M10:P10)</f>
        <v>69077.37</v>
      </c>
      <c r="R10" s="1737">
        <v>116972.8</v>
      </c>
      <c r="S10" s="3083">
        <v>105379</v>
      </c>
      <c r="T10" s="886">
        <v>70030</v>
      </c>
      <c r="U10" s="886">
        <v>5659.7</v>
      </c>
      <c r="V10" s="1727">
        <v>298130</v>
      </c>
      <c r="W10" s="3646"/>
      <c r="X10" s="219" t="s">
        <v>204</v>
      </c>
      <c r="Y10" s="3036">
        <f t="shared" si="2"/>
        <v>1544147.1380968234</v>
      </c>
      <c r="Z10" s="3036">
        <f t="shared" si="3"/>
        <v>1595198.1139809999</v>
      </c>
      <c r="AA10" s="3036">
        <f t="shared" si="4"/>
        <v>69077.37</v>
      </c>
      <c r="AB10" s="3036">
        <f t="shared" si="5"/>
        <v>292470</v>
      </c>
      <c r="AC10" s="3036">
        <f t="shared" si="6"/>
        <v>3500892.6220778236</v>
      </c>
      <c r="AD10" s="1570"/>
      <c r="AE10" s="3040">
        <v>34253.108228707999</v>
      </c>
      <c r="AF10" s="3036">
        <v>48370.359999999993</v>
      </c>
      <c r="AG10" s="3036">
        <v>0</v>
      </c>
      <c r="AH10" s="3036">
        <v>5660</v>
      </c>
      <c r="AI10" s="3041">
        <f>SUM(AE10:AH10)</f>
        <v>88283.468228707992</v>
      </c>
      <c r="AJ10" s="13"/>
    </row>
    <row r="11" spans="1:36" ht="15.75" thickBot="1" x14ac:dyDescent="0.3">
      <c r="A11" s="203" t="s">
        <v>948</v>
      </c>
      <c r="B11" s="1191" t="s">
        <v>572</v>
      </c>
      <c r="C11" s="2527"/>
      <c r="D11" s="2528"/>
      <c r="E11" s="2528"/>
      <c r="F11" s="2529"/>
      <c r="G11" s="2534"/>
      <c r="H11" s="3648"/>
      <c r="I11" s="2531"/>
      <c r="J11" s="2531"/>
      <c r="K11" s="2531"/>
      <c r="L11" s="2534"/>
      <c r="M11" s="2530"/>
      <c r="N11" s="2531"/>
      <c r="O11" s="2531"/>
      <c r="P11" s="2531"/>
      <c r="Q11" s="2534"/>
      <c r="R11" s="2530"/>
      <c r="S11" s="2531"/>
      <c r="T11" s="2531"/>
      <c r="U11" s="2531"/>
      <c r="V11" s="2534"/>
      <c r="W11" s="3647"/>
      <c r="X11" s="203" t="s">
        <v>948</v>
      </c>
      <c r="Y11" s="2244">
        <f t="shared" si="2"/>
        <v>0</v>
      </c>
      <c r="Z11" s="2244">
        <f t="shared" si="3"/>
        <v>0</v>
      </c>
      <c r="AA11" s="2244">
        <f t="shared" si="4"/>
        <v>0</v>
      </c>
      <c r="AB11" s="2244">
        <f t="shared" si="5"/>
        <v>0</v>
      </c>
      <c r="AC11" s="2244">
        <f t="shared" si="6"/>
        <v>0</v>
      </c>
      <c r="AD11" s="1"/>
      <c r="AE11" s="3476"/>
      <c r="AF11" s="3477"/>
      <c r="AG11" s="3477"/>
      <c r="AH11" s="3477"/>
      <c r="AI11" s="3475">
        <f>SUM(AE11:AH11)</f>
        <v>0</v>
      </c>
      <c r="AJ11" s="13"/>
    </row>
    <row r="12" spans="1:36" ht="15.75" thickBot="1" x14ac:dyDescent="0.3">
      <c r="A12" s="129"/>
      <c r="B12" s="129"/>
      <c r="C12" s="4975" t="s">
        <v>91</v>
      </c>
      <c r="D12" s="4976"/>
      <c r="E12" s="4976"/>
      <c r="F12" s="4977"/>
      <c r="G12" s="4976"/>
      <c r="H12" s="257"/>
      <c r="I12" s="133"/>
      <c r="J12" s="133"/>
      <c r="K12" s="133"/>
      <c r="L12" s="133"/>
      <c r="M12" s="129"/>
      <c r="N12" s="129"/>
      <c r="O12" s="129"/>
      <c r="P12" s="129"/>
      <c r="Q12" s="129"/>
      <c r="R12" s="129"/>
      <c r="S12" s="2492"/>
      <c r="T12" s="129"/>
      <c r="U12" s="129"/>
      <c r="V12" s="129"/>
      <c r="W12" s="129"/>
      <c r="X12" s="12"/>
      <c r="Y12" s="1"/>
      <c r="Z12" s="1"/>
      <c r="AA12" s="1"/>
      <c r="AB12" s="1"/>
      <c r="AC12" s="1"/>
      <c r="AD12" s="1"/>
      <c r="AE12" s="1"/>
      <c r="AF12" s="1"/>
      <c r="AG12" s="1"/>
      <c r="AH12" s="1"/>
      <c r="AI12" s="1"/>
      <c r="AJ12" s="13"/>
    </row>
    <row r="13" spans="1:36" ht="15.75" thickBot="1" x14ac:dyDescent="0.3">
      <c r="A13" s="218" t="s">
        <v>0</v>
      </c>
      <c r="B13" s="228" t="s">
        <v>1</v>
      </c>
      <c r="C13" s="1729" t="s">
        <v>3</v>
      </c>
      <c r="D13" s="1730" t="s">
        <v>4</v>
      </c>
      <c r="E13" s="3464" t="s">
        <v>5</v>
      </c>
      <c r="F13" s="3467" t="s">
        <v>6</v>
      </c>
      <c r="G13" s="3465" t="s">
        <v>7</v>
      </c>
      <c r="H13" s="201"/>
      <c r="I13" s="133"/>
      <c r="J13" s="133"/>
      <c r="K13" s="133"/>
      <c r="L13" s="133"/>
      <c r="M13" s="129"/>
      <c r="N13" s="129"/>
      <c r="O13" s="129"/>
      <c r="P13" s="204"/>
      <c r="Q13" s="129"/>
      <c r="R13" s="129"/>
      <c r="S13" s="369"/>
      <c r="T13" s="369"/>
      <c r="U13" s="369"/>
      <c r="V13" s="369"/>
      <c r="W13" s="369"/>
      <c r="X13" s="1932"/>
      <c r="Y13" s="1933"/>
      <c r="Z13" s="16"/>
      <c r="AA13" s="16"/>
      <c r="AB13" s="16"/>
      <c r="AC13" s="16"/>
      <c r="AD13" s="16"/>
      <c r="AE13" s="16"/>
      <c r="AF13" s="16"/>
      <c r="AG13" s="16"/>
      <c r="AH13" s="16"/>
      <c r="AI13" s="16"/>
      <c r="AJ13" s="812"/>
    </row>
    <row r="14" spans="1:36" x14ac:dyDescent="0.25">
      <c r="A14" s="218" t="s">
        <v>200</v>
      </c>
      <c r="B14" s="228" t="s">
        <v>107</v>
      </c>
      <c r="C14" s="1732">
        <f t="shared" ref="C14:C18" si="8">C5+H5+M5+R5</f>
        <v>3646642.03253</v>
      </c>
      <c r="D14" s="3470">
        <f>D5+I5+N5+S5</f>
        <v>3399012.9</v>
      </c>
      <c r="E14" s="3461">
        <f t="shared" ref="D14:G19" si="9">E5+J5+O5+T5</f>
        <v>3203120</v>
      </c>
      <c r="F14" s="3466">
        <f t="shared" si="9"/>
        <v>1315437.787</v>
      </c>
      <c r="G14" s="3650">
        <f t="shared" si="9"/>
        <v>11564212.719530001</v>
      </c>
      <c r="H14" s="3649"/>
      <c r="I14" s="230"/>
      <c r="J14" s="200"/>
      <c r="K14" s="133"/>
      <c r="L14" s="133"/>
      <c r="M14" s="369"/>
      <c r="N14" s="369"/>
      <c r="O14" s="369"/>
      <c r="P14" s="1771"/>
      <c r="Q14" s="369"/>
      <c r="R14" s="369"/>
      <c r="S14" s="369"/>
      <c r="T14" s="369"/>
      <c r="U14" s="369"/>
      <c r="V14" s="369"/>
      <c r="W14" s="369"/>
      <c r="X14" s="54"/>
      <c r="Y14" s="54"/>
      <c r="Z14" s="54"/>
      <c r="AA14" s="54"/>
      <c r="AB14" s="54"/>
      <c r="AC14" s="54"/>
      <c r="AD14" s="54"/>
      <c r="AE14" s="54"/>
      <c r="AF14" s="54"/>
      <c r="AG14" s="54"/>
    </row>
    <row r="15" spans="1:36" x14ac:dyDescent="0.25">
      <c r="A15" s="219" t="s">
        <v>201</v>
      </c>
      <c r="B15" s="310" t="s">
        <v>107</v>
      </c>
      <c r="C15" s="1733">
        <f t="shared" si="8"/>
        <v>261429.25795006991</v>
      </c>
      <c r="D15" s="3471">
        <f t="shared" si="9"/>
        <v>228548.62</v>
      </c>
      <c r="E15" s="3462">
        <f t="shared" si="9"/>
        <v>169587</v>
      </c>
      <c r="F15" s="1731">
        <f t="shared" si="9"/>
        <v>112091.70451100002</v>
      </c>
      <c r="G15" s="3651">
        <f t="shared" si="9"/>
        <v>771656.58246106992</v>
      </c>
      <c r="H15" s="3649"/>
      <c r="I15" s="133"/>
      <c r="J15" s="200"/>
      <c r="K15" s="133"/>
      <c r="L15" s="133"/>
      <c r="M15" s="369"/>
      <c r="N15" s="369"/>
      <c r="O15" s="369"/>
      <c r="P15" s="1771"/>
      <c r="Q15" s="369"/>
      <c r="R15" s="369"/>
      <c r="S15" s="369"/>
      <c r="T15" s="369"/>
      <c r="U15" s="369"/>
      <c r="V15" s="369"/>
      <c r="W15" s="369"/>
      <c r="X15" s="54"/>
      <c r="Y15" s="54"/>
      <c r="Z15" s="54"/>
      <c r="AA15" s="54"/>
      <c r="AB15" s="54"/>
      <c r="AC15" s="54"/>
      <c r="AD15" s="54"/>
      <c r="AE15" s="54"/>
      <c r="AF15" s="54"/>
      <c r="AG15" s="54"/>
    </row>
    <row r="16" spans="1:36" x14ac:dyDescent="0.25">
      <c r="A16" s="1720" t="s">
        <v>202</v>
      </c>
      <c r="B16" s="2493" t="s">
        <v>107</v>
      </c>
      <c r="C16" s="3473">
        <f t="shared" si="8"/>
        <v>3908071.2904800698</v>
      </c>
      <c r="D16" s="3472">
        <f t="shared" si="9"/>
        <v>3627561.52</v>
      </c>
      <c r="E16" s="3469">
        <f t="shared" si="9"/>
        <v>3372707</v>
      </c>
      <c r="F16" s="3468">
        <f t="shared" si="9"/>
        <v>1427529.4915110001</v>
      </c>
      <c r="G16" s="3651">
        <v>12335870</v>
      </c>
      <c r="H16" s="3649"/>
      <c r="I16" s="54"/>
      <c r="J16" s="3474"/>
      <c r="K16" s="852"/>
      <c r="L16" s="852"/>
      <c r="M16" s="369"/>
      <c r="N16" s="369"/>
      <c r="O16" s="369"/>
      <c r="P16" s="369"/>
      <c r="Q16" s="369"/>
      <c r="R16" s="369"/>
      <c r="S16" s="369"/>
      <c r="T16" s="369"/>
      <c r="U16" s="369"/>
      <c r="V16" s="369"/>
      <c r="W16" s="369"/>
      <c r="X16" s="54"/>
      <c r="Y16" s="54"/>
      <c r="Z16" s="54"/>
      <c r="AA16" s="54"/>
      <c r="AB16" s="54"/>
      <c r="AC16" s="54"/>
      <c r="AD16" s="54"/>
      <c r="AE16" s="54"/>
      <c r="AF16" s="54"/>
      <c r="AG16" s="54"/>
    </row>
    <row r="17" spans="1:37" x14ac:dyDescent="0.25">
      <c r="A17" s="219" t="s">
        <v>203</v>
      </c>
      <c r="B17" s="310" t="s">
        <v>107</v>
      </c>
      <c r="C17" s="1733">
        <f t="shared" si="8"/>
        <v>38094.995040000002</v>
      </c>
      <c r="D17" s="3471">
        <f t="shared" si="9"/>
        <v>71871.443360000005</v>
      </c>
      <c r="E17" s="3462">
        <f>E8+J8+O8+T8</f>
        <v>22775.463680000001</v>
      </c>
      <c r="F17" s="1731">
        <f t="shared" si="9"/>
        <v>1873.0400000000002</v>
      </c>
      <c r="G17" s="3651">
        <f t="shared" si="9"/>
        <v>134614.94208000004</v>
      </c>
      <c r="H17" s="3649"/>
      <c r="I17" s="133"/>
      <c r="J17" s="3474"/>
      <c r="K17" s="852"/>
      <c r="L17" s="852"/>
      <c r="M17" s="369"/>
      <c r="N17" s="369"/>
      <c r="O17" s="369"/>
      <c r="P17" s="205"/>
      <c r="Q17" s="369"/>
      <c r="R17" s="369"/>
      <c r="S17" s="369"/>
      <c r="T17" s="369"/>
      <c r="U17" s="369"/>
      <c r="V17" s="3460"/>
      <c r="W17" s="3460"/>
      <c r="X17" s="54"/>
      <c r="Y17" s="54"/>
      <c r="Z17" s="54"/>
      <c r="AA17" s="54"/>
      <c r="AB17" s="54"/>
      <c r="AC17" s="54"/>
      <c r="AD17" s="54"/>
      <c r="AE17" s="54"/>
      <c r="AF17" s="54"/>
      <c r="AG17" s="54"/>
    </row>
    <row r="18" spans="1:37" s="9" customFormat="1" x14ac:dyDescent="0.25">
      <c r="A18" s="219" t="s">
        <v>222</v>
      </c>
      <c r="B18" s="310" t="s">
        <v>107</v>
      </c>
      <c r="C18" s="1733">
        <f t="shared" si="8"/>
        <v>944679.61</v>
      </c>
      <c r="D18" s="3471">
        <f t="shared" si="9"/>
        <v>582435.9</v>
      </c>
      <c r="E18" s="3462">
        <f>E9+J9+O9+T9</f>
        <v>862851.39757999999</v>
      </c>
      <c r="F18" s="1731">
        <f t="shared" si="9"/>
        <v>29874</v>
      </c>
      <c r="G18" s="3651">
        <f t="shared" si="9"/>
        <v>2419840.9075799999</v>
      </c>
      <c r="H18" s="3649"/>
      <c r="I18" s="133"/>
      <c r="J18" s="3474"/>
      <c r="K18" s="852"/>
      <c r="L18" s="852"/>
      <c r="M18" s="369"/>
      <c r="N18" s="369"/>
      <c r="O18" s="369"/>
      <c r="P18" s="369"/>
      <c r="Q18" s="369"/>
      <c r="R18" s="369"/>
      <c r="S18" s="369"/>
      <c r="T18" s="369"/>
      <c r="U18" s="369"/>
      <c r="V18" s="369"/>
      <c r="W18" s="369"/>
      <c r="X18" s="54"/>
      <c r="Y18" s="54"/>
      <c r="Z18" s="54"/>
      <c r="AA18" s="54"/>
      <c r="AB18" s="54"/>
      <c r="AC18" s="54"/>
      <c r="AD18" s="54"/>
      <c r="AE18" s="54"/>
      <c r="AF18" s="54"/>
      <c r="AG18" s="54"/>
    </row>
    <row r="19" spans="1:37" x14ac:dyDescent="0.25">
      <c r="A19" s="219" t="s">
        <v>204</v>
      </c>
      <c r="B19" s="310" t="s">
        <v>205</v>
      </c>
      <c r="C19" s="3472">
        <f>C10+H10+M10+R10</f>
        <v>1082763.923981</v>
      </c>
      <c r="D19" s="3472">
        <f>D10+I10+N10+S10</f>
        <v>987476.15</v>
      </c>
      <c r="E19" s="3469">
        <f t="shared" si="9"/>
        <v>932457</v>
      </c>
      <c r="F19" s="3468">
        <f t="shared" si="9"/>
        <v>586390.51632553118</v>
      </c>
      <c r="G19" s="3652">
        <f t="shared" si="9"/>
        <v>3589176.0903065316</v>
      </c>
      <c r="H19" s="3649"/>
      <c r="I19" s="852"/>
      <c r="J19" s="2492"/>
      <c r="K19" s="852"/>
      <c r="L19" s="852"/>
      <c r="M19" s="369"/>
      <c r="N19" s="369"/>
      <c r="O19" s="369"/>
      <c r="P19" s="369"/>
      <c r="Q19" s="369"/>
      <c r="R19" s="369"/>
      <c r="S19" s="369"/>
      <c r="T19" s="369"/>
      <c r="U19" s="369"/>
      <c r="V19" s="369"/>
      <c r="W19" s="369"/>
      <c r="X19" s="54"/>
      <c r="Y19" s="54"/>
      <c r="Z19" s="54"/>
      <c r="AA19" s="54"/>
      <c r="AB19" s="54"/>
      <c r="AC19" s="54"/>
      <c r="AD19" s="54"/>
      <c r="AE19" s="54"/>
      <c r="AF19" s="54"/>
      <c r="AG19" s="54"/>
    </row>
    <row r="20" spans="1:37" ht="15.75" thickBot="1" x14ac:dyDescent="0.3">
      <c r="A20" s="1189" t="s">
        <v>949</v>
      </c>
      <c r="B20" s="2494" t="s">
        <v>572</v>
      </c>
      <c r="C20" s="2532"/>
      <c r="D20" s="2533"/>
      <c r="E20" s="2533"/>
      <c r="F20" s="3463"/>
      <c r="G20" s="3653"/>
      <c r="H20" s="3649"/>
      <c r="J20" s="161"/>
      <c r="K20" s="54"/>
      <c r="L20" s="54"/>
      <c r="M20" s="369"/>
      <c r="N20" s="54"/>
      <c r="O20" s="54"/>
      <c r="P20" s="54"/>
      <c r="Q20" s="54"/>
      <c r="R20" s="54"/>
      <c r="S20" s="54"/>
      <c r="T20" s="54"/>
      <c r="U20" s="54"/>
      <c r="V20" s="54"/>
      <c r="W20" s="54"/>
      <c r="X20" s="54"/>
      <c r="Y20" s="54"/>
      <c r="Z20" s="54"/>
      <c r="AA20" s="54"/>
      <c r="AB20" s="54"/>
      <c r="AC20" s="54"/>
      <c r="AD20" s="54"/>
      <c r="AE20" s="54"/>
      <c r="AF20" s="54"/>
      <c r="AG20" s="54"/>
    </row>
    <row r="21" spans="1:37" x14ac:dyDescent="0.25">
      <c r="C21" s="116"/>
      <c r="J21" s="1"/>
      <c r="K21" s="76"/>
      <c r="M21" s="369"/>
      <c r="N21" s="54"/>
      <c r="O21" s="54"/>
      <c r="P21" s="54"/>
      <c r="Q21" s="54"/>
      <c r="R21" s="54"/>
      <c r="S21" s="54"/>
      <c r="T21" s="54"/>
      <c r="U21" s="54"/>
      <c r="V21" s="54"/>
      <c r="W21" s="54"/>
      <c r="X21" s="54"/>
      <c r="Y21" s="54"/>
      <c r="Z21" s="54"/>
      <c r="AA21" s="54"/>
      <c r="AB21" s="54"/>
      <c r="AC21" s="54"/>
      <c r="AD21" s="54"/>
      <c r="AE21" s="54"/>
      <c r="AF21" s="54"/>
      <c r="AG21" s="54"/>
    </row>
    <row r="22" spans="1:37" x14ac:dyDescent="0.25">
      <c r="M22" s="369"/>
      <c r="N22" s="54"/>
      <c r="O22" s="54"/>
      <c r="P22" s="54"/>
      <c r="Q22" s="54"/>
      <c r="R22" s="54"/>
      <c r="S22" s="54"/>
      <c r="T22" s="54"/>
      <c r="U22" s="54"/>
      <c r="V22" s="54"/>
      <c r="W22" s="54"/>
      <c r="X22" s="54"/>
      <c r="Y22" s="54"/>
      <c r="Z22" s="54"/>
      <c r="AA22" s="54"/>
      <c r="AB22" s="54"/>
      <c r="AC22" s="54"/>
      <c r="AD22" s="54"/>
      <c r="AE22" s="54"/>
      <c r="AF22" s="54"/>
      <c r="AG22" s="54"/>
    </row>
    <row r="23" spans="1:37" x14ac:dyDescent="0.25">
      <c r="M23" s="369"/>
      <c r="N23" s="54"/>
      <c r="O23" s="54"/>
      <c r="P23" s="54"/>
      <c r="Q23" s="54"/>
      <c r="R23" s="54"/>
      <c r="S23" s="54"/>
      <c r="T23" s="54"/>
      <c r="U23" s="54"/>
      <c r="V23" s="54"/>
      <c r="W23" s="54"/>
      <c r="X23" s="54" t="s">
        <v>1322</v>
      </c>
      <c r="Y23" s="54"/>
      <c r="Z23" s="54"/>
      <c r="AA23" s="54"/>
      <c r="AB23" s="54"/>
      <c r="AC23" s="54"/>
      <c r="AD23" s="54"/>
      <c r="AE23" s="54"/>
      <c r="AF23" s="54"/>
      <c r="AG23" s="54"/>
    </row>
    <row r="24" spans="1:37" x14ac:dyDescent="0.25">
      <c r="A24" t="s">
        <v>220</v>
      </c>
      <c r="J24">
        <v>34859.680000000008</v>
      </c>
      <c r="K24">
        <v>35447.300000000003</v>
      </c>
      <c r="L24">
        <v>35072</v>
      </c>
      <c r="M24" s="369">
        <f>SUM(J24:L24)</f>
        <v>105378.98000000001</v>
      </c>
      <c r="X24" t="s">
        <v>1319</v>
      </c>
    </row>
    <row r="25" spans="1:37" ht="15.75" thickBot="1" x14ac:dyDescent="0.3">
      <c r="X25" t="s">
        <v>1318</v>
      </c>
    </row>
    <row r="26" spans="1:37" ht="24.75" customHeight="1" thickBot="1" x14ac:dyDescent="0.3">
      <c r="A26" s="41" t="s">
        <v>218</v>
      </c>
      <c r="B26" s="42"/>
      <c r="C26" s="42" t="s">
        <v>206</v>
      </c>
      <c r="D26" s="42" t="s">
        <v>207</v>
      </c>
      <c r="E26" s="42" t="s">
        <v>208</v>
      </c>
      <c r="F26" s="246" t="s">
        <v>92</v>
      </c>
      <c r="G26" s="41" t="s">
        <v>209</v>
      </c>
      <c r="H26" s="42" t="s">
        <v>210</v>
      </c>
      <c r="I26" s="42" t="s">
        <v>211</v>
      </c>
      <c r="J26" s="1779" t="s">
        <v>93</v>
      </c>
      <c r="K26" s="41" t="s">
        <v>212</v>
      </c>
      <c r="L26" s="42" t="s">
        <v>213</v>
      </c>
      <c r="M26" s="265" t="s">
        <v>680</v>
      </c>
      <c r="N26" s="1779" t="s">
        <v>94</v>
      </c>
      <c r="O26" s="1773" t="s">
        <v>681</v>
      </c>
      <c r="P26" s="265" t="s">
        <v>682</v>
      </c>
      <c r="Q26" s="265" t="s">
        <v>683</v>
      </c>
      <c r="R26" s="1779" t="s">
        <v>95</v>
      </c>
      <c r="S26" s="1780" t="s">
        <v>967</v>
      </c>
      <c r="U26" s="1"/>
      <c r="V26" s="1"/>
      <c r="W26" s="1"/>
      <c r="X26" s="1" t="s">
        <v>1320</v>
      </c>
      <c r="Y26" s="1"/>
      <c r="Z26" s="1"/>
      <c r="AA26" s="1"/>
      <c r="AB26" s="1"/>
      <c r="AC26" s="1"/>
      <c r="AD26" s="1"/>
      <c r="AE26" s="1"/>
      <c r="AF26" s="1"/>
      <c r="AG26" s="1"/>
      <c r="AH26" s="1"/>
      <c r="AI26" s="1"/>
      <c r="AJ26" s="1"/>
      <c r="AK26" s="1"/>
    </row>
    <row r="27" spans="1:37" ht="34.5" customHeight="1" x14ac:dyDescent="0.25">
      <c r="A27" s="4967" t="s">
        <v>99</v>
      </c>
      <c r="B27" s="238" t="s">
        <v>214</v>
      </c>
      <c r="C27" s="851">
        <v>446066.51</v>
      </c>
      <c r="D27" s="832">
        <v>457818</v>
      </c>
      <c r="E27" s="832">
        <v>369403</v>
      </c>
      <c r="F27" s="813">
        <f>SUM(C27:E27)</f>
        <v>1273287.51</v>
      </c>
      <c r="G27" s="157">
        <v>407403</v>
      </c>
      <c r="H27" s="53">
        <v>409526</v>
      </c>
      <c r="I27" s="53">
        <v>322092</v>
      </c>
      <c r="J27" s="1777">
        <f>SUM(G27:I27)</f>
        <v>1139021</v>
      </c>
      <c r="K27" s="157">
        <v>295664</v>
      </c>
      <c r="L27" s="53">
        <v>409813</v>
      </c>
      <c r="M27" s="427">
        <v>348587</v>
      </c>
      <c r="N27" s="1777">
        <f t="shared" ref="N27:N42" si="10">SUM(K27:M27)</f>
        <v>1054064</v>
      </c>
      <c r="O27" s="162">
        <v>127251.965228</v>
      </c>
      <c r="P27" s="161">
        <v>266629.37888800004</v>
      </c>
      <c r="Q27" s="161"/>
      <c r="R27" s="1777">
        <f>SUM(O27:Q27)</f>
        <v>393881.34411600005</v>
      </c>
      <c r="S27" s="2540">
        <f t="shared" ref="S27:S46" si="11">F27+J27+N27+R27</f>
        <v>3860253.8541159998</v>
      </c>
      <c r="T27" s="54"/>
      <c r="U27" s="3892"/>
      <c r="V27" s="3892"/>
      <c r="W27" s="3892"/>
      <c r="X27" s="3892" t="s">
        <v>1321</v>
      </c>
      <c r="Y27" s="3891"/>
      <c r="Z27" s="260"/>
      <c r="AA27" s="1"/>
      <c r="AB27" s="1"/>
      <c r="AC27" s="1"/>
      <c r="AD27" s="1"/>
      <c r="AE27" s="260"/>
      <c r="AF27" s="260"/>
      <c r="AG27" s="1"/>
      <c r="AH27" s="1"/>
      <c r="AI27" s="1"/>
      <c r="AJ27" s="1"/>
      <c r="AK27" s="1"/>
    </row>
    <row r="28" spans="1:37" ht="37.5" customHeight="1" x14ac:dyDescent="0.25">
      <c r="A28" s="4967"/>
      <c r="B28" s="239" t="s">
        <v>215</v>
      </c>
      <c r="C28" s="157">
        <v>446066.51</v>
      </c>
      <c r="D28" s="53">
        <v>457818</v>
      </c>
      <c r="E28" s="53">
        <v>369403</v>
      </c>
      <c r="F28" s="1824">
        <f>SUM(C28:E28)</f>
        <v>1273287.51</v>
      </c>
      <c r="G28" s="157"/>
      <c r="H28" s="53"/>
      <c r="I28" s="53"/>
      <c r="J28" s="1777">
        <f>SUM(G28:I28)</f>
        <v>0</v>
      </c>
      <c r="K28" s="157"/>
      <c r="L28" s="53"/>
      <c r="M28" s="427"/>
      <c r="N28" s="1777">
        <f t="shared" si="10"/>
        <v>0</v>
      </c>
      <c r="O28" s="162"/>
      <c r="P28" s="161"/>
      <c r="Q28" s="161"/>
      <c r="R28" s="1777">
        <f>SUM(O28:Q28)</f>
        <v>0</v>
      </c>
      <c r="S28" s="2540">
        <f t="shared" si="11"/>
        <v>1273287.51</v>
      </c>
      <c r="U28" s="3892"/>
      <c r="V28" s="3892"/>
      <c r="W28" s="3892" t="s">
        <v>1322</v>
      </c>
      <c r="X28" s="3892">
        <v>12335870.86199107</v>
      </c>
      <c r="Y28" s="3891"/>
      <c r="Z28" s="1"/>
      <c r="AA28" s="374"/>
      <c r="AB28" s="374"/>
      <c r="AC28" s="374"/>
      <c r="AD28" s="374"/>
      <c r="AE28" s="204"/>
      <c r="AF28" s="204"/>
      <c r="AG28" s="374"/>
      <c r="AH28" s="374"/>
      <c r="AI28" s="374"/>
      <c r="AJ28" s="374"/>
      <c r="AK28" s="1"/>
    </row>
    <row r="29" spans="1:37" ht="32.25" customHeight="1" x14ac:dyDescent="0.25">
      <c r="A29" s="4967"/>
      <c r="B29" s="240" t="s">
        <v>216</v>
      </c>
      <c r="C29" s="157">
        <v>147861</v>
      </c>
      <c r="D29" s="53">
        <v>157181</v>
      </c>
      <c r="E29" s="53">
        <v>157877</v>
      </c>
      <c r="F29" s="1824">
        <v>462919.43000000005</v>
      </c>
      <c r="G29" s="157">
        <v>170558</v>
      </c>
      <c r="H29" s="53">
        <v>149186</v>
      </c>
      <c r="I29" s="53">
        <v>107123</v>
      </c>
      <c r="J29" s="1777">
        <f>SUM(G29:I29)</f>
        <v>426867</v>
      </c>
      <c r="K29" s="157">
        <v>105391</v>
      </c>
      <c r="L29" s="53">
        <v>135896</v>
      </c>
      <c r="M29" s="427">
        <v>159255</v>
      </c>
      <c r="N29" s="1777">
        <f t="shared" si="10"/>
        <v>400542</v>
      </c>
      <c r="O29" s="162">
        <v>34253.108228707999</v>
      </c>
      <c r="P29" s="161">
        <v>125293.4041067856</v>
      </c>
      <c r="Q29" s="2170"/>
      <c r="R29" s="2539">
        <f>SUM(O29:Q29)</f>
        <v>159546.51233549361</v>
      </c>
      <c r="S29" s="2541">
        <f t="shared" si="11"/>
        <v>1449874.9423354939</v>
      </c>
      <c r="U29" s="3892"/>
      <c r="V29" s="3892"/>
      <c r="W29" s="3892" t="s">
        <v>1319</v>
      </c>
      <c r="X29" s="3892">
        <v>4230231.6838950003</v>
      </c>
      <c r="Y29" s="3891"/>
      <c r="Z29" s="1"/>
      <c r="AA29" s="374"/>
      <c r="AB29" s="374"/>
      <c r="AC29" s="374"/>
      <c r="AD29" s="374"/>
      <c r="AE29" s="204"/>
      <c r="AF29" s="204"/>
      <c r="AG29" s="374"/>
      <c r="AH29" s="374"/>
      <c r="AI29" s="374"/>
      <c r="AJ29" s="374"/>
      <c r="AK29" s="1"/>
    </row>
    <row r="30" spans="1:37" ht="21.75" customHeight="1" thickBot="1" x14ac:dyDescent="0.3">
      <c r="A30" s="4968"/>
      <c r="B30" s="241" t="s">
        <v>217</v>
      </c>
      <c r="C30" s="157">
        <v>147861.39000000001</v>
      </c>
      <c r="D30" s="53">
        <v>157181.35999999999</v>
      </c>
      <c r="E30" s="53">
        <v>157877</v>
      </c>
      <c r="F30" s="1824">
        <f>SUM(C30:E30)</f>
        <v>462919.75</v>
      </c>
      <c r="G30" s="157"/>
      <c r="H30" s="53"/>
      <c r="I30" s="53"/>
      <c r="J30" s="1777">
        <f>SUM(G30:I30)</f>
        <v>0</v>
      </c>
      <c r="K30" s="157"/>
      <c r="L30" s="53"/>
      <c r="M30" s="427"/>
      <c r="N30" s="1777">
        <f t="shared" si="10"/>
        <v>0</v>
      </c>
      <c r="O30" s="162"/>
      <c r="P30" s="161"/>
      <c r="Q30" s="161"/>
      <c r="R30" s="1777">
        <f>SUM(O30:Q30)</f>
        <v>0</v>
      </c>
      <c r="S30" s="2540">
        <f t="shared" si="11"/>
        <v>462919.75</v>
      </c>
      <c r="U30" s="3892"/>
      <c r="V30" s="3892"/>
      <c r="W30" s="3892" t="s">
        <v>1318</v>
      </c>
      <c r="X30" s="3892">
        <v>2930929.67809607</v>
      </c>
      <c r="Y30" s="3891"/>
      <c r="Z30" s="1"/>
      <c r="AA30" s="374"/>
      <c r="AB30" s="374"/>
      <c r="AC30" s="374"/>
      <c r="AD30" s="374"/>
      <c r="AE30" s="204"/>
      <c r="AF30" s="204"/>
      <c r="AG30" s="374"/>
      <c r="AH30" s="374"/>
      <c r="AI30" s="374"/>
      <c r="AJ30" s="374"/>
      <c r="AK30" s="1"/>
    </row>
    <row r="31" spans="1:37" ht="45" x14ac:dyDescent="0.25">
      <c r="A31" s="4966" t="s">
        <v>100</v>
      </c>
      <c r="B31" s="1781" t="s">
        <v>214</v>
      </c>
      <c r="C31" s="851">
        <v>313499</v>
      </c>
      <c r="D31" s="832">
        <v>279257</v>
      </c>
      <c r="E31" s="832">
        <v>309402</v>
      </c>
      <c r="F31" s="813">
        <v>902158.1180960699</v>
      </c>
      <c r="G31" s="851">
        <v>284403</v>
      </c>
      <c r="H31" s="832">
        <v>299891</v>
      </c>
      <c r="I31" s="832">
        <v>221971</v>
      </c>
      <c r="J31" s="1778">
        <f>SUM(G31:I31)</f>
        <v>806265</v>
      </c>
      <c r="K31" s="851">
        <v>293655</v>
      </c>
      <c r="L31" s="832">
        <v>262739</v>
      </c>
      <c r="M31" s="1774">
        <v>205669</v>
      </c>
      <c r="N31" s="1778">
        <f t="shared" si="10"/>
        <v>762063</v>
      </c>
      <c r="O31" s="111">
        <v>72678.900000000009</v>
      </c>
      <c r="P31" s="147">
        <v>183689</v>
      </c>
      <c r="Q31" s="147"/>
      <c r="R31" s="1778">
        <f>SUM(O31:Q31)</f>
        <v>256367.90000000002</v>
      </c>
      <c r="S31" s="1934">
        <f>F31+J31+N31+R31</f>
        <v>2726854.0180960698</v>
      </c>
      <c r="U31" s="3892"/>
      <c r="V31" s="3892"/>
      <c r="W31" s="3892" t="s">
        <v>1320</v>
      </c>
      <c r="X31" s="3892">
        <v>891705</v>
      </c>
      <c r="Y31" s="3891"/>
      <c r="Z31" s="1"/>
      <c r="AA31" s="374"/>
      <c r="AB31" s="374"/>
      <c r="AC31" s="374"/>
      <c r="AD31" s="374"/>
      <c r="AE31" s="204"/>
      <c r="AF31" s="204"/>
      <c r="AG31" s="374"/>
      <c r="AH31" s="374"/>
      <c r="AI31" s="374"/>
      <c r="AJ31" s="374"/>
      <c r="AK31" s="1"/>
    </row>
    <row r="32" spans="1:37" ht="33.75" x14ac:dyDescent="0.25">
      <c r="A32" s="4967"/>
      <c r="B32" s="242" t="s">
        <v>215</v>
      </c>
      <c r="C32" s="251">
        <v>307495</v>
      </c>
      <c r="D32" s="126">
        <v>278697.11602929304</v>
      </c>
      <c r="E32" s="126">
        <v>309402.36585194035</v>
      </c>
      <c r="F32" s="1824">
        <f>SUM(C32:E32)</f>
        <v>895594.4818812334</v>
      </c>
      <c r="G32" s="157"/>
      <c r="H32" s="53"/>
      <c r="I32" s="53"/>
      <c r="J32" s="1777">
        <f t="shared" ref="J32:J39" si="12">SUM(G32:I32)</f>
        <v>0</v>
      </c>
      <c r="K32" s="157"/>
      <c r="L32" s="53"/>
      <c r="M32" s="427"/>
      <c r="N32" s="1777">
        <f t="shared" si="10"/>
        <v>0</v>
      </c>
      <c r="O32" s="162"/>
      <c r="P32" s="161"/>
      <c r="Q32" s="161"/>
      <c r="R32" s="1777">
        <f t="shared" ref="R32:R46" si="13">SUM(O32:Q32)</f>
        <v>0</v>
      </c>
      <c r="S32" s="2540">
        <v>0</v>
      </c>
      <c r="U32" s="3892"/>
      <c r="V32" s="3892"/>
      <c r="W32" s="3892" t="s">
        <v>1321</v>
      </c>
      <c r="X32" s="3892">
        <v>4283004.5</v>
      </c>
      <c r="Y32" s="3891"/>
      <c r="Z32" s="1"/>
      <c r="AA32" s="374"/>
      <c r="AB32" s="374"/>
      <c r="AC32" s="374"/>
      <c r="AD32" s="374"/>
      <c r="AE32" s="204"/>
      <c r="AF32" s="204"/>
      <c r="AG32" s="204"/>
      <c r="AH32" s="204"/>
      <c r="AI32" s="204"/>
      <c r="AJ32" s="374"/>
      <c r="AK32" s="1"/>
    </row>
    <row r="33" spans="1:37" ht="22.5" x14ac:dyDescent="0.25">
      <c r="A33" s="4967"/>
      <c r="B33" s="242" t="s">
        <v>216</v>
      </c>
      <c r="C33" s="157">
        <v>169857</v>
      </c>
      <c r="D33" s="53">
        <v>151546</v>
      </c>
      <c r="E33" s="53">
        <v>161049</v>
      </c>
      <c r="F33" s="1824">
        <v>482451.74398099992</v>
      </c>
      <c r="G33" s="157">
        <v>154612</v>
      </c>
      <c r="H33" s="53">
        <v>157635</v>
      </c>
      <c r="I33" s="53">
        <v>118858</v>
      </c>
      <c r="J33" s="1777">
        <f t="shared" si="12"/>
        <v>431105</v>
      </c>
      <c r="K33" s="157">
        <v>167610</v>
      </c>
      <c r="L33" s="53">
        <v>152543</v>
      </c>
      <c r="M33" s="427">
        <v>124425</v>
      </c>
      <c r="N33" s="1777">
        <f t="shared" si="10"/>
        <v>444578</v>
      </c>
      <c r="O33" s="162">
        <v>48370.359999999993</v>
      </c>
      <c r="P33" s="161">
        <v>119139</v>
      </c>
      <c r="Q33" s="2170"/>
      <c r="R33" s="2539">
        <f t="shared" si="13"/>
        <v>167509.35999999999</v>
      </c>
      <c r="S33" s="2541">
        <f t="shared" si="11"/>
        <v>1525644.1039809999</v>
      </c>
      <c r="U33" s="1"/>
      <c r="V33" s="1"/>
      <c r="W33" s="1"/>
      <c r="X33" s="161">
        <f>SUM(X29:X32)</f>
        <v>12335870.86199107</v>
      </c>
      <c r="Y33" s="1"/>
      <c r="Z33" s="1"/>
      <c r="AA33" s="1"/>
      <c r="AB33" s="1"/>
      <c r="AC33" s="1"/>
      <c r="AD33" s="1"/>
      <c r="AE33" s="1"/>
      <c r="AF33" s="1"/>
      <c r="AG33" s="1"/>
      <c r="AH33" s="1"/>
      <c r="AI33" s="1"/>
      <c r="AJ33" s="1"/>
      <c r="AK33" s="1"/>
    </row>
    <row r="34" spans="1:37" ht="15.75" thickBot="1" x14ac:dyDescent="0.3">
      <c r="A34" s="4968"/>
      <c r="B34" s="1782" t="s">
        <v>217</v>
      </c>
      <c r="C34" s="1770">
        <v>169625</v>
      </c>
      <c r="D34" s="833">
        <v>151533.00999999998</v>
      </c>
      <c r="E34" s="833">
        <v>161048.553981</v>
      </c>
      <c r="F34" s="1825">
        <f>SUM(C34:E34)</f>
        <v>482206.56398099998</v>
      </c>
      <c r="G34" s="1770"/>
      <c r="H34" s="833"/>
      <c r="I34" s="833"/>
      <c r="J34" s="2538">
        <f t="shared" si="12"/>
        <v>0</v>
      </c>
      <c r="K34" s="1770"/>
      <c r="L34" s="833"/>
      <c r="M34" s="1775"/>
      <c r="N34" s="2538">
        <f t="shared" si="10"/>
        <v>0</v>
      </c>
      <c r="O34" s="1932"/>
      <c r="P34" s="1933"/>
      <c r="Q34" s="1933"/>
      <c r="R34" s="2538">
        <f t="shared" si="13"/>
        <v>0</v>
      </c>
      <c r="S34" s="2542">
        <f t="shared" si="11"/>
        <v>482206.56398099998</v>
      </c>
      <c r="Y34" s="1"/>
      <c r="Z34" s="1"/>
      <c r="AA34" s="1"/>
      <c r="AB34" s="1"/>
      <c r="AC34" s="1"/>
      <c r="AD34" s="1"/>
      <c r="AE34" s="1"/>
      <c r="AF34" s="1"/>
      <c r="AG34" s="1"/>
      <c r="AH34" s="1"/>
      <c r="AI34" s="1"/>
      <c r="AJ34" s="1"/>
      <c r="AK34" s="1"/>
    </row>
    <row r="35" spans="1:37" ht="45.75" x14ac:dyDescent="0.25">
      <c r="A35" s="4966" t="s">
        <v>101</v>
      </c>
      <c r="B35" s="240" t="s">
        <v>214</v>
      </c>
      <c r="C35" s="851">
        <v>116085</v>
      </c>
      <c r="D35" s="832">
        <v>104813</v>
      </c>
      <c r="E35" s="832">
        <v>93404</v>
      </c>
      <c r="F35" s="813">
        <f>SUM(C35:E35)</f>
        <v>314302</v>
      </c>
      <c r="G35" s="3328">
        <v>90391</v>
      </c>
      <c r="H35" s="3328">
        <v>94353</v>
      </c>
      <c r="I35" s="3328">
        <v>62250</v>
      </c>
      <c r="J35" s="1778">
        <f t="shared" si="12"/>
        <v>246994</v>
      </c>
      <c r="K35" s="3328">
        <v>83845</v>
      </c>
      <c r="L35" s="3328">
        <v>79920</v>
      </c>
      <c r="M35" s="3328">
        <v>72585</v>
      </c>
      <c r="N35" s="1778">
        <f t="shared" si="10"/>
        <v>236350</v>
      </c>
      <c r="O35" s="111">
        <v>0</v>
      </c>
      <c r="P35" s="147">
        <v>0</v>
      </c>
      <c r="Q35" s="147"/>
      <c r="R35" s="1778">
        <f t="shared" si="13"/>
        <v>0</v>
      </c>
      <c r="S35" s="1934">
        <f t="shared" si="11"/>
        <v>797646</v>
      </c>
      <c r="Y35" s="1"/>
      <c r="Z35" s="1"/>
      <c r="AA35" s="1"/>
      <c r="AB35" s="1"/>
      <c r="AC35" s="1"/>
      <c r="AD35" s="1"/>
      <c r="AE35" s="1"/>
      <c r="AF35" s="1"/>
      <c r="AG35" s="1"/>
      <c r="AH35" s="1"/>
      <c r="AI35" s="1"/>
      <c r="AJ35" s="1"/>
      <c r="AK35" s="1"/>
    </row>
    <row r="36" spans="1:37" ht="33.75" x14ac:dyDescent="0.25">
      <c r="A36" s="4967"/>
      <c r="B36" s="239" t="s">
        <v>215</v>
      </c>
      <c r="C36" s="157">
        <v>116085</v>
      </c>
      <c r="D36" s="53">
        <v>104813</v>
      </c>
      <c r="E36" s="53">
        <v>93404</v>
      </c>
      <c r="F36" s="1824">
        <f>SUM(C36:E36)</f>
        <v>314302</v>
      </c>
      <c r="G36" s="157"/>
      <c r="H36" s="53"/>
      <c r="I36" s="53"/>
      <c r="J36" s="1777">
        <f t="shared" si="12"/>
        <v>0</v>
      </c>
      <c r="K36" s="157"/>
      <c r="L36" s="53"/>
      <c r="M36" s="427"/>
      <c r="N36" s="1777">
        <f t="shared" si="10"/>
        <v>0</v>
      </c>
      <c r="O36" s="162"/>
      <c r="P36" s="161"/>
      <c r="Q36" s="161"/>
      <c r="R36" s="1777">
        <f t="shared" si="13"/>
        <v>0</v>
      </c>
      <c r="S36" s="2540">
        <f t="shared" si="11"/>
        <v>314302</v>
      </c>
    </row>
    <row r="37" spans="1:37" ht="23.25" x14ac:dyDescent="0.25">
      <c r="A37" s="4967"/>
      <c r="B37" s="240" t="s">
        <v>216</v>
      </c>
      <c r="C37" s="157">
        <v>6525</v>
      </c>
      <c r="D37" s="3327">
        <v>6696.7</v>
      </c>
      <c r="E37" s="3327">
        <v>7198.42</v>
      </c>
      <c r="F37" s="1824">
        <v>20420</v>
      </c>
      <c r="G37" s="3328">
        <v>8530.3799999999992</v>
      </c>
      <c r="H37" s="3328">
        <v>10037.48</v>
      </c>
      <c r="I37" s="3328">
        <v>5557.59</v>
      </c>
      <c r="J37" s="1777">
        <f t="shared" si="12"/>
        <v>24125.45</v>
      </c>
      <c r="K37" s="3328">
        <v>6374.66</v>
      </c>
      <c r="L37" s="3328">
        <v>5619.15</v>
      </c>
      <c r="M37" s="3328">
        <v>5312.72</v>
      </c>
      <c r="N37" s="1777">
        <f t="shared" si="10"/>
        <v>17306.53</v>
      </c>
      <c r="O37" s="162">
        <v>0</v>
      </c>
      <c r="P37" s="161">
        <v>0</v>
      </c>
      <c r="Q37" s="2170"/>
      <c r="R37" s="2539">
        <f t="shared" si="13"/>
        <v>0</v>
      </c>
      <c r="S37" s="2541">
        <f t="shared" si="11"/>
        <v>61851.979999999996</v>
      </c>
    </row>
    <row r="38" spans="1:37" ht="15.75" thickBot="1" x14ac:dyDescent="0.3">
      <c r="A38" s="4968"/>
      <c r="B38" s="241" t="s">
        <v>217</v>
      </c>
      <c r="C38" s="1770">
        <v>6525</v>
      </c>
      <c r="D38" s="833">
        <v>6899</v>
      </c>
      <c r="E38" s="833">
        <v>7202</v>
      </c>
      <c r="F38" s="1825">
        <f>SUM(C38:E38)</f>
        <v>20626</v>
      </c>
      <c r="G38" s="1770"/>
      <c r="H38" s="833"/>
      <c r="I38" s="833"/>
      <c r="J38" s="2538">
        <f t="shared" si="12"/>
        <v>0</v>
      </c>
      <c r="K38" s="1770"/>
      <c r="L38" s="833"/>
      <c r="M38" s="1775"/>
      <c r="N38" s="2538">
        <f t="shared" si="10"/>
        <v>0</v>
      </c>
      <c r="O38" s="1932"/>
      <c r="P38" s="1933"/>
      <c r="Q38" s="1933"/>
      <c r="R38" s="2538">
        <f t="shared" si="13"/>
        <v>0</v>
      </c>
      <c r="S38" s="2542">
        <f t="shared" si="11"/>
        <v>20626</v>
      </c>
    </row>
    <row r="39" spans="1:37" ht="45.75" x14ac:dyDescent="0.25">
      <c r="A39" s="4966" t="s">
        <v>103</v>
      </c>
      <c r="B39" s="240" t="s">
        <v>214</v>
      </c>
      <c r="C39" s="851">
        <v>405400</v>
      </c>
      <c r="D39" s="832">
        <v>468146</v>
      </c>
      <c r="E39" s="832">
        <v>544777.5</v>
      </c>
      <c r="F39" s="813">
        <f>SUM(C39:E39)</f>
        <v>1418323.5</v>
      </c>
      <c r="G39" s="3328">
        <v>499840</v>
      </c>
      <c r="H39" s="3328">
        <v>457083</v>
      </c>
      <c r="I39" s="3328">
        <v>478357</v>
      </c>
      <c r="J39" s="1778">
        <f t="shared" si="12"/>
        <v>1435280</v>
      </c>
      <c r="K39" s="3328">
        <v>452506</v>
      </c>
      <c r="L39" s="3328">
        <v>427717.09999999992</v>
      </c>
      <c r="M39" s="3328">
        <v>440008</v>
      </c>
      <c r="N39" s="1778">
        <f t="shared" si="10"/>
        <v>1320231.0999999999</v>
      </c>
      <c r="O39" s="111">
        <v>109170</v>
      </c>
      <c r="P39" s="147">
        <v>0</v>
      </c>
      <c r="Q39" s="147"/>
      <c r="R39" s="1778">
        <f t="shared" si="13"/>
        <v>109170</v>
      </c>
      <c r="S39" s="1934">
        <f t="shared" si="11"/>
        <v>4283004.5999999996</v>
      </c>
      <c r="T39" s="53"/>
    </row>
    <row r="40" spans="1:37" ht="34.5" thickBot="1" x14ac:dyDescent="0.3">
      <c r="A40" s="4967"/>
      <c r="B40" s="239" t="s">
        <v>215</v>
      </c>
      <c r="C40" s="157">
        <v>405400</v>
      </c>
      <c r="D40" s="53">
        <v>468146</v>
      </c>
      <c r="E40" s="53">
        <v>544777.5</v>
      </c>
      <c r="F40" s="1824">
        <f>SUM(C40:E40)</f>
        <v>1418323.5</v>
      </c>
      <c r="G40" s="157"/>
      <c r="H40" s="53"/>
      <c r="I40" s="53"/>
      <c r="J40" s="1777">
        <f t="shared" ref="J40:J46" si="14">SUM(G40:I40)</f>
        <v>0</v>
      </c>
      <c r="K40" s="157"/>
      <c r="L40" s="53"/>
      <c r="M40" s="427"/>
      <c r="N40" s="1777">
        <f t="shared" si="10"/>
        <v>0</v>
      </c>
      <c r="O40" s="162"/>
      <c r="P40" s="161"/>
      <c r="Q40" s="161"/>
      <c r="R40" s="1777">
        <f t="shared" si="13"/>
        <v>0</v>
      </c>
      <c r="S40" s="2540">
        <f t="shared" si="11"/>
        <v>1418323.5</v>
      </c>
      <c r="T40" s="161"/>
    </row>
    <row r="41" spans="1:37" ht="23.25" x14ac:dyDescent="0.25">
      <c r="A41" s="4967"/>
      <c r="B41" s="240" t="s">
        <v>216</v>
      </c>
      <c r="C41" s="157">
        <v>30609</v>
      </c>
      <c r="D41" s="3328">
        <v>35618.150000000016</v>
      </c>
      <c r="E41" s="3328">
        <v>50745.250000000007</v>
      </c>
      <c r="F41" s="1824">
        <v>116973</v>
      </c>
      <c r="G41" s="3328">
        <v>34859.680000000008</v>
      </c>
      <c r="H41" s="3328">
        <v>35447.300000000003</v>
      </c>
      <c r="I41" s="3328">
        <v>35072</v>
      </c>
      <c r="J41" s="1777">
        <f t="shared" si="14"/>
        <v>105378.98000000001</v>
      </c>
      <c r="K41" s="3328">
        <v>28407.65</v>
      </c>
      <c r="L41" s="3328">
        <v>19005.96</v>
      </c>
      <c r="M41" s="3328">
        <v>22616.710000000003</v>
      </c>
      <c r="N41" s="1777">
        <f t="shared" si="10"/>
        <v>70030.320000000007</v>
      </c>
      <c r="O41" s="162">
        <v>5660.75</v>
      </c>
      <c r="P41" s="161">
        <v>0</v>
      </c>
      <c r="Q41" s="2170"/>
      <c r="R41" s="2539">
        <f t="shared" si="13"/>
        <v>5660.75</v>
      </c>
      <c r="S41" s="2541">
        <f>F41+J41+N41+R41</f>
        <v>298043.05000000005</v>
      </c>
      <c r="T41" s="2169"/>
    </row>
    <row r="42" spans="1:37" ht="15.75" thickBot="1" x14ac:dyDescent="0.3">
      <c r="A42" s="4968"/>
      <c r="B42" s="241" t="s">
        <v>217</v>
      </c>
      <c r="C42" s="1770">
        <v>30735.4</v>
      </c>
      <c r="D42" s="833">
        <v>35856.6</v>
      </c>
      <c r="E42" s="833">
        <v>51301.85</v>
      </c>
      <c r="F42" s="1825">
        <f>SUM(C42:E42)</f>
        <v>117893.85</v>
      </c>
      <c r="G42" s="1770"/>
      <c r="H42" s="833"/>
      <c r="I42" s="833"/>
      <c r="J42" s="2538">
        <f t="shared" si="14"/>
        <v>0</v>
      </c>
      <c r="K42" s="1770"/>
      <c r="L42" s="833"/>
      <c r="M42" s="1776"/>
      <c r="N42" s="2538">
        <f t="shared" si="10"/>
        <v>0</v>
      </c>
      <c r="O42" s="1932"/>
      <c r="P42" s="1933"/>
      <c r="Q42" s="1933"/>
      <c r="R42" s="2538">
        <f t="shared" si="13"/>
        <v>0</v>
      </c>
      <c r="S42" s="2542">
        <f t="shared" si="11"/>
        <v>117893.85</v>
      </c>
    </row>
    <row r="43" spans="1:37" ht="57" x14ac:dyDescent="0.25">
      <c r="A43" s="4966" t="s">
        <v>143</v>
      </c>
      <c r="B43" s="240" t="s">
        <v>292</v>
      </c>
      <c r="C43" s="851">
        <f>C27+C31+C35+C39</f>
        <v>1281050.51</v>
      </c>
      <c r="D43" s="832">
        <f t="shared" ref="D43:Q43" si="15">D27+D31+D35+D39</f>
        <v>1310034</v>
      </c>
      <c r="E43" s="832">
        <f t="shared" si="15"/>
        <v>1316986.5</v>
      </c>
      <c r="F43" s="1778">
        <f t="shared" si="15"/>
        <v>3908071.1280960701</v>
      </c>
      <c r="G43" s="851">
        <f t="shared" si="15"/>
        <v>1282037</v>
      </c>
      <c r="H43" s="832">
        <f t="shared" si="15"/>
        <v>1260853</v>
      </c>
      <c r="I43" s="832">
        <f t="shared" si="15"/>
        <v>1084670</v>
      </c>
      <c r="J43" s="1778">
        <f t="shared" si="15"/>
        <v>3627560</v>
      </c>
      <c r="K43" s="851">
        <f t="shared" si="15"/>
        <v>1125670</v>
      </c>
      <c r="L43" s="832">
        <f t="shared" si="15"/>
        <v>1180189.0999999999</v>
      </c>
      <c r="M43" s="832">
        <f t="shared" si="15"/>
        <v>1066849</v>
      </c>
      <c r="N43" s="1778">
        <f t="shared" si="15"/>
        <v>3372708.0999999996</v>
      </c>
      <c r="O43" s="851">
        <f t="shared" si="15"/>
        <v>309100.86522799998</v>
      </c>
      <c r="P43" s="832">
        <f t="shared" si="15"/>
        <v>450318.37888800004</v>
      </c>
      <c r="Q43" s="832">
        <f t="shared" si="15"/>
        <v>0</v>
      </c>
      <c r="R43" s="1778">
        <f t="shared" si="13"/>
        <v>759419.24411600002</v>
      </c>
      <c r="S43" s="1934">
        <f t="shared" si="11"/>
        <v>11667758.472212071</v>
      </c>
    </row>
    <row r="44" spans="1:37" ht="33.75" x14ac:dyDescent="0.25">
      <c r="A44" s="4967"/>
      <c r="B44" s="239" t="s">
        <v>215</v>
      </c>
      <c r="C44" s="157">
        <f t="shared" ref="C44:I46" si="16">C28+C32+C36+C40</f>
        <v>1275046.51</v>
      </c>
      <c r="D44" s="53">
        <f t="shared" si="16"/>
        <v>1309474.116029293</v>
      </c>
      <c r="E44" s="53">
        <f t="shared" si="16"/>
        <v>1316986.8658519404</v>
      </c>
      <c r="F44" s="1777">
        <f t="shared" si="16"/>
        <v>3901507.4918812336</v>
      </c>
      <c r="G44" s="157">
        <f t="shared" si="16"/>
        <v>0</v>
      </c>
      <c r="H44" s="53">
        <f t="shared" si="16"/>
        <v>0</v>
      </c>
      <c r="I44" s="53">
        <f t="shared" si="16"/>
        <v>0</v>
      </c>
      <c r="J44" s="1777">
        <f t="shared" si="14"/>
        <v>0</v>
      </c>
      <c r="K44" s="157">
        <f t="shared" ref="K44:Q46" si="17">K28+K32+K36+K40</f>
        <v>0</v>
      </c>
      <c r="L44" s="53">
        <f t="shared" si="17"/>
        <v>0</v>
      </c>
      <c r="M44" s="53">
        <f t="shared" si="17"/>
        <v>0</v>
      </c>
      <c r="N44" s="1777">
        <f t="shared" si="17"/>
        <v>0</v>
      </c>
      <c r="O44" s="157">
        <f t="shared" si="17"/>
        <v>0</v>
      </c>
      <c r="P44" s="161"/>
      <c r="Q44" s="161"/>
      <c r="R44" s="1777">
        <f t="shared" si="13"/>
        <v>0</v>
      </c>
      <c r="S44" s="2540">
        <f t="shared" si="11"/>
        <v>3901507.4918812336</v>
      </c>
    </row>
    <row r="45" spans="1:37" ht="34.5" x14ac:dyDescent="0.25">
      <c r="A45" s="4967"/>
      <c r="B45" s="240" t="s">
        <v>293</v>
      </c>
      <c r="C45" s="157">
        <f t="shared" si="16"/>
        <v>354852</v>
      </c>
      <c r="D45" s="53">
        <f t="shared" si="16"/>
        <v>351041.85000000003</v>
      </c>
      <c r="E45" s="53">
        <f t="shared" si="16"/>
        <v>376869.67</v>
      </c>
      <c r="F45" s="1777">
        <f t="shared" si="16"/>
        <v>1082764.173981</v>
      </c>
      <c r="G45" s="157">
        <f t="shared" si="16"/>
        <v>368560.06</v>
      </c>
      <c r="H45" s="53">
        <f t="shared" si="16"/>
        <v>352305.77999999997</v>
      </c>
      <c r="I45" s="53">
        <f t="shared" si="16"/>
        <v>266610.58999999997</v>
      </c>
      <c r="J45" s="1777">
        <f t="shared" si="14"/>
        <v>987476.42999999993</v>
      </c>
      <c r="K45" s="157">
        <f t="shared" si="17"/>
        <v>307783.31</v>
      </c>
      <c r="L45" s="53">
        <f t="shared" si="17"/>
        <v>313064.11000000004</v>
      </c>
      <c r="M45" s="53">
        <f t="shared" si="17"/>
        <v>311609.43</v>
      </c>
      <c r="N45" s="1777">
        <f t="shared" si="17"/>
        <v>932456.85000000009</v>
      </c>
      <c r="O45" s="157">
        <f t="shared" si="17"/>
        <v>88284.218228707992</v>
      </c>
      <c r="P45" s="157">
        <f t="shared" si="17"/>
        <v>244432.4041067856</v>
      </c>
      <c r="Q45" s="157">
        <f t="shared" si="17"/>
        <v>0</v>
      </c>
      <c r="R45" s="2539">
        <f t="shared" si="13"/>
        <v>332716.62233549356</v>
      </c>
      <c r="S45" s="2541">
        <f t="shared" si="11"/>
        <v>3335414.0763164936</v>
      </c>
    </row>
    <row r="46" spans="1:37" ht="15.75" thickBot="1" x14ac:dyDescent="0.3">
      <c r="A46" s="4968"/>
      <c r="B46" s="241" t="s">
        <v>217</v>
      </c>
      <c r="C46" s="1770">
        <f t="shared" si="16"/>
        <v>354746.79000000004</v>
      </c>
      <c r="D46" s="833">
        <f t="shared" si="16"/>
        <v>351469.97</v>
      </c>
      <c r="E46" s="833">
        <f t="shared" si="16"/>
        <v>377429.40398099995</v>
      </c>
      <c r="F46" s="2538">
        <f t="shared" si="16"/>
        <v>1083646.163981</v>
      </c>
      <c r="G46" s="1770">
        <f t="shared" si="16"/>
        <v>0</v>
      </c>
      <c r="H46" s="833">
        <f t="shared" si="16"/>
        <v>0</v>
      </c>
      <c r="I46" s="833">
        <f t="shared" si="16"/>
        <v>0</v>
      </c>
      <c r="J46" s="2538">
        <f t="shared" si="14"/>
        <v>0</v>
      </c>
      <c r="K46" s="1770">
        <f t="shared" si="17"/>
        <v>0</v>
      </c>
      <c r="L46" s="833">
        <f t="shared" si="17"/>
        <v>0</v>
      </c>
      <c r="M46" s="833">
        <f t="shared" si="17"/>
        <v>0</v>
      </c>
      <c r="N46" s="2538">
        <f t="shared" si="17"/>
        <v>0</v>
      </c>
      <c r="O46" s="1770">
        <f t="shared" si="17"/>
        <v>0</v>
      </c>
      <c r="P46" s="1933"/>
      <c r="Q46" s="1933"/>
      <c r="R46" s="2538">
        <f t="shared" si="13"/>
        <v>0</v>
      </c>
      <c r="S46" s="2542">
        <f t="shared" si="11"/>
        <v>1083646.163981</v>
      </c>
    </row>
  </sheetData>
  <mergeCells count="12">
    <mergeCell ref="AE3:AI3"/>
    <mergeCell ref="Y3:AC3"/>
    <mergeCell ref="A39:A42"/>
    <mergeCell ref="A43:A46"/>
    <mergeCell ref="R3:V3"/>
    <mergeCell ref="A27:A30"/>
    <mergeCell ref="A31:A34"/>
    <mergeCell ref="A35:A38"/>
    <mergeCell ref="C3:G3"/>
    <mergeCell ref="H3:L3"/>
    <mergeCell ref="M3:Q3"/>
    <mergeCell ref="C12:G12"/>
  </mergeCells>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Z69"/>
  <sheetViews>
    <sheetView topLeftCell="A40" workbookViewId="0">
      <selection activeCell="W22" sqref="W22"/>
    </sheetView>
  </sheetViews>
  <sheetFormatPr defaultRowHeight="15" x14ac:dyDescent="0.25"/>
  <cols>
    <col min="1" max="4" width="9.140625" style="9"/>
    <col min="5" max="5" width="10.42578125" style="9" bestFit="1" customWidth="1"/>
    <col min="6" max="9" width="9.140625" style="9"/>
    <col min="10" max="10" width="10.42578125" style="9" bestFit="1" customWidth="1"/>
    <col min="11" max="12" width="9.28515625" style="9" bestFit="1" customWidth="1"/>
    <col min="13" max="13" width="10.42578125" style="9" bestFit="1" customWidth="1"/>
    <col min="14" max="16" width="9.140625" style="9"/>
    <col min="17" max="17" width="10" style="9" bestFit="1" customWidth="1"/>
    <col min="18" max="22" width="9.140625" style="9"/>
    <col min="23" max="23" width="12.28515625" style="9" bestFit="1" customWidth="1"/>
    <col min="24" max="24" width="9.28515625" style="9" bestFit="1" customWidth="1"/>
    <col min="25" max="25" width="12.28515625" style="9" bestFit="1" customWidth="1"/>
    <col min="26" max="16384" width="9.140625" style="9"/>
  </cols>
  <sheetData>
    <row r="1" spans="1:26" x14ac:dyDescent="0.25">
      <c r="A1" s="40" t="s">
        <v>1564</v>
      </c>
    </row>
    <row r="2" spans="1:26" x14ac:dyDescent="0.25">
      <c r="E2" s="5076" t="s">
        <v>1565</v>
      </c>
      <c r="F2" s="5076"/>
      <c r="G2" s="5076" t="s">
        <v>1566</v>
      </c>
      <c r="H2" s="5076"/>
      <c r="I2" s="5076" t="s">
        <v>1567</v>
      </c>
      <c r="J2" s="5076"/>
      <c r="K2" s="5076" t="s">
        <v>1568</v>
      </c>
      <c r="L2" s="5076"/>
      <c r="M2" s="5076" t="s">
        <v>1569</v>
      </c>
      <c r="N2" s="5076"/>
      <c r="O2" s="5076"/>
    </row>
    <row r="3" spans="1:26" ht="60" customHeight="1" x14ac:dyDescent="0.25">
      <c r="A3" s="5416" t="s">
        <v>1570</v>
      </c>
      <c r="B3" s="5417"/>
      <c r="C3" s="4812" t="s">
        <v>1571</v>
      </c>
      <c r="D3" s="4812" t="s">
        <v>1572</v>
      </c>
      <c r="E3" s="5413" t="s">
        <v>1573</v>
      </c>
      <c r="F3" s="5413"/>
      <c r="G3" s="5413" t="s">
        <v>1574</v>
      </c>
      <c r="H3" s="5413"/>
      <c r="I3" s="5413" t="s">
        <v>1575</v>
      </c>
      <c r="J3" s="5413"/>
      <c r="K3" s="5414" t="s">
        <v>1576</v>
      </c>
      <c r="L3" s="5414"/>
      <c r="M3" s="5415" t="s">
        <v>1577</v>
      </c>
      <c r="N3" s="5415"/>
      <c r="O3" s="5415"/>
      <c r="P3" s="76" t="s">
        <v>1578</v>
      </c>
      <c r="Q3" s="4813" t="s">
        <v>1579</v>
      </c>
      <c r="R3" s="921" t="s">
        <v>1580</v>
      </c>
    </row>
    <row r="4" spans="1:26" x14ac:dyDescent="0.25">
      <c r="A4" s="5416"/>
      <c r="B4" s="5417"/>
      <c r="C4" s="76" t="s">
        <v>99</v>
      </c>
      <c r="D4" s="76" t="s">
        <v>720</v>
      </c>
      <c r="E4" s="5076">
        <v>0</v>
      </c>
      <c r="F4" s="5076"/>
      <c r="G4" s="5076">
        <f>P4/R4</f>
        <v>7.453162950562034E-6</v>
      </c>
      <c r="H4" s="5076"/>
      <c r="I4" s="5076">
        <v>1</v>
      </c>
      <c r="J4" s="5076"/>
      <c r="K4" s="5076">
        <v>100</v>
      </c>
      <c r="L4" s="5076"/>
      <c r="M4" s="5076">
        <f>(E4/G4-I4)*K4</f>
        <v>-100</v>
      </c>
      <c r="N4" s="5076"/>
      <c r="O4" s="5076"/>
      <c r="P4" s="4814">
        <f>'[7]estimated carbon tax 2019'!S5+'[7]estimated carbon tax 2019'!S6</f>
        <v>7.576279811520001</v>
      </c>
      <c r="Q4" s="4815">
        <f>Production!$C$10+Production!$D$10</f>
        <v>889786.74</v>
      </c>
      <c r="R4" s="4816">
        <f>Q4+126732</f>
        <v>1016518.74</v>
      </c>
    </row>
    <row r="5" spans="1:26" x14ac:dyDescent="0.25">
      <c r="C5" s="76" t="s">
        <v>100</v>
      </c>
      <c r="D5" s="76" t="s">
        <v>720</v>
      </c>
      <c r="E5" s="5076">
        <v>0</v>
      </c>
      <c r="F5" s="5076"/>
      <c r="G5" s="5076">
        <f t="shared" ref="G5:G7" si="0">P5/R5</f>
        <v>1.374920155946526E-6</v>
      </c>
      <c r="H5" s="5076"/>
      <c r="I5" s="5076">
        <v>1</v>
      </c>
      <c r="J5" s="5076"/>
      <c r="K5" s="5076">
        <v>100</v>
      </c>
      <c r="L5" s="5076"/>
      <c r="M5" s="5076">
        <f t="shared" ref="M5:M7" si="1">(E5/G5-I5)*K5</f>
        <v>-100</v>
      </c>
      <c r="N5" s="5076"/>
      <c r="O5" s="5076"/>
      <c r="P5" s="4814">
        <f>'[7]estimated carbon tax 2019'!S15+'[7]estimated carbon tax 2019'!S16</f>
        <v>1.4578520179200001</v>
      </c>
      <c r="Q5" s="4815">
        <f>Production!$H$10+Production!$I$10</f>
        <v>913556.58398099989</v>
      </c>
      <c r="R5" s="4816">
        <f>Q5+146761</f>
        <v>1060317.5839809999</v>
      </c>
    </row>
    <row r="6" spans="1:26" ht="15.75" thickBot="1" x14ac:dyDescent="0.3">
      <c r="C6" s="76" t="s">
        <v>101</v>
      </c>
      <c r="D6" s="76" t="s">
        <v>720</v>
      </c>
      <c r="E6" s="5076">
        <v>0</v>
      </c>
      <c r="F6" s="5076"/>
      <c r="G6" s="5076">
        <f t="shared" si="0"/>
        <v>0</v>
      </c>
      <c r="H6" s="5076"/>
      <c r="I6" s="5076">
        <v>1</v>
      </c>
      <c r="J6" s="5076"/>
      <c r="K6" s="5076">
        <v>100</v>
      </c>
      <c r="L6" s="5076"/>
      <c r="M6" s="5076">
        <v>0</v>
      </c>
      <c r="N6" s="5076"/>
      <c r="O6" s="5076"/>
      <c r="P6" s="4814">
        <f>'[7]estimated carbon tax 2019'!Q25+'[7]estimated carbon tax 2019'!Q26</f>
        <v>0</v>
      </c>
      <c r="Q6" s="4815">
        <f>Production!$M$10+Production!$N$10</f>
        <v>44544.95</v>
      </c>
      <c r="R6" s="4816">
        <f>Q6+6515</f>
        <v>51059.95</v>
      </c>
    </row>
    <row r="7" spans="1:26" ht="15.75" thickBot="1" x14ac:dyDescent="0.3">
      <c r="C7" s="76" t="s">
        <v>1341</v>
      </c>
      <c r="D7" s="76" t="s">
        <v>720</v>
      </c>
      <c r="E7" s="5076">
        <v>0</v>
      </c>
      <c r="F7" s="5076"/>
      <c r="G7" s="5076">
        <f t="shared" si="0"/>
        <v>1.2047598006052483E-4</v>
      </c>
      <c r="H7" s="5076"/>
      <c r="I7" s="5076">
        <v>1</v>
      </c>
      <c r="J7" s="5076"/>
      <c r="K7" s="5076">
        <v>100</v>
      </c>
      <c r="L7" s="5076"/>
      <c r="M7" s="5076">
        <f t="shared" si="1"/>
        <v>-100</v>
      </c>
      <c r="N7" s="5076"/>
      <c r="O7" s="5076"/>
      <c r="P7" s="4814">
        <f>'[7]estimated carbon tax 2019'!S35</f>
        <v>256.360389075</v>
      </c>
      <c r="Q7" s="4815">
        <f>SUM(Q4:Q6)</f>
        <v>1847888.2739809998</v>
      </c>
      <c r="R7" s="4815">
        <f>SUM(R4:R6)</f>
        <v>2127896.2739809998</v>
      </c>
      <c r="U7" s="4817" t="s">
        <v>1581</v>
      </c>
      <c r="V7" s="4818"/>
      <c r="W7" s="4818"/>
      <c r="X7" s="4818"/>
      <c r="Y7" s="4818"/>
      <c r="Z7" s="4819"/>
    </row>
    <row r="8" spans="1:26" x14ac:dyDescent="0.25">
      <c r="Q8" s="54"/>
      <c r="U8" s="4820" t="s">
        <v>1582</v>
      </c>
      <c r="V8" s="4821"/>
      <c r="W8" s="4821"/>
      <c r="X8" s="4821"/>
      <c r="Y8" s="4821"/>
      <c r="Z8" s="4822"/>
    </row>
    <row r="9" spans="1:26" x14ac:dyDescent="0.25">
      <c r="A9" s="9" t="s">
        <v>1583</v>
      </c>
      <c r="U9" s="4823" t="s">
        <v>1571</v>
      </c>
      <c r="V9" s="4824" t="s">
        <v>1584</v>
      </c>
      <c r="W9" s="4824" t="s">
        <v>1585</v>
      </c>
      <c r="X9" s="4824" t="s">
        <v>1586</v>
      </c>
      <c r="Y9" s="4824" t="s">
        <v>1587</v>
      </c>
      <c r="Z9" s="4825" t="s">
        <v>1588</v>
      </c>
    </row>
    <row r="10" spans="1:26" ht="60" customHeight="1" x14ac:dyDescent="0.25">
      <c r="C10" s="4812" t="s">
        <v>1571</v>
      </c>
      <c r="D10" s="3291" t="s">
        <v>1589</v>
      </c>
      <c r="E10" s="3289" t="s">
        <v>1590</v>
      </c>
      <c r="F10" s="921" t="s">
        <v>1591</v>
      </c>
      <c r="G10" s="921" t="s">
        <v>1592</v>
      </c>
      <c r="H10" s="921" t="s">
        <v>1593</v>
      </c>
      <c r="I10" s="921" t="s">
        <v>1594</v>
      </c>
      <c r="J10" s="921" t="s">
        <v>1595</v>
      </c>
      <c r="K10" s="921" t="s">
        <v>1596</v>
      </c>
      <c r="L10" s="921" t="s">
        <v>1597</v>
      </c>
      <c r="M10" s="4826" t="s">
        <v>1598</v>
      </c>
      <c r="N10" s="4826" t="s">
        <v>1599</v>
      </c>
      <c r="O10" s="3402"/>
      <c r="U10" s="4823"/>
      <c r="V10" s="4827" t="s">
        <v>1600</v>
      </c>
      <c r="W10" s="4828" t="s">
        <v>1601</v>
      </c>
      <c r="X10" s="4828" t="s">
        <v>1602</v>
      </c>
      <c r="Y10" s="4828" t="s">
        <v>1603</v>
      </c>
      <c r="Z10" s="4829"/>
    </row>
    <row r="11" spans="1:26" ht="25.5" customHeight="1" x14ac:dyDescent="0.25">
      <c r="C11" s="76" t="s">
        <v>99</v>
      </c>
      <c r="D11" s="76" t="s">
        <v>720</v>
      </c>
      <c r="E11" s="112" t="s">
        <v>1604</v>
      </c>
      <c r="F11" s="2142">
        <v>0.6</v>
      </c>
      <c r="G11" s="2142">
        <v>0</v>
      </c>
      <c r="H11" s="2142">
        <v>0</v>
      </c>
      <c r="I11" s="4830">
        <v>0.1</v>
      </c>
      <c r="J11" s="76">
        <v>0</v>
      </c>
      <c r="K11" s="76">
        <v>0</v>
      </c>
      <c r="L11" s="76">
        <v>0</v>
      </c>
      <c r="M11" s="2142">
        <f>F11+G11+H11+I11+J11+K11+L11</f>
        <v>0.7</v>
      </c>
      <c r="N11" s="2142">
        <v>0.9</v>
      </c>
      <c r="U11" s="4823" t="s">
        <v>99</v>
      </c>
      <c r="V11" s="2311">
        <f>(W11+X11)/Y11 *Z11</f>
        <v>73.4812162171674</v>
      </c>
      <c r="W11" s="4831">
        <v>1147959431.8178058</v>
      </c>
      <c r="X11" s="4832"/>
      <c r="Y11" s="4831">
        <v>1562248818.0178056</v>
      </c>
      <c r="Z11" s="4833">
        <v>100</v>
      </c>
    </row>
    <row r="12" spans="1:26" ht="27.75" customHeight="1" x14ac:dyDescent="0.25">
      <c r="C12" s="76" t="s">
        <v>100</v>
      </c>
      <c r="D12" s="76" t="s">
        <v>720</v>
      </c>
      <c r="E12" s="112" t="s">
        <v>1604</v>
      </c>
      <c r="F12" s="2142">
        <v>0.6</v>
      </c>
      <c r="G12" s="2142">
        <v>0</v>
      </c>
      <c r="H12" s="2142">
        <v>0</v>
      </c>
      <c r="I12" s="4830">
        <v>0.1</v>
      </c>
      <c r="J12" s="76">
        <v>0</v>
      </c>
      <c r="K12" s="76">
        <v>0</v>
      </c>
      <c r="L12" s="76">
        <v>0</v>
      </c>
      <c r="M12" s="2142">
        <f>F12+G12+H12+I12+J12+K12+L12</f>
        <v>0.7</v>
      </c>
      <c r="N12" s="2142">
        <v>0.9</v>
      </c>
      <c r="U12" s="4823" t="s">
        <v>100</v>
      </c>
      <c r="V12" s="2311">
        <f>(W12+X12)/Y12 *Z12</f>
        <v>64.68063469321136</v>
      </c>
      <c r="W12" s="4831">
        <v>759393342.59976006</v>
      </c>
      <c r="X12" s="4832"/>
      <c r="Y12" s="4831">
        <v>1174066003.2197599</v>
      </c>
      <c r="Z12" s="4833">
        <v>100</v>
      </c>
    </row>
    <row r="13" spans="1:26" ht="24" customHeight="1" x14ac:dyDescent="0.25">
      <c r="C13" s="76" t="s">
        <v>101</v>
      </c>
      <c r="D13" s="76" t="s">
        <v>720</v>
      </c>
      <c r="E13" s="112" t="s">
        <v>1604</v>
      </c>
      <c r="F13" s="2142">
        <v>0.6</v>
      </c>
      <c r="G13" s="2142">
        <v>0</v>
      </c>
      <c r="H13" s="2142">
        <v>0</v>
      </c>
      <c r="I13" s="4830">
        <v>0.1</v>
      </c>
      <c r="J13" s="76">
        <v>0</v>
      </c>
      <c r="K13" s="76">
        <v>0</v>
      </c>
      <c r="L13" s="76">
        <v>0</v>
      </c>
      <c r="M13" s="2142">
        <f>F13+G13+H13+I13+J13+K13+L13</f>
        <v>0.7</v>
      </c>
      <c r="N13" s="2142">
        <v>0.9</v>
      </c>
      <c r="U13" s="4823" t="s">
        <v>101</v>
      </c>
      <c r="V13" s="2311">
        <f>(W13+X13)/Y13 *Z13</f>
        <v>75.11425450308343</v>
      </c>
      <c r="W13" s="4831">
        <v>222503658.2656</v>
      </c>
      <c r="X13" s="4832">
        <v>0</v>
      </c>
      <c r="Y13" s="4831">
        <v>296220284.33560002</v>
      </c>
      <c r="Z13" s="4833">
        <v>100</v>
      </c>
    </row>
    <row r="14" spans="1:26" ht="27.75" customHeight="1" thickBot="1" x14ac:dyDescent="0.3">
      <c r="C14" s="76" t="s">
        <v>1341</v>
      </c>
      <c r="D14" s="76" t="s">
        <v>720</v>
      </c>
      <c r="E14" s="112" t="s">
        <v>1604</v>
      </c>
      <c r="F14" s="2142">
        <v>0.6</v>
      </c>
      <c r="G14" s="2142">
        <v>0</v>
      </c>
      <c r="H14" s="2142">
        <v>0</v>
      </c>
      <c r="I14" s="4830">
        <v>0</v>
      </c>
      <c r="J14" s="76">
        <v>0</v>
      </c>
      <c r="K14" s="76">
        <v>0</v>
      </c>
      <c r="L14" s="76">
        <v>0</v>
      </c>
      <c r="M14" s="2142">
        <f>F14+G14+H14+I14+J14+K14+L14</f>
        <v>0.6</v>
      </c>
      <c r="N14" s="2142">
        <v>0.9</v>
      </c>
      <c r="U14" s="4834" t="s">
        <v>1341</v>
      </c>
      <c r="V14" s="4835">
        <v>0</v>
      </c>
      <c r="W14" s="4836">
        <v>0</v>
      </c>
      <c r="X14" s="4837">
        <f>SUM(X11:X13)</f>
        <v>0</v>
      </c>
      <c r="Y14" s="4836">
        <v>0</v>
      </c>
      <c r="Z14" s="4838">
        <v>0</v>
      </c>
    </row>
    <row r="18" spans="1:23" ht="15.75" thickBot="1" x14ac:dyDescent="0.3">
      <c r="A18" s="40" t="s">
        <v>1605</v>
      </c>
    </row>
    <row r="19" spans="1:23" ht="15.75" thickBot="1" x14ac:dyDescent="0.3">
      <c r="A19" s="9" t="s">
        <v>1606</v>
      </c>
      <c r="O19" s="5410" t="s">
        <v>1581</v>
      </c>
      <c r="P19" s="5411"/>
      <c r="Q19" s="5411"/>
      <c r="R19" s="5411"/>
      <c r="S19" s="5411"/>
      <c r="T19" s="5411"/>
      <c r="U19" s="5411"/>
      <c r="V19" s="5411"/>
      <c r="W19" s="5412"/>
    </row>
    <row r="20" spans="1:23" ht="75" x14ac:dyDescent="0.25">
      <c r="B20" s="1521" t="s">
        <v>1571</v>
      </c>
      <c r="C20" s="165" t="s">
        <v>1572</v>
      </c>
      <c r="D20" s="5405" t="s">
        <v>1607</v>
      </c>
      <c r="E20" s="5406"/>
      <c r="F20" s="165" t="s">
        <v>1567</v>
      </c>
      <c r="G20" s="165" t="s">
        <v>1608</v>
      </c>
      <c r="H20" s="165" t="s">
        <v>1609</v>
      </c>
      <c r="I20" s="165" t="s">
        <v>1568</v>
      </c>
      <c r="J20" s="165" t="s">
        <v>1588</v>
      </c>
      <c r="K20" s="4839" t="s">
        <v>1610</v>
      </c>
      <c r="L20" s="165" t="s">
        <v>1565</v>
      </c>
      <c r="M20" s="4840" t="s">
        <v>1611</v>
      </c>
      <c r="O20" s="4824" t="s">
        <v>1571</v>
      </c>
      <c r="P20" s="4824"/>
      <c r="Q20" s="4841" t="s">
        <v>1612</v>
      </c>
      <c r="R20" s="4841"/>
      <c r="S20" s="4842" t="s">
        <v>1613</v>
      </c>
      <c r="T20" s="4842" t="s">
        <v>1614</v>
      </c>
      <c r="U20" s="4843"/>
      <c r="V20" s="4843"/>
      <c r="W20" s="4844"/>
    </row>
    <row r="21" spans="1:23" ht="59.25" customHeight="1" thickBot="1" x14ac:dyDescent="0.3">
      <c r="B21" s="1522"/>
      <c r="C21" s="79"/>
      <c r="D21" s="5409" t="s">
        <v>1615</v>
      </c>
      <c r="E21" s="5400"/>
      <c r="F21" s="4845" t="s">
        <v>1616</v>
      </c>
      <c r="G21" s="4845" t="s">
        <v>1617</v>
      </c>
      <c r="H21" s="4845" t="s">
        <v>1618</v>
      </c>
      <c r="I21" s="4845" t="s">
        <v>1619</v>
      </c>
      <c r="J21" s="4845" t="s">
        <v>1620</v>
      </c>
      <c r="K21" s="4845" t="s">
        <v>1621</v>
      </c>
      <c r="L21" s="4845" t="s">
        <v>1622</v>
      </c>
      <c r="M21" s="4846" t="s">
        <v>1623</v>
      </c>
      <c r="O21" s="4823"/>
      <c r="P21" s="4824"/>
      <c r="Q21" s="4824" t="s">
        <v>1624</v>
      </c>
      <c r="R21" s="4824" t="s">
        <v>1625</v>
      </c>
      <c r="S21" s="4824" t="s">
        <v>1626</v>
      </c>
      <c r="T21" s="4824" t="s">
        <v>1627</v>
      </c>
      <c r="U21" s="4847" t="s">
        <v>1628</v>
      </c>
      <c r="V21" s="4847" t="s">
        <v>1629</v>
      </c>
      <c r="W21" s="4848" t="s">
        <v>1630</v>
      </c>
    </row>
    <row r="22" spans="1:23" ht="15.75" thickBot="1" x14ac:dyDescent="0.3">
      <c r="B22" s="5402" t="s">
        <v>99</v>
      </c>
      <c r="C22" s="5399" t="s">
        <v>720</v>
      </c>
      <c r="D22" s="5405" t="s">
        <v>721</v>
      </c>
      <c r="E22" s="5406"/>
      <c r="F22" s="4849">
        <v>74100</v>
      </c>
      <c r="G22" s="165">
        <v>3</v>
      </c>
      <c r="H22" s="4850">
        <v>0.6</v>
      </c>
      <c r="I22" s="4850">
        <v>4.5088757396449707E-2</v>
      </c>
      <c r="J22" s="4850">
        <v>1000</v>
      </c>
      <c r="K22" s="4850">
        <f>(((F22*1)+(G22*23)+(H22*296))*I22)/J22</f>
        <v>3.3521958106508882</v>
      </c>
      <c r="L22" s="4850">
        <f>W22</f>
        <v>2.17672</v>
      </c>
      <c r="M22" s="4851">
        <f>K22*L22</f>
        <v>7.2967916649600015</v>
      </c>
      <c r="O22" s="4823" t="s">
        <v>99</v>
      </c>
      <c r="P22" s="4824" t="s">
        <v>1232</v>
      </c>
      <c r="Q22" s="4824">
        <v>38.1</v>
      </c>
      <c r="R22" s="4824">
        <f t="shared" ref="R22:R27" si="2">Q22/1000000</f>
        <v>3.8100000000000005E-5</v>
      </c>
      <c r="S22" s="4824">
        <v>0.84499999999999997</v>
      </c>
      <c r="T22" s="4824">
        <f>R22/0.000845</f>
        <v>4.5088757396449707E-2</v>
      </c>
      <c r="U22" s="4824">
        <v>2576</v>
      </c>
      <c r="V22" s="4824">
        <f>S22*U22</f>
        <v>2176.7199999999998</v>
      </c>
      <c r="W22" s="4829">
        <f>V22/1000</f>
        <v>2.17672</v>
      </c>
    </row>
    <row r="23" spans="1:23" ht="15.75" thickBot="1" x14ac:dyDescent="0.3">
      <c r="B23" s="5403"/>
      <c r="C23" s="5404"/>
      <c r="D23" s="5407" t="s">
        <v>31</v>
      </c>
      <c r="E23" s="5401"/>
      <c r="F23" s="4852">
        <v>63100</v>
      </c>
      <c r="G23" s="85">
        <v>1</v>
      </c>
      <c r="H23" s="1031">
        <v>0.1</v>
      </c>
      <c r="I23" s="1031">
        <v>4.6100000000000002E-2</v>
      </c>
      <c r="J23" s="1031">
        <v>1000</v>
      </c>
      <c r="K23" s="4853">
        <f t="shared" ref="K23:K26" si="3">(((F23*1)+(G23*23)+(H23*296))*I23)/J23</f>
        <v>2.9113348599999997</v>
      </c>
      <c r="L23" s="1031">
        <v>9.6000000000000002E-2</v>
      </c>
      <c r="M23" s="4854">
        <f t="shared" ref="M23:M27" si="4">K23*L23</f>
        <v>0.27948814655999998</v>
      </c>
      <c r="O23" s="4823"/>
      <c r="P23" s="4824" t="s">
        <v>31</v>
      </c>
      <c r="Q23" s="4824">
        <v>46.1</v>
      </c>
      <c r="R23" s="4824">
        <f t="shared" si="2"/>
        <v>4.6100000000000002E-5</v>
      </c>
      <c r="S23" s="4824">
        <v>0.55500000000000005</v>
      </c>
      <c r="T23" s="4824">
        <f>R23 *1000</f>
        <v>4.6100000000000002E-2</v>
      </c>
      <c r="U23" s="4824"/>
      <c r="V23" s="4824">
        <v>96</v>
      </c>
      <c r="W23" s="4829">
        <f>V23/1000</f>
        <v>9.6000000000000002E-2</v>
      </c>
    </row>
    <row r="24" spans="1:23" ht="15.75" thickBot="1" x14ac:dyDescent="0.3">
      <c r="B24" s="5402" t="s">
        <v>100</v>
      </c>
      <c r="C24" s="5399" t="s">
        <v>720</v>
      </c>
      <c r="D24" s="5405" t="s">
        <v>721</v>
      </c>
      <c r="E24" s="5406"/>
      <c r="F24" s="4849">
        <v>74100</v>
      </c>
      <c r="G24" s="15">
        <v>3</v>
      </c>
      <c r="H24" s="4850">
        <v>0.6</v>
      </c>
      <c r="I24" s="4850">
        <v>4.5088757396449707E-2</v>
      </c>
      <c r="J24" s="4850">
        <v>1000</v>
      </c>
      <c r="K24" s="4850">
        <f t="shared" si="3"/>
        <v>3.3521958106508882</v>
      </c>
      <c r="L24" s="4850">
        <v>0.35152</v>
      </c>
      <c r="M24" s="4851">
        <f t="shared" si="4"/>
        <v>1.1783638713600002</v>
      </c>
      <c r="O24" s="4823" t="s">
        <v>100</v>
      </c>
      <c r="P24" s="4824" t="s">
        <v>1232</v>
      </c>
      <c r="Q24" s="4824">
        <v>38.1</v>
      </c>
      <c r="R24" s="4824">
        <f t="shared" si="2"/>
        <v>3.8100000000000005E-5</v>
      </c>
      <c r="S24" s="4824">
        <v>0.84499999999999997</v>
      </c>
      <c r="T24" s="4824">
        <f>R24/0.000845</f>
        <v>4.5088757396449707E-2</v>
      </c>
      <c r="U24" s="4824">
        <v>416</v>
      </c>
      <c r="V24" s="4824">
        <f>S24*U24</f>
        <v>351.52</v>
      </c>
      <c r="W24" s="4829">
        <f>V24/1000</f>
        <v>0.35152</v>
      </c>
    </row>
    <row r="25" spans="1:23" ht="15.75" thickBot="1" x14ac:dyDescent="0.3">
      <c r="B25" s="5403"/>
      <c r="C25" s="5404"/>
      <c r="D25" s="5407" t="s">
        <v>31</v>
      </c>
      <c r="E25" s="5401"/>
      <c r="F25" s="1031">
        <v>63100</v>
      </c>
      <c r="G25" s="16">
        <v>1</v>
      </c>
      <c r="H25" s="1031">
        <v>0.1</v>
      </c>
      <c r="I25" s="1031">
        <v>4.6100000000000002E-2</v>
      </c>
      <c r="J25" s="1031">
        <v>1000</v>
      </c>
      <c r="K25" s="4853">
        <f t="shared" si="3"/>
        <v>2.9113348599999997</v>
      </c>
      <c r="L25" s="1031">
        <v>9.6000000000000002E-2</v>
      </c>
      <c r="M25" s="4854">
        <f t="shared" si="4"/>
        <v>0.27948814655999998</v>
      </c>
      <c r="O25" s="4823"/>
      <c r="P25" s="4824" t="s">
        <v>31</v>
      </c>
      <c r="Q25" s="4824">
        <v>46.1</v>
      </c>
      <c r="R25" s="4824">
        <f t="shared" si="2"/>
        <v>4.6100000000000002E-5</v>
      </c>
      <c r="S25" s="4824">
        <v>0.55500000000000005</v>
      </c>
      <c r="T25" s="4824">
        <f>R25 *1000</f>
        <v>4.6100000000000002E-2</v>
      </c>
      <c r="U25" s="4824"/>
      <c r="V25" s="4824">
        <v>96</v>
      </c>
      <c r="W25" s="4829">
        <f>V25/1000</f>
        <v>9.6000000000000002E-2</v>
      </c>
    </row>
    <row r="26" spans="1:23" ht="15.75" thickBot="1" x14ac:dyDescent="0.3">
      <c r="B26" s="5408" t="s">
        <v>101</v>
      </c>
      <c r="C26" s="5399" t="s">
        <v>720</v>
      </c>
      <c r="D26" s="5257" t="s">
        <v>721</v>
      </c>
      <c r="E26" s="5256"/>
      <c r="F26" s="4855">
        <v>74100</v>
      </c>
      <c r="G26" s="1">
        <v>3</v>
      </c>
      <c r="H26" s="1054">
        <v>0.6</v>
      </c>
      <c r="I26" s="1054">
        <v>4.5088757396449707E-2</v>
      </c>
      <c r="J26" s="1054">
        <v>1000</v>
      </c>
      <c r="K26" s="1054">
        <f t="shared" si="3"/>
        <v>3.3521958106508882</v>
      </c>
      <c r="L26" s="1054">
        <v>0</v>
      </c>
      <c r="M26" s="4856">
        <f t="shared" si="4"/>
        <v>0</v>
      </c>
      <c r="O26" s="4823" t="s">
        <v>101</v>
      </c>
      <c r="P26" s="4824" t="s">
        <v>1232</v>
      </c>
      <c r="Q26" s="4824">
        <v>38.1</v>
      </c>
      <c r="R26" s="4824">
        <f t="shared" si="2"/>
        <v>3.8100000000000005E-5</v>
      </c>
      <c r="S26" s="4824">
        <v>0.84499999999999997</v>
      </c>
      <c r="T26" s="4824">
        <f>R26/0.000845</f>
        <v>4.5088757396449707E-2</v>
      </c>
      <c r="U26" s="4824">
        <v>0</v>
      </c>
      <c r="V26" s="4824">
        <f>0</f>
        <v>0</v>
      </c>
      <c r="W26" s="4829"/>
    </row>
    <row r="27" spans="1:23" ht="15.75" thickBot="1" x14ac:dyDescent="0.3">
      <c r="B27" s="5403"/>
      <c r="C27" s="5404"/>
      <c r="D27" s="5407" t="s">
        <v>31</v>
      </c>
      <c r="E27" s="5401"/>
      <c r="F27" s="1031">
        <v>63100</v>
      </c>
      <c r="G27" s="1031">
        <v>1</v>
      </c>
      <c r="H27" s="1031">
        <v>0.1</v>
      </c>
      <c r="I27" s="1031">
        <v>4.6100000000000002E-2</v>
      </c>
      <c r="J27" s="1031">
        <v>1000</v>
      </c>
      <c r="K27" s="4853">
        <f>(((F27*1)+(G27*23)+(H27*296))*I27)/J27</f>
        <v>2.9113348599999997</v>
      </c>
      <c r="L27" s="1031">
        <v>0</v>
      </c>
      <c r="M27" s="4854">
        <f t="shared" si="4"/>
        <v>0</v>
      </c>
      <c r="O27" s="4834"/>
      <c r="P27" s="4857" t="s">
        <v>31</v>
      </c>
      <c r="Q27" s="4857">
        <v>46.1</v>
      </c>
      <c r="R27" s="4857">
        <f t="shared" si="2"/>
        <v>4.6100000000000002E-5</v>
      </c>
      <c r="S27" s="4857">
        <v>0.55500000000000005</v>
      </c>
      <c r="T27" s="4857">
        <f>R27 *1000</f>
        <v>4.6100000000000002E-2</v>
      </c>
      <c r="U27" s="4857">
        <v>0</v>
      </c>
      <c r="V27" s="4857">
        <f>S27*U27</f>
        <v>0</v>
      </c>
      <c r="W27" s="4858"/>
    </row>
    <row r="31" spans="1:23" ht="15.75" thickBot="1" x14ac:dyDescent="0.3">
      <c r="A31" s="40" t="s">
        <v>1631</v>
      </c>
    </row>
    <row r="32" spans="1:23" ht="15.75" thickBot="1" x14ac:dyDescent="0.3">
      <c r="A32" s="9" t="s">
        <v>1606</v>
      </c>
      <c r="O32" s="5396" t="s">
        <v>1581</v>
      </c>
      <c r="P32" s="5397"/>
      <c r="Q32" s="5397"/>
      <c r="R32" s="5397"/>
      <c r="S32" s="5397"/>
      <c r="T32" s="5397"/>
      <c r="U32" s="5397"/>
      <c r="V32" s="5397"/>
      <c r="W32" s="5398"/>
    </row>
    <row r="33" spans="1:23" ht="46.5" customHeight="1" x14ac:dyDescent="0.25">
      <c r="B33" s="3288" t="s">
        <v>1571</v>
      </c>
      <c r="C33" s="4859" t="s">
        <v>1572</v>
      </c>
      <c r="D33" s="5399" t="s">
        <v>1607</v>
      </c>
      <c r="E33" s="5399"/>
      <c r="F33" s="165" t="s">
        <v>1567</v>
      </c>
      <c r="G33" s="165" t="s">
        <v>1608</v>
      </c>
      <c r="H33" s="165" t="s">
        <v>1609</v>
      </c>
      <c r="I33" s="165" t="s">
        <v>1568</v>
      </c>
      <c r="J33" s="165" t="s">
        <v>1588</v>
      </c>
      <c r="K33" s="4839" t="s">
        <v>1632</v>
      </c>
      <c r="L33" s="165" t="s">
        <v>1565</v>
      </c>
      <c r="M33" s="4840" t="s">
        <v>1611</v>
      </c>
      <c r="O33" s="4860"/>
      <c r="P33" s="4843"/>
      <c r="Q33" s="4841" t="s">
        <v>1612</v>
      </c>
      <c r="R33" s="4841"/>
      <c r="S33" s="4842" t="s">
        <v>1613</v>
      </c>
      <c r="T33" s="4842" t="s">
        <v>1633</v>
      </c>
      <c r="U33" s="4843"/>
      <c r="V33" s="4843"/>
      <c r="W33" s="4844"/>
    </row>
    <row r="34" spans="1:23" ht="60" customHeight="1" x14ac:dyDescent="0.25">
      <c r="B34" s="1467"/>
      <c r="C34" s="79"/>
      <c r="D34" s="5400" t="s">
        <v>1615</v>
      </c>
      <c r="E34" s="5400"/>
      <c r="F34" s="4845" t="s">
        <v>1616</v>
      </c>
      <c r="G34" s="4845" t="s">
        <v>1617</v>
      </c>
      <c r="H34" s="4845" t="s">
        <v>1618</v>
      </c>
      <c r="I34" s="4845" t="s">
        <v>1619</v>
      </c>
      <c r="J34" s="4845" t="s">
        <v>1620</v>
      </c>
      <c r="K34" s="4845" t="s">
        <v>1621</v>
      </c>
      <c r="L34" s="4845" t="s">
        <v>1622</v>
      </c>
      <c r="M34" s="4846" t="s">
        <v>1623</v>
      </c>
      <c r="O34" s="4861" t="s">
        <v>1634</v>
      </c>
      <c r="P34" s="4824"/>
      <c r="Q34" s="4824" t="s">
        <v>1624</v>
      </c>
      <c r="R34" s="4824" t="s">
        <v>1625</v>
      </c>
      <c r="S34" s="4824" t="s">
        <v>1626</v>
      </c>
      <c r="T34" s="4824" t="s">
        <v>1627</v>
      </c>
      <c r="U34" s="4847" t="s">
        <v>1628</v>
      </c>
      <c r="V34" s="4847" t="s">
        <v>1629</v>
      </c>
      <c r="W34" s="4848" t="s">
        <v>1630</v>
      </c>
    </row>
    <row r="35" spans="1:23" ht="45.75" thickBot="1" x14ac:dyDescent="0.3">
      <c r="B35" s="4862" t="s">
        <v>1635</v>
      </c>
      <c r="C35" s="85" t="s">
        <v>720</v>
      </c>
      <c r="D35" s="5401" t="s">
        <v>1636</v>
      </c>
      <c r="E35" s="5401"/>
      <c r="F35" s="3477">
        <v>71500</v>
      </c>
      <c r="G35" s="85">
        <v>0.5</v>
      </c>
      <c r="H35" s="85">
        <v>2</v>
      </c>
      <c r="I35" s="85">
        <v>4.7468354430379743E-2</v>
      </c>
      <c r="J35" s="85">
        <v>1000</v>
      </c>
      <c r="K35" s="85">
        <f>(((F35*1)+(G35*23)+(H35*296))*I35)/J35</f>
        <v>3.4226344936708855</v>
      </c>
      <c r="L35" s="85">
        <v>74.901480000000006</v>
      </c>
      <c r="M35" s="84">
        <f>K35*L35</f>
        <v>256.360389075</v>
      </c>
      <c r="O35" s="4834"/>
      <c r="P35" s="4857"/>
      <c r="Q35" s="4857">
        <v>37.5</v>
      </c>
      <c r="R35" s="4857">
        <f>Q35/1000000</f>
        <v>3.7499999999999997E-5</v>
      </c>
      <c r="S35" s="4857">
        <v>0.79</v>
      </c>
      <c r="T35" s="4857">
        <f>R35/0.00079</f>
        <v>4.7468354430379743E-2</v>
      </c>
      <c r="U35" s="4863">
        <v>94812</v>
      </c>
      <c r="V35" s="4857">
        <f>S35*U35</f>
        <v>74901.48000000001</v>
      </c>
      <c r="W35" s="4858">
        <f>V35/1000</f>
        <v>74.901480000000006</v>
      </c>
    </row>
    <row r="39" spans="1:23" x14ac:dyDescent="0.25">
      <c r="A39" s="40" t="s">
        <v>1637</v>
      </c>
      <c r="O39" s="4810"/>
    </row>
    <row r="40" spans="1:23" x14ac:dyDescent="0.25">
      <c r="A40" s="9" t="s">
        <v>1638</v>
      </c>
    </row>
    <row r="41" spans="1:23" ht="68.25" x14ac:dyDescent="0.25">
      <c r="C41" s="76" t="s">
        <v>1639</v>
      </c>
      <c r="D41" s="76" t="s">
        <v>1572</v>
      </c>
      <c r="E41" s="112" t="s">
        <v>1640</v>
      </c>
      <c r="F41" s="112" t="s">
        <v>1641</v>
      </c>
      <c r="G41" s="112" t="s">
        <v>1642</v>
      </c>
      <c r="H41" s="112" t="s">
        <v>1643</v>
      </c>
      <c r="I41" s="112" t="s">
        <v>1644</v>
      </c>
    </row>
    <row r="42" spans="1:23" x14ac:dyDescent="0.25">
      <c r="C42" s="76" t="s">
        <v>99</v>
      </c>
      <c r="D42" s="76" t="s">
        <v>720</v>
      </c>
      <c r="E42" s="76">
        <f>M22+M23</f>
        <v>7.5762798115200019</v>
      </c>
      <c r="F42" s="76">
        <v>0</v>
      </c>
      <c r="G42" s="76">
        <v>0</v>
      </c>
      <c r="H42" s="76">
        <v>0</v>
      </c>
      <c r="I42" s="76">
        <v>0</v>
      </c>
    </row>
    <row r="43" spans="1:23" x14ac:dyDescent="0.25">
      <c r="C43" s="76" t="s">
        <v>100</v>
      </c>
      <c r="D43" s="76" t="s">
        <v>720</v>
      </c>
      <c r="E43" s="76">
        <f>M24+M25</f>
        <v>1.4578520179200001</v>
      </c>
      <c r="F43" s="76">
        <v>0</v>
      </c>
      <c r="G43" s="76">
        <v>0</v>
      </c>
      <c r="H43" s="76">
        <v>0</v>
      </c>
      <c r="I43" s="76">
        <v>0</v>
      </c>
    </row>
    <row r="44" spans="1:23" x14ac:dyDescent="0.25">
      <c r="C44" s="76" t="s">
        <v>101</v>
      </c>
      <c r="D44" s="76" t="s">
        <v>720</v>
      </c>
      <c r="E44" s="76">
        <f>M26+M27</f>
        <v>0</v>
      </c>
      <c r="F44" s="76">
        <v>0</v>
      </c>
      <c r="G44" s="76">
        <v>0</v>
      </c>
      <c r="H44" s="76">
        <v>0</v>
      </c>
      <c r="I44" s="76">
        <v>0</v>
      </c>
    </row>
    <row r="45" spans="1:23" ht="25.5" customHeight="1" x14ac:dyDescent="0.25">
      <c r="C45" s="4813" t="s">
        <v>1634</v>
      </c>
      <c r="D45" s="76" t="s">
        <v>723</v>
      </c>
      <c r="E45" s="76">
        <v>0</v>
      </c>
      <c r="F45" s="76">
        <f>M35</f>
        <v>256.360389075</v>
      </c>
      <c r="G45" s="76">
        <v>0</v>
      </c>
      <c r="H45" s="76">
        <v>0</v>
      </c>
      <c r="I45" s="76">
        <v>0</v>
      </c>
    </row>
    <row r="47" spans="1:23" x14ac:dyDescent="0.25">
      <c r="A47" s="9" t="s">
        <v>1645</v>
      </c>
    </row>
    <row r="48" spans="1:23" x14ac:dyDescent="0.25">
      <c r="A48" s="9" t="s">
        <v>1646</v>
      </c>
    </row>
    <row r="49" spans="1:14" x14ac:dyDescent="0.25">
      <c r="C49" s="76"/>
      <c r="D49" s="76"/>
      <c r="E49" s="76" t="s">
        <v>1585</v>
      </c>
      <c r="F49" s="76" t="s">
        <v>1587</v>
      </c>
      <c r="G49" s="76" t="s">
        <v>1567</v>
      </c>
      <c r="H49" s="76" t="s">
        <v>1568</v>
      </c>
      <c r="I49" s="76" t="s">
        <v>1608</v>
      </c>
      <c r="J49" s="76" t="s">
        <v>1647</v>
      </c>
      <c r="K49" s="76" t="s">
        <v>1648</v>
      </c>
      <c r="L49" s="76" t="s">
        <v>1649</v>
      </c>
      <c r="M49" s="76" t="s">
        <v>1650</v>
      </c>
      <c r="N49" s="76" t="s">
        <v>1651</v>
      </c>
    </row>
    <row r="50" spans="1:14" ht="67.5" x14ac:dyDescent="0.25">
      <c r="C50" s="76" t="s">
        <v>1639</v>
      </c>
      <c r="D50" s="4864" t="s">
        <v>1572</v>
      </c>
      <c r="E50" s="4865" t="s">
        <v>1652</v>
      </c>
      <c r="F50" s="4865" t="s">
        <v>1653</v>
      </c>
      <c r="G50" s="4865" t="s">
        <v>1654</v>
      </c>
      <c r="H50" s="4865" t="s">
        <v>1655</v>
      </c>
      <c r="I50" s="4865" t="s">
        <v>1656</v>
      </c>
      <c r="J50" s="4865" t="s">
        <v>1657</v>
      </c>
      <c r="K50" s="4865" t="s">
        <v>1658</v>
      </c>
      <c r="L50" s="4865" t="s">
        <v>1659</v>
      </c>
      <c r="M50" s="4865" t="s">
        <v>1660</v>
      </c>
      <c r="N50" s="4865" t="s">
        <v>1661</v>
      </c>
    </row>
    <row r="51" spans="1:14" x14ac:dyDescent="0.25">
      <c r="C51" s="76" t="s">
        <v>99</v>
      </c>
      <c r="D51" s="76" t="s">
        <v>720</v>
      </c>
      <c r="E51" s="76">
        <v>7.5762798115200019</v>
      </c>
      <c r="F51" s="76">
        <v>0</v>
      </c>
      <c r="G51" s="917">
        <v>0.7</v>
      </c>
      <c r="H51" s="76">
        <f>M22</f>
        <v>7.2967916649600015</v>
      </c>
      <c r="I51" s="76">
        <v>0.6</v>
      </c>
      <c r="J51" s="76">
        <v>0</v>
      </c>
      <c r="K51" s="917">
        <v>0.7</v>
      </c>
      <c r="L51" s="76">
        <v>0</v>
      </c>
      <c r="M51" s="917">
        <v>0.7</v>
      </c>
      <c r="N51" s="76">
        <f>((E51-F51)*(1-G51))-(H51*(1-I51)) +(J51*(1-K51)) +(L51*(1-M51))</f>
        <v>-0.64583272252799961</v>
      </c>
    </row>
    <row r="52" spans="1:14" x14ac:dyDescent="0.25">
      <c r="C52" s="76" t="s">
        <v>100</v>
      </c>
      <c r="D52" s="76" t="s">
        <v>720</v>
      </c>
      <c r="E52" s="76">
        <v>1.4578520179200001</v>
      </c>
      <c r="F52" s="76">
        <v>0</v>
      </c>
      <c r="G52" s="917">
        <v>0.7</v>
      </c>
      <c r="H52" s="76">
        <f>M24</f>
        <v>1.1783638713600002</v>
      </c>
      <c r="I52" s="76">
        <v>0.6</v>
      </c>
      <c r="J52" s="76">
        <v>0</v>
      </c>
      <c r="K52" s="917">
        <v>0.7</v>
      </c>
      <c r="L52" s="76">
        <v>0</v>
      </c>
      <c r="M52" s="917">
        <v>0.7</v>
      </c>
      <c r="N52" s="76">
        <f t="shared" ref="N52:N54" si="5">((E52-F52)*(1-G52))-(H52*(1-I52)) +(J52*(1-K52)) +(L52*(1-M52))</f>
        <v>-3.3989943168000025E-2</v>
      </c>
    </row>
    <row r="53" spans="1:14" x14ac:dyDescent="0.25">
      <c r="C53" s="76" t="s">
        <v>101</v>
      </c>
      <c r="D53" s="76" t="s">
        <v>720</v>
      </c>
      <c r="E53" s="76">
        <v>0</v>
      </c>
      <c r="F53" s="76">
        <v>0</v>
      </c>
      <c r="G53" s="917">
        <v>0.7</v>
      </c>
      <c r="H53" s="76">
        <f>M26</f>
        <v>0</v>
      </c>
      <c r="I53" s="76">
        <v>0.6</v>
      </c>
      <c r="J53" s="76">
        <v>0</v>
      </c>
      <c r="K53" s="917">
        <v>0.7</v>
      </c>
      <c r="L53" s="76">
        <v>0</v>
      </c>
      <c r="M53" s="917">
        <v>0.7</v>
      </c>
      <c r="N53" s="76">
        <f t="shared" si="5"/>
        <v>0</v>
      </c>
    </row>
    <row r="54" spans="1:14" ht="30" customHeight="1" x14ac:dyDescent="0.25">
      <c r="C54" s="4813" t="s">
        <v>1634</v>
      </c>
      <c r="D54" s="76" t="s">
        <v>723</v>
      </c>
      <c r="E54" s="76">
        <f>M35</f>
        <v>256.360389075</v>
      </c>
      <c r="F54" s="76">
        <v>0</v>
      </c>
      <c r="G54" s="917">
        <v>0.6</v>
      </c>
      <c r="H54" s="76">
        <v>0</v>
      </c>
      <c r="I54" s="76">
        <v>0.6</v>
      </c>
      <c r="J54" s="76">
        <v>0</v>
      </c>
      <c r="K54" s="917">
        <v>0.6</v>
      </c>
      <c r="L54" s="76">
        <v>0</v>
      </c>
      <c r="M54" s="917">
        <v>0.6</v>
      </c>
      <c r="N54" s="76">
        <f t="shared" si="5"/>
        <v>102.54415563000001</v>
      </c>
    </row>
    <row r="56" spans="1:14" x14ac:dyDescent="0.25">
      <c r="A56" s="9" t="s">
        <v>1662</v>
      </c>
      <c r="B56" s="9" t="s">
        <v>1663</v>
      </c>
      <c r="J56" s="9" t="s">
        <v>1664</v>
      </c>
      <c r="K56" s="9" t="s">
        <v>1665</v>
      </c>
    </row>
    <row r="57" spans="1:14" ht="15.75" thickBot="1" x14ac:dyDescent="0.3">
      <c r="I57" s="76"/>
      <c r="J57" s="76" t="s">
        <v>1565</v>
      </c>
      <c r="K57" s="76" t="s">
        <v>1566</v>
      </c>
      <c r="L57" s="76" t="s">
        <v>1567</v>
      </c>
      <c r="M57" s="76" t="s">
        <v>1584</v>
      </c>
    </row>
    <row r="58" spans="1:14" ht="68.25" x14ac:dyDescent="0.25">
      <c r="C58" s="5393" t="s">
        <v>99</v>
      </c>
      <c r="D58" s="4866" t="s">
        <v>1666</v>
      </c>
      <c r="E58" s="81">
        <v>0</v>
      </c>
      <c r="I58" s="76"/>
      <c r="J58" s="112" t="s">
        <v>1667</v>
      </c>
      <c r="K58" s="112" t="s">
        <v>1668</v>
      </c>
      <c r="L58" s="112" t="s">
        <v>1669</v>
      </c>
      <c r="M58" s="112" t="s">
        <v>1670</v>
      </c>
    </row>
    <row r="59" spans="1:14" ht="34.5" x14ac:dyDescent="0.25">
      <c r="C59" s="5394"/>
      <c r="D59" s="112" t="s">
        <v>1671</v>
      </c>
      <c r="E59" s="4867" t="s">
        <v>1672</v>
      </c>
      <c r="F59" s="2471"/>
      <c r="I59" s="76" t="s">
        <v>99</v>
      </c>
      <c r="J59" s="76">
        <v>0</v>
      </c>
      <c r="K59" s="76">
        <v>0</v>
      </c>
      <c r="L59" s="76">
        <v>0</v>
      </c>
      <c r="M59" s="857">
        <f>J59-K59-L59</f>
        <v>0</v>
      </c>
    </row>
    <row r="60" spans="1:14" ht="24" thickBot="1" x14ac:dyDescent="0.3">
      <c r="C60" s="5395"/>
      <c r="D60" s="4868" t="s">
        <v>1667</v>
      </c>
      <c r="E60" s="84">
        <v>0</v>
      </c>
      <c r="I60" s="76" t="s">
        <v>100</v>
      </c>
      <c r="J60" s="76">
        <v>0</v>
      </c>
      <c r="K60" s="76">
        <v>0</v>
      </c>
      <c r="L60" s="76">
        <v>0</v>
      </c>
      <c r="M60" s="857">
        <f t="shared" ref="M60:M62" si="6">J60-K60-L60</f>
        <v>0</v>
      </c>
    </row>
    <row r="61" spans="1:14" ht="34.5" x14ac:dyDescent="0.25">
      <c r="C61" s="5393" t="s">
        <v>100</v>
      </c>
      <c r="D61" s="4866" t="s">
        <v>1666</v>
      </c>
      <c r="E61" s="81">
        <v>0</v>
      </c>
      <c r="I61" s="76" t="s">
        <v>101</v>
      </c>
      <c r="J61" s="76">
        <v>0</v>
      </c>
      <c r="K61" s="76">
        <v>0</v>
      </c>
      <c r="L61" s="76">
        <v>0</v>
      </c>
      <c r="M61" s="857">
        <f t="shared" si="6"/>
        <v>0</v>
      </c>
    </row>
    <row r="62" spans="1:14" ht="34.5" x14ac:dyDescent="0.25">
      <c r="C62" s="5394"/>
      <c r="D62" s="112" t="s">
        <v>1671</v>
      </c>
      <c r="E62" s="4867" t="s">
        <v>1672</v>
      </c>
      <c r="I62" s="76" t="s">
        <v>1341</v>
      </c>
      <c r="J62" s="4869">
        <f>E69</f>
        <v>12305.298675600001</v>
      </c>
      <c r="K62" s="1001">
        <v>0</v>
      </c>
      <c r="L62" s="1001">
        <v>0</v>
      </c>
      <c r="M62" s="4870">
        <f t="shared" si="6"/>
        <v>12305.298675600001</v>
      </c>
    </row>
    <row r="63" spans="1:14" ht="24" thickBot="1" x14ac:dyDescent="0.3">
      <c r="C63" s="5395"/>
      <c r="D63" s="4868" t="s">
        <v>1667</v>
      </c>
      <c r="E63" s="84">
        <v>0</v>
      </c>
    </row>
    <row r="64" spans="1:14" ht="34.5" x14ac:dyDescent="0.25">
      <c r="C64" s="5393" t="s">
        <v>101</v>
      </c>
      <c r="D64" s="4866" t="s">
        <v>1666</v>
      </c>
      <c r="E64" s="81">
        <v>0</v>
      </c>
      <c r="I64" s="9" t="s">
        <v>1673</v>
      </c>
      <c r="J64" s="9" t="s">
        <v>1674</v>
      </c>
    </row>
    <row r="65" spans="3:13" ht="45" x14ac:dyDescent="0.25">
      <c r="C65" s="5394"/>
      <c r="D65" s="112" t="s">
        <v>1671</v>
      </c>
      <c r="E65" s="4867" t="s">
        <v>1672</v>
      </c>
      <c r="I65" s="76"/>
      <c r="J65" s="112" t="s">
        <v>99</v>
      </c>
      <c r="K65" s="112" t="s">
        <v>100</v>
      </c>
      <c r="L65" s="76" t="s">
        <v>101</v>
      </c>
      <c r="M65" s="4871" t="s">
        <v>1635</v>
      </c>
    </row>
    <row r="66" spans="3:13" ht="24" thickBot="1" x14ac:dyDescent="0.3">
      <c r="C66" s="5395"/>
      <c r="D66" s="4868" t="s">
        <v>1667</v>
      </c>
      <c r="E66" s="84">
        <v>0</v>
      </c>
      <c r="I66" s="112" t="s">
        <v>1675</v>
      </c>
      <c r="J66" s="112">
        <f>M59</f>
        <v>0</v>
      </c>
      <c r="K66" s="112">
        <f>M60</f>
        <v>0</v>
      </c>
      <c r="L66" s="76">
        <f>M61</f>
        <v>0</v>
      </c>
      <c r="M66" s="4872">
        <f>M62</f>
        <v>12305.298675600001</v>
      </c>
    </row>
    <row r="67" spans="3:13" ht="45.75" x14ac:dyDescent="0.25">
      <c r="C67" s="5393" t="s">
        <v>1341</v>
      </c>
      <c r="D67" s="4866" t="s">
        <v>1666</v>
      </c>
      <c r="E67" s="81">
        <f>N54</f>
        <v>102.54415563000001</v>
      </c>
      <c r="I67" s="112" t="s">
        <v>1676</v>
      </c>
      <c r="J67" s="112">
        <v>0</v>
      </c>
      <c r="K67" s="112">
        <v>0</v>
      </c>
      <c r="L67" s="76">
        <v>0</v>
      </c>
      <c r="M67" s="76">
        <v>0</v>
      </c>
    </row>
    <row r="68" spans="3:13" ht="45.75" x14ac:dyDescent="0.25">
      <c r="C68" s="5394"/>
      <c r="D68" s="112" t="s">
        <v>1671</v>
      </c>
      <c r="E68" s="4867" t="s">
        <v>1672</v>
      </c>
      <c r="I68" s="112" t="s">
        <v>1677</v>
      </c>
      <c r="J68" s="112">
        <v>0</v>
      </c>
      <c r="K68" s="112">
        <v>0</v>
      </c>
      <c r="L68" s="76">
        <v>0</v>
      </c>
      <c r="M68" s="76">
        <v>0</v>
      </c>
    </row>
    <row r="69" spans="3:13" ht="35.25" thickBot="1" x14ac:dyDescent="0.3">
      <c r="C69" s="5395"/>
      <c r="D69" s="4868" t="s">
        <v>1667</v>
      </c>
      <c r="E69" s="4873">
        <f>E67*120</f>
        <v>12305.298675600001</v>
      </c>
      <c r="I69" s="112" t="s">
        <v>1678</v>
      </c>
      <c r="J69" s="76">
        <v>0</v>
      </c>
      <c r="K69" s="76">
        <v>0</v>
      </c>
      <c r="L69" s="76">
        <v>0</v>
      </c>
      <c r="M69" s="4872">
        <f>M66</f>
        <v>12305.298675600001</v>
      </c>
    </row>
  </sheetData>
  <mergeCells count="54">
    <mergeCell ref="A3:B4"/>
    <mergeCell ref="E3:F3"/>
    <mergeCell ref="E4:F4"/>
    <mergeCell ref="E5:F5"/>
    <mergeCell ref="M5:O5"/>
    <mergeCell ref="O19:W19"/>
    <mergeCell ref="G3:H3"/>
    <mergeCell ref="I3:J3"/>
    <mergeCell ref="K3:L3"/>
    <mergeCell ref="G4:H4"/>
    <mergeCell ref="I4:J4"/>
    <mergeCell ref="K4:L4"/>
    <mergeCell ref="M4:O4"/>
    <mergeCell ref="G5:H5"/>
    <mergeCell ref="I5:J5"/>
    <mergeCell ref="K5:L5"/>
    <mergeCell ref="M3:O3"/>
    <mergeCell ref="G6:H6"/>
    <mergeCell ref="I6:J6"/>
    <mergeCell ref="K6:L6"/>
    <mergeCell ref="M6:O6"/>
    <mergeCell ref="G7:H7"/>
    <mergeCell ref="I7:J7"/>
    <mergeCell ref="K7:L7"/>
    <mergeCell ref="M7:O7"/>
    <mergeCell ref="E2:F2"/>
    <mergeCell ref="G2:H2"/>
    <mergeCell ref="I2:J2"/>
    <mergeCell ref="K2:L2"/>
    <mergeCell ref="M2:O2"/>
    <mergeCell ref="E6:F6"/>
    <mergeCell ref="E7:F7"/>
    <mergeCell ref="D20:E20"/>
    <mergeCell ref="D21:E21"/>
    <mergeCell ref="B22:B23"/>
    <mergeCell ref="C22:C23"/>
    <mergeCell ref="D22:E22"/>
    <mergeCell ref="D23:E23"/>
    <mergeCell ref="B24:B25"/>
    <mergeCell ref="C24:C25"/>
    <mergeCell ref="D24:E24"/>
    <mergeCell ref="D25:E25"/>
    <mergeCell ref="B26:B27"/>
    <mergeCell ref="C26:C27"/>
    <mergeCell ref="D26:E26"/>
    <mergeCell ref="D27:E27"/>
    <mergeCell ref="C61:C63"/>
    <mergeCell ref="C64:C66"/>
    <mergeCell ref="C67:C69"/>
    <mergeCell ref="O32:W32"/>
    <mergeCell ref="D33:E33"/>
    <mergeCell ref="D34:E34"/>
    <mergeCell ref="D35:E35"/>
    <mergeCell ref="C58:C60"/>
  </mergeCells>
  <pageMargins left="0.70866141732283472" right="0.70866141732283472" top="0.74803149606299213" bottom="0.74803149606299213" header="0.31496062992125984" footer="0.31496062992125984"/>
  <pageSetup paperSize="8" scale="55" orientation="landscape"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59"/>
  <sheetViews>
    <sheetView topLeftCell="A40" zoomScale="75" zoomScaleNormal="75" workbookViewId="0">
      <selection activeCell="E38" sqref="E38"/>
    </sheetView>
  </sheetViews>
  <sheetFormatPr defaultRowHeight="15" x14ac:dyDescent="0.25"/>
  <cols>
    <col min="1" max="1" width="22.42578125" customWidth="1"/>
    <col min="2" max="2" width="16.42578125" customWidth="1"/>
    <col min="3" max="3" width="14.5703125" customWidth="1"/>
    <col min="4" max="4" width="21.5703125" customWidth="1"/>
    <col min="5" max="5" width="14.140625" customWidth="1"/>
    <col min="6" max="6" width="12.5703125" customWidth="1"/>
    <col min="7" max="7" width="16.140625" customWidth="1"/>
    <col min="8" max="8" width="13.140625" customWidth="1"/>
    <col min="9" max="9" width="24.140625" customWidth="1"/>
    <col min="10" max="10" width="13.7109375" customWidth="1"/>
    <col min="11" max="11" width="13.140625" customWidth="1"/>
    <col min="12" max="12" width="21.140625" customWidth="1"/>
    <col min="13" max="13" width="13.140625" customWidth="1"/>
    <col min="14" max="14" width="13.7109375" customWidth="1"/>
    <col min="15" max="15" width="26.42578125" customWidth="1"/>
    <col min="16" max="16" width="25.7109375" customWidth="1"/>
    <col min="17" max="17" width="16.140625" customWidth="1"/>
    <col min="18" max="18" width="13.42578125" customWidth="1"/>
    <col min="19" max="19" width="13.28515625" customWidth="1"/>
    <col min="20" max="20" width="14" customWidth="1"/>
    <col min="21" max="21" width="35" customWidth="1"/>
    <col min="22" max="22" width="33.5703125" customWidth="1"/>
    <col min="23" max="23" width="14.7109375" customWidth="1"/>
    <col min="24" max="24" width="13.5703125" customWidth="1"/>
    <col min="25" max="25" width="13.28515625" customWidth="1"/>
  </cols>
  <sheetData>
    <row r="1" spans="1:27" ht="42" x14ac:dyDescent="0.25">
      <c r="A1" s="1888" t="s">
        <v>2</v>
      </c>
      <c r="B1" s="3248"/>
      <c r="C1" s="3249"/>
      <c r="D1" s="5423" t="s">
        <v>710</v>
      </c>
      <c r="E1" s="5424"/>
      <c r="F1" s="5425"/>
      <c r="G1" s="5423" t="s">
        <v>738</v>
      </c>
      <c r="H1" s="5424"/>
      <c r="I1" s="5425"/>
      <c r="J1" s="5423" t="s">
        <v>739</v>
      </c>
      <c r="K1" s="5424"/>
      <c r="L1" s="5425"/>
      <c r="M1" s="5423" t="s">
        <v>740</v>
      </c>
      <c r="N1" s="5424"/>
      <c r="O1" s="5425"/>
      <c r="P1" s="1889"/>
      <c r="Q1" s="5423" t="s">
        <v>743</v>
      </c>
      <c r="R1" s="5425"/>
      <c r="S1" s="1894" t="s">
        <v>772</v>
      </c>
      <c r="T1" s="3250" t="s">
        <v>776</v>
      </c>
      <c r="U1" s="5426" t="s">
        <v>781</v>
      </c>
      <c r="V1" s="5427"/>
      <c r="W1" s="5418" t="s">
        <v>788</v>
      </c>
      <c r="X1" s="5418"/>
      <c r="Y1" s="5419"/>
      <c r="Z1" s="1"/>
      <c r="AA1" s="1"/>
    </row>
    <row r="2" spans="1:27" ht="109.5" customHeight="1" x14ac:dyDescent="0.25">
      <c r="A2" s="1854" t="s">
        <v>711</v>
      </c>
      <c r="B2" s="3304" t="s">
        <v>708</v>
      </c>
      <c r="C2" s="3304" t="s">
        <v>709</v>
      </c>
      <c r="D2" s="3304" t="s">
        <v>711</v>
      </c>
      <c r="E2" s="3304" t="s">
        <v>712</v>
      </c>
      <c r="F2" s="3304" t="s">
        <v>713</v>
      </c>
      <c r="G2" s="3304" t="s">
        <v>737</v>
      </c>
      <c r="H2" s="3304" t="s">
        <v>714</v>
      </c>
      <c r="I2" s="3304" t="s">
        <v>715</v>
      </c>
      <c r="J2" s="3304" t="s">
        <v>737</v>
      </c>
      <c r="K2" s="3304" t="s">
        <v>714</v>
      </c>
      <c r="L2" s="3304" t="s">
        <v>715</v>
      </c>
      <c r="M2" s="3304" t="s">
        <v>737</v>
      </c>
      <c r="N2" s="3304" t="s">
        <v>714</v>
      </c>
      <c r="O2" s="3304" t="s">
        <v>715</v>
      </c>
      <c r="P2" s="3304" t="s">
        <v>722</v>
      </c>
      <c r="Q2" s="3305" t="s">
        <v>744</v>
      </c>
      <c r="R2" s="3305" t="s">
        <v>364</v>
      </c>
      <c r="S2" s="3304" t="s">
        <v>773</v>
      </c>
      <c r="T2" s="3306" t="s">
        <v>783</v>
      </c>
      <c r="U2" s="3307" t="s">
        <v>780</v>
      </c>
      <c r="V2" s="3307" t="s">
        <v>782</v>
      </c>
      <c r="W2" s="3308" t="s">
        <v>785</v>
      </c>
      <c r="X2" s="3308" t="s">
        <v>787</v>
      </c>
      <c r="Y2" s="3308" t="s">
        <v>778</v>
      </c>
      <c r="Z2" s="1"/>
      <c r="AA2" s="1877"/>
    </row>
    <row r="3" spans="1:27" ht="78.75" x14ac:dyDescent="0.25">
      <c r="A3" s="1849" t="s">
        <v>729</v>
      </c>
      <c r="B3" s="1840" t="s">
        <v>720</v>
      </c>
      <c r="C3" s="1702" t="s">
        <v>721</v>
      </c>
      <c r="D3" s="1840" t="s">
        <v>762</v>
      </c>
      <c r="E3" s="1858">
        <f>Q3*38.1/1000000</f>
        <v>0.1381125</v>
      </c>
      <c r="F3" s="1859" t="s">
        <v>719</v>
      </c>
      <c r="G3" s="1860">
        <f>E3*74100/1000</f>
        <v>10.234136249999999</v>
      </c>
      <c r="H3" s="1859">
        <v>1</v>
      </c>
      <c r="I3" s="1841" t="s">
        <v>750</v>
      </c>
      <c r="J3" s="1860">
        <f>E3*3/1000</f>
        <v>4.1433750000000004E-4</v>
      </c>
      <c r="K3" s="1859">
        <v>1</v>
      </c>
      <c r="L3" s="1841" t="s">
        <v>748</v>
      </c>
      <c r="M3" s="1860">
        <f>E3*0.6/1000</f>
        <v>8.2867499999999999E-5</v>
      </c>
      <c r="N3" s="1859">
        <v>1</v>
      </c>
      <c r="O3" s="1841" t="s">
        <v>749</v>
      </c>
      <c r="P3" s="1842" t="s">
        <v>767</v>
      </c>
      <c r="Q3" s="1861">
        <v>3625</v>
      </c>
      <c r="R3" s="1862" t="s">
        <v>758</v>
      </c>
      <c r="S3" s="1863">
        <f>(G3*1)+(J3*23)+(M3*296)</f>
        <v>10.268194792499999</v>
      </c>
      <c r="T3" s="5430"/>
      <c r="U3" s="5433" t="s">
        <v>779</v>
      </c>
      <c r="V3" s="5435" t="s">
        <v>784</v>
      </c>
      <c r="W3" s="3262">
        <f>((74100*1)+(3*23)+(0.6*296))/1000</f>
        <v>74.346600000000009</v>
      </c>
      <c r="X3" s="3262">
        <f>W3*0.043</f>
        <v>3.1969038000000003</v>
      </c>
      <c r="Y3" s="3262">
        <f>(0.845*Q3/1000)*X3</f>
        <v>9.7925159523750001</v>
      </c>
      <c r="Z3" s="1">
        <v>1416571129.7178004</v>
      </c>
      <c r="AA3" s="1878"/>
    </row>
    <row r="4" spans="1:27" ht="156.75" customHeight="1" x14ac:dyDescent="0.25">
      <c r="A4" s="1849" t="s">
        <v>730</v>
      </c>
      <c r="B4" s="1702" t="s">
        <v>720</v>
      </c>
      <c r="C4" s="1702" t="s">
        <v>31</v>
      </c>
      <c r="D4" s="1840" t="s">
        <v>763</v>
      </c>
      <c r="E4" s="1858">
        <f>Q4*46.1/1000000</f>
        <v>1.1063999999999999E-2</v>
      </c>
      <c r="F4" s="1859" t="s">
        <v>719</v>
      </c>
      <c r="G4" s="1860">
        <f>E4*63100/1000</f>
        <v>0.69813839999999994</v>
      </c>
      <c r="H4" s="1859">
        <v>1</v>
      </c>
      <c r="I4" s="1841" t="s">
        <v>756</v>
      </c>
      <c r="J4" s="1860">
        <f>E4*1/1000</f>
        <v>1.1063999999999999E-5</v>
      </c>
      <c r="K4" s="1859">
        <v>1</v>
      </c>
      <c r="L4" s="1841" t="s">
        <v>755</v>
      </c>
      <c r="M4" s="1860">
        <f>E4*0.1/1000</f>
        <v>1.1063999999999999E-6</v>
      </c>
      <c r="N4" s="1859">
        <v>1</v>
      </c>
      <c r="O4" s="1841" t="s">
        <v>757</v>
      </c>
      <c r="P4" s="1842" t="s">
        <v>770</v>
      </c>
      <c r="Q4" s="1861">
        <v>240</v>
      </c>
      <c r="R4" s="1862" t="s">
        <v>759</v>
      </c>
      <c r="S4" s="1863">
        <f>(G4*1)+(J4*23)+(M4*296)</f>
        <v>0.6987203663999999</v>
      </c>
      <c r="T4" s="5431"/>
      <c r="U4" s="5433"/>
      <c r="V4" s="5436"/>
      <c r="W4" s="76">
        <f>((63100*1)+(1 * 23) + (0.1 * 296))/1000</f>
        <v>63.1526</v>
      </c>
      <c r="X4" s="76">
        <f>W4*0.0473</f>
        <v>2.9871179800000003</v>
      </c>
      <c r="Y4" s="110">
        <f>Q4/1000*X4</f>
        <v>0.71690831520000009</v>
      </c>
      <c r="Z4" s="9">
        <v>2278312517.8578005</v>
      </c>
      <c r="AA4" s="9">
        <f>0.4*(Z3/Z4)</f>
        <v>0.24870532354353939</v>
      </c>
    </row>
    <row r="5" spans="1:27" ht="195" customHeight="1" x14ac:dyDescent="0.25">
      <c r="A5" s="1849" t="s">
        <v>1172</v>
      </c>
      <c r="B5" s="1702" t="s">
        <v>723</v>
      </c>
      <c r="C5" s="1702" t="s">
        <v>590</v>
      </c>
      <c r="D5" s="1840" t="s">
        <v>1173</v>
      </c>
      <c r="E5" s="1864">
        <f>Q5*37.5/1000000</f>
        <v>0</v>
      </c>
      <c r="F5" s="1859" t="s">
        <v>719</v>
      </c>
      <c r="G5" s="1859">
        <f>E5*70000/1000</f>
        <v>0</v>
      </c>
      <c r="H5" s="1859">
        <v>1</v>
      </c>
      <c r="I5" s="1841" t="s">
        <v>747</v>
      </c>
      <c r="J5" s="1865">
        <f>E5*3/1000</f>
        <v>0</v>
      </c>
      <c r="K5" s="1859">
        <v>1</v>
      </c>
      <c r="L5" s="1841" t="s">
        <v>746</v>
      </c>
      <c r="M5" s="1865">
        <f>E5*0.6/1000</f>
        <v>0</v>
      </c>
      <c r="N5" s="1859">
        <v>1</v>
      </c>
      <c r="O5" s="1843" t="s">
        <v>745</v>
      </c>
      <c r="P5" s="1842" t="s">
        <v>736</v>
      </c>
      <c r="Q5" s="1866">
        <v>0</v>
      </c>
      <c r="R5" s="1862" t="s">
        <v>758</v>
      </c>
      <c r="S5" s="1863">
        <f>(G5*1)+(J5*23)+(M5*296)</f>
        <v>0</v>
      </c>
      <c r="T5" s="5431"/>
      <c r="U5" s="5433"/>
      <c r="V5" s="3263" t="s">
        <v>789</v>
      </c>
      <c r="W5" s="1254">
        <f>((70000*1)+(3*23)+(0.6*296))/1000</f>
        <v>70.246600000000001</v>
      </c>
      <c r="X5" s="1254">
        <f>W5*0.0443</f>
        <v>3.11192438</v>
      </c>
      <c r="Y5" s="1254">
        <f>(0.79*Q5/1000)*X5</f>
        <v>0</v>
      </c>
      <c r="Z5" s="9"/>
      <c r="AA5" s="9"/>
    </row>
    <row r="6" spans="1:27" ht="108" customHeight="1" x14ac:dyDescent="0.25">
      <c r="A6" s="1850" t="s">
        <v>731</v>
      </c>
      <c r="B6" s="1702" t="s">
        <v>724</v>
      </c>
      <c r="C6" s="1844" t="s">
        <v>725</v>
      </c>
      <c r="D6" s="1845" t="s">
        <v>764</v>
      </c>
      <c r="E6" s="3264" t="s">
        <v>1174</v>
      </c>
      <c r="F6" s="1859" t="s">
        <v>732</v>
      </c>
      <c r="G6" s="1859"/>
      <c r="H6" s="1859">
        <v>1</v>
      </c>
      <c r="I6" s="1859"/>
      <c r="J6" s="1859"/>
      <c r="K6" s="1859">
        <v>1</v>
      </c>
      <c r="L6" s="1859"/>
      <c r="M6" s="1859"/>
      <c r="N6" s="1859">
        <v>1</v>
      </c>
      <c r="O6" s="1867"/>
      <c r="P6" s="1842" t="s">
        <v>768</v>
      </c>
      <c r="Q6" s="3265">
        <v>380.21999999999991</v>
      </c>
      <c r="R6" s="1862" t="s">
        <v>760</v>
      </c>
      <c r="S6" s="1863">
        <f>(G6*1)+(J6*23)+(M6*296)</f>
        <v>0</v>
      </c>
      <c r="T6" s="5431"/>
      <c r="U6" s="5433"/>
      <c r="V6" s="1895"/>
      <c r="W6" s="76"/>
      <c r="X6" s="76"/>
      <c r="Y6" s="76"/>
      <c r="Z6" s="9"/>
      <c r="AA6" s="9"/>
    </row>
    <row r="7" spans="1:27" ht="137.25" customHeight="1" x14ac:dyDescent="0.25">
      <c r="A7" s="1850" t="s">
        <v>741</v>
      </c>
      <c r="B7" s="1702" t="s">
        <v>727</v>
      </c>
      <c r="C7" s="1844" t="s">
        <v>726</v>
      </c>
      <c r="D7" s="1845" t="s">
        <v>765</v>
      </c>
      <c r="E7" s="3264" t="s">
        <v>1175</v>
      </c>
      <c r="F7" s="1859" t="s">
        <v>733</v>
      </c>
      <c r="G7" s="1859"/>
      <c r="H7" s="1859">
        <v>1</v>
      </c>
      <c r="I7" s="1859"/>
      <c r="J7" s="1859"/>
      <c r="K7" s="1859">
        <v>1</v>
      </c>
      <c r="L7" s="1859"/>
      <c r="M7" s="1859"/>
      <c r="N7" s="1859">
        <v>1</v>
      </c>
      <c r="O7" s="1867"/>
      <c r="P7" s="1842" t="s">
        <v>769</v>
      </c>
      <c r="Q7" s="3265">
        <v>108747</v>
      </c>
      <c r="R7" s="1862" t="s">
        <v>734</v>
      </c>
      <c r="S7" s="1863">
        <v>0</v>
      </c>
      <c r="T7" s="5431"/>
      <c r="U7" s="5433"/>
      <c r="V7" s="1895"/>
      <c r="W7" s="76"/>
      <c r="X7" s="76"/>
      <c r="Y7" s="76"/>
      <c r="Z7" s="9"/>
      <c r="AA7" s="9"/>
    </row>
    <row r="8" spans="1:27" ht="140.25" customHeight="1" thickBot="1" x14ac:dyDescent="0.3">
      <c r="A8" s="1850" t="s">
        <v>742</v>
      </c>
      <c r="B8" s="1702" t="s">
        <v>728</v>
      </c>
      <c r="C8" s="1844" t="s">
        <v>735</v>
      </c>
      <c r="D8" s="1845" t="s">
        <v>766</v>
      </c>
      <c r="E8" s="1859" t="s">
        <v>445</v>
      </c>
      <c r="F8" s="1859" t="s">
        <v>734</v>
      </c>
      <c r="G8" s="1859"/>
      <c r="H8" s="1859">
        <v>1</v>
      </c>
      <c r="I8" s="1859"/>
      <c r="J8" s="1859"/>
      <c r="K8" s="1859">
        <v>1</v>
      </c>
      <c r="L8" s="1859"/>
      <c r="M8" s="1859"/>
      <c r="N8" s="1859">
        <v>1</v>
      </c>
      <c r="O8" s="1867"/>
      <c r="P8" s="1859"/>
      <c r="Q8" s="1862">
        <v>0</v>
      </c>
      <c r="R8" s="1862" t="s">
        <v>734</v>
      </c>
      <c r="S8" s="1880">
        <f>(G8*1)+(J8*23)+(M8*296)</f>
        <v>0</v>
      </c>
      <c r="T8" s="5432"/>
      <c r="U8" s="5434"/>
      <c r="V8" s="1895"/>
      <c r="W8" s="76"/>
      <c r="X8" s="76"/>
      <c r="Y8" s="79"/>
      <c r="Z8" s="9"/>
      <c r="AA8" s="9"/>
    </row>
    <row r="9" spans="1:27" ht="15.75" thickBot="1" x14ac:dyDescent="0.3">
      <c r="A9" s="12"/>
      <c r="B9" s="1838"/>
      <c r="C9" s="51"/>
      <c r="D9" s="1839"/>
      <c r="E9" s="1847"/>
      <c r="F9" s="1847"/>
      <c r="G9" s="1847"/>
      <c r="H9" s="1847"/>
      <c r="I9" s="1847"/>
      <c r="J9" s="1847"/>
      <c r="K9" s="1847"/>
      <c r="L9" s="1847"/>
      <c r="M9" s="1847"/>
      <c r="N9" s="1847"/>
      <c r="O9" s="1847"/>
      <c r="P9" s="1868"/>
      <c r="Q9" s="1868"/>
      <c r="R9" s="1879"/>
      <c r="S9" s="1882">
        <f>SUM(S3:S8)</f>
        <v>10.966915158899999</v>
      </c>
      <c r="T9" s="1884">
        <f>U9*120</f>
        <v>148.37227070039995</v>
      </c>
      <c r="U9" s="1883">
        <f>(S9*0.3)-(S3*0.2)</f>
        <v>1.2364355891699996</v>
      </c>
      <c r="V9" s="108"/>
      <c r="W9" s="76"/>
      <c r="X9" s="106"/>
      <c r="Y9" s="3266">
        <f>SUM(Y3:Y5)</f>
        <v>10.509424267575</v>
      </c>
      <c r="Z9" s="3266">
        <f>0.3*Y9</f>
        <v>3.1528272802724997</v>
      </c>
      <c r="AA9" s="3267">
        <f>Z9*120</f>
        <v>378.33927363269999</v>
      </c>
    </row>
    <row r="10" spans="1:27" x14ac:dyDescent="0.25">
      <c r="A10" s="27"/>
      <c r="B10" s="165"/>
      <c r="C10" s="165"/>
      <c r="D10" s="15"/>
      <c r="E10" s="15"/>
      <c r="F10" s="15"/>
      <c r="G10" s="5447" t="s">
        <v>107</v>
      </c>
      <c r="H10" s="5447"/>
      <c r="I10" s="5447"/>
      <c r="J10" s="5447"/>
      <c r="K10" s="5447"/>
      <c r="L10" s="5447"/>
      <c r="M10" s="5447"/>
      <c r="N10" s="5447"/>
      <c r="O10" s="5447"/>
      <c r="P10" s="165"/>
      <c r="Q10" s="165"/>
      <c r="R10" s="165"/>
      <c r="S10" s="78"/>
      <c r="T10" s="1881"/>
      <c r="U10" s="9"/>
      <c r="V10" s="9"/>
      <c r="W10" s="76"/>
      <c r="X10" s="76"/>
      <c r="Y10" s="78"/>
      <c r="Z10" s="9"/>
      <c r="AA10" s="9"/>
    </row>
    <row r="11" spans="1:27" ht="31.5" x14ac:dyDescent="0.35">
      <c r="A11" s="1853" t="s">
        <v>8</v>
      </c>
      <c r="B11" s="5448"/>
      <c r="C11" s="5448"/>
      <c r="D11" s="5443" t="s">
        <v>710</v>
      </c>
      <c r="E11" s="5448"/>
      <c r="F11" s="5448"/>
      <c r="G11" s="5448" t="s">
        <v>738</v>
      </c>
      <c r="H11" s="5448"/>
      <c r="I11" s="5448"/>
      <c r="J11" s="5448" t="s">
        <v>739</v>
      </c>
      <c r="K11" s="5448"/>
      <c r="L11" s="5448"/>
      <c r="M11" s="5448" t="s">
        <v>740</v>
      </c>
      <c r="N11" s="5448"/>
      <c r="O11" s="5442"/>
      <c r="P11" s="1834"/>
      <c r="Q11" s="5442" t="s">
        <v>743</v>
      </c>
      <c r="R11" s="5443"/>
      <c r="S11" s="1835" t="s">
        <v>772</v>
      </c>
      <c r="T11" s="1856" t="s">
        <v>775</v>
      </c>
      <c r="U11" s="5426" t="s">
        <v>781</v>
      </c>
      <c r="V11" s="5427"/>
      <c r="W11" s="5418" t="s">
        <v>788</v>
      </c>
      <c r="X11" s="5418"/>
      <c r="Y11" s="5418"/>
      <c r="Z11" s="9"/>
      <c r="AA11" s="9"/>
    </row>
    <row r="12" spans="1:27" ht="67.5" customHeight="1" x14ac:dyDescent="0.25">
      <c r="A12" s="1854" t="s">
        <v>711</v>
      </c>
      <c r="B12" s="1837" t="s">
        <v>708</v>
      </c>
      <c r="C12" s="1837" t="s">
        <v>709</v>
      </c>
      <c r="D12" s="1855" t="s">
        <v>711</v>
      </c>
      <c r="E12" s="1703" t="s">
        <v>712</v>
      </c>
      <c r="F12" s="1703" t="s">
        <v>713</v>
      </c>
      <c r="G12" s="1836" t="s">
        <v>737</v>
      </c>
      <c r="H12" s="1837" t="s">
        <v>714</v>
      </c>
      <c r="I12" s="1837" t="s">
        <v>715</v>
      </c>
      <c r="J12" s="1836" t="s">
        <v>737</v>
      </c>
      <c r="K12" s="1837" t="s">
        <v>714</v>
      </c>
      <c r="L12" s="1837" t="s">
        <v>715</v>
      </c>
      <c r="M12" s="1836" t="s">
        <v>737</v>
      </c>
      <c r="N12" s="1837" t="s">
        <v>714</v>
      </c>
      <c r="O12" s="1848" t="s">
        <v>715</v>
      </c>
      <c r="P12" s="1703" t="s">
        <v>722</v>
      </c>
      <c r="Q12" s="1837" t="s">
        <v>744</v>
      </c>
      <c r="R12" s="1837" t="s">
        <v>364</v>
      </c>
      <c r="S12" s="1836" t="s">
        <v>773</v>
      </c>
      <c r="T12" s="1857" t="s">
        <v>774</v>
      </c>
      <c r="U12" s="1876" t="s">
        <v>780</v>
      </c>
      <c r="V12" s="1876" t="s">
        <v>782</v>
      </c>
      <c r="W12" s="1894" t="s">
        <v>785</v>
      </c>
      <c r="X12" s="1894" t="s">
        <v>786</v>
      </c>
      <c r="Y12" s="1894" t="s">
        <v>778</v>
      </c>
      <c r="Z12" s="9"/>
      <c r="AA12" s="9"/>
    </row>
    <row r="13" spans="1:27" ht="105" customHeight="1" x14ac:dyDescent="0.25">
      <c r="A13" s="1849" t="s">
        <v>729</v>
      </c>
      <c r="B13" s="1840" t="s">
        <v>720</v>
      </c>
      <c r="C13" s="1702" t="s">
        <v>721</v>
      </c>
      <c r="D13" s="1869" t="s">
        <v>762</v>
      </c>
      <c r="E13" s="1858">
        <f>Q13*38.1/1000000</f>
        <v>7.1560944000000001E-2</v>
      </c>
      <c r="F13" s="1859" t="s">
        <v>719</v>
      </c>
      <c r="G13" s="1865">
        <f>E13*74100/1000</f>
        <v>5.3026659503999998</v>
      </c>
      <c r="H13" s="1859">
        <v>1</v>
      </c>
      <c r="I13" s="1841" t="s">
        <v>750</v>
      </c>
      <c r="J13" s="1865">
        <f>E13*3/1000</f>
        <v>2.1468283199999998E-4</v>
      </c>
      <c r="K13" s="1859">
        <v>1</v>
      </c>
      <c r="L13" s="1841" t="s">
        <v>751</v>
      </c>
      <c r="M13" s="1865">
        <f>E13*0.6/1000</f>
        <v>4.2936566399999998E-5</v>
      </c>
      <c r="N13" s="1859">
        <v>1</v>
      </c>
      <c r="O13" s="1841" t="s">
        <v>749</v>
      </c>
      <c r="P13" s="1842" t="s">
        <v>767</v>
      </c>
      <c r="Q13" s="1861">
        <v>1878.24</v>
      </c>
      <c r="R13" s="1862" t="s">
        <v>758</v>
      </c>
      <c r="S13" s="1863">
        <f t="shared" ref="S13:S18" si="0">(G13*1)+(J13*23)+(M13*296)</f>
        <v>5.3203128791904</v>
      </c>
      <c r="T13" s="5444"/>
      <c r="U13" s="5433" t="s">
        <v>779</v>
      </c>
      <c r="V13" s="5435" t="s">
        <v>784</v>
      </c>
      <c r="W13" s="76">
        <f>((74100*1)+(3*23)+(0.6*296))/1000</f>
        <v>74.346600000000009</v>
      </c>
      <c r="X13" s="76">
        <f>W13*0.043</f>
        <v>3.1969038000000003</v>
      </c>
      <c r="Y13" s="110">
        <f>0.845*Q13/1000*X13</f>
        <v>5.0738469413486404</v>
      </c>
      <c r="Z13" s="9"/>
      <c r="AA13" s="9"/>
    </row>
    <row r="14" spans="1:27" ht="92.25" customHeight="1" x14ac:dyDescent="0.25">
      <c r="A14" s="1849" t="s">
        <v>730</v>
      </c>
      <c r="B14" s="1702" t="s">
        <v>720</v>
      </c>
      <c r="C14" s="1702" t="s">
        <v>31</v>
      </c>
      <c r="D14" s="1869" t="s">
        <v>763</v>
      </c>
      <c r="E14" s="1858">
        <f>Q14*46.1/1000000</f>
        <v>4.4256E-3</v>
      </c>
      <c r="F14" s="1859" t="s">
        <v>719</v>
      </c>
      <c r="G14" s="1865">
        <f>E14*63100/1000</f>
        <v>0.27925536000000001</v>
      </c>
      <c r="H14" s="1859">
        <v>1</v>
      </c>
      <c r="I14" s="1841" t="s">
        <v>752</v>
      </c>
      <c r="J14" s="1865">
        <f>E14*1/1000</f>
        <v>4.4255999999999996E-6</v>
      </c>
      <c r="K14" s="1859">
        <v>1</v>
      </c>
      <c r="L14" s="1841" t="s">
        <v>755</v>
      </c>
      <c r="M14" s="1865">
        <f>E14*0.1/1000</f>
        <v>4.4256000000000007E-7</v>
      </c>
      <c r="N14" s="1859">
        <v>1</v>
      </c>
      <c r="O14" s="1843" t="s">
        <v>754</v>
      </c>
      <c r="P14" s="1842" t="s">
        <v>770</v>
      </c>
      <c r="Q14" s="1861">
        <v>96</v>
      </c>
      <c r="R14" s="1862" t="s">
        <v>759</v>
      </c>
      <c r="S14" s="1863">
        <f>(G14*1)+(J14*23)+(M14*296)</f>
        <v>0.27948814655999998</v>
      </c>
      <c r="T14" s="5445"/>
      <c r="U14" s="5433"/>
      <c r="V14" s="5436"/>
      <c r="W14" s="76">
        <f>((63100*1)+(1 * 23) + (0.1 * 296))/1000</f>
        <v>63.1526</v>
      </c>
      <c r="X14" s="76">
        <f>W14*0.0473</f>
        <v>2.9871179800000003</v>
      </c>
      <c r="Y14" s="110">
        <f>Q14/1000*X14</f>
        <v>0.28676332608000005</v>
      </c>
      <c r="Z14" s="9"/>
      <c r="AA14" s="9"/>
    </row>
    <row r="15" spans="1:27" ht="115.5" customHeight="1" x14ac:dyDescent="0.25">
      <c r="A15" s="1849" t="s">
        <v>1172</v>
      </c>
      <c r="B15" s="1702" t="s">
        <v>723</v>
      </c>
      <c r="C15" s="1702" t="s">
        <v>590</v>
      </c>
      <c r="D15" s="1869" t="s">
        <v>1173</v>
      </c>
      <c r="E15" s="1864">
        <f>Q15*37.5/1000000</f>
        <v>0</v>
      </c>
      <c r="F15" s="1859" t="s">
        <v>719</v>
      </c>
      <c r="G15" s="1865">
        <f>E15*70000/1000</f>
        <v>0</v>
      </c>
      <c r="H15" s="1859">
        <v>1</v>
      </c>
      <c r="I15" s="1841" t="s">
        <v>747</v>
      </c>
      <c r="J15" s="1865">
        <f>E15*3/1000</f>
        <v>0</v>
      </c>
      <c r="K15" s="1859">
        <v>1</v>
      </c>
      <c r="L15" s="1841" t="s">
        <v>746</v>
      </c>
      <c r="M15" s="1865">
        <f>E15*0.6/1000</f>
        <v>0</v>
      </c>
      <c r="N15" s="1859">
        <v>1</v>
      </c>
      <c r="O15" s="1843" t="s">
        <v>745</v>
      </c>
      <c r="P15" s="1842" t="s">
        <v>736</v>
      </c>
      <c r="Q15" s="1866">
        <v>0</v>
      </c>
      <c r="R15" s="1862" t="s">
        <v>758</v>
      </c>
      <c r="S15" s="1863">
        <f t="shared" si="0"/>
        <v>0</v>
      </c>
      <c r="T15" s="5445"/>
      <c r="U15" s="5433"/>
      <c r="V15" s="3263" t="s">
        <v>790</v>
      </c>
      <c r="W15" s="1254">
        <f>((70000*1)+(3*23)+(0.6*296))/1000</f>
        <v>70.246600000000001</v>
      </c>
      <c r="X15" s="1254">
        <f>W15*0.0443</f>
        <v>3.11192438</v>
      </c>
      <c r="Y15" s="1254">
        <f>(Q15/1000*0.79)*X15</f>
        <v>0</v>
      </c>
      <c r="Z15" s="9"/>
      <c r="AA15" s="9"/>
    </row>
    <row r="16" spans="1:27" ht="127.5" customHeight="1" x14ac:dyDescent="0.25">
      <c r="A16" s="1850" t="s">
        <v>731</v>
      </c>
      <c r="B16" s="1702" t="s">
        <v>724</v>
      </c>
      <c r="C16" s="1844" t="s">
        <v>725</v>
      </c>
      <c r="D16" s="1870" t="s">
        <v>764</v>
      </c>
      <c r="E16" s="3264" t="s">
        <v>1176</v>
      </c>
      <c r="F16" s="1859" t="s">
        <v>732</v>
      </c>
      <c r="G16" s="1859"/>
      <c r="H16" s="1859">
        <v>1</v>
      </c>
      <c r="I16" s="1859"/>
      <c r="J16" s="1859"/>
      <c r="K16" s="1859">
        <v>1</v>
      </c>
      <c r="L16" s="1859"/>
      <c r="M16" s="1859"/>
      <c r="N16" s="1859">
        <v>1</v>
      </c>
      <c r="O16" s="1867"/>
      <c r="P16" s="1842" t="s">
        <v>768</v>
      </c>
      <c r="Q16" s="3265">
        <v>249.26660000000001</v>
      </c>
      <c r="R16" s="1862" t="s">
        <v>760</v>
      </c>
      <c r="S16" s="1863">
        <v>0</v>
      </c>
      <c r="T16" s="5445"/>
      <c r="U16" s="5433"/>
      <c r="V16" s="1895"/>
      <c r="W16" s="76"/>
      <c r="X16" s="76"/>
      <c r="Y16" s="76"/>
      <c r="Z16" s="9"/>
      <c r="AA16" s="9"/>
    </row>
    <row r="17" spans="1:27" ht="160.5" customHeight="1" x14ac:dyDescent="0.25">
      <c r="A17" s="1850" t="s">
        <v>741</v>
      </c>
      <c r="B17" s="1702" t="s">
        <v>727</v>
      </c>
      <c r="C17" s="1844" t="s">
        <v>726</v>
      </c>
      <c r="D17" s="1870" t="s">
        <v>765</v>
      </c>
      <c r="E17" s="3264" t="s">
        <v>1177</v>
      </c>
      <c r="F17" s="1859" t="s">
        <v>733</v>
      </c>
      <c r="G17" s="1859"/>
      <c r="H17" s="1859">
        <v>1</v>
      </c>
      <c r="I17" s="1859"/>
      <c r="J17" s="1859"/>
      <c r="K17" s="1859">
        <v>1</v>
      </c>
      <c r="L17" s="1859"/>
      <c r="M17" s="1859"/>
      <c r="N17" s="1859">
        <v>1</v>
      </c>
      <c r="O17" s="1867"/>
      <c r="P17" s="1842" t="s">
        <v>769</v>
      </c>
      <c r="Q17" s="3265">
        <v>273075</v>
      </c>
      <c r="R17" s="1862" t="s">
        <v>734</v>
      </c>
      <c r="S17" s="1863">
        <v>0</v>
      </c>
      <c r="T17" s="5445"/>
      <c r="U17" s="5433"/>
      <c r="V17" s="1895"/>
      <c r="W17" s="76"/>
      <c r="X17" s="76"/>
      <c r="Y17" s="76"/>
      <c r="Z17" s="9"/>
      <c r="AA17" s="9"/>
    </row>
    <row r="18" spans="1:27" ht="132" customHeight="1" thickBot="1" x14ac:dyDescent="0.3">
      <c r="A18" s="1850" t="s">
        <v>742</v>
      </c>
      <c r="B18" s="1702" t="s">
        <v>728</v>
      </c>
      <c r="C18" s="1844" t="s">
        <v>735</v>
      </c>
      <c r="D18" s="1870" t="s">
        <v>766</v>
      </c>
      <c r="E18" s="1859" t="s">
        <v>1178</v>
      </c>
      <c r="F18" s="1859" t="s">
        <v>734</v>
      </c>
      <c r="G18" s="1859"/>
      <c r="H18" s="1859">
        <v>1</v>
      </c>
      <c r="I18" s="1859"/>
      <c r="J18" s="1859"/>
      <c r="K18" s="1859">
        <v>1</v>
      </c>
      <c r="L18" s="1859"/>
      <c r="M18" s="1859"/>
      <c r="N18" s="1859">
        <v>1</v>
      </c>
      <c r="O18" s="1867"/>
      <c r="P18" s="1859"/>
      <c r="Q18" s="1862">
        <v>0</v>
      </c>
      <c r="R18" s="1862" t="s">
        <v>181</v>
      </c>
      <c r="S18" s="1880">
        <f t="shared" si="0"/>
        <v>0</v>
      </c>
      <c r="T18" s="5446"/>
      <c r="U18" s="5434"/>
      <c r="V18" s="1895"/>
      <c r="W18" s="76"/>
      <c r="X18" s="76"/>
      <c r="Y18" s="79"/>
      <c r="Z18" s="9"/>
      <c r="AA18" s="9"/>
    </row>
    <row r="19" spans="1:27" ht="15.75" thickBot="1" x14ac:dyDescent="0.3">
      <c r="A19" s="83"/>
      <c r="B19" s="1851"/>
      <c r="C19" s="1852"/>
      <c r="D19" s="1871"/>
      <c r="E19" s="1872"/>
      <c r="F19" s="1872"/>
      <c r="G19" s="1872"/>
      <c r="H19" s="1872"/>
      <c r="I19" s="1872"/>
      <c r="J19" s="1872"/>
      <c r="K19" s="1872"/>
      <c r="L19" s="1872"/>
      <c r="M19" s="1872"/>
      <c r="N19" s="1872"/>
      <c r="O19" s="1872"/>
      <c r="P19" s="1873"/>
      <c r="Q19" s="1873"/>
      <c r="R19" s="1885"/>
      <c r="S19" s="1882">
        <f>SUM(S13:S18)</f>
        <v>5.5998010257504003</v>
      </c>
      <c r="T19" s="1884">
        <f>U19*120</f>
        <v>73.905327826444818</v>
      </c>
      <c r="U19" s="3268">
        <f>(S19*0.3)-(S13*0.2)</f>
        <v>0.61587773188704009</v>
      </c>
      <c r="V19" s="76"/>
      <c r="W19" s="76"/>
      <c r="X19" s="106"/>
      <c r="Y19" s="3269">
        <f>SUM(Y13:Y15)</f>
        <v>5.3606102674286404</v>
      </c>
      <c r="Z19" s="3269">
        <f>0.3*Y19</f>
        <v>1.6081830802285921</v>
      </c>
      <c r="AA19" s="3270">
        <f>Z19*120</f>
        <v>192.98196962743106</v>
      </c>
    </row>
    <row r="20" spans="1:27" x14ac:dyDescent="0.25">
      <c r="A20" s="27"/>
      <c r="B20" s="165"/>
      <c r="C20" s="165"/>
      <c r="D20" s="1874"/>
      <c r="E20" s="1874"/>
      <c r="F20" s="1874"/>
      <c r="G20" s="5437" t="s">
        <v>107</v>
      </c>
      <c r="H20" s="5437"/>
      <c r="I20" s="5437"/>
      <c r="J20" s="5437"/>
      <c r="K20" s="5437"/>
      <c r="L20" s="5437"/>
      <c r="M20" s="5437"/>
      <c r="N20" s="5437"/>
      <c r="O20" s="5437"/>
      <c r="P20" s="1875"/>
      <c r="Q20" s="1875"/>
      <c r="R20" s="1875"/>
      <c r="S20" s="1886"/>
      <c r="T20" s="1887"/>
      <c r="U20" s="9"/>
      <c r="V20" s="9"/>
      <c r="W20" s="76"/>
      <c r="X20" s="76"/>
      <c r="Y20" s="78"/>
      <c r="Z20" s="9"/>
      <c r="AA20" s="9"/>
    </row>
    <row r="21" spans="1:27" ht="56.25" customHeight="1" x14ac:dyDescent="0.25">
      <c r="A21" s="1888" t="s">
        <v>9</v>
      </c>
      <c r="B21" s="5438"/>
      <c r="C21" s="5438"/>
      <c r="D21" s="5439" t="s">
        <v>710</v>
      </c>
      <c r="E21" s="5440"/>
      <c r="F21" s="5440"/>
      <c r="G21" s="5440" t="s">
        <v>716</v>
      </c>
      <c r="H21" s="5440"/>
      <c r="I21" s="5440"/>
      <c r="J21" s="5440" t="s">
        <v>718</v>
      </c>
      <c r="K21" s="5440"/>
      <c r="L21" s="5440"/>
      <c r="M21" s="5440" t="s">
        <v>717</v>
      </c>
      <c r="N21" s="5440"/>
      <c r="O21" s="5441"/>
      <c r="P21" s="3309"/>
      <c r="Q21" s="5428" t="s">
        <v>743</v>
      </c>
      <c r="R21" s="5429"/>
      <c r="S21" s="3310" t="s">
        <v>772</v>
      </c>
      <c r="T21" s="3311" t="s">
        <v>775</v>
      </c>
      <c r="U21" s="5426" t="s">
        <v>781</v>
      </c>
      <c r="V21" s="5427"/>
      <c r="W21" s="5418" t="s">
        <v>788</v>
      </c>
      <c r="X21" s="5418"/>
      <c r="Y21" s="5419"/>
      <c r="Z21" s="9"/>
      <c r="AA21" s="9"/>
    </row>
    <row r="22" spans="1:27" ht="78" customHeight="1" x14ac:dyDescent="0.25">
      <c r="A22" s="3313" t="s">
        <v>711</v>
      </c>
      <c r="B22" s="3312" t="s">
        <v>708</v>
      </c>
      <c r="C22" s="3312" t="s">
        <v>709</v>
      </c>
      <c r="D22" s="3314" t="s">
        <v>711</v>
      </c>
      <c r="E22" s="3315" t="s">
        <v>712</v>
      </c>
      <c r="F22" s="3315" t="s">
        <v>713</v>
      </c>
      <c r="G22" s="3316" t="s">
        <v>737</v>
      </c>
      <c r="H22" s="3312" t="s">
        <v>714</v>
      </c>
      <c r="I22" s="3312" t="s">
        <v>715</v>
      </c>
      <c r="J22" s="3316" t="s">
        <v>737</v>
      </c>
      <c r="K22" s="3312" t="s">
        <v>714</v>
      </c>
      <c r="L22" s="3312" t="s">
        <v>715</v>
      </c>
      <c r="M22" s="3316" t="s">
        <v>737</v>
      </c>
      <c r="N22" s="3312" t="s">
        <v>714</v>
      </c>
      <c r="O22" s="3317" t="s">
        <v>715</v>
      </c>
      <c r="P22" s="3315" t="s">
        <v>722</v>
      </c>
      <c r="Q22" s="3312" t="s">
        <v>744</v>
      </c>
      <c r="R22" s="3312" t="s">
        <v>364</v>
      </c>
      <c r="S22" s="3316" t="s">
        <v>777</v>
      </c>
      <c r="T22" s="3318" t="s">
        <v>774</v>
      </c>
      <c r="U22" s="3319" t="s">
        <v>780</v>
      </c>
      <c r="V22" s="3319" t="s">
        <v>782</v>
      </c>
      <c r="W22" s="3320" t="s">
        <v>785</v>
      </c>
      <c r="X22" s="3320" t="s">
        <v>786</v>
      </c>
      <c r="Y22" s="3320" t="s">
        <v>778</v>
      </c>
      <c r="Z22" s="9"/>
      <c r="AA22" s="9"/>
    </row>
    <row r="23" spans="1:27" ht="85.5" customHeight="1" x14ac:dyDescent="0.25">
      <c r="A23" s="1849" t="s">
        <v>729</v>
      </c>
      <c r="B23" s="1840" t="s">
        <v>720</v>
      </c>
      <c r="C23" s="1702" t="s">
        <v>721</v>
      </c>
      <c r="D23" s="1869" t="s">
        <v>762</v>
      </c>
      <c r="E23" s="1864">
        <f>Q23*38.1/1000000</f>
        <v>0</v>
      </c>
      <c r="F23" s="1859" t="s">
        <v>719</v>
      </c>
      <c r="G23" s="1865">
        <f>E23*74100/1000</f>
        <v>0</v>
      </c>
      <c r="H23" s="1859">
        <v>1</v>
      </c>
      <c r="I23" s="1846" t="s">
        <v>1693</v>
      </c>
      <c r="J23" s="1865">
        <f>E23*3/1000</f>
        <v>0</v>
      </c>
      <c r="K23" s="1859">
        <v>1</v>
      </c>
      <c r="L23" s="1841" t="s">
        <v>748</v>
      </c>
      <c r="M23" s="1865">
        <f>E23*0.6/1000</f>
        <v>0</v>
      </c>
      <c r="N23" s="1859">
        <v>1</v>
      </c>
      <c r="O23" s="1841" t="s">
        <v>749</v>
      </c>
      <c r="P23" s="1842" t="s">
        <v>767</v>
      </c>
      <c r="Q23" s="1861">
        <v>0</v>
      </c>
      <c r="R23" s="1862" t="s">
        <v>758</v>
      </c>
      <c r="S23" s="1863">
        <f>(G23*1)+(J23*23)+(M23*296)</f>
        <v>0</v>
      </c>
      <c r="T23" s="5430"/>
      <c r="U23" s="5433" t="s">
        <v>779</v>
      </c>
      <c r="V23" s="5435" t="s">
        <v>784</v>
      </c>
      <c r="W23" s="76">
        <f>((74100*1)+(3*23)+(0.6*296))/1000</f>
        <v>74.346600000000009</v>
      </c>
      <c r="X23" s="76">
        <f>W23*0.043</f>
        <v>3.1969038000000003</v>
      </c>
      <c r="Y23" s="76">
        <f>(0.845*Q23/1000)*X23</f>
        <v>0</v>
      </c>
      <c r="Z23" s="9"/>
      <c r="AA23" s="9"/>
    </row>
    <row r="24" spans="1:27" ht="96" customHeight="1" x14ac:dyDescent="0.25">
      <c r="A24" s="1849" t="s">
        <v>730</v>
      </c>
      <c r="B24" s="1702" t="s">
        <v>720</v>
      </c>
      <c r="C24" s="1702" t="s">
        <v>31</v>
      </c>
      <c r="D24" s="1869" t="s">
        <v>763</v>
      </c>
      <c r="E24" s="1864">
        <f>Q24*46.1/1000000</f>
        <v>1.1063999999999999E-2</v>
      </c>
      <c r="F24" s="1859" t="s">
        <v>719</v>
      </c>
      <c r="G24" s="1865">
        <f>E24*63100/1000</f>
        <v>0.69813839999999994</v>
      </c>
      <c r="H24" s="1859">
        <v>1</v>
      </c>
      <c r="I24" s="1841" t="s">
        <v>1694</v>
      </c>
      <c r="J24" s="1865">
        <f>E24*1/1000</f>
        <v>1.1063999999999999E-5</v>
      </c>
      <c r="K24" s="1859">
        <v>1</v>
      </c>
      <c r="L24" s="1841" t="s">
        <v>753</v>
      </c>
      <c r="M24" s="1865">
        <f>E24*0.1/1000</f>
        <v>1.1063999999999999E-6</v>
      </c>
      <c r="N24" s="1859">
        <v>1</v>
      </c>
      <c r="O24" s="1843" t="s">
        <v>754</v>
      </c>
      <c r="P24" s="1842" t="s">
        <v>770</v>
      </c>
      <c r="Q24" s="1861">
        <v>240</v>
      </c>
      <c r="R24" s="1862" t="s">
        <v>759</v>
      </c>
      <c r="S24" s="1863">
        <f>(G24*1)+(J24*23)+(M24*296)</f>
        <v>0.6987203663999999</v>
      </c>
      <c r="T24" s="5431"/>
      <c r="U24" s="5433"/>
      <c r="V24" s="5436"/>
      <c r="W24" s="76">
        <f>((63100*1)+(1 * 23) + (0.1 * 296))/1000</f>
        <v>63.1526</v>
      </c>
      <c r="X24" s="76">
        <f>0.0473*W24</f>
        <v>2.9871179800000003</v>
      </c>
      <c r="Y24" s="110">
        <f>Q24/1000*X24</f>
        <v>0.71690831520000009</v>
      </c>
      <c r="Z24" s="9"/>
      <c r="AA24" s="9"/>
    </row>
    <row r="25" spans="1:27" ht="111.75" customHeight="1" x14ac:dyDescent="0.25">
      <c r="A25" s="1849" t="s">
        <v>1179</v>
      </c>
      <c r="B25" s="1702" t="s">
        <v>723</v>
      </c>
      <c r="C25" s="1702" t="s">
        <v>590</v>
      </c>
      <c r="D25" s="1869" t="s">
        <v>1173</v>
      </c>
      <c r="E25" s="1864">
        <f>Q25*37.5/1000000</f>
        <v>0</v>
      </c>
      <c r="F25" s="1859" t="s">
        <v>719</v>
      </c>
      <c r="G25" s="1865">
        <f>E25*70000/1000</f>
        <v>0</v>
      </c>
      <c r="H25" s="1859">
        <v>1</v>
      </c>
      <c r="I25" s="1841" t="s">
        <v>1457</v>
      </c>
      <c r="J25" s="1865">
        <f>E25*3/1000</f>
        <v>0</v>
      </c>
      <c r="K25" s="1859">
        <v>1</v>
      </c>
      <c r="L25" s="1841" t="s">
        <v>746</v>
      </c>
      <c r="M25" s="1865">
        <f>E25*0.6/1000</f>
        <v>0</v>
      </c>
      <c r="N25" s="1859">
        <v>1</v>
      </c>
      <c r="O25" s="1843" t="s">
        <v>745</v>
      </c>
      <c r="P25" s="1842" t="s">
        <v>736</v>
      </c>
      <c r="Q25" s="1866">
        <v>0</v>
      </c>
      <c r="R25" s="1862" t="s">
        <v>758</v>
      </c>
      <c r="S25" s="1863">
        <f>(G25*1)+(J25*23)+(M25*296)</f>
        <v>0</v>
      </c>
      <c r="T25" s="5431"/>
      <c r="U25" s="5433"/>
      <c r="V25" s="3271" t="s">
        <v>791</v>
      </c>
      <c r="W25" s="1254">
        <f>((70000*1)+(3*23)+(0.6*296))/1000</f>
        <v>70.246600000000001</v>
      </c>
      <c r="X25" s="1254">
        <f>W25*0.0443</f>
        <v>3.11192438</v>
      </c>
      <c r="Y25" s="1254">
        <f>(0.79/1000*Q25)*X25</f>
        <v>0</v>
      </c>
      <c r="Z25" s="9"/>
      <c r="AA25" s="9"/>
    </row>
    <row r="26" spans="1:27" ht="111" customHeight="1" x14ac:dyDescent="0.25">
      <c r="A26" s="1850" t="s">
        <v>731</v>
      </c>
      <c r="B26" s="1702" t="s">
        <v>724</v>
      </c>
      <c r="C26" s="1844" t="s">
        <v>725</v>
      </c>
      <c r="D26" s="1870" t="s">
        <v>764</v>
      </c>
      <c r="E26" s="1864">
        <v>0</v>
      </c>
      <c r="F26" s="1859" t="s">
        <v>732</v>
      </c>
      <c r="G26" s="1859"/>
      <c r="H26" s="1859">
        <v>1</v>
      </c>
      <c r="I26" s="1859"/>
      <c r="J26" s="1859"/>
      <c r="K26" s="1859">
        <v>1</v>
      </c>
      <c r="L26" s="1859"/>
      <c r="M26" s="1859"/>
      <c r="N26" s="1859">
        <v>1</v>
      </c>
      <c r="O26" s="1867"/>
      <c r="P26" s="1842" t="s">
        <v>768</v>
      </c>
      <c r="Q26" s="3265">
        <v>158.06</v>
      </c>
      <c r="R26" s="1862" t="s">
        <v>760</v>
      </c>
      <c r="S26" s="1863">
        <v>0</v>
      </c>
      <c r="T26" s="5431"/>
      <c r="U26" s="5433"/>
      <c r="V26" s="1895"/>
      <c r="W26" s="76"/>
      <c r="X26" s="76"/>
      <c r="Y26" s="76"/>
      <c r="Z26" s="9"/>
      <c r="AA26" s="9"/>
    </row>
    <row r="27" spans="1:27" ht="138.75" customHeight="1" x14ac:dyDescent="0.25">
      <c r="A27" s="1850" t="s">
        <v>741</v>
      </c>
      <c r="B27" s="1702" t="s">
        <v>727</v>
      </c>
      <c r="C27" s="1844" t="s">
        <v>726</v>
      </c>
      <c r="D27" s="1870" t="s">
        <v>765</v>
      </c>
      <c r="E27" s="1864">
        <v>0</v>
      </c>
      <c r="F27" s="1859" t="s">
        <v>733</v>
      </c>
      <c r="G27" s="1859"/>
      <c r="H27" s="1859">
        <v>1</v>
      </c>
      <c r="I27" s="1859"/>
      <c r="J27" s="1859"/>
      <c r="K27" s="1859">
        <v>1</v>
      </c>
      <c r="L27" s="1859"/>
      <c r="M27" s="1859"/>
      <c r="N27" s="1859">
        <v>1</v>
      </c>
      <c r="O27" s="1867"/>
      <c r="P27" s="1842" t="s">
        <v>769</v>
      </c>
      <c r="Q27" s="3272">
        <v>0</v>
      </c>
      <c r="R27" s="1862" t="s">
        <v>761</v>
      </c>
      <c r="S27" s="1863">
        <v>0</v>
      </c>
      <c r="T27" s="5431"/>
      <c r="U27" s="5433"/>
      <c r="V27" s="1895"/>
      <c r="W27" s="76"/>
      <c r="X27" s="76"/>
      <c r="Y27" s="76"/>
      <c r="Z27" s="9"/>
      <c r="AA27" s="9"/>
    </row>
    <row r="28" spans="1:27" ht="117" customHeight="1" thickBot="1" x14ac:dyDescent="0.3">
      <c r="A28" s="1850" t="s">
        <v>742</v>
      </c>
      <c r="B28" s="1702" t="s">
        <v>728</v>
      </c>
      <c r="C28" s="1844" t="s">
        <v>735</v>
      </c>
      <c r="D28" s="1870" t="s">
        <v>766</v>
      </c>
      <c r="E28" s="1859">
        <v>0</v>
      </c>
      <c r="F28" s="1859" t="s">
        <v>734</v>
      </c>
      <c r="G28" s="1859"/>
      <c r="H28" s="1859">
        <v>1</v>
      </c>
      <c r="I28" s="1859"/>
      <c r="J28" s="1859"/>
      <c r="K28" s="1859">
        <v>1</v>
      </c>
      <c r="L28" s="1859"/>
      <c r="M28" s="1859"/>
      <c r="N28" s="1859">
        <v>1</v>
      </c>
      <c r="O28" s="1867"/>
      <c r="P28" s="1859"/>
      <c r="Q28" s="1862">
        <v>0</v>
      </c>
      <c r="R28" s="1862" t="s">
        <v>20</v>
      </c>
      <c r="S28" s="1880">
        <f>(G28*1)+(J28*23)+(M28*296)</f>
        <v>0</v>
      </c>
      <c r="T28" s="5432"/>
      <c r="U28" s="5434"/>
      <c r="V28" s="1895"/>
      <c r="W28" s="76"/>
      <c r="X28" s="76"/>
      <c r="Y28" s="79"/>
      <c r="Z28" s="9"/>
      <c r="AA28" s="9"/>
    </row>
    <row r="29" spans="1:27" ht="15.75" thickBot="1" x14ac:dyDescent="0.3">
      <c r="A29" s="83"/>
      <c r="B29" s="85"/>
      <c r="C29" s="85"/>
      <c r="D29" s="16"/>
      <c r="E29" s="16"/>
      <c r="F29" s="16"/>
      <c r="G29" s="16"/>
      <c r="H29" s="16"/>
      <c r="I29" s="16"/>
      <c r="J29" s="16"/>
      <c r="K29" s="16"/>
      <c r="L29" s="16"/>
      <c r="M29" s="16"/>
      <c r="N29" s="16"/>
      <c r="O29" s="16"/>
      <c r="P29" s="16"/>
      <c r="Q29" s="16"/>
      <c r="R29" s="16"/>
      <c r="S29" s="1882">
        <f>SUM(S23:S28)</f>
        <v>0.6987203663999999</v>
      </c>
      <c r="T29" s="1884">
        <f>U29*120</f>
        <v>25.153933190399997</v>
      </c>
      <c r="U29" s="1882">
        <f>(S29*0.3)-(S23*0.2)</f>
        <v>0.20961610991999996</v>
      </c>
      <c r="V29" s="76"/>
      <c r="W29" s="76"/>
      <c r="X29" s="106"/>
      <c r="Y29" s="3266">
        <f>SUM(Y23:Y25)</f>
        <v>0.71690831520000009</v>
      </c>
      <c r="Z29" s="3266">
        <f>0.3*Y29</f>
        <v>0.21507249456000002</v>
      </c>
      <c r="AA29" s="3273">
        <f>Z29*120</f>
        <v>25.808699347200001</v>
      </c>
    </row>
    <row r="30" spans="1:27" x14ac:dyDescent="0.25">
      <c r="A30" s="1"/>
      <c r="B30" s="1"/>
      <c r="C30" s="1"/>
      <c r="D30" s="1"/>
      <c r="E30" s="1"/>
      <c r="F30" s="1"/>
      <c r="G30" s="1"/>
      <c r="H30" s="1"/>
      <c r="I30" s="1"/>
      <c r="J30" s="1"/>
      <c r="K30" s="1"/>
      <c r="L30" s="1"/>
      <c r="M30" s="1"/>
      <c r="N30" s="1"/>
      <c r="O30" s="1"/>
      <c r="P30" s="1"/>
      <c r="Q30" s="1"/>
      <c r="R30" s="1"/>
      <c r="S30" s="3274"/>
      <c r="T30" s="3275"/>
      <c r="U30" s="3274"/>
      <c r="V30" s="1"/>
      <c r="W30" s="1"/>
      <c r="X30" s="1"/>
      <c r="Y30" s="99"/>
      <c r="Z30" s="99"/>
      <c r="AA30" s="3276"/>
    </row>
    <row r="31" spans="1:27" ht="21" x14ac:dyDescent="0.35">
      <c r="A31" s="1853" t="s">
        <v>1180</v>
      </c>
      <c r="B31" s="1"/>
      <c r="C31" s="1"/>
      <c r="D31" s="1"/>
      <c r="E31" s="1"/>
      <c r="F31" s="1"/>
      <c r="G31" s="1"/>
      <c r="H31" s="1"/>
      <c r="I31" s="1"/>
      <c r="J31" s="1"/>
      <c r="K31" s="1"/>
      <c r="L31" s="1"/>
      <c r="M31" s="1"/>
      <c r="N31" s="1"/>
      <c r="O31" s="1"/>
      <c r="P31" s="1"/>
      <c r="Q31" s="1"/>
      <c r="R31" s="1"/>
      <c r="S31" s="3274"/>
      <c r="T31" s="3275"/>
      <c r="U31" s="3274"/>
      <c r="V31" s="1"/>
      <c r="W31" s="1"/>
      <c r="X31" s="1"/>
      <c r="Y31" s="99"/>
      <c r="Z31" s="99"/>
      <c r="AA31" s="3276"/>
    </row>
    <row r="32" spans="1:27" ht="30" x14ac:dyDescent="0.25">
      <c r="A32" s="1888"/>
      <c r="B32" s="3248"/>
      <c r="C32" s="3249"/>
      <c r="D32" s="5423" t="s">
        <v>710</v>
      </c>
      <c r="E32" s="5424"/>
      <c r="F32" s="5425"/>
      <c r="G32" s="5423" t="s">
        <v>738</v>
      </c>
      <c r="H32" s="5424"/>
      <c r="I32" s="5425"/>
      <c r="J32" s="5423" t="s">
        <v>739</v>
      </c>
      <c r="K32" s="5424"/>
      <c r="L32" s="5425"/>
      <c r="M32" s="5423" t="s">
        <v>740</v>
      </c>
      <c r="N32" s="5424"/>
      <c r="O32" s="5425"/>
      <c r="P32" s="1889"/>
      <c r="Q32" s="5423" t="s">
        <v>743</v>
      </c>
      <c r="R32" s="5425"/>
      <c r="S32" s="1894" t="s">
        <v>772</v>
      </c>
      <c r="T32" s="3250" t="s">
        <v>776</v>
      </c>
      <c r="U32" s="5426" t="s">
        <v>781</v>
      </c>
      <c r="V32" s="5427"/>
      <c r="W32" s="5418" t="s">
        <v>788</v>
      </c>
      <c r="X32" s="5418"/>
      <c r="Y32" s="5419"/>
      <c r="Z32" s="99"/>
      <c r="AA32" s="3276"/>
    </row>
    <row r="33" spans="1:27" ht="69" customHeight="1" x14ac:dyDescent="0.25">
      <c r="A33" s="1890" t="s">
        <v>711</v>
      </c>
      <c r="B33" s="1891" t="s">
        <v>708</v>
      </c>
      <c r="C33" s="1891" t="s">
        <v>709</v>
      </c>
      <c r="D33" s="1891" t="s">
        <v>711</v>
      </c>
      <c r="E33" s="1891" t="s">
        <v>712</v>
      </c>
      <c r="F33" s="1891" t="s">
        <v>713</v>
      </c>
      <c r="G33" s="1891" t="s">
        <v>737</v>
      </c>
      <c r="H33" s="1891" t="s">
        <v>714</v>
      </c>
      <c r="I33" s="1891" t="s">
        <v>715</v>
      </c>
      <c r="J33" s="1891" t="s">
        <v>737</v>
      </c>
      <c r="K33" s="1891" t="s">
        <v>714</v>
      </c>
      <c r="L33" s="1891" t="s">
        <v>715</v>
      </c>
      <c r="M33" s="1891" t="s">
        <v>737</v>
      </c>
      <c r="N33" s="1891" t="s">
        <v>714</v>
      </c>
      <c r="O33" s="1891" t="s">
        <v>715</v>
      </c>
      <c r="P33" s="1891" t="s">
        <v>722</v>
      </c>
      <c r="Q33" s="1893" t="s">
        <v>744</v>
      </c>
      <c r="R33" s="1893" t="s">
        <v>364</v>
      </c>
      <c r="S33" s="1891" t="s">
        <v>773</v>
      </c>
      <c r="T33" s="1892" t="s">
        <v>783</v>
      </c>
      <c r="U33" s="1876" t="s">
        <v>780</v>
      </c>
      <c r="V33" s="1876" t="s">
        <v>782</v>
      </c>
      <c r="W33" s="1894" t="s">
        <v>785</v>
      </c>
      <c r="X33" s="1894" t="s">
        <v>787</v>
      </c>
      <c r="Y33" s="1894" t="s">
        <v>778</v>
      </c>
      <c r="Z33" s="99"/>
      <c r="AA33" s="3276"/>
    </row>
    <row r="34" spans="1:27" ht="227.25" customHeight="1" thickBot="1" x14ac:dyDescent="0.3">
      <c r="A34" s="1849" t="s">
        <v>1172</v>
      </c>
      <c r="B34" s="1702" t="s">
        <v>723</v>
      </c>
      <c r="C34" s="1702" t="s">
        <v>590</v>
      </c>
      <c r="D34" s="1840" t="s">
        <v>1173</v>
      </c>
      <c r="E34" s="1864">
        <f>Q34*37.5/1000000</f>
        <v>4.415775</v>
      </c>
      <c r="F34" s="1859" t="s">
        <v>719</v>
      </c>
      <c r="G34" s="1859">
        <f>E34*71500/1000</f>
        <v>315.7279125</v>
      </c>
      <c r="H34" s="1859">
        <v>1</v>
      </c>
      <c r="I34" s="1841" t="s">
        <v>1695</v>
      </c>
      <c r="J34" s="1865">
        <f>E34*0.5/1000</f>
        <v>2.2078875000000001E-3</v>
      </c>
      <c r="K34" s="1859">
        <v>1</v>
      </c>
      <c r="L34" s="1841" t="s">
        <v>1696</v>
      </c>
      <c r="M34" s="1865">
        <f>E34*2/1000</f>
        <v>8.8315500000000005E-3</v>
      </c>
      <c r="N34" s="1859">
        <v>1</v>
      </c>
      <c r="O34" s="1843" t="s">
        <v>1697</v>
      </c>
      <c r="P34" s="1842" t="s">
        <v>736</v>
      </c>
      <c r="Q34" s="1866">
        <v>117754</v>
      </c>
      <c r="R34" s="1862" t="s">
        <v>758</v>
      </c>
      <c r="S34" s="1880">
        <f>(G34*1)+(J34*23)+(M34*296)</f>
        <v>318.39283271249997</v>
      </c>
      <c r="T34" s="3277">
        <f>S34*120</f>
        <v>38207.1399255</v>
      </c>
      <c r="U34" s="3278" t="s">
        <v>1181</v>
      </c>
      <c r="V34" s="3263" t="s">
        <v>1182</v>
      </c>
      <c r="W34" s="3279">
        <f>((70000*1)+(3*23)+(0.6*296))/1000</f>
        <v>70.246600000000001</v>
      </c>
      <c r="X34" s="3279">
        <f>W34*0.0443</f>
        <v>3.11192438</v>
      </c>
      <c r="Y34" s="3280">
        <f>(0.79*Q34/1000)*X34</f>
        <v>289.48881931959079</v>
      </c>
      <c r="Z34" s="99"/>
      <c r="AA34" s="3276"/>
    </row>
    <row r="35" spans="1:27" ht="15.75" thickBot="1" x14ac:dyDescent="0.3">
      <c r="A35" s="1"/>
      <c r="B35" s="1"/>
      <c r="C35" s="1"/>
      <c r="D35" s="1"/>
      <c r="E35" s="1"/>
      <c r="F35" s="1"/>
      <c r="G35" s="1"/>
      <c r="H35" s="1"/>
      <c r="I35" s="1"/>
      <c r="J35" s="1"/>
      <c r="K35" s="1"/>
      <c r="L35" s="1"/>
      <c r="M35" s="1"/>
      <c r="N35" s="1"/>
      <c r="O35" s="1"/>
      <c r="P35" s="1"/>
      <c r="Q35" s="1"/>
      <c r="R35" s="1"/>
      <c r="S35" s="3281">
        <f>S34</f>
        <v>318.39283271249997</v>
      </c>
      <c r="T35" s="3282">
        <f>U35*120</f>
        <v>11462.141977649999</v>
      </c>
      <c r="U35" s="3283">
        <f>S35*0.3</f>
        <v>95.51784981374999</v>
      </c>
      <c r="V35" s="1"/>
      <c r="W35" s="1"/>
      <c r="X35" s="1"/>
      <c r="Y35" s="3284">
        <f>Y34</f>
        <v>289.48881931959079</v>
      </c>
      <c r="Z35" s="3284">
        <f>0.3*Y35</f>
        <v>86.846645795877237</v>
      </c>
      <c r="AA35" s="3285">
        <f>Z35*120</f>
        <v>10421.597495505268</v>
      </c>
    </row>
    <row r="36" spans="1:27" ht="19.5" thickBot="1" x14ac:dyDescent="0.35">
      <c r="A36" s="3286" t="s">
        <v>1183</v>
      </c>
      <c r="B36" s="3286"/>
      <c r="C36" s="3286"/>
      <c r="D36" s="1"/>
      <c r="E36" s="1"/>
      <c r="F36" s="1"/>
      <c r="G36" s="1"/>
      <c r="H36" s="1"/>
      <c r="I36" s="1"/>
      <c r="J36" s="1"/>
      <c r="K36" s="17"/>
      <c r="L36" s="18" t="s">
        <v>1692</v>
      </c>
      <c r="M36" s="18"/>
      <c r="N36" s="18"/>
      <c r="O36" s="18"/>
      <c r="P36" s="18"/>
      <c r="Q36" s="19"/>
      <c r="R36" s="1"/>
      <c r="S36" s="3274"/>
      <c r="T36" s="3275"/>
      <c r="U36" s="3287"/>
      <c r="V36" s="1"/>
      <c r="W36" s="1"/>
      <c r="X36" s="1"/>
      <c r="Y36" s="99"/>
      <c r="Z36" s="99"/>
      <c r="AA36" s="3276"/>
    </row>
    <row r="37" spans="1:27" ht="30.75" thickBot="1" x14ac:dyDescent="0.3">
      <c r="A37" s="3288"/>
      <c r="B37" s="3321" t="s">
        <v>1184</v>
      </c>
      <c r="C37" s="3322" t="s">
        <v>1185</v>
      </c>
      <c r="D37" s="3323" t="s">
        <v>1186</v>
      </c>
      <c r="E37" s="3324" t="s">
        <v>1187</v>
      </c>
      <c r="F37" s="3325" t="s">
        <v>1188</v>
      </c>
      <c r="G37" s="3326" t="s">
        <v>1189</v>
      </c>
      <c r="H37" s="1"/>
      <c r="I37" s="1"/>
      <c r="J37" s="1"/>
      <c r="K37" s="149" t="s">
        <v>1680</v>
      </c>
      <c r="L37" s="18" t="s">
        <v>1679</v>
      </c>
      <c r="M37" s="18" t="s">
        <v>1686</v>
      </c>
      <c r="N37" s="18" t="s">
        <v>1688</v>
      </c>
      <c r="O37" s="18" t="s">
        <v>1689</v>
      </c>
      <c r="P37" s="891" t="s">
        <v>1690</v>
      </c>
      <c r="Q37" s="137" t="s">
        <v>389</v>
      </c>
      <c r="R37" s="1"/>
      <c r="S37" s="3274"/>
      <c r="T37" s="3275"/>
      <c r="U37" s="3287"/>
      <c r="V37" s="1"/>
      <c r="W37" s="1"/>
      <c r="X37" s="1"/>
      <c r="Y37" s="99"/>
      <c r="Z37" s="99"/>
      <c r="AA37" s="3276"/>
    </row>
    <row r="38" spans="1:27" ht="60" x14ac:dyDescent="0.25">
      <c r="A38" s="3289" t="s">
        <v>1190</v>
      </c>
      <c r="B38" s="3290"/>
      <c r="C38" s="3291">
        <f>B38*0.79/1000</f>
        <v>0</v>
      </c>
      <c r="D38" s="3291">
        <f>B38*37.5/1000000</f>
        <v>0</v>
      </c>
      <c r="E38" s="3291">
        <f>D38*71500/1000</f>
        <v>0</v>
      </c>
      <c r="F38" s="3291">
        <f>D38*0.5/1000</f>
        <v>0</v>
      </c>
      <c r="G38" s="3291">
        <f>D38*2/1000</f>
        <v>0</v>
      </c>
      <c r="H38" s="1"/>
      <c r="I38" s="1"/>
      <c r="J38" s="1"/>
      <c r="K38" s="71" t="s">
        <v>99</v>
      </c>
      <c r="L38" s="4876" t="s">
        <v>1681</v>
      </c>
      <c r="M38" s="218">
        <v>630</v>
      </c>
      <c r="N38" s="15">
        <v>1384</v>
      </c>
      <c r="O38" s="15">
        <v>0</v>
      </c>
      <c r="P38" s="15">
        <v>1611</v>
      </c>
      <c r="Q38" s="76">
        <f>SUM(M38:P38)</f>
        <v>3625</v>
      </c>
      <c r="R38" s="1"/>
      <c r="S38" s="3274"/>
      <c r="T38" s="3275"/>
      <c r="U38" s="3287"/>
      <c r="V38" s="1"/>
      <c r="W38" s="1"/>
      <c r="X38" s="1"/>
      <c r="Y38" s="99"/>
      <c r="Z38" s="99"/>
      <c r="AA38" s="3276"/>
    </row>
    <row r="39" spans="1:27" x14ac:dyDescent="0.25">
      <c r="A39" s="76" t="s">
        <v>528</v>
      </c>
      <c r="B39" s="76"/>
      <c r="C39" s="76"/>
      <c r="D39" s="76"/>
      <c r="E39" s="76"/>
      <c r="F39" s="76"/>
      <c r="G39" s="3291"/>
      <c r="H39" s="1"/>
      <c r="I39" s="1"/>
      <c r="J39" s="1"/>
      <c r="K39" s="159"/>
      <c r="L39" s="4877" t="s">
        <v>1682</v>
      </c>
      <c r="M39" s="219">
        <v>144</v>
      </c>
      <c r="N39" s="1">
        <v>0</v>
      </c>
      <c r="O39" s="1">
        <v>96</v>
      </c>
      <c r="P39" s="1">
        <v>0</v>
      </c>
      <c r="Q39" s="76">
        <f t="shared" ref="Q39:Q50" si="1">SUM(M39:P39)</f>
        <v>240</v>
      </c>
      <c r="R39" s="1"/>
      <c r="S39" s="3274"/>
      <c r="T39" s="3275"/>
      <c r="U39" s="3287"/>
      <c r="V39" s="1"/>
      <c r="W39" s="1"/>
      <c r="X39" s="1"/>
      <c r="Y39" s="99"/>
      <c r="Z39" s="99"/>
      <c r="AA39" s="3276"/>
    </row>
    <row r="40" spans="1:27" x14ac:dyDescent="0.25">
      <c r="A40" s="76"/>
      <c r="B40" s="76"/>
      <c r="C40" s="76"/>
      <c r="D40" s="76"/>
      <c r="E40" s="76"/>
      <c r="F40" s="76"/>
      <c r="G40" s="3291"/>
      <c r="H40" s="1"/>
      <c r="I40" s="1"/>
      <c r="J40" s="1"/>
      <c r="K40" s="159"/>
      <c r="L40" s="4877" t="s">
        <v>1691</v>
      </c>
      <c r="M40" s="219">
        <v>123.5</v>
      </c>
      <c r="N40" s="1">
        <v>89.2</v>
      </c>
      <c r="O40" s="1">
        <v>85.359999999999985</v>
      </c>
      <c r="P40" s="1">
        <v>82.16</v>
      </c>
      <c r="Q40" s="76">
        <f t="shared" si="1"/>
        <v>380.21999999999991</v>
      </c>
      <c r="R40" s="1"/>
      <c r="S40" s="3274"/>
      <c r="T40" s="3275"/>
      <c r="U40" s="3287"/>
      <c r="V40" s="1"/>
      <c r="W40" s="1"/>
      <c r="X40" s="1"/>
      <c r="Y40" s="99"/>
      <c r="Z40" s="99"/>
      <c r="AA40" s="3276"/>
    </row>
    <row r="41" spans="1:27" ht="15.75" thickBot="1" x14ac:dyDescent="0.3">
      <c r="A41" s="109" t="s">
        <v>524</v>
      </c>
      <c r="B41" s="76"/>
      <c r="C41" s="76"/>
      <c r="D41" s="76"/>
      <c r="E41" s="76"/>
      <c r="F41" s="76"/>
      <c r="G41" s="3291"/>
      <c r="H41" s="1"/>
      <c r="I41" s="1"/>
      <c r="J41" s="1"/>
      <c r="K41" s="918"/>
      <c r="L41" s="4878" t="s">
        <v>1683</v>
      </c>
      <c r="M41" s="4884">
        <v>19387</v>
      </c>
      <c r="N41" s="1933">
        <v>23600</v>
      </c>
      <c r="O41" s="1933">
        <v>38780</v>
      </c>
      <c r="P41" s="1933">
        <v>26980</v>
      </c>
      <c r="Q41" s="76">
        <f t="shared" si="1"/>
        <v>108747</v>
      </c>
      <c r="R41" s="1"/>
      <c r="S41" s="3274"/>
      <c r="T41" s="3275"/>
      <c r="U41" s="3287"/>
      <c r="V41" s="1"/>
      <c r="W41" s="1"/>
      <c r="X41" s="1"/>
      <c r="Y41" s="99"/>
      <c r="Z41" s="99"/>
      <c r="AA41" s="3276"/>
    </row>
    <row r="42" spans="1:27" x14ac:dyDescent="0.25">
      <c r="A42" s="76"/>
      <c r="B42" s="76"/>
      <c r="C42" s="76"/>
      <c r="D42" s="76"/>
      <c r="E42" s="76"/>
      <c r="F42" s="76"/>
      <c r="G42" s="3291"/>
      <c r="H42" s="1"/>
      <c r="I42" s="1"/>
      <c r="J42" s="1"/>
      <c r="K42" s="4875" t="s">
        <v>100</v>
      </c>
      <c r="L42" s="4877" t="s">
        <v>1681</v>
      </c>
      <c r="M42" s="4874">
        <v>1398.24</v>
      </c>
      <c r="N42" s="2091">
        <v>96</v>
      </c>
      <c r="O42" s="2091">
        <v>192</v>
      </c>
      <c r="P42" s="2091">
        <v>192</v>
      </c>
      <c r="Q42" s="76">
        <f t="shared" si="1"/>
        <v>1878.24</v>
      </c>
      <c r="R42" s="1"/>
      <c r="S42" s="3274"/>
      <c r="T42" s="3275"/>
      <c r="U42" s="3287"/>
      <c r="V42" s="1"/>
      <c r="W42" s="1"/>
      <c r="X42" s="1"/>
      <c r="Y42" s="99"/>
      <c r="Z42" s="99"/>
      <c r="AA42" s="3276"/>
    </row>
    <row r="43" spans="1:27" x14ac:dyDescent="0.25">
      <c r="A43" s="109" t="s">
        <v>525</v>
      </c>
      <c r="B43" s="76"/>
      <c r="C43" s="76"/>
      <c r="D43" s="76"/>
      <c r="E43" s="76"/>
      <c r="F43" s="76"/>
      <c r="G43" s="3291"/>
      <c r="H43" s="1"/>
      <c r="I43" s="1"/>
      <c r="J43" s="1"/>
      <c r="K43" s="4875"/>
      <c r="L43" s="4877" t="s">
        <v>1682</v>
      </c>
      <c r="M43" s="4874">
        <v>0</v>
      </c>
      <c r="N43" s="2900">
        <v>0</v>
      </c>
      <c r="O43" s="2091">
        <v>96</v>
      </c>
      <c r="P43" s="2091">
        <v>0</v>
      </c>
      <c r="Q43" s="76">
        <f t="shared" si="1"/>
        <v>96</v>
      </c>
      <c r="R43" s="1"/>
      <c r="S43" s="3274"/>
      <c r="T43" s="3275"/>
      <c r="U43" s="3287"/>
      <c r="V43" s="1"/>
      <c r="W43" s="1"/>
      <c r="X43" s="1"/>
      <c r="Y43" s="99"/>
      <c r="Z43" s="99"/>
      <c r="AA43" s="3276"/>
    </row>
    <row r="44" spans="1:27" x14ac:dyDescent="0.25">
      <c r="A44" s="76"/>
      <c r="B44" s="76"/>
      <c r="C44" s="76"/>
      <c r="D44" s="76"/>
      <c r="E44" s="76"/>
      <c r="F44" s="76"/>
      <c r="G44" s="3291"/>
      <c r="H44" s="1"/>
      <c r="I44" s="1"/>
      <c r="J44" s="1"/>
      <c r="K44" s="4875"/>
      <c r="L44" s="4877" t="s">
        <v>1691</v>
      </c>
      <c r="M44" s="4882">
        <v>36.363599999999998</v>
      </c>
      <c r="N44" s="2091">
        <v>103.03</v>
      </c>
      <c r="O44" s="2091">
        <v>52.603000000000002</v>
      </c>
      <c r="P44" s="2091">
        <v>57.27</v>
      </c>
      <c r="Q44" s="76">
        <f t="shared" si="1"/>
        <v>249.26660000000001</v>
      </c>
      <c r="R44" s="1"/>
      <c r="S44" s="3274"/>
      <c r="T44" s="3275"/>
      <c r="U44" s="3287"/>
      <c r="V44" s="1"/>
      <c r="W44" s="1"/>
      <c r="X44" s="1"/>
      <c r="Y44" s="99"/>
      <c r="Z44" s="99"/>
      <c r="AA44" s="3276"/>
    </row>
    <row r="45" spans="1:27" ht="15.75" thickBot="1" x14ac:dyDescent="0.3">
      <c r="A45" s="9"/>
      <c r="B45" s="9"/>
      <c r="C45" s="9"/>
      <c r="D45" s="9"/>
      <c r="E45" s="9"/>
      <c r="F45" s="9"/>
      <c r="G45" s="9"/>
      <c r="H45" s="9"/>
      <c r="I45" s="9"/>
      <c r="J45" s="9"/>
      <c r="K45" s="4875"/>
      <c r="L45" s="4877" t="s">
        <v>1683</v>
      </c>
      <c r="M45" s="4883">
        <v>67495</v>
      </c>
      <c r="N45" s="3260">
        <v>78090</v>
      </c>
      <c r="O45" s="3260">
        <v>70285</v>
      </c>
      <c r="P45" s="3260">
        <v>57205</v>
      </c>
      <c r="Q45" s="76">
        <f t="shared" si="1"/>
        <v>273075</v>
      </c>
      <c r="R45" s="9"/>
      <c r="S45" s="9"/>
      <c r="T45" s="1"/>
      <c r="U45" s="3287"/>
      <c r="V45" s="1"/>
      <c r="W45" s="9"/>
      <c r="X45" s="9"/>
      <c r="Y45" s="9"/>
      <c r="Z45" s="9"/>
      <c r="AA45" s="9"/>
    </row>
    <row r="46" spans="1:27" ht="15.75" thickBot="1" x14ac:dyDescent="0.3">
      <c r="A46" s="9"/>
      <c r="B46" s="5420" t="s">
        <v>1191</v>
      </c>
      <c r="C46" s="5421"/>
      <c r="D46" s="5421"/>
      <c r="E46" s="5422"/>
      <c r="F46" s="5420" t="s">
        <v>1192</v>
      </c>
      <c r="G46" s="5421"/>
      <c r="H46" s="5421"/>
      <c r="I46" s="5422"/>
      <c r="J46" s="9"/>
      <c r="K46" s="71" t="s">
        <v>1684</v>
      </c>
      <c r="L46" s="4879" t="s">
        <v>1681</v>
      </c>
      <c r="M46" s="10">
        <v>0</v>
      </c>
      <c r="N46" s="15">
        <v>0</v>
      </c>
      <c r="O46" s="15">
        <v>0</v>
      </c>
      <c r="P46" s="15">
        <v>0</v>
      </c>
      <c r="Q46" s="76">
        <f t="shared" si="1"/>
        <v>0</v>
      </c>
      <c r="R46" s="9"/>
      <c r="S46" s="9"/>
      <c r="T46" s="1"/>
      <c r="U46" s="3287"/>
      <c r="V46" s="9"/>
      <c r="W46" s="9"/>
      <c r="X46" s="9"/>
      <c r="Y46" s="9"/>
      <c r="Z46" s="9"/>
      <c r="AA46" s="9"/>
    </row>
    <row r="47" spans="1:27" ht="19.5" thickBot="1" x14ac:dyDescent="0.35">
      <c r="A47" s="3292" t="s">
        <v>99</v>
      </c>
      <c r="B47" s="3293" t="s">
        <v>1193</v>
      </c>
      <c r="C47" s="78" t="s">
        <v>1194</v>
      </c>
      <c r="D47" s="3294" t="s">
        <v>1195</v>
      </c>
      <c r="E47" s="168" t="s">
        <v>1196</v>
      </c>
      <c r="F47" s="3293" t="s">
        <v>1193</v>
      </c>
      <c r="G47" s="78" t="s">
        <v>1194</v>
      </c>
      <c r="H47" s="78" t="s">
        <v>1195</v>
      </c>
      <c r="I47" s="3295" t="s">
        <v>1196</v>
      </c>
      <c r="J47" s="9"/>
      <c r="K47" s="159"/>
      <c r="L47" s="4880" t="s">
        <v>1682</v>
      </c>
      <c r="M47" s="12">
        <v>48</v>
      </c>
      <c r="N47" s="1">
        <v>192</v>
      </c>
      <c r="O47" s="39">
        <v>0</v>
      </c>
      <c r="P47" s="1">
        <v>0</v>
      </c>
      <c r="Q47" s="76">
        <f t="shared" si="1"/>
        <v>240</v>
      </c>
      <c r="R47" s="9"/>
      <c r="S47" s="9"/>
      <c r="T47" s="9"/>
      <c r="U47" s="9"/>
      <c r="V47" s="9"/>
      <c r="W47" s="9"/>
      <c r="X47" s="9"/>
      <c r="Y47" s="9"/>
      <c r="Z47" s="9"/>
      <c r="AA47" s="9"/>
    </row>
    <row r="48" spans="1:27" ht="33.75" x14ac:dyDescent="0.25">
      <c r="A48" s="3296" t="s">
        <v>1197</v>
      </c>
      <c r="B48" s="28">
        <v>4.7796945299999996</v>
      </c>
      <c r="C48" s="76">
        <v>1.935099E-4</v>
      </c>
      <c r="D48" s="106">
        <v>3.8701979999999995E-5</v>
      </c>
      <c r="E48" s="169">
        <f t="shared" ref="E48:E53" si="2">(B48*1)+(C48*23)+(D48*296)</f>
        <v>4.7956010437799996</v>
      </c>
      <c r="F48" s="28">
        <v>10.234136249999999</v>
      </c>
      <c r="G48" s="76">
        <v>4.1433750000000004E-4</v>
      </c>
      <c r="H48" s="106">
        <v>8.2867499999999999E-5</v>
      </c>
      <c r="I48" s="168">
        <f t="shared" ref="I48:I53" si="3">(F48*1)+(G48*23)+(H48*296)</f>
        <v>10.268194792499999</v>
      </c>
      <c r="J48" s="9">
        <v>10.268194792499999</v>
      </c>
      <c r="K48" s="159"/>
      <c r="L48" s="4881" t="s">
        <v>1691</v>
      </c>
      <c r="M48" s="12">
        <v>29.18</v>
      </c>
      <c r="N48" s="1">
        <v>60.92</v>
      </c>
      <c r="O48" s="1">
        <v>26.48</v>
      </c>
      <c r="P48" s="1">
        <v>41.48</v>
      </c>
      <c r="Q48" s="76">
        <f t="shared" si="1"/>
        <v>158.06</v>
      </c>
      <c r="R48" s="9"/>
      <c r="S48" s="1"/>
      <c r="T48" s="3287"/>
      <c r="U48" s="1"/>
      <c r="V48" s="1"/>
      <c r="W48" s="9"/>
      <c r="X48" s="9"/>
      <c r="Y48" s="9"/>
      <c r="Z48" s="9"/>
      <c r="AA48" s="9"/>
    </row>
    <row r="49" spans="1:27" ht="45.75" thickBot="1" x14ac:dyDescent="0.3">
      <c r="A49" s="3297" t="s">
        <v>1198</v>
      </c>
      <c r="B49" s="28">
        <v>1.11702144</v>
      </c>
      <c r="C49" s="76">
        <v>1.7702399999999998E-5</v>
      </c>
      <c r="D49" s="106">
        <v>1.7702400000000003E-6</v>
      </c>
      <c r="E49" s="169">
        <f t="shared" si="2"/>
        <v>1.1179525862399999</v>
      </c>
      <c r="F49" s="28">
        <v>0.69813839999999994</v>
      </c>
      <c r="G49" s="76">
        <v>1.1063999999999999E-5</v>
      </c>
      <c r="H49" s="106">
        <v>1.1063999999999999E-6</v>
      </c>
      <c r="I49" s="169">
        <f t="shared" si="3"/>
        <v>0.6987203663999999</v>
      </c>
      <c r="J49" s="9">
        <v>0.6987203663999999</v>
      </c>
      <c r="K49" s="159"/>
      <c r="L49" s="4881" t="s">
        <v>1683</v>
      </c>
      <c r="M49" s="12">
        <v>0</v>
      </c>
      <c r="N49" s="1">
        <v>0</v>
      </c>
      <c r="O49" s="1">
        <v>0</v>
      </c>
      <c r="P49" s="1">
        <v>0</v>
      </c>
      <c r="Q49" s="79">
        <f t="shared" si="1"/>
        <v>0</v>
      </c>
      <c r="R49" s="9"/>
      <c r="S49" s="1"/>
      <c r="T49" s="3287"/>
      <c r="U49" s="1"/>
      <c r="V49" s="1"/>
      <c r="W49" s="9"/>
      <c r="X49" s="9"/>
      <c r="Y49" s="9"/>
      <c r="Z49" s="9"/>
      <c r="AA49" s="9"/>
    </row>
    <row r="50" spans="1:27" ht="68.25" thickBot="1" x14ac:dyDescent="0.3">
      <c r="A50" s="3297" t="s">
        <v>1199</v>
      </c>
      <c r="B50" s="28">
        <v>101.27775</v>
      </c>
      <c r="C50" s="76">
        <v>4.3404749999999999E-3</v>
      </c>
      <c r="D50" s="106">
        <v>8.6809499999999993E-4</v>
      </c>
      <c r="E50" s="169">
        <f t="shared" si="2"/>
        <v>101.634537045</v>
      </c>
      <c r="F50" s="28">
        <v>103.03387499999999</v>
      </c>
      <c r="G50" s="76">
        <v>4.4157375E-3</v>
      </c>
      <c r="H50" s="106">
        <v>8.8314749999999999E-4</v>
      </c>
      <c r="I50" s="169">
        <f t="shared" si="3"/>
        <v>103.39684862249999</v>
      </c>
      <c r="J50" s="9">
        <v>103.39684862249999</v>
      </c>
      <c r="K50" s="4889" t="s">
        <v>1685</v>
      </c>
      <c r="L50" s="4885" t="s">
        <v>1687</v>
      </c>
      <c r="M50" s="4886">
        <v>0</v>
      </c>
      <c r="N50" s="1172">
        <v>35838</v>
      </c>
      <c r="O50" s="1172">
        <v>39706</v>
      </c>
      <c r="P50" s="1172">
        <v>42210</v>
      </c>
      <c r="Q50" s="43">
        <f t="shared" si="1"/>
        <v>117754</v>
      </c>
      <c r="R50" s="9"/>
      <c r="S50" s="1"/>
      <c r="T50" s="3287"/>
      <c r="U50" s="1"/>
      <c r="V50" s="1"/>
      <c r="W50" s="9"/>
      <c r="X50" s="9"/>
      <c r="Y50" s="9"/>
      <c r="Z50" s="9"/>
      <c r="AA50" s="9"/>
    </row>
    <row r="51" spans="1:27" ht="56.25" x14ac:dyDescent="0.25">
      <c r="A51" s="3297" t="s">
        <v>1200</v>
      </c>
      <c r="B51" s="28">
        <v>0</v>
      </c>
      <c r="C51" s="76">
        <v>0</v>
      </c>
      <c r="D51" s="106">
        <v>0</v>
      </c>
      <c r="E51" s="169">
        <f t="shared" si="2"/>
        <v>0</v>
      </c>
      <c r="F51" s="28"/>
      <c r="G51" s="76"/>
      <c r="H51" s="106"/>
      <c r="I51" s="169">
        <f t="shared" si="3"/>
        <v>0</v>
      </c>
      <c r="J51" s="9">
        <v>0</v>
      </c>
      <c r="K51" s="4887"/>
      <c r="L51" s="4888"/>
      <c r="M51" s="1"/>
      <c r="N51" s="1"/>
      <c r="O51" s="1"/>
      <c r="P51" s="1"/>
      <c r="Q51" s="1"/>
      <c r="R51" s="1"/>
      <c r="S51" s="1"/>
      <c r="T51" s="3287"/>
      <c r="U51" s="1"/>
      <c r="V51" s="1"/>
      <c r="W51" s="9"/>
      <c r="X51" s="9"/>
      <c r="Y51" s="9"/>
      <c r="Z51" s="9"/>
      <c r="AA51" s="9"/>
    </row>
    <row r="52" spans="1:27" ht="56.25" x14ac:dyDescent="0.25">
      <c r="A52" s="3297" t="s">
        <v>1201</v>
      </c>
      <c r="B52" s="28">
        <v>0</v>
      </c>
      <c r="C52" s="76">
        <v>0</v>
      </c>
      <c r="D52" s="106">
        <v>0</v>
      </c>
      <c r="E52" s="169">
        <f t="shared" si="2"/>
        <v>0</v>
      </c>
      <c r="F52" s="28"/>
      <c r="G52" s="76"/>
      <c r="H52" s="106"/>
      <c r="I52" s="169">
        <f t="shared" si="3"/>
        <v>0</v>
      </c>
      <c r="J52" s="9">
        <v>0</v>
      </c>
      <c r="K52" s="9"/>
      <c r="L52" s="9"/>
      <c r="M52" s="9"/>
      <c r="N52" s="9"/>
      <c r="O52" s="9"/>
      <c r="P52" s="9"/>
      <c r="Q52" s="9"/>
      <c r="R52" s="9"/>
      <c r="S52" s="1"/>
      <c r="T52" s="3287"/>
      <c r="U52" s="1"/>
      <c r="V52" s="1"/>
      <c r="W52" s="9"/>
      <c r="X52" s="9"/>
      <c r="Y52" s="9"/>
      <c r="Z52" s="9"/>
      <c r="AA52" s="9"/>
    </row>
    <row r="53" spans="1:27" ht="57" thickBot="1" x14ac:dyDescent="0.3">
      <c r="A53" s="3298" t="s">
        <v>1202</v>
      </c>
      <c r="B53" s="1467">
        <v>0</v>
      </c>
      <c r="C53" s="79">
        <v>0</v>
      </c>
      <c r="D53" s="80">
        <v>0</v>
      </c>
      <c r="E53" s="3299">
        <f t="shared" si="2"/>
        <v>0</v>
      </c>
      <c r="F53" s="1467"/>
      <c r="G53" s="79"/>
      <c r="H53" s="80"/>
      <c r="I53" s="3299">
        <f t="shared" si="3"/>
        <v>0</v>
      </c>
      <c r="J53" s="9">
        <v>0</v>
      </c>
      <c r="K53" s="9"/>
      <c r="L53" s="9"/>
      <c r="M53" s="9"/>
      <c r="N53" s="9"/>
      <c r="O53" s="9"/>
      <c r="P53" s="9"/>
      <c r="Q53" s="9"/>
      <c r="R53" s="9"/>
      <c r="S53" s="1"/>
      <c r="T53" s="3287"/>
      <c r="U53" s="1"/>
      <c r="V53" s="1"/>
      <c r="W53" s="9"/>
      <c r="X53" s="9"/>
      <c r="Y53" s="9"/>
      <c r="Z53" s="9"/>
      <c r="AA53" s="9"/>
    </row>
    <row r="54" spans="1:27" ht="15.75" thickBot="1" x14ac:dyDescent="0.3">
      <c r="A54" s="3300" t="s">
        <v>1203</v>
      </c>
      <c r="B54" s="3301">
        <f t="shared" ref="B54:I54" si="4">SUM(B48:B53)</f>
        <v>107.17446597</v>
      </c>
      <c r="C54" s="3302">
        <f t="shared" si="4"/>
        <v>4.5516873000000001E-3</v>
      </c>
      <c r="D54" s="3302">
        <f t="shared" si="4"/>
        <v>9.0856721999999998E-4</v>
      </c>
      <c r="E54" s="3303">
        <f t="shared" si="4"/>
        <v>107.54809067502001</v>
      </c>
      <c r="F54" s="3301">
        <f t="shared" si="4"/>
        <v>113.96614964999999</v>
      </c>
      <c r="G54" s="3302">
        <f t="shared" si="4"/>
        <v>4.8411390000000004E-3</v>
      </c>
      <c r="H54" s="3302">
        <f t="shared" si="4"/>
        <v>9.6712139999999996E-4</v>
      </c>
      <c r="I54" s="3303">
        <f t="shared" si="4"/>
        <v>114.36376378139998</v>
      </c>
      <c r="J54" s="9">
        <v>114.36376378139998</v>
      </c>
      <c r="K54" s="9"/>
      <c r="L54" s="9"/>
      <c r="M54" s="9"/>
      <c r="N54" s="9"/>
      <c r="O54" s="9"/>
      <c r="P54" s="9"/>
      <c r="Q54" s="9"/>
      <c r="R54" s="9"/>
      <c r="S54" s="9"/>
      <c r="T54" s="9"/>
      <c r="U54" s="9"/>
      <c r="V54" s="9"/>
      <c r="W54" s="9"/>
      <c r="X54" s="9"/>
      <c r="Y54" s="9"/>
      <c r="Z54" s="9"/>
      <c r="AA54" s="9"/>
    </row>
    <row r="55" spans="1:27" ht="15.75" thickBot="1" x14ac:dyDescent="0.3">
      <c r="A55" s="9"/>
      <c r="B55" s="9"/>
      <c r="C55" s="9"/>
      <c r="D55" s="9"/>
      <c r="E55" s="9"/>
      <c r="F55" s="9"/>
      <c r="G55" s="9"/>
      <c r="H55" s="9"/>
      <c r="I55" s="9"/>
      <c r="J55" s="9"/>
      <c r="K55" s="9"/>
      <c r="L55" s="9"/>
      <c r="M55" s="9"/>
      <c r="N55" s="9"/>
      <c r="O55" s="9"/>
      <c r="P55" s="9"/>
      <c r="Q55" s="9"/>
      <c r="R55" s="9"/>
      <c r="S55" s="9"/>
      <c r="T55" s="9"/>
      <c r="U55" s="9"/>
      <c r="V55" s="9"/>
      <c r="W55" s="9"/>
      <c r="X55" s="9"/>
      <c r="Y55" s="9"/>
      <c r="Z55" s="9"/>
      <c r="AA55" s="9"/>
    </row>
    <row r="56" spans="1:27" ht="15.75" thickBot="1" x14ac:dyDescent="0.3">
      <c r="A56" s="9"/>
      <c r="B56" s="5420" t="s">
        <v>1191</v>
      </c>
      <c r="C56" s="5421"/>
      <c r="D56" s="5421"/>
      <c r="E56" s="5422"/>
      <c r="F56" s="5420" t="s">
        <v>1192</v>
      </c>
      <c r="G56" s="5421"/>
      <c r="H56" s="5421"/>
      <c r="I56" s="5422"/>
      <c r="J56" s="9"/>
      <c r="K56" s="9"/>
      <c r="L56" s="9"/>
      <c r="M56" s="9"/>
      <c r="N56" s="9"/>
      <c r="O56" s="9"/>
      <c r="P56" s="9"/>
      <c r="Q56" s="9"/>
      <c r="R56" s="9"/>
      <c r="S56" s="9"/>
      <c r="T56" s="9"/>
      <c r="U56" s="9"/>
      <c r="V56" s="9"/>
      <c r="W56" s="9"/>
      <c r="X56" s="9"/>
      <c r="Y56" s="9"/>
      <c r="Z56" s="9"/>
      <c r="AA56" s="9"/>
    </row>
    <row r="57" spans="1:27" ht="18.75" x14ac:dyDescent="0.3">
      <c r="A57" s="3292" t="s">
        <v>100</v>
      </c>
      <c r="B57" s="3293" t="s">
        <v>1193</v>
      </c>
      <c r="C57" s="78" t="s">
        <v>1194</v>
      </c>
      <c r="D57" s="78" t="s">
        <v>1195</v>
      </c>
      <c r="E57" s="1881" t="s">
        <v>1196</v>
      </c>
      <c r="F57" s="3293" t="s">
        <v>1193</v>
      </c>
      <c r="G57" s="78" t="s">
        <v>1194</v>
      </c>
      <c r="H57" s="78" t="s">
        <v>1195</v>
      </c>
      <c r="I57" s="1881" t="s">
        <v>1196</v>
      </c>
      <c r="J57" s="9"/>
      <c r="K57" s="9"/>
      <c r="L57" s="9"/>
      <c r="M57" s="9"/>
      <c r="N57" s="9"/>
      <c r="O57" s="9"/>
      <c r="P57" s="9"/>
      <c r="Q57" s="9"/>
      <c r="R57" s="9"/>
      <c r="S57" s="9"/>
      <c r="T57" s="9"/>
      <c r="U57" s="9"/>
      <c r="V57" s="9"/>
      <c r="W57" s="9"/>
      <c r="X57" s="9"/>
      <c r="Y57" s="9"/>
      <c r="Z57" s="9"/>
      <c r="AA57" s="9"/>
    </row>
    <row r="58" spans="1:27" ht="33.75" x14ac:dyDescent="0.25">
      <c r="A58" s="3296" t="s">
        <v>1197</v>
      </c>
      <c r="B58" s="28">
        <v>2.7520086438</v>
      </c>
      <c r="C58" s="76">
        <v>1.11417354E-4</v>
      </c>
      <c r="D58" s="76">
        <v>2.2283470799999998E-5</v>
      </c>
      <c r="E58" s="82">
        <f>(B58*1)+(C58*23)+(D58*296)</f>
        <v>2.7611671502988</v>
      </c>
      <c r="F58" s="28">
        <v>5.3026659503999998</v>
      </c>
      <c r="G58" s="76">
        <v>2.1468283199999998E-4</v>
      </c>
      <c r="H58" s="76">
        <v>4.2936566399999998E-5</v>
      </c>
      <c r="I58" s="82">
        <f>(F58*1)+(G58*23)+(H58*296)</f>
        <v>5.3203128791904</v>
      </c>
      <c r="J58" s="9">
        <v>5.3203128791904</v>
      </c>
      <c r="K58" s="9"/>
      <c r="L58" s="9"/>
      <c r="M58" s="9"/>
      <c r="N58" s="9"/>
      <c r="O58" s="9"/>
      <c r="P58" s="9"/>
      <c r="Q58" s="9"/>
      <c r="R58" s="9"/>
      <c r="S58" s="9"/>
      <c r="T58" s="9"/>
      <c r="U58" s="9"/>
      <c r="V58" s="9"/>
      <c r="W58" s="9"/>
      <c r="X58" s="9"/>
      <c r="Y58" s="9"/>
      <c r="Z58" s="9"/>
      <c r="AA58" s="9"/>
    </row>
    <row r="59" spans="1:27" ht="45" x14ac:dyDescent="0.25">
      <c r="A59" s="3297" t="s">
        <v>1198</v>
      </c>
      <c r="B59" s="28">
        <v>0</v>
      </c>
      <c r="C59" s="76">
        <v>0</v>
      </c>
      <c r="D59" s="76">
        <v>0</v>
      </c>
      <c r="E59" s="82">
        <f>(B59*1)+(C59*23)+(D59*296)</f>
        <v>0</v>
      </c>
      <c r="F59" s="28">
        <v>0.27925536000000001</v>
      </c>
      <c r="G59" s="76">
        <v>4.4255999999999996E-6</v>
      </c>
      <c r="H59" s="76">
        <v>4.4256000000000007E-7</v>
      </c>
      <c r="I59" s="82">
        <f>(F59*1)+(G59*23)+(H59*296)</f>
        <v>0.27948814655999998</v>
      </c>
      <c r="J59" s="9">
        <v>0.27948814655999998</v>
      </c>
      <c r="K59" s="9"/>
      <c r="L59" s="9"/>
      <c r="M59" s="9"/>
      <c r="N59" s="9"/>
      <c r="O59" s="9"/>
      <c r="P59" s="9"/>
      <c r="Q59" s="9"/>
      <c r="R59" s="9"/>
      <c r="S59" s="9"/>
      <c r="T59" s="9"/>
      <c r="U59" s="9"/>
      <c r="V59" s="9"/>
      <c r="W59" s="9"/>
      <c r="X59" s="9"/>
      <c r="Y59" s="9"/>
      <c r="Z59" s="9"/>
      <c r="AA59" s="9"/>
    </row>
  </sheetData>
  <mergeCells count="45">
    <mergeCell ref="D1:F1"/>
    <mergeCell ref="G1:I1"/>
    <mergeCell ref="J1:L1"/>
    <mergeCell ref="M1:O1"/>
    <mergeCell ref="Q1:R1"/>
    <mergeCell ref="B11:C11"/>
    <mergeCell ref="D11:F11"/>
    <mergeCell ref="G11:I11"/>
    <mergeCell ref="J11:L11"/>
    <mergeCell ref="M11:O11"/>
    <mergeCell ref="W1:Y1"/>
    <mergeCell ref="T3:T8"/>
    <mergeCell ref="U3:U8"/>
    <mergeCell ref="V3:V4"/>
    <mergeCell ref="G10:O10"/>
    <mergeCell ref="U1:V1"/>
    <mergeCell ref="Q11:R11"/>
    <mergeCell ref="U11:V11"/>
    <mergeCell ref="W11:Y11"/>
    <mergeCell ref="T13:T18"/>
    <mergeCell ref="U13:U18"/>
    <mergeCell ref="V13:V14"/>
    <mergeCell ref="G20:O20"/>
    <mergeCell ref="B21:C21"/>
    <mergeCell ref="D21:F21"/>
    <mergeCell ref="G21:I21"/>
    <mergeCell ref="J21:L21"/>
    <mergeCell ref="M21:O21"/>
    <mergeCell ref="Q21:R21"/>
    <mergeCell ref="U21:V21"/>
    <mergeCell ref="W21:Y21"/>
    <mergeCell ref="T23:T28"/>
    <mergeCell ref="U23:U28"/>
    <mergeCell ref="V23:V24"/>
    <mergeCell ref="W32:Y32"/>
    <mergeCell ref="B46:E46"/>
    <mergeCell ref="F46:I46"/>
    <mergeCell ref="B56:E56"/>
    <mergeCell ref="F56:I56"/>
    <mergeCell ref="D32:F32"/>
    <mergeCell ref="G32:I32"/>
    <mergeCell ref="J32:L32"/>
    <mergeCell ref="M32:O32"/>
    <mergeCell ref="Q32:R32"/>
    <mergeCell ref="U32:V32"/>
  </mergeCells>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249977111117893"/>
  </sheetPr>
  <dimension ref="A2:Z156"/>
  <sheetViews>
    <sheetView workbookViewId="0">
      <selection activeCell="Q81" sqref="Q81"/>
    </sheetView>
  </sheetViews>
  <sheetFormatPr defaultRowHeight="15" x14ac:dyDescent="0.25"/>
  <cols>
    <col min="1" max="1" width="11.5703125" customWidth="1"/>
    <col min="2" max="2" width="13.7109375" bestFit="1" customWidth="1"/>
    <col min="3" max="3" width="11.5703125" customWidth="1"/>
    <col min="4" max="4" width="11.42578125" bestFit="1" customWidth="1"/>
    <col min="5" max="5" width="9.28515625" bestFit="1" customWidth="1"/>
    <col min="6" max="6" width="10" bestFit="1" customWidth="1"/>
    <col min="7" max="7" width="9.5703125" bestFit="1" customWidth="1"/>
    <col min="8" max="8" width="10" bestFit="1" customWidth="1"/>
    <col min="17" max="17" width="12" bestFit="1" customWidth="1"/>
  </cols>
  <sheetData>
    <row r="2" spans="1:6" x14ac:dyDescent="0.25">
      <c r="A2" s="40" t="s">
        <v>1204</v>
      </c>
    </row>
    <row r="3" spans="1:6" x14ac:dyDescent="0.25">
      <c r="B3" t="s">
        <v>98</v>
      </c>
      <c r="C3" t="s">
        <v>1045</v>
      </c>
    </row>
    <row r="4" spans="1:6" x14ac:dyDescent="0.25">
      <c r="A4" t="s">
        <v>1149</v>
      </c>
      <c r="B4" s="1826">
        <f>'GHG '!X19/1000/'GHG '!X37</f>
        <v>5.7498269311266718E-2</v>
      </c>
      <c r="C4" s="4646">
        <f>'GHG '!X19/1000</f>
        <v>27796.453882502552</v>
      </c>
    </row>
    <row r="5" spans="1:6" x14ac:dyDescent="0.25">
      <c r="A5" t="s">
        <v>308</v>
      </c>
      <c r="B5" s="1826">
        <f>'GHG '!X24/1000/'GHG '!X37</f>
        <v>0.93456965644586065</v>
      </c>
      <c r="C5" s="4646">
        <f>'GHG '!X24/1000</f>
        <v>451800.07444664626</v>
      </c>
    </row>
    <row r="6" spans="1:6" x14ac:dyDescent="0.25">
      <c r="A6" t="s">
        <v>309</v>
      </c>
      <c r="B6" s="1826">
        <f>'GHG '!X36/1000/'GHG '!X37</f>
        <v>7.9320742428726047E-3</v>
      </c>
      <c r="C6" s="4646">
        <f>'GHG '!X36/1000</f>
        <v>3834.6116939799999</v>
      </c>
    </row>
    <row r="7" spans="1:6" x14ac:dyDescent="0.25">
      <c r="A7" s="3245">
        <v>-22</v>
      </c>
      <c r="C7" s="840">
        <f>'GHG '!X40/1000</f>
        <v>171.95</v>
      </c>
      <c r="F7" s="1538"/>
    </row>
    <row r="8" spans="1:6" x14ac:dyDescent="0.25">
      <c r="A8" s="5449" t="s">
        <v>1467</v>
      </c>
      <c r="B8" s="5449"/>
      <c r="C8" s="5449"/>
      <c r="D8" s="5449"/>
    </row>
    <row r="9" spans="1:6" x14ac:dyDescent="0.25">
      <c r="A9" s="5449"/>
      <c r="B9" s="5449"/>
      <c r="C9" s="5449"/>
      <c r="D9" s="5449"/>
    </row>
    <row r="10" spans="1:6" x14ac:dyDescent="0.25">
      <c r="A10" s="5449"/>
      <c r="B10" s="5449"/>
      <c r="C10" s="5449"/>
      <c r="D10" s="5449"/>
    </row>
    <row r="15" spans="1:6" x14ac:dyDescent="0.25">
      <c r="A15" s="40" t="s">
        <v>1205</v>
      </c>
    </row>
    <row r="16" spans="1:6" x14ac:dyDescent="0.25">
      <c r="B16" t="s">
        <v>98</v>
      </c>
    </row>
    <row r="17" spans="1:19" x14ac:dyDescent="0.25">
      <c r="A17" t="s">
        <v>528</v>
      </c>
      <c r="B17" s="3246">
        <f>'GHG '!X73/'GHG '!X37</f>
        <v>0.44618843720794177</v>
      </c>
    </row>
    <row r="18" spans="1:19" x14ac:dyDescent="0.25">
      <c r="A18" t="s">
        <v>524</v>
      </c>
      <c r="B18" s="3246">
        <f>'GHG '!X109/'GHG '!X37</f>
        <v>0.37318217496560019</v>
      </c>
    </row>
    <row r="19" spans="1:19" x14ac:dyDescent="0.25">
      <c r="A19" t="s">
        <v>525</v>
      </c>
      <c r="B19" s="3246">
        <f>'GHG '!X145/'GHG '!X37</f>
        <v>9.8442731952532933E-2</v>
      </c>
    </row>
    <row r="20" spans="1:19" x14ac:dyDescent="0.25">
      <c r="A20" t="s">
        <v>527</v>
      </c>
      <c r="B20" s="3246">
        <f>'GHG '!X181/'GHG '!X37</f>
        <v>8.0305259077809679E-2</v>
      </c>
    </row>
    <row r="21" spans="1:19" x14ac:dyDescent="0.25">
      <c r="A21" t="s">
        <v>1150</v>
      </c>
      <c r="B21" s="3246">
        <f>'GHG '!X219/'GHG '!X37</f>
        <v>1.8813884502872343E-3</v>
      </c>
    </row>
    <row r="24" spans="1:19" ht="15.75" x14ac:dyDescent="0.25">
      <c r="A24" s="3247" t="s">
        <v>1159</v>
      </c>
    </row>
    <row r="25" spans="1:19" x14ac:dyDescent="0.25">
      <c r="B25" t="s">
        <v>307</v>
      </c>
      <c r="C25" t="s">
        <v>308</v>
      </c>
      <c r="D25" t="s">
        <v>389</v>
      </c>
    </row>
    <row r="26" spans="1:19" x14ac:dyDescent="0.25">
      <c r="A26" s="9" t="s">
        <v>528</v>
      </c>
      <c r="B26" s="4646">
        <f>'GHG '!X58/1000</f>
        <v>6578.3609926839099</v>
      </c>
      <c r="C26" s="4646">
        <f>'GHG '!X61/1000</f>
        <v>208652.62260960002</v>
      </c>
      <c r="D26" s="4646">
        <f>B26+C26</f>
        <v>215230.98360228393</v>
      </c>
    </row>
    <row r="27" spans="1:19" x14ac:dyDescent="0.25">
      <c r="A27" s="9" t="s">
        <v>524</v>
      </c>
      <c r="B27" s="4646">
        <f>'GHG '!X94/1000</f>
        <v>6026.5007256605631</v>
      </c>
      <c r="C27" s="4646">
        <f>'GHG '!X97/1000</f>
        <v>173719.28098107025</v>
      </c>
      <c r="D27" s="4646">
        <f t="shared" ref="D27:D30" si="0">B27+C27</f>
        <v>179745.78170673081</v>
      </c>
    </row>
    <row r="28" spans="1:19" x14ac:dyDescent="0.25">
      <c r="A28" s="9" t="s">
        <v>525</v>
      </c>
      <c r="B28" s="4646">
        <f>'GHG '!X130/1000</f>
        <v>1902.4859576822857</v>
      </c>
      <c r="C28" s="4646">
        <f>'GHG '!X133/1000</f>
        <v>45431.630815999997</v>
      </c>
      <c r="D28" s="4646">
        <f t="shared" si="0"/>
        <v>47334.116773682283</v>
      </c>
    </row>
    <row r="29" spans="1:19" x14ac:dyDescent="0.25">
      <c r="A29" s="9" t="s">
        <v>527</v>
      </c>
      <c r="B29" s="4646">
        <f>'GHG '!X166/1000</f>
        <v>12997.668556735862</v>
      </c>
      <c r="C29" s="4646">
        <f>'GHG '!X169/1000</f>
        <v>23644.038812775983</v>
      </c>
      <c r="D29" s="4646">
        <f t="shared" si="0"/>
        <v>36641.707369511845</v>
      </c>
    </row>
    <row r="30" spans="1:19" x14ac:dyDescent="0.25">
      <c r="A30" s="9" t="s">
        <v>91</v>
      </c>
      <c r="B30" s="4646">
        <f>'GHG '!X19/1000</f>
        <v>27796.453882502552</v>
      </c>
      <c r="C30" s="4646">
        <f>'GHG '!X24/1000</f>
        <v>451800.07444664626</v>
      </c>
      <c r="D30" s="4646">
        <f t="shared" si="0"/>
        <v>479596.52832914883</v>
      </c>
    </row>
    <row r="31" spans="1:19" x14ac:dyDescent="0.25">
      <c r="B31" s="54"/>
      <c r="C31" s="54"/>
    </row>
    <row r="32" spans="1:19" x14ac:dyDescent="0.25">
      <c r="B32" s="54"/>
      <c r="C32" s="54"/>
      <c r="Q32" s="3256"/>
      <c r="R32" s="3256"/>
      <c r="S32" s="3256"/>
    </row>
    <row r="33" spans="1:19" x14ac:dyDescent="0.25">
      <c r="A33" s="3256" t="s">
        <v>1158</v>
      </c>
      <c r="B33" s="3256"/>
      <c r="C33" s="3256"/>
      <c r="Q33" s="9"/>
      <c r="R33" s="2442"/>
      <c r="S33" s="9"/>
    </row>
    <row r="34" spans="1:19" s="3256" customFormat="1" x14ac:dyDescent="0.25">
      <c r="B34" s="3256" t="s">
        <v>967</v>
      </c>
      <c r="C34" s="3256" t="s">
        <v>684</v>
      </c>
      <c r="Q34" s="9"/>
      <c r="R34" s="2442"/>
      <c r="S34" s="9"/>
    </row>
    <row r="35" spans="1:19" x14ac:dyDescent="0.25">
      <c r="A35" s="9" t="s">
        <v>528</v>
      </c>
      <c r="B35" s="2442">
        <f>'GHG '!X75</f>
        <v>0.13665823061464918</v>
      </c>
      <c r="C35" s="2442">
        <v>0.12775420658986411</v>
      </c>
      <c r="Q35" s="9"/>
      <c r="R35" s="2442"/>
      <c r="S35" s="9"/>
    </row>
    <row r="36" spans="1:19" x14ac:dyDescent="0.25">
      <c r="A36" s="9" t="s">
        <v>524</v>
      </c>
      <c r="B36" s="2442">
        <f>'GHG '!X111</f>
        <v>0.109765967853443</v>
      </c>
      <c r="C36" s="2442">
        <v>0.10744091919116482</v>
      </c>
      <c r="Q36" s="9"/>
      <c r="R36" s="2442"/>
      <c r="S36" s="9"/>
    </row>
    <row r="37" spans="1:19" x14ac:dyDescent="0.25">
      <c r="A37" s="9" t="s">
        <v>525</v>
      </c>
      <c r="B37" s="2442">
        <f>'GHG '!X147</f>
        <v>0.68894172049115776</v>
      </c>
      <c r="C37" s="2442">
        <v>0.74220121507804504</v>
      </c>
      <c r="Q37" s="9"/>
      <c r="R37" s="2442"/>
      <c r="S37" s="9"/>
    </row>
    <row r="38" spans="1:19" x14ac:dyDescent="0.25">
      <c r="A38" s="9" t="s">
        <v>527</v>
      </c>
      <c r="B38" s="2442">
        <f>'GHG '!X183</f>
        <v>0.13021857225317227</v>
      </c>
      <c r="C38" s="2442">
        <v>7.9720386411286939E-2</v>
      </c>
    </row>
    <row r="39" spans="1:19" x14ac:dyDescent="0.25">
      <c r="A39" s="9" t="s">
        <v>91</v>
      </c>
      <c r="B39" s="2442">
        <f>'GHG '!X39</f>
        <v>0.13469139653770559</v>
      </c>
      <c r="C39" s="2442">
        <v>0.12393665053759427</v>
      </c>
    </row>
    <row r="50" spans="1:15" x14ac:dyDescent="0.25">
      <c r="A50" s="40" t="s">
        <v>1166</v>
      </c>
      <c r="B50" s="40"/>
      <c r="C50" s="40"/>
      <c r="D50" s="40"/>
      <c r="E50" s="40"/>
    </row>
    <row r="51" spans="1:15" ht="25.5" x14ac:dyDescent="0.25">
      <c r="A51" s="3254" t="s">
        <v>1152</v>
      </c>
      <c r="B51" s="3255">
        <f>'GHG '!X7/1000</f>
        <v>163.2719702169</v>
      </c>
    </row>
    <row r="52" spans="1:15" x14ac:dyDescent="0.25">
      <c r="A52" s="3252" t="s">
        <v>1151</v>
      </c>
      <c r="B52" s="3255">
        <f>'GHG '!X8/1000</f>
        <v>2.0787556292999998</v>
      </c>
    </row>
    <row r="53" spans="1:15" ht="26.25" customHeight="1" x14ac:dyDescent="0.25">
      <c r="A53" s="3252" t="s">
        <v>1154</v>
      </c>
      <c r="B53" s="3255">
        <f>'GHG '!X11/1000</f>
        <v>156.91031551983801</v>
      </c>
      <c r="O53" s="4646">
        <v>3215</v>
      </c>
    </row>
    <row r="54" spans="1:15" ht="24.75" customHeight="1" x14ac:dyDescent="0.25">
      <c r="A54" s="3251" t="s">
        <v>1156</v>
      </c>
      <c r="B54" s="3255">
        <f>'GHG '!X18/1000</f>
        <v>412.85957999999994</v>
      </c>
    </row>
    <row r="55" spans="1:15" ht="25.5" x14ac:dyDescent="0.25">
      <c r="A55" s="3251" t="s">
        <v>1157</v>
      </c>
      <c r="B55" s="3255">
        <f>'GHG '!X12/1000</f>
        <v>345.49188539999994</v>
      </c>
    </row>
    <row r="56" spans="1:15" ht="25.5" x14ac:dyDescent="0.25">
      <c r="A56" s="3254" t="s">
        <v>1155</v>
      </c>
      <c r="B56" s="3255">
        <f>('GHG '!X14+'GHG '!X15+'GHG '!X16+'GHG '!X17)/1000</f>
        <v>478.28479999999996</v>
      </c>
    </row>
    <row r="57" spans="1:15" ht="25.5" x14ac:dyDescent="0.25">
      <c r="A57" s="3251" t="s">
        <v>1153</v>
      </c>
      <c r="B57" s="4648">
        <f>'GHG '!X10/1000</f>
        <v>26237.556575736511</v>
      </c>
    </row>
    <row r="58" spans="1:15" x14ac:dyDescent="0.25">
      <c r="A58" s="3252"/>
      <c r="B58" s="340"/>
    </row>
    <row r="59" spans="1:15" x14ac:dyDescent="0.25">
      <c r="A59" s="3253"/>
    </row>
    <row r="60" spans="1:15" x14ac:dyDescent="0.25">
      <c r="A60" s="1623"/>
    </row>
    <row r="61" spans="1:15" x14ac:dyDescent="0.25">
      <c r="A61" s="40" t="s">
        <v>1167</v>
      </c>
    </row>
    <row r="62" spans="1:15" ht="33.75" x14ac:dyDescent="0.25">
      <c r="A62" s="3258" t="s">
        <v>1161</v>
      </c>
      <c r="B62" s="3260">
        <f>'GHG '!X28/1000</f>
        <v>18.606114014399999</v>
      </c>
      <c r="C62" s="2091"/>
      <c r="D62" s="1154"/>
      <c r="E62" s="40"/>
    </row>
    <row r="63" spans="1:15" s="9" customFormat="1" ht="27" customHeight="1" x14ac:dyDescent="0.25">
      <c r="A63" s="3259" t="s">
        <v>176</v>
      </c>
      <c r="B63" s="3260">
        <f>'GHG '!X32/1000</f>
        <v>24.415750805600002</v>
      </c>
      <c r="C63" s="2091"/>
      <c r="D63" s="1154"/>
      <c r="E63" s="40"/>
    </row>
    <row r="64" spans="1:15" s="9" customFormat="1" ht="27" customHeight="1" x14ac:dyDescent="0.25">
      <c r="A64" s="2373" t="s">
        <v>1160</v>
      </c>
      <c r="B64" s="3260">
        <f>'GHG '!X26/1000</f>
        <v>23.671039199999999</v>
      </c>
      <c r="C64" s="2091"/>
      <c r="D64" s="1154"/>
      <c r="E64" s="40"/>
    </row>
    <row r="65" spans="1:21" ht="34.5" customHeight="1" x14ac:dyDescent="0.25">
      <c r="A65" s="3259" t="s">
        <v>1164</v>
      </c>
      <c r="B65" s="3260">
        <f>'GHG '!X34/1000</f>
        <v>45.339709667999998</v>
      </c>
      <c r="C65" s="2091"/>
      <c r="D65" s="1154"/>
    </row>
    <row r="66" spans="1:21" ht="20.25" customHeight="1" x14ac:dyDescent="0.25">
      <c r="A66" s="2373" t="s">
        <v>1162</v>
      </c>
      <c r="B66" s="3260">
        <f>'GHG '!X31/1000</f>
        <v>415.98855771999996</v>
      </c>
      <c r="C66" s="2091"/>
      <c r="D66" s="1154"/>
    </row>
    <row r="67" spans="1:21" ht="27" customHeight="1" x14ac:dyDescent="0.25">
      <c r="A67" s="3257" t="s">
        <v>174</v>
      </c>
      <c r="B67" s="3260">
        <f>'GHG '!X27/1000</f>
        <v>532.82984783999996</v>
      </c>
      <c r="C67" s="2091"/>
      <c r="D67" s="1154"/>
    </row>
    <row r="68" spans="1:21" ht="33.75" x14ac:dyDescent="0.25">
      <c r="A68" s="3259" t="s">
        <v>1163</v>
      </c>
      <c r="B68" s="4647">
        <f>'GHG '!X33/1000</f>
        <v>1772.9602672919998</v>
      </c>
      <c r="C68" s="2091"/>
      <c r="D68" s="1154"/>
    </row>
    <row r="69" spans="1:21" ht="22.5" x14ac:dyDescent="0.25">
      <c r="A69" s="3259" t="s">
        <v>1165</v>
      </c>
      <c r="B69" s="4647">
        <f>'GHG '!X35/1000</f>
        <v>1000.8004074399998</v>
      </c>
      <c r="C69" s="2091"/>
      <c r="D69" s="1154"/>
    </row>
    <row r="70" spans="1:21" x14ac:dyDescent="0.25">
      <c r="A70" s="2471"/>
    </row>
    <row r="73" spans="1:21" ht="15.75" x14ac:dyDescent="0.25">
      <c r="A73" s="3247" t="s">
        <v>1168</v>
      </c>
      <c r="M73" s="3247" t="s">
        <v>1562</v>
      </c>
      <c r="N73" s="9"/>
      <c r="O73" s="9"/>
      <c r="P73" s="9"/>
      <c r="Q73" s="9"/>
      <c r="R73" s="9"/>
      <c r="S73" s="9"/>
      <c r="T73" s="9"/>
      <c r="U73" s="9"/>
    </row>
    <row r="74" spans="1:21" x14ac:dyDescent="0.25">
      <c r="M74" t="s">
        <v>322</v>
      </c>
      <c r="N74">
        <v>502655.16947044077</v>
      </c>
    </row>
    <row r="75" spans="1:21" x14ac:dyDescent="0.25">
      <c r="A75" s="9" t="s">
        <v>322</v>
      </c>
      <c r="B75" s="4646">
        <f>'[4]GHG '!$X$36</f>
        <v>644399.48062041134</v>
      </c>
      <c r="M75" t="s">
        <v>684</v>
      </c>
    </row>
    <row r="76" spans="1:21" x14ac:dyDescent="0.25">
      <c r="A76" s="9" t="s">
        <v>684</v>
      </c>
      <c r="B76" s="4646">
        <f>'[8]GHG '!$X$37</f>
        <v>480247.86045339348</v>
      </c>
      <c r="M76" t="s">
        <v>967</v>
      </c>
    </row>
    <row r="77" spans="1:21" x14ac:dyDescent="0.25">
      <c r="A77" t="s">
        <v>967</v>
      </c>
      <c r="B77" s="4646">
        <f>'GHG '!X37</f>
        <v>483431.14002312883</v>
      </c>
    </row>
    <row r="90" spans="1:2" ht="15.75" x14ac:dyDescent="0.25">
      <c r="A90" s="3247" t="s">
        <v>1169</v>
      </c>
    </row>
    <row r="91" spans="1:2" x14ac:dyDescent="0.25">
      <c r="A91" t="s">
        <v>1170</v>
      </c>
    </row>
    <row r="92" spans="1:2" x14ac:dyDescent="0.25">
      <c r="A92" t="s">
        <v>322</v>
      </c>
      <c r="B92" s="2442">
        <f>'[4]GHG '!$X$38</f>
        <v>0.13305086036480937</v>
      </c>
    </row>
    <row r="93" spans="1:2" x14ac:dyDescent="0.25">
      <c r="A93" t="s">
        <v>684</v>
      </c>
      <c r="B93" s="2442">
        <f>'[8]GHG '!$X$39</f>
        <v>0.12393665053588934</v>
      </c>
    </row>
    <row r="94" spans="1:2" x14ac:dyDescent="0.25">
      <c r="A94" t="s">
        <v>967</v>
      </c>
      <c r="B94" s="2442">
        <f>'GHG '!X39</f>
        <v>0.13469139653770559</v>
      </c>
    </row>
    <row r="96" spans="1:2" x14ac:dyDescent="0.25">
      <c r="A96" s="9" t="s">
        <v>1171</v>
      </c>
    </row>
    <row r="97" spans="1:26" x14ac:dyDescent="0.25">
      <c r="A97" t="s">
        <v>322</v>
      </c>
      <c r="B97" s="2442">
        <f>'[4]GHG '!$X$37</f>
        <v>2.8428035906389669E-2</v>
      </c>
    </row>
    <row r="98" spans="1:26" x14ac:dyDescent="0.25">
      <c r="A98" t="s">
        <v>684</v>
      </c>
      <c r="B98" s="2442">
        <v>3.2299287189592525E-2</v>
      </c>
    </row>
    <row r="99" spans="1:26" x14ac:dyDescent="0.25">
      <c r="A99" t="s">
        <v>967</v>
      </c>
      <c r="B99" s="2442">
        <f>'GHG '!X38</f>
        <v>3.9189059225099555E-2</v>
      </c>
    </row>
    <row r="101" spans="1:26" x14ac:dyDescent="0.25">
      <c r="A101" s="9" t="s">
        <v>1481</v>
      </c>
    </row>
    <row r="102" spans="1:26" x14ac:dyDescent="0.25">
      <c r="A102" t="s">
        <v>322</v>
      </c>
      <c r="B102" s="4646">
        <f>C102*1000000</f>
        <v>1105.3735834383413</v>
      </c>
      <c r="C102" s="3261">
        <v>1.1053735834383412E-3</v>
      </c>
    </row>
    <row r="103" spans="1:26" ht="15.75" x14ac:dyDescent="0.25">
      <c r="A103" t="s">
        <v>684</v>
      </c>
      <c r="B103" s="4646">
        <f>C103*1000000</f>
        <v>1036.2965102441187</v>
      </c>
      <c r="C103" s="3261">
        <v>1.0362965102441188E-3</v>
      </c>
      <c r="Q103" s="3247" t="s">
        <v>1563</v>
      </c>
      <c r="R103" s="9"/>
      <c r="S103" s="9"/>
      <c r="T103" s="9"/>
      <c r="U103" s="9"/>
      <c r="V103" s="9"/>
      <c r="W103" s="9"/>
      <c r="X103" s="9"/>
      <c r="Y103" s="9"/>
      <c r="Z103" s="9"/>
    </row>
    <row r="104" spans="1:26" x14ac:dyDescent="0.25">
      <c r="A104" t="s">
        <v>967</v>
      </c>
      <c r="B104" s="4646">
        <f>C104*1000000</f>
        <v>1637.1195124677761</v>
      </c>
      <c r="C104" s="3261">
        <f>'SR 2020'!S93</f>
        <v>1.6371195124677761E-3</v>
      </c>
    </row>
    <row r="105" spans="1:26" x14ac:dyDescent="0.25">
      <c r="P105" s="9" t="s">
        <v>1170</v>
      </c>
    </row>
    <row r="106" spans="1:26" x14ac:dyDescent="0.25">
      <c r="A106" t="s">
        <v>1480</v>
      </c>
      <c r="P106" s="9" t="s">
        <v>322</v>
      </c>
      <c r="Q106" s="1557">
        <v>0.13104186334996318</v>
      </c>
    </row>
    <row r="107" spans="1:26" x14ac:dyDescent="0.25">
      <c r="A107" t="s">
        <v>322</v>
      </c>
      <c r="P107" s="9" t="s">
        <v>684</v>
      </c>
      <c r="Q107" s="1557"/>
    </row>
    <row r="108" spans="1:26" x14ac:dyDescent="0.25">
      <c r="A108" t="s">
        <v>684</v>
      </c>
      <c r="P108" s="9" t="s">
        <v>967</v>
      </c>
      <c r="Q108" s="1557"/>
    </row>
    <row r="109" spans="1:26" x14ac:dyDescent="0.25">
      <c r="A109" t="s">
        <v>967</v>
      </c>
      <c r="P109" s="9"/>
    </row>
    <row r="110" spans="1:26" x14ac:dyDescent="0.25">
      <c r="P110" s="9" t="s">
        <v>1171</v>
      </c>
    </row>
    <row r="111" spans="1:26" x14ac:dyDescent="0.25">
      <c r="P111" s="9" t="s">
        <v>322</v>
      </c>
      <c r="Q111" s="1557">
        <v>3.6616003177035825E-2</v>
      </c>
    </row>
    <row r="112" spans="1:26" ht="18" x14ac:dyDescent="0.35">
      <c r="A112" t="s">
        <v>1460</v>
      </c>
      <c r="P112" s="9" t="s">
        <v>684</v>
      </c>
    </row>
    <row r="113" spans="1:17" x14ac:dyDescent="0.25">
      <c r="A113" t="s">
        <v>99</v>
      </c>
      <c r="B113" s="445">
        <f>('GHG '!X58+'GHG '!X61)/1000</f>
        <v>215230.98360228393</v>
      </c>
      <c r="P113" s="9" t="s">
        <v>967</v>
      </c>
    </row>
    <row r="114" spans="1:17" x14ac:dyDescent="0.25">
      <c r="A114" t="s">
        <v>100</v>
      </c>
      <c r="B114" s="445">
        <f>('GHG '!X94+'GHG '!X97)/1000</f>
        <v>179745.78170673081</v>
      </c>
      <c r="P114" s="9"/>
    </row>
    <row r="115" spans="1:17" x14ac:dyDescent="0.25">
      <c r="A115" t="s">
        <v>101</v>
      </c>
      <c r="B115" s="445">
        <f>('GHG '!X130+'GHG '!X133)/1000</f>
        <v>47334.11677368229</v>
      </c>
      <c r="P115" s="9" t="s">
        <v>1481</v>
      </c>
    </row>
    <row r="116" spans="1:17" x14ac:dyDescent="0.25">
      <c r="A116" t="s">
        <v>103</v>
      </c>
      <c r="B116" s="445">
        <f>('GHG '!X166+'GHG '!X169)/1000</f>
        <v>36641.707369511845</v>
      </c>
      <c r="P116" s="9" t="s">
        <v>322</v>
      </c>
      <c r="Q116" s="840">
        <f>N74/576.418479</f>
        <v>872.03167105688976</v>
      </c>
    </row>
    <row r="117" spans="1:17" x14ac:dyDescent="0.25">
      <c r="A117" t="s">
        <v>1461</v>
      </c>
      <c r="B117" s="445">
        <f>('GHG '!X202+'GHG '!X206)/1000</f>
        <v>643.93484230670538</v>
      </c>
      <c r="P117" s="9" t="s">
        <v>684</v>
      </c>
    </row>
    <row r="118" spans="1:17" x14ac:dyDescent="0.25">
      <c r="A118" t="s">
        <v>143</v>
      </c>
      <c r="B118" s="445">
        <f>('GHG '!X19+'GHG '!X24)/1000</f>
        <v>479596.52832914883</v>
      </c>
      <c r="C118" s="445"/>
      <c r="P118" s="9" t="s">
        <v>967</v>
      </c>
    </row>
    <row r="120" spans="1:17" x14ac:dyDescent="0.25">
      <c r="P120" s="4811">
        <v>-22</v>
      </c>
    </row>
    <row r="121" spans="1:17" ht="18" x14ac:dyDescent="0.35">
      <c r="A121" s="9" t="s">
        <v>1462</v>
      </c>
      <c r="B121" s="9"/>
      <c r="C121" s="9"/>
      <c r="D121" s="9"/>
      <c r="E121" s="9"/>
      <c r="P121" t="s">
        <v>322</v>
      </c>
      <c r="Q121">
        <v>258.54399999999998</v>
      </c>
    </row>
    <row r="122" spans="1:17" x14ac:dyDescent="0.25">
      <c r="A122" s="9" t="s">
        <v>99</v>
      </c>
      <c r="B122" s="445">
        <f>'GHG '!X73</f>
        <v>215701.38486457351</v>
      </c>
      <c r="C122" s="9"/>
      <c r="D122" s="9"/>
      <c r="E122" s="9"/>
      <c r="P122" t="s">
        <v>684</v>
      </c>
    </row>
    <row r="123" spans="1:17" x14ac:dyDescent="0.25">
      <c r="A123" s="9" t="s">
        <v>100</v>
      </c>
      <c r="B123" s="445">
        <f>'GHG '!X109</f>
        <v>180407.88427993082</v>
      </c>
      <c r="C123" s="9"/>
      <c r="D123" s="9"/>
      <c r="E123" s="9"/>
      <c r="P123" t="s">
        <v>967</v>
      </c>
    </row>
    <row r="124" spans="1:17" x14ac:dyDescent="0.25">
      <c r="A124" s="9" t="s">
        <v>101</v>
      </c>
      <c r="B124" s="445">
        <f>'GHG '!X145</f>
        <v>47590.282134804285</v>
      </c>
      <c r="C124" s="9"/>
      <c r="D124" s="9"/>
      <c r="E124" s="9"/>
    </row>
    <row r="125" spans="1:17" x14ac:dyDescent="0.25">
      <c r="A125" s="9" t="s">
        <v>103</v>
      </c>
      <c r="B125" s="445">
        <f>'GHG '!X181</f>
        <v>38822.062945838246</v>
      </c>
      <c r="C125" s="9"/>
      <c r="D125" s="9"/>
      <c r="E125" s="9"/>
    </row>
    <row r="126" spans="1:17" x14ac:dyDescent="0.25">
      <c r="A126" s="9" t="s">
        <v>1461</v>
      </c>
      <c r="B126" s="445">
        <f>'GHG '!X219</f>
        <v>909.52176334870535</v>
      </c>
      <c r="C126" s="1898">
        <f>B126/B127</f>
        <v>1.8813884502872343E-3</v>
      </c>
      <c r="D126" s="9"/>
      <c r="E126" s="9"/>
    </row>
    <row r="127" spans="1:17" x14ac:dyDescent="0.25">
      <c r="A127" s="9" t="s">
        <v>143</v>
      </c>
      <c r="B127" s="445">
        <f>'GHG '!X37</f>
        <v>483431.14002312883</v>
      </c>
      <c r="C127" s="445"/>
      <c r="D127" s="9"/>
      <c r="E127" s="9"/>
    </row>
    <row r="128" spans="1:17" x14ac:dyDescent="0.25">
      <c r="C128" s="445"/>
    </row>
    <row r="138" spans="1:10" ht="15.75" thickBot="1" x14ac:dyDescent="0.3"/>
    <row r="139" spans="1:10" ht="26.25" thickBot="1" x14ac:dyDescent="0.3">
      <c r="A139" s="4630"/>
      <c r="B139" s="4631" t="s">
        <v>524</v>
      </c>
      <c r="C139" s="4631" t="s">
        <v>528</v>
      </c>
      <c r="D139" s="4631" t="s">
        <v>525</v>
      </c>
      <c r="E139" s="4631" t="s">
        <v>1463</v>
      </c>
      <c r="F139" s="4637" t="s">
        <v>143</v>
      </c>
    </row>
    <row r="140" spans="1:10" ht="25.5" x14ac:dyDescent="0.25">
      <c r="A140" s="4632" t="s">
        <v>1464</v>
      </c>
      <c r="B140" s="4634">
        <v>1563</v>
      </c>
      <c r="C140" s="4634">
        <v>1596</v>
      </c>
      <c r="D140" s="4634">
        <v>677</v>
      </c>
      <c r="E140" s="4634">
        <v>1429</v>
      </c>
      <c r="F140" s="71">
        <f>SUM(B140:E140)</f>
        <v>5265</v>
      </c>
    </row>
    <row r="141" spans="1:10" x14ac:dyDescent="0.25">
      <c r="A141" s="4632" t="s">
        <v>1465</v>
      </c>
      <c r="B141" s="4634">
        <v>1027</v>
      </c>
      <c r="C141" s="4634">
        <v>1304</v>
      </c>
      <c r="D141" s="4634">
        <v>631</v>
      </c>
      <c r="E141" s="4634">
        <v>521</v>
      </c>
      <c r="F141" s="159">
        <f t="shared" ref="F141:F142" si="1">SUM(B141:E141)</f>
        <v>3483</v>
      </c>
    </row>
    <row r="142" spans="1:10" ht="15.75" thickBot="1" x14ac:dyDescent="0.3">
      <c r="A142" s="4633" t="s">
        <v>1466</v>
      </c>
      <c r="B142" s="4635">
        <v>536</v>
      </c>
      <c r="C142" s="4635">
        <v>292</v>
      </c>
      <c r="D142" s="4635">
        <v>46</v>
      </c>
      <c r="E142" s="4635">
        <v>908</v>
      </c>
      <c r="F142" s="918">
        <f t="shared" si="1"/>
        <v>1782</v>
      </c>
      <c r="J142" s="1"/>
    </row>
    <row r="143" spans="1:10" x14ac:dyDescent="0.25">
      <c r="A143" s="4636"/>
    </row>
    <row r="146" spans="1:8" x14ac:dyDescent="0.25">
      <c r="A146" t="s">
        <v>1545</v>
      </c>
      <c r="B146" t="s">
        <v>1548</v>
      </c>
    </row>
    <row r="147" spans="1:8" x14ac:dyDescent="0.25">
      <c r="B147" t="s">
        <v>99</v>
      </c>
      <c r="C147" t="s">
        <v>100</v>
      </c>
      <c r="D147" t="s">
        <v>101</v>
      </c>
      <c r="E147" t="s">
        <v>103</v>
      </c>
      <c r="F147" t="s">
        <v>1546</v>
      </c>
      <c r="G147" t="s">
        <v>143</v>
      </c>
      <c r="H147" t="s">
        <v>1547</v>
      </c>
    </row>
    <row r="148" spans="1:8" x14ac:dyDescent="0.25">
      <c r="A148" t="s">
        <v>1544</v>
      </c>
      <c r="B148" s="4789">
        <v>7194.8658316839101</v>
      </c>
      <c r="C148" s="4789">
        <v>6030.2757698519899</v>
      </c>
      <c r="D148" s="4789">
        <v>1875.98385420966</v>
      </c>
      <c r="E148" s="4789">
        <v>13158.044440969001</v>
      </c>
      <c r="F148" s="4789">
        <v>291.36748010670499</v>
      </c>
      <c r="G148" s="4789">
        <v>28550.5419547821</v>
      </c>
      <c r="H148" s="4789">
        <f>SUM(B148:F148)</f>
        <v>28550.537376821267</v>
      </c>
    </row>
    <row r="149" spans="1:8" x14ac:dyDescent="0.25">
      <c r="A149" t="s">
        <v>308</v>
      </c>
      <c r="B149" s="4789">
        <v>208655.59792480001</v>
      </c>
      <c r="C149" s="4789">
        <v>173719.28098107001</v>
      </c>
      <c r="D149" s="4789">
        <v>45431.630815999997</v>
      </c>
      <c r="E149" s="4789">
        <v>23644.038812776002</v>
      </c>
      <c r="F149" s="4789">
        <v>352.50122720000002</v>
      </c>
      <c r="G149" s="4789">
        <v>451803.04976184602</v>
      </c>
      <c r="H149" s="4789">
        <f t="shared" ref="H149:H152" si="2">SUM(B149:F149)</f>
        <v>451803.04976184596</v>
      </c>
    </row>
    <row r="150" spans="1:8" x14ac:dyDescent="0.25">
      <c r="A150" t="s">
        <v>940</v>
      </c>
      <c r="B150" s="4789">
        <v>470.17619548879998</v>
      </c>
      <c r="C150" s="4789">
        <v>660.07297319999998</v>
      </c>
      <c r="D150" s="4789">
        <v>247.87816820200001</v>
      </c>
      <c r="E150" s="4789">
        <v>2184.6247254663999</v>
      </c>
      <c r="F150" s="4789">
        <v>265.58692104199997</v>
      </c>
      <c r="G150" s="4789">
        <v>3828.3389833992001</v>
      </c>
      <c r="H150" s="4789">
        <f t="shared" si="2"/>
        <v>3828.3389833992001</v>
      </c>
    </row>
    <row r="151" spans="1:8" x14ac:dyDescent="0.25">
      <c r="A151" t="s">
        <v>603</v>
      </c>
      <c r="B151" s="4789">
        <v>216320.63995197273</v>
      </c>
      <c r="C151" s="4789">
        <v>180409.62972412221</v>
      </c>
      <c r="D151" s="4789">
        <v>47555.492838411665</v>
      </c>
      <c r="E151" s="4789">
        <v>38986.706982339296</v>
      </c>
      <c r="F151" s="4789">
        <v>909.45562834870543</v>
      </c>
      <c r="G151" s="4789">
        <v>484181.9307000275</v>
      </c>
      <c r="H151" s="4789">
        <f t="shared" si="2"/>
        <v>484181.92512519454</v>
      </c>
    </row>
    <row r="152" spans="1:8" x14ac:dyDescent="0.25">
      <c r="A152" t="s">
        <v>1547</v>
      </c>
      <c r="B152" s="4789">
        <f>SUM(B148:B150)</f>
        <v>216320.63995197273</v>
      </c>
      <c r="C152" s="4789">
        <f t="shared" ref="C152:G152" si="3">SUM(C148:C150)</f>
        <v>180409.629724122</v>
      </c>
      <c r="D152" s="4789">
        <f t="shared" si="3"/>
        <v>47555.492838411657</v>
      </c>
      <c r="E152" s="4789">
        <f t="shared" si="3"/>
        <v>38986.707979211402</v>
      </c>
      <c r="F152" s="4789">
        <f t="shared" si="3"/>
        <v>909.45562834870498</v>
      </c>
      <c r="G152" s="4789">
        <f t="shared" si="3"/>
        <v>484181.93070002733</v>
      </c>
      <c r="H152" s="4789">
        <f t="shared" si="2"/>
        <v>484181.92612206651</v>
      </c>
    </row>
    <row r="154" spans="1:8" x14ac:dyDescent="0.25">
      <c r="A154" t="s">
        <v>1544</v>
      </c>
      <c r="B154" s="1898">
        <f>B148/G148</f>
        <v>0.25200452737741458</v>
      </c>
      <c r="C154" s="1898">
        <f>C148/G148</f>
        <v>0.21121405609051647</v>
      </c>
      <c r="D154" s="1898">
        <f>D148/G148</f>
        <v>6.57074691324884E-2</v>
      </c>
      <c r="E154" s="1898">
        <f>E148/G148</f>
        <v>0.46086846483714755</v>
      </c>
      <c r="F154" s="1898">
        <f>F148/G148</f>
        <v>1.0205322216585879E-2</v>
      </c>
      <c r="G154" s="1898">
        <f>SUM(B154:F154)</f>
        <v>0.99999983965415296</v>
      </c>
    </row>
    <row r="155" spans="1:8" x14ac:dyDescent="0.25">
      <c r="A155" t="s">
        <v>308</v>
      </c>
      <c r="B155" s="1898">
        <f>B149/$G149</f>
        <v>0.46182866192423078</v>
      </c>
      <c r="C155" s="1898">
        <f t="shared" ref="C155:F155" si="4">C149/$G149</f>
        <v>0.3845022318300878</v>
      </c>
      <c r="D155" s="1898">
        <f t="shared" si="4"/>
        <v>0.10055627300423907</v>
      </c>
      <c r="E155" s="1898">
        <f t="shared" si="4"/>
        <v>5.233262330840667E-2</v>
      </c>
      <c r="F155" s="1898">
        <f t="shared" si="4"/>
        <v>7.8020993303566698E-4</v>
      </c>
      <c r="G155" s="1898">
        <f t="shared" ref="G155:G156" si="5">SUM(B155:F155)</f>
        <v>1</v>
      </c>
    </row>
    <row r="156" spans="1:8" x14ac:dyDescent="0.25">
      <c r="A156" t="s">
        <v>940</v>
      </c>
      <c r="B156" s="1898">
        <f>B150/$G150</f>
        <v>0.12281467172254645</v>
      </c>
      <c r="C156" s="1898">
        <f t="shared" ref="C156:F156" si="6">C150/$G150</f>
        <v>0.17241758790490336</v>
      </c>
      <c r="D156" s="1898">
        <f t="shared" si="6"/>
        <v>6.4748228742771322E-2</v>
      </c>
      <c r="E156" s="1898">
        <f t="shared" si="6"/>
        <v>0.57064558152754319</v>
      </c>
      <c r="F156" s="1898">
        <f t="shared" si="6"/>
        <v>6.9373930102235651E-2</v>
      </c>
      <c r="G156" s="1898">
        <f t="shared" si="5"/>
        <v>1</v>
      </c>
    </row>
  </sheetData>
  <sortState ref="A52:B57">
    <sortCondition ref="B52:B57"/>
  </sortState>
  <mergeCells count="1">
    <mergeCell ref="A8:D10"/>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rgb="FF97F961"/>
  </sheetPr>
  <dimension ref="A1:AI61"/>
  <sheetViews>
    <sheetView zoomScale="75" zoomScaleNormal="75" workbookViewId="0">
      <pane xSplit="1" topLeftCell="B1" activePane="topRight" state="frozen"/>
      <selection pane="topRight" activeCell="D16" sqref="D16"/>
    </sheetView>
  </sheetViews>
  <sheetFormatPr defaultRowHeight="15" x14ac:dyDescent="0.25"/>
  <cols>
    <col min="1" max="1" width="39.85546875" customWidth="1"/>
    <col min="2" max="2" width="9.140625" customWidth="1"/>
    <col min="3" max="3" width="15.42578125" customWidth="1"/>
    <col min="4" max="4" width="16.28515625" customWidth="1"/>
    <col min="5" max="5" width="12.85546875" customWidth="1"/>
    <col min="6" max="6" width="12" bestFit="1" customWidth="1"/>
    <col min="7" max="7" width="13.42578125" customWidth="1"/>
    <col min="8" max="8" width="16.140625" customWidth="1"/>
    <col min="9" max="9" width="12.140625" customWidth="1"/>
    <col min="10" max="10" width="13" customWidth="1"/>
    <col min="11" max="12" width="12.140625" customWidth="1"/>
    <col min="13" max="13" width="16" style="9" customWidth="1"/>
    <col min="14" max="14" width="16.42578125" style="9" customWidth="1"/>
    <col min="15" max="15" width="16.5703125" style="9" customWidth="1"/>
    <col min="16" max="17" width="16.28515625" style="9" customWidth="1"/>
    <col min="18" max="18" width="16.5703125" style="9" customWidth="1"/>
    <col min="19" max="19" width="14.85546875" style="9" customWidth="1"/>
    <col min="20" max="20" width="11.28515625" style="9" customWidth="1"/>
    <col min="21" max="21" width="14.5703125" style="9" customWidth="1"/>
    <col min="22" max="22" width="16.5703125" style="9" customWidth="1"/>
    <col min="23" max="23" width="10.42578125" customWidth="1"/>
    <col min="24" max="24" width="11" customWidth="1"/>
    <col min="25" max="26" width="9.28515625" bestFit="1" customWidth="1"/>
    <col min="27" max="27" width="10.28515625" customWidth="1"/>
    <col min="28" max="28" width="11.5703125" bestFit="1" customWidth="1"/>
    <col min="30" max="30" width="11.28515625" bestFit="1" customWidth="1"/>
  </cols>
  <sheetData>
    <row r="1" spans="1:33" x14ac:dyDescent="0.25">
      <c r="A1" s="2" t="s">
        <v>11</v>
      </c>
      <c r="L1" s="1745">
        <v>212.3443</v>
      </c>
    </row>
    <row r="2" spans="1:33" ht="15.75" thickBot="1" x14ac:dyDescent="0.3">
      <c r="L2" s="1745">
        <v>200.1429</v>
      </c>
      <c r="M2" s="73">
        <f>L9+144.7021</f>
        <v>480.07209999999998</v>
      </c>
      <c r="W2" s="1"/>
      <c r="X2" s="1"/>
      <c r="Y2" s="1"/>
      <c r="Z2" s="1"/>
      <c r="AA2" s="1"/>
      <c r="AB2" s="1"/>
      <c r="AC2" s="1"/>
      <c r="AD2" s="1"/>
      <c r="AE2" s="1"/>
      <c r="AF2" s="1"/>
      <c r="AG2" s="1"/>
    </row>
    <row r="3" spans="1:33" ht="15.75" thickBot="1" x14ac:dyDescent="0.3">
      <c r="C3" s="4981" t="s">
        <v>2</v>
      </c>
      <c r="D3" s="4982"/>
      <c r="E3" s="4982"/>
      <c r="F3" s="4982"/>
      <c r="G3" s="4983"/>
      <c r="H3" s="4984" t="s">
        <v>8</v>
      </c>
      <c r="I3" s="4985"/>
      <c r="J3" s="4985"/>
      <c r="K3" s="4985"/>
      <c r="L3" s="4986"/>
      <c r="M3" s="4984" t="s">
        <v>9</v>
      </c>
      <c r="N3" s="4985"/>
      <c r="O3" s="4985"/>
      <c r="P3" s="4985"/>
      <c r="Q3" s="4986"/>
      <c r="R3" s="4984" t="s">
        <v>223</v>
      </c>
      <c r="S3" s="4985"/>
      <c r="T3" s="4985"/>
      <c r="U3" s="4985"/>
      <c r="V3" s="4986"/>
      <c r="W3" s="4987"/>
      <c r="X3" s="4987"/>
      <c r="Y3" s="4987"/>
      <c r="Z3" s="4987"/>
      <c r="AA3" s="4987"/>
      <c r="AB3" s="260"/>
      <c r="AC3" s="260"/>
      <c r="AD3" s="260"/>
      <c r="AE3" s="260"/>
      <c r="AF3" s="260"/>
      <c r="AG3" s="1"/>
    </row>
    <row r="4" spans="1:33" ht="15.75" thickBot="1" x14ac:dyDescent="0.3">
      <c r="A4" s="17" t="s">
        <v>0</v>
      </c>
      <c r="B4" s="18" t="s">
        <v>1</v>
      </c>
      <c r="C4" s="10" t="s">
        <v>3</v>
      </c>
      <c r="D4" s="15" t="s">
        <v>4</v>
      </c>
      <c r="E4" s="15" t="s">
        <v>5</v>
      </c>
      <c r="F4" s="15" t="s">
        <v>6</v>
      </c>
      <c r="G4" s="15" t="s">
        <v>7</v>
      </c>
      <c r="H4" s="10" t="s">
        <v>3</v>
      </c>
      <c r="I4" s="15" t="s">
        <v>4</v>
      </c>
      <c r="J4" s="15" t="s">
        <v>5</v>
      </c>
      <c r="K4" s="15" t="s">
        <v>6</v>
      </c>
      <c r="L4" s="11" t="s">
        <v>7</v>
      </c>
      <c r="M4" s="1" t="s">
        <v>3</v>
      </c>
      <c r="N4" s="1" t="s">
        <v>4</v>
      </c>
      <c r="O4" s="1" t="s">
        <v>5</v>
      </c>
      <c r="P4" s="1" t="s">
        <v>6</v>
      </c>
      <c r="Q4" s="1" t="s">
        <v>7</v>
      </c>
      <c r="R4" s="10" t="s">
        <v>3</v>
      </c>
      <c r="S4" s="15" t="s">
        <v>4</v>
      </c>
      <c r="T4" s="15" t="s">
        <v>5</v>
      </c>
      <c r="U4" s="15" t="s">
        <v>6</v>
      </c>
      <c r="V4" s="11" t="s">
        <v>7</v>
      </c>
      <c r="W4" s="1"/>
      <c r="X4" s="1"/>
      <c r="Y4" s="1"/>
      <c r="Z4" s="1"/>
      <c r="AA4" s="1"/>
      <c r="AB4" s="1"/>
      <c r="AC4" s="1"/>
      <c r="AD4" s="1"/>
      <c r="AE4" s="1"/>
      <c r="AF4" s="1"/>
      <c r="AG4" s="1"/>
    </row>
    <row r="5" spans="1:33" s="9" customFormat="1" x14ac:dyDescent="0.25">
      <c r="A5" s="71" t="s">
        <v>78</v>
      </c>
      <c r="B5" s="10" t="s">
        <v>13</v>
      </c>
      <c r="C5" s="1740">
        <v>0</v>
      </c>
      <c r="D5" s="1741">
        <v>0</v>
      </c>
      <c r="E5" s="1741">
        <v>0</v>
      </c>
      <c r="F5" s="1741">
        <v>0</v>
      </c>
      <c r="G5" s="1741">
        <v>47</v>
      </c>
      <c r="H5" s="1740">
        <v>0</v>
      </c>
      <c r="I5" s="1741">
        <v>0</v>
      </c>
      <c r="J5" s="1741">
        <v>0</v>
      </c>
      <c r="K5" s="1741"/>
      <c r="L5" s="1742">
        <v>57</v>
      </c>
      <c r="M5" s="1740"/>
      <c r="N5" s="1741"/>
      <c r="O5" s="1741"/>
      <c r="P5" s="1741"/>
      <c r="Q5" s="4611">
        <v>55</v>
      </c>
      <c r="R5" s="1740"/>
      <c r="S5" s="1741"/>
      <c r="T5" s="1741"/>
      <c r="U5" s="4768">
        <v>146</v>
      </c>
      <c r="V5" s="4771">
        <v>146</v>
      </c>
      <c r="W5" s="31"/>
      <c r="X5" s="31"/>
      <c r="Y5" s="31"/>
      <c r="Z5" s="31"/>
      <c r="AA5" s="31"/>
      <c r="AB5" s="34"/>
      <c r="AC5" s="34"/>
      <c r="AD5" s="34"/>
      <c r="AE5" s="34"/>
      <c r="AF5" s="31"/>
      <c r="AG5" s="1"/>
    </row>
    <row r="6" spans="1:33" s="9" customFormat="1" x14ac:dyDescent="0.25">
      <c r="A6" s="159" t="s">
        <v>79</v>
      </c>
      <c r="B6" s="12" t="s">
        <v>13</v>
      </c>
      <c r="C6" s="1743">
        <v>0</v>
      </c>
      <c r="D6" s="1744">
        <v>0</v>
      </c>
      <c r="E6" s="1744">
        <v>0</v>
      </c>
      <c r="F6" s="1744">
        <v>0</v>
      </c>
      <c r="G6" s="1744">
        <v>0</v>
      </c>
      <c r="H6" s="1743">
        <v>0</v>
      </c>
      <c r="I6" s="1744">
        <v>0</v>
      </c>
      <c r="J6" s="1744">
        <v>0</v>
      </c>
      <c r="K6" s="1744"/>
      <c r="L6" s="1745">
        <v>0</v>
      </c>
      <c r="M6" s="1746"/>
      <c r="N6" s="1747"/>
      <c r="O6" s="1747"/>
      <c r="P6" s="1747"/>
      <c r="Q6" s="4612">
        <v>5.4</v>
      </c>
      <c r="R6" s="1746"/>
      <c r="S6" s="1747"/>
      <c r="T6" s="1747"/>
      <c r="U6" s="4767">
        <v>56.94</v>
      </c>
      <c r="V6" s="4772">
        <v>56.94</v>
      </c>
      <c r="W6" s="34"/>
      <c r="X6" s="34"/>
      <c r="Y6" s="34"/>
      <c r="Z6" s="34"/>
      <c r="AA6" s="31"/>
      <c r="AB6" s="34"/>
      <c r="AC6" s="34"/>
      <c r="AD6" s="34"/>
      <c r="AE6" s="34"/>
      <c r="AF6" s="31"/>
      <c r="AG6" s="1"/>
    </row>
    <row r="7" spans="1:33" s="9" customFormat="1" x14ac:dyDescent="0.25">
      <c r="A7" s="159" t="s">
        <v>80</v>
      </c>
      <c r="B7" s="12" t="s">
        <v>13</v>
      </c>
      <c r="C7" s="1743">
        <v>0</v>
      </c>
      <c r="D7" s="1744">
        <v>0</v>
      </c>
      <c r="E7" s="1744">
        <v>0</v>
      </c>
      <c r="F7" s="1744">
        <v>0</v>
      </c>
      <c r="G7" s="1744">
        <v>0</v>
      </c>
      <c r="H7" s="1743">
        <v>0</v>
      </c>
      <c r="I7" s="1744">
        <v>0</v>
      </c>
      <c r="J7" s="1744">
        <v>0</v>
      </c>
      <c r="K7" s="1744">
        <v>0</v>
      </c>
      <c r="L7" s="1745">
        <v>35.4</v>
      </c>
      <c r="M7" s="1746"/>
      <c r="N7" s="1747"/>
      <c r="O7" s="1747"/>
      <c r="P7" s="1747"/>
      <c r="Q7" s="4612">
        <v>5.0999999999999996</v>
      </c>
      <c r="R7" s="1746"/>
      <c r="S7" s="1747"/>
      <c r="T7" s="1747"/>
      <c r="U7" s="4767">
        <v>56.98</v>
      </c>
      <c r="V7" s="4772">
        <v>56.98</v>
      </c>
      <c r="W7" s="31"/>
      <c r="X7" s="31"/>
      <c r="Y7" s="31"/>
      <c r="Z7" s="31"/>
      <c r="AA7" s="31"/>
      <c r="AB7" s="34"/>
      <c r="AC7" s="34"/>
      <c r="AD7" s="34"/>
      <c r="AE7" s="34"/>
      <c r="AF7" s="31"/>
      <c r="AG7" s="1"/>
    </row>
    <row r="8" spans="1:33" s="9" customFormat="1" x14ac:dyDescent="0.25">
      <c r="A8" s="159" t="s">
        <v>81</v>
      </c>
      <c r="B8" s="12" t="s">
        <v>13</v>
      </c>
      <c r="C8" s="1743">
        <v>0</v>
      </c>
      <c r="D8" s="1744">
        <v>0</v>
      </c>
      <c r="E8" s="1744">
        <v>0</v>
      </c>
      <c r="F8" s="1744">
        <v>0</v>
      </c>
      <c r="G8" s="1744">
        <v>0</v>
      </c>
      <c r="H8" s="1743">
        <v>0</v>
      </c>
      <c r="I8" s="1744">
        <v>0</v>
      </c>
      <c r="J8" s="1744">
        <v>0</v>
      </c>
      <c r="K8" s="1744">
        <v>0</v>
      </c>
      <c r="L8" s="1745">
        <v>113</v>
      </c>
      <c r="M8" s="1746"/>
      <c r="N8" s="1747"/>
      <c r="O8" s="1747"/>
      <c r="P8" s="1747"/>
      <c r="Q8" s="4612">
        <v>119.75</v>
      </c>
      <c r="R8" s="1746"/>
      <c r="S8" s="1747"/>
      <c r="T8" s="1747"/>
      <c r="U8" s="4767">
        <v>22.33</v>
      </c>
      <c r="V8" s="4772">
        <v>22.33</v>
      </c>
      <c r="W8" s="31"/>
      <c r="X8" s="31"/>
      <c r="Y8" s="31"/>
      <c r="Z8" s="31"/>
      <c r="AA8" s="31"/>
      <c r="AB8" s="34"/>
      <c r="AC8" s="34"/>
      <c r="AD8" s="34"/>
      <c r="AE8" s="34"/>
      <c r="AF8" s="31"/>
      <c r="AG8" s="1"/>
    </row>
    <row r="9" spans="1:33" s="9" customFormat="1" x14ac:dyDescent="0.25">
      <c r="A9" s="159" t="s">
        <v>82</v>
      </c>
      <c r="B9" s="12" t="s">
        <v>13</v>
      </c>
      <c r="C9" s="1743">
        <v>0</v>
      </c>
      <c r="D9" s="1744">
        <v>0</v>
      </c>
      <c r="E9" s="1744"/>
      <c r="F9" s="1744">
        <v>0</v>
      </c>
      <c r="G9" s="1744">
        <v>319</v>
      </c>
      <c r="H9" s="1743">
        <v>0</v>
      </c>
      <c r="I9" s="1744">
        <v>0</v>
      </c>
      <c r="J9" s="1744">
        <v>0</v>
      </c>
      <c r="K9" s="1744">
        <v>0</v>
      </c>
      <c r="L9" s="1745">
        <v>335.37</v>
      </c>
      <c r="M9" s="1743"/>
      <c r="N9" s="1744"/>
      <c r="O9" s="1744"/>
      <c r="P9" s="1744"/>
      <c r="Q9" s="4613">
        <v>151</v>
      </c>
      <c r="R9" s="1743"/>
      <c r="S9" s="1744"/>
      <c r="T9" s="1744"/>
      <c r="U9" s="4767">
        <v>415.5</v>
      </c>
      <c r="V9" s="4772">
        <v>415.5</v>
      </c>
      <c r="W9" s="31"/>
      <c r="X9" s="31"/>
      <c r="Y9" s="31"/>
      <c r="Z9" s="34"/>
      <c r="AA9" s="31"/>
      <c r="AB9" s="34"/>
      <c r="AC9" s="34"/>
      <c r="AD9" s="34"/>
      <c r="AE9" s="34"/>
      <c r="AF9" s="31"/>
      <c r="AG9" s="1"/>
    </row>
    <row r="10" spans="1:33" s="9" customFormat="1" x14ac:dyDescent="0.25">
      <c r="A10" s="159" t="s">
        <v>83</v>
      </c>
      <c r="B10" s="12" t="s">
        <v>13</v>
      </c>
      <c r="C10" s="1743">
        <v>0</v>
      </c>
      <c r="D10" s="1744">
        <v>0</v>
      </c>
      <c r="E10" s="1744">
        <v>0</v>
      </c>
      <c r="F10" s="1744">
        <v>0</v>
      </c>
      <c r="G10" s="1744">
        <v>58</v>
      </c>
      <c r="H10" s="1743">
        <v>0</v>
      </c>
      <c r="I10" s="1744">
        <v>0</v>
      </c>
      <c r="J10" s="1744">
        <v>0</v>
      </c>
      <c r="K10" s="1744">
        <v>0</v>
      </c>
      <c r="L10" s="1745">
        <v>203.35560000000001</v>
      </c>
      <c r="M10" s="1743"/>
      <c r="N10" s="1744"/>
      <c r="O10" s="1744"/>
      <c r="P10" s="1744"/>
      <c r="Q10" s="4612">
        <v>90.38</v>
      </c>
      <c r="R10" s="1743"/>
      <c r="S10" s="1744"/>
      <c r="T10" s="1744"/>
      <c r="U10" s="4767">
        <v>211.3</v>
      </c>
      <c r="V10" s="4772">
        <v>211.3</v>
      </c>
      <c r="W10" s="31"/>
      <c r="X10" s="31"/>
      <c r="Y10" s="31"/>
      <c r="Z10" s="31"/>
      <c r="AA10" s="31"/>
      <c r="AB10" s="34"/>
      <c r="AC10" s="34"/>
      <c r="AD10" s="34"/>
      <c r="AE10" s="34"/>
      <c r="AF10" s="31"/>
      <c r="AG10" s="1"/>
    </row>
    <row r="11" spans="1:33" s="9" customFormat="1" x14ac:dyDescent="0.25">
      <c r="A11" s="159" t="s">
        <v>84</v>
      </c>
      <c r="B11" s="12" t="s">
        <v>13</v>
      </c>
      <c r="C11" s="1743">
        <v>0</v>
      </c>
      <c r="D11" s="1744">
        <v>0</v>
      </c>
      <c r="E11" s="1744">
        <v>0</v>
      </c>
      <c r="F11" s="1744">
        <v>0</v>
      </c>
      <c r="G11" s="1744">
        <v>102</v>
      </c>
      <c r="H11" s="1743">
        <v>0</v>
      </c>
      <c r="I11" s="1744">
        <v>0</v>
      </c>
      <c r="J11" s="1744">
        <v>0</v>
      </c>
      <c r="K11" s="1744">
        <v>0</v>
      </c>
      <c r="L11" s="1745">
        <v>19.3</v>
      </c>
      <c r="M11" s="1746"/>
      <c r="N11" s="1747"/>
      <c r="O11" s="1747"/>
      <c r="P11" s="1747"/>
      <c r="Q11" s="4612">
        <v>0</v>
      </c>
      <c r="R11" s="1746"/>
      <c r="S11" s="1747"/>
      <c r="T11" s="1747"/>
      <c r="U11" s="4767">
        <v>13</v>
      </c>
      <c r="V11" s="4773">
        <v>13</v>
      </c>
      <c r="W11" s="31"/>
      <c r="X11" s="31"/>
      <c r="Y11" s="31"/>
      <c r="Z11" s="31"/>
      <c r="AA11" s="34"/>
      <c r="AB11" s="34"/>
      <c r="AC11" s="34"/>
      <c r="AD11" s="34"/>
      <c r="AE11" s="34"/>
      <c r="AF11" s="31"/>
      <c r="AG11" s="1"/>
    </row>
    <row r="12" spans="1:33" s="9" customFormat="1" x14ac:dyDescent="0.25">
      <c r="A12" s="159" t="s">
        <v>569</v>
      </c>
      <c r="B12" s="12"/>
      <c r="C12" s="1743"/>
      <c r="D12" s="1744"/>
      <c r="E12" s="1744"/>
      <c r="F12" s="1744"/>
      <c r="G12" s="1744">
        <v>0</v>
      </c>
      <c r="H12" s="1743"/>
      <c r="I12" s="1744"/>
      <c r="J12" s="1744"/>
      <c r="K12" s="1744"/>
      <c r="L12" s="1745">
        <v>11</v>
      </c>
      <c r="M12" s="1746"/>
      <c r="N12" s="1747"/>
      <c r="O12" s="1747"/>
      <c r="P12" s="1747"/>
      <c r="Q12" s="4612">
        <v>0.75</v>
      </c>
      <c r="R12" s="1746"/>
      <c r="S12" s="1747"/>
      <c r="T12" s="1747"/>
      <c r="U12" s="4767">
        <v>2.7</v>
      </c>
      <c r="V12" s="4772">
        <v>2.7</v>
      </c>
      <c r="W12" s="31"/>
      <c r="X12" s="31"/>
      <c r="Y12" s="31"/>
      <c r="Z12" s="31"/>
      <c r="AA12" s="34"/>
      <c r="AB12" s="34"/>
      <c r="AC12" s="34"/>
      <c r="AD12" s="34"/>
      <c r="AE12" s="34"/>
      <c r="AF12" s="31"/>
      <c r="AG12" s="1"/>
    </row>
    <row r="13" spans="1:33" s="9" customFormat="1" x14ac:dyDescent="0.25">
      <c r="A13" s="159" t="s">
        <v>85</v>
      </c>
      <c r="B13" s="12" t="s">
        <v>13</v>
      </c>
      <c r="C13" s="1743">
        <v>0</v>
      </c>
      <c r="D13" s="1744">
        <v>0</v>
      </c>
      <c r="E13" s="1744">
        <v>0</v>
      </c>
      <c r="F13" s="1744">
        <v>0</v>
      </c>
      <c r="G13" s="1744">
        <v>102</v>
      </c>
      <c r="H13" s="1743">
        <v>0</v>
      </c>
      <c r="I13" s="1744">
        <v>0</v>
      </c>
      <c r="J13" s="1744">
        <v>0</v>
      </c>
      <c r="K13" s="1744">
        <v>0</v>
      </c>
      <c r="L13" s="1745">
        <v>80</v>
      </c>
      <c r="M13" s="1746"/>
      <c r="N13" s="1747"/>
      <c r="O13" s="1747"/>
      <c r="P13" s="1747"/>
      <c r="Q13" s="4612">
        <v>8.3800000000000008</v>
      </c>
      <c r="R13" s="1746"/>
      <c r="S13" s="1747"/>
      <c r="T13" s="1747"/>
      <c r="U13" s="4767">
        <v>46.8</v>
      </c>
      <c r="V13" s="4772">
        <v>46.8</v>
      </c>
      <c r="W13" s="34"/>
      <c r="X13" s="34"/>
      <c r="Y13" s="34"/>
      <c r="Z13" s="34"/>
      <c r="AA13" s="34"/>
      <c r="AB13" s="34"/>
      <c r="AC13" s="34"/>
      <c r="AD13" s="34"/>
      <c r="AE13" s="34"/>
      <c r="AF13" s="31"/>
      <c r="AG13" s="1"/>
    </row>
    <row r="14" spans="1:33" x14ac:dyDescent="0.25">
      <c r="A14" s="261" t="s">
        <v>12</v>
      </c>
      <c r="B14" s="12" t="s">
        <v>13</v>
      </c>
      <c r="C14" s="33">
        <v>1642</v>
      </c>
      <c r="D14" s="34">
        <v>1642</v>
      </c>
      <c r="E14" s="34">
        <v>1642</v>
      </c>
      <c r="F14" s="34">
        <v>1642</v>
      </c>
      <c r="G14" s="3510">
        <v>1642</v>
      </c>
      <c r="H14" s="33">
        <v>1406</v>
      </c>
      <c r="I14" s="34">
        <v>1406</v>
      </c>
      <c r="J14" s="34">
        <v>1406</v>
      </c>
      <c r="K14" s="34">
        <v>1406</v>
      </c>
      <c r="L14" s="2793">
        <v>1406</v>
      </c>
      <c r="M14" s="33">
        <v>1642</v>
      </c>
      <c r="N14" s="34">
        <v>1642</v>
      </c>
      <c r="O14" s="34">
        <v>1642</v>
      </c>
      <c r="P14" s="34">
        <v>1642</v>
      </c>
      <c r="Q14" s="1748">
        <v>1642</v>
      </c>
      <c r="R14" s="21">
        <v>693.61</v>
      </c>
      <c r="S14" s="98">
        <v>696.61</v>
      </c>
      <c r="T14" s="98">
        <v>698.48</v>
      </c>
      <c r="U14" s="34">
        <v>699.26</v>
      </c>
      <c r="V14" s="1739">
        <f>U14</f>
        <v>699.26</v>
      </c>
      <c r="W14" s="77"/>
      <c r="X14" s="34"/>
      <c r="Y14" s="34"/>
      <c r="Z14" s="34"/>
      <c r="AA14" s="34"/>
      <c r="AB14" s="115"/>
      <c r="AC14" s="39"/>
      <c r="AD14" s="34"/>
      <c r="AE14" s="34"/>
      <c r="AF14" s="34"/>
      <c r="AG14" s="1"/>
    </row>
    <row r="15" spans="1:33" ht="30" x14ac:dyDescent="0.25">
      <c r="A15" s="261" t="s">
        <v>14</v>
      </c>
      <c r="B15" s="12" t="s">
        <v>13</v>
      </c>
      <c r="C15" s="33">
        <v>0</v>
      </c>
      <c r="D15" s="34">
        <v>0</v>
      </c>
      <c r="E15" s="34">
        <v>0</v>
      </c>
      <c r="F15" s="34"/>
      <c r="G15" s="3510">
        <f>SUM(C15:F15)</f>
        <v>0</v>
      </c>
      <c r="H15" s="33">
        <v>0</v>
      </c>
      <c r="I15" s="34">
        <v>0</v>
      </c>
      <c r="J15" s="34">
        <v>0</v>
      </c>
      <c r="K15" s="98">
        <v>86.8</v>
      </c>
      <c r="L15" s="2793">
        <f>K15</f>
        <v>86.8</v>
      </c>
      <c r="M15" s="152">
        <v>0</v>
      </c>
      <c r="N15" s="98">
        <v>0</v>
      </c>
      <c r="O15" s="98">
        <v>0</v>
      </c>
      <c r="P15" s="98">
        <v>0</v>
      </c>
      <c r="Q15" s="1748">
        <v>0</v>
      </c>
      <c r="R15" s="152">
        <v>0</v>
      </c>
      <c r="S15" s="98">
        <v>3.63</v>
      </c>
      <c r="T15" s="98">
        <v>2.2200000000000002</v>
      </c>
      <c r="U15" s="98">
        <v>0</v>
      </c>
      <c r="V15" s="1748">
        <f>S15+T15</f>
        <v>5.85</v>
      </c>
      <c r="W15" s="34"/>
      <c r="X15" s="34"/>
      <c r="Y15" s="34"/>
      <c r="Z15" s="34"/>
      <c r="AA15" s="34"/>
      <c r="AB15" s="1"/>
      <c r="AC15" s="31"/>
      <c r="AD15" s="34"/>
      <c r="AE15" s="31"/>
      <c r="AF15" s="31"/>
      <c r="AG15" s="1"/>
    </row>
    <row r="16" spans="1:33" ht="35.25" customHeight="1" x14ac:dyDescent="0.25">
      <c r="A16" s="261" t="s">
        <v>15</v>
      </c>
      <c r="B16" s="12" t="s">
        <v>13</v>
      </c>
      <c r="C16" s="33">
        <v>10.8</v>
      </c>
      <c r="D16" s="34">
        <v>10.8</v>
      </c>
      <c r="E16" s="34">
        <v>10.8</v>
      </c>
      <c r="F16" s="34">
        <v>10.8</v>
      </c>
      <c r="G16" s="3510">
        <f>F16</f>
        <v>10.8</v>
      </c>
      <c r="H16" s="33">
        <v>273.5</v>
      </c>
      <c r="I16" s="34">
        <v>273.5</v>
      </c>
      <c r="J16" s="34">
        <v>273.5</v>
      </c>
      <c r="K16" s="34">
        <v>273.5</v>
      </c>
      <c r="L16" s="2793">
        <f>K16</f>
        <v>273.5</v>
      </c>
      <c r="M16" s="152">
        <v>6</v>
      </c>
      <c r="N16" s="98">
        <v>6</v>
      </c>
      <c r="O16" s="98">
        <v>6</v>
      </c>
      <c r="P16" s="98">
        <v>6</v>
      </c>
      <c r="Q16" s="4346">
        <f>P16</f>
        <v>6</v>
      </c>
      <c r="R16" s="33">
        <v>399.62</v>
      </c>
      <c r="S16" s="3638">
        <v>403.25</v>
      </c>
      <c r="T16" s="34">
        <v>405.47</v>
      </c>
      <c r="U16" s="98">
        <v>405.47</v>
      </c>
      <c r="V16" s="1748">
        <v>405.47</v>
      </c>
      <c r="W16" s="39"/>
      <c r="X16" s="34"/>
      <c r="Y16" s="34"/>
      <c r="Z16" s="34"/>
      <c r="AA16" s="34"/>
      <c r="AB16" s="34"/>
      <c r="AC16" s="1"/>
      <c r="AD16" s="34"/>
      <c r="AE16" s="39"/>
      <c r="AF16" s="39"/>
      <c r="AG16" s="1"/>
    </row>
    <row r="17" spans="1:35" ht="33" customHeight="1" x14ac:dyDescent="0.25">
      <c r="A17" s="261" t="s">
        <v>16</v>
      </c>
      <c r="B17" s="12" t="s">
        <v>13</v>
      </c>
      <c r="C17" s="33">
        <v>0</v>
      </c>
      <c r="D17" s="34">
        <v>0</v>
      </c>
      <c r="E17" s="34">
        <v>0</v>
      </c>
      <c r="F17" s="34">
        <v>0</v>
      </c>
      <c r="G17" s="3510">
        <f>F17</f>
        <v>0</v>
      </c>
      <c r="H17" s="33">
        <v>124</v>
      </c>
      <c r="I17" s="34">
        <v>124</v>
      </c>
      <c r="J17" s="34">
        <v>124</v>
      </c>
      <c r="K17" s="34">
        <v>124</v>
      </c>
      <c r="L17" s="2793">
        <f>K17</f>
        <v>124</v>
      </c>
      <c r="M17" s="181">
        <v>0</v>
      </c>
      <c r="N17" s="150">
        <v>0</v>
      </c>
      <c r="O17" s="150">
        <v>0</v>
      </c>
      <c r="P17" s="150">
        <v>0</v>
      </c>
      <c r="Q17" s="1749"/>
      <c r="R17" s="181">
        <v>0</v>
      </c>
      <c r="S17" s="150">
        <v>0</v>
      </c>
      <c r="T17" s="150">
        <v>0</v>
      </c>
      <c r="U17" s="150">
        <v>0</v>
      </c>
      <c r="V17" s="1749">
        <v>0</v>
      </c>
      <c r="W17" s="1"/>
      <c r="X17" s="34"/>
      <c r="Y17" s="34"/>
      <c r="Z17" s="34"/>
      <c r="AA17" s="34"/>
      <c r="AB17" s="31"/>
      <c r="AC17" s="34"/>
      <c r="AD17" s="34"/>
      <c r="AE17" s="34"/>
      <c r="AF17" s="34"/>
      <c r="AG17" s="1"/>
    </row>
    <row r="18" spans="1:35" x14ac:dyDescent="0.25">
      <c r="A18" s="261" t="s">
        <v>17</v>
      </c>
      <c r="B18" s="12" t="s">
        <v>13</v>
      </c>
      <c r="C18" s="817">
        <f>C14-C16-C17</f>
        <v>1631.2</v>
      </c>
      <c r="D18" s="818">
        <f t="shared" ref="D18:L18" si="0">D14-D16-D17</f>
        <v>1631.2</v>
      </c>
      <c r="E18" s="818">
        <f t="shared" si="0"/>
        <v>1631.2</v>
      </c>
      <c r="F18" s="818">
        <f t="shared" si="0"/>
        <v>1631.2</v>
      </c>
      <c r="G18" s="818">
        <f t="shared" si="0"/>
        <v>1631.2</v>
      </c>
      <c r="H18" s="817">
        <f t="shared" si="0"/>
        <v>1008.5</v>
      </c>
      <c r="I18" s="818">
        <f t="shared" si="0"/>
        <v>1008.5</v>
      </c>
      <c r="J18" s="818">
        <f t="shared" si="0"/>
        <v>1008.5</v>
      </c>
      <c r="K18" s="818">
        <f t="shared" si="0"/>
        <v>1008.5</v>
      </c>
      <c r="L18" s="819">
        <f t="shared" si="0"/>
        <v>1008.5</v>
      </c>
      <c r="M18" s="817">
        <f t="shared" ref="M18:V18" si="1">M14-M16-M17</f>
        <v>1636</v>
      </c>
      <c r="N18" s="818">
        <f t="shared" si="1"/>
        <v>1636</v>
      </c>
      <c r="O18" s="818">
        <f t="shared" si="1"/>
        <v>1636</v>
      </c>
      <c r="P18" s="818">
        <f t="shared" si="1"/>
        <v>1636</v>
      </c>
      <c r="Q18" s="819">
        <f t="shared" si="1"/>
        <v>1636</v>
      </c>
      <c r="R18" s="817">
        <f t="shared" si="1"/>
        <v>293.99</v>
      </c>
      <c r="S18" s="3638">
        <f t="shared" si="1"/>
        <v>293.36</v>
      </c>
      <c r="T18" s="818">
        <f t="shared" si="1"/>
        <v>293.01</v>
      </c>
      <c r="U18" s="818">
        <f t="shared" si="1"/>
        <v>293.78999999999996</v>
      </c>
      <c r="V18" s="819">
        <f t="shared" si="1"/>
        <v>293.78999999999996</v>
      </c>
      <c r="W18" s="34"/>
      <c r="X18" s="34"/>
      <c r="Y18" s="34"/>
      <c r="Z18" s="34"/>
      <c r="AA18" s="34"/>
      <c r="AB18" s="34"/>
      <c r="AC18" s="34"/>
      <c r="AD18" s="34"/>
      <c r="AE18" s="34"/>
      <c r="AF18" s="34"/>
      <c r="AG18" s="1"/>
    </row>
    <row r="19" spans="1:35" s="9" customFormat="1" ht="30" x14ac:dyDescent="0.25">
      <c r="A19" s="261" t="s">
        <v>1103</v>
      </c>
      <c r="B19" s="21" t="s">
        <v>224</v>
      </c>
      <c r="C19" s="3508">
        <v>347879259</v>
      </c>
      <c r="D19" s="410"/>
      <c r="E19" s="410"/>
      <c r="F19" s="410"/>
      <c r="G19" s="410"/>
      <c r="H19" s="4617">
        <v>362374694.31999999</v>
      </c>
      <c r="I19" s="1753"/>
      <c r="J19" s="1750"/>
      <c r="K19" s="874"/>
      <c r="L19" s="391"/>
      <c r="M19" s="3508">
        <v>71536962</v>
      </c>
      <c r="N19" s="410"/>
      <c r="O19" s="410"/>
      <c r="P19" s="410"/>
      <c r="Q19" s="429"/>
      <c r="R19" s="3509" t="s">
        <v>1098</v>
      </c>
      <c r="S19" s="410"/>
      <c r="T19" s="861"/>
      <c r="U19" s="410"/>
      <c r="V19" s="1752"/>
      <c r="W19" s="34"/>
      <c r="X19" s="34"/>
      <c r="Y19" s="34"/>
      <c r="Z19" s="34"/>
      <c r="AA19" s="34"/>
      <c r="AB19" s="34"/>
      <c r="AC19" s="34"/>
      <c r="AD19" s="34"/>
      <c r="AE19" s="34"/>
      <c r="AF19" s="34"/>
      <c r="AG19" s="1"/>
    </row>
    <row r="20" spans="1:35" s="9" customFormat="1" ht="30.75" thickBot="1" x14ac:dyDescent="0.3">
      <c r="A20" s="262" t="s">
        <v>988</v>
      </c>
      <c r="B20" s="21" t="s">
        <v>98</v>
      </c>
      <c r="C20" s="1822">
        <f>IF(ISERROR((C19-C21)/C21),0,((C19-C21)/C21))</f>
        <v>0.38625823765030881</v>
      </c>
      <c r="D20" s="2857"/>
      <c r="E20" s="2857"/>
      <c r="F20" s="2857"/>
      <c r="G20" s="2857">
        <f>C20</f>
        <v>0.38625823765030881</v>
      </c>
      <c r="H20" s="1822">
        <f>IF(ISERROR((H19-H21)/H21),0,((H19-H21)/H21))</f>
        <v>0.21835943639653918</v>
      </c>
      <c r="I20" s="2857">
        <f>(H19-H21)/H21</f>
        <v>0.21835943639653918</v>
      </c>
      <c r="J20" s="2857" t="e">
        <f>(J19-J21)/J21</f>
        <v>#DIV/0!</v>
      </c>
      <c r="K20" s="2857" t="e">
        <f>(K19-K21)/K21</f>
        <v>#DIV/0!</v>
      </c>
      <c r="L20" s="2858" t="e">
        <f>(L19-L21)/L21</f>
        <v>#DIV/0!</v>
      </c>
      <c r="M20" s="1822">
        <f>IF(ISERROR((M19-M21)/M21),0,((M19-M21)/M21))</f>
        <v>-0.35417500622626469</v>
      </c>
      <c r="N20" s="2857">
        <f>(M19-M21)/M21</f>
        <v>-0.35417500622626469</v>
      </c>
      <c r="O20" s="2857"/>
      <c r="P20" s="2857"/>
      <c r="Q20" s="2858">
        <f>M20</f>
        <v>-0.35417500622626469</v>
      </c>
      <c r="R20" s="1822">
        <f>IF(ISERROR((R19-R21)/R21),0,((R19-R21)/R21))</f>
        <v>0</v>
      </c>
      <c r="S20" s="2857"/>
      <c r="T20" s="2857"/>
      <c r="U20" s="2857"/>
      <c r="V20" s="2858">
        <f>R20</f>
        <v>0</v>
      </c>
      <c r="W20" s="34"/>
      <c r="X20" s="34"/>
      <c r="Y20" s="34"/>
      <c r="Z20" s="34"/>
      <c r="AA20" s="34"/>
      <c r="AB20" s="34"/>
      <c r="AC20" s="34"/>
      <c r="AD20" s="34"/>
      <c r="AE20" s="34"/>
      <c r="AF20" s="34"/>
      <c r="AG20" s="1"/>
    </row>
    <row r="21" spans="1:35" ht="30.75" thickBot="1" x14ac:dyDescent="0.3">
      <c r="A21" s="1816" t="s">
        <v>1104</v>
      </c>
      <c r="B21" s="1817" t="s">
        <v>224</v>
      </c>
      <c r="C21" s="3081">
        <v>250948380</v>
      </c>
      <c r="D21" s="1818"/>
      <c r="E21" s="1818"/>
      <c r="F21" s="1818"/>
      <c r="G21" s="2543"/>
      <c r="H21" s="3082">
        <v>297428397.14999998</v>
      </c>
      <c r="I21" s="1818"/>
      <c r="J21" s="1818"/>
      <c r="K21" s="1818"/>
      <c r="L21" s="1819"/>
      <c r="M21" s="3065">
        <v>110768339.23999999</v>
      </c>
      <c r="N21" s="1818"/>
      <c r="O21" s="1818"/>
      <c r="P21" s="1818"/>
      <c r="Q21" s="3066"/>
      <c r="R21" s="4769"/>
      <c r="S21" s="3067"/>
      <c r="T21" s="3067"/>
      <c r="U21" s="3067"/>
      <c r="V21" s="3068"/>
      <c r="W21" s="1"/>
      <c r="X21" s="1"/>
      <c r="Y21" s="1"/>
      <c r="Z21" s="1"/>
      <c r="AA21" s="1"/>
      <c r="AB21" s="1"/>
      <c r="AC21" s="1"/>
      <c r="AD21" s="1"/>
      <c r="AE21" s="1"/>
      <c r="AF21" s="1"/>
    </row>
    <row r="22" spans="1:35" s="9" customFormat="1" ht="30.75" thickBot="1" x14ac:dyDescent="0.3">
      <c r="A22" s="3072" t="s">
        <v>1105</v>
      </c>
      <c r="B22" s="3075"/>
      <c r="C22" s="3079">
        <v>376251205.69999999</v>
      </c>
      <c r="D22" s="1818"/>
      <c r="E22" s="1818"/>
      <c r="F22" s="1818"/>
      <c r="G22" s="3066"/>
      <c r="H22" s="3080">
        <v>252156775.78999999</v>
      </c>
      <c r="I22" s="1818"/>
      <c r="J22" s="1818"/>
      <c r="K22" s="1818"/>
      <c r="L22" s="1819"/>
      <c r="M22" s="3065">
        <v>164752351.72</v>
      </c>
      <c r="N22" s="1818"/>
      <c r="O22" s="1818"/>
      <c r="P22" s="1818"/>
      <c r="Q22" s="2543"/>
      <c r="R22" s="1817"/>
      <c r="S22" s="1818"/>
      <c r="T22" s="1818"/>
      <c r="U22" s="1818"/>
      <c r="V22" s="2544"/>
      <c r="W22" s="1"/>
      <c r="X22" s="1"/>
      <c r="Y22" s="1"/>
      <c r="Z22" s="1"/>
      <c r="AA22" s="1"/>
      <c r="AB22" s="1"/>
      <c r="AC22" s="1"/>
      <c r="AD22" s="1"/>
      <c r="AE22" s="1"/>
      <c r="AF22" s="1"/>
    </row>
    <row r="23" spans="1:35" s="9" customFormat="1" ht="30.75" thickBot="1" x14ac:dyDescent="0.3">
      <c r="A23" s="3069" t="s">
        <v>1106</v>
      </c>
      <c r="B23" s="3073"/>
      <c r="C23" s="3076">
        <v>243459145.72</v>
      </c>
      <c r="D23" s="1818"/>
      <c r="E23" s="1818"/>
      <c r="F23" s="1818"/>
      <c r="G23" s="3066"/>
      <c r="H23" s="3077">
        <v>314050646.49000001</v>
      </c>
      <c r="I23" s="1818"/>
      <c r="J23" s="1818"/>
      <c r="K23" s="1818"/>
      <c r="L23" s="3074"/>
      <c r="M23" s="3078">
        <v>106100541.51000001</v>
      </c>
      <c r="N23" s="1818"/>
      <c r="O23" s="1818"/>
      <c r="P23" s="1818"/>
      <c r="Q23" s="3066"/>
      <c r="R23" s="4770"/>
      <c r="S23" s="3070"/>
      <c r="T23" s="3070"/>
      <c r="U23" s="3070"/>
      <c r="V23" s="3071"/>
      <c r="W23" s="1"/>
      <c r="X23" s="1"/>
      <c r="Y23" s="1"/>
      <c r="Z23" s="1"/>
      <c r="AA23" s="1"/>
      <c r="AB23" s="1"/>
      <c r="AC23" s="1"/>
      <c r="AD23" s="1"/>
      <c r="AE23" s="1"/>
      <c r="AF23" s="1"/>
    </row>
    <row r="24" spans="1:35" s="9" customFormat="1" ht="30" x14ac:dyDescent="0.25">
      <c r="A24" s="96" t="s">
        <v>988</v>
      </c>
      <c r="C24" s="1898">
        <f>(C23-C21)/C23</f>
        <v>-3.0761770143617018E-2</v>
      </c>
      <c r="H24" s="1898">
        <v>0.17452054979847084</v>
      </c>
      <c r="M24" s="3388"/>
      <c r="N24" s="3393">
        <f>(M23-M21)/M23</f>
        <v>-4.3994099026912585E-2</v>
      </c>
      <c r="O24" s="3388"/>
      <c r="P24" s="3388"/>
      <c r="Q24" s="3388"/>
      <c r="X24" s="1"/>
    </row>
    <row r="25" spans="1:35" s="9" customFormat="1" ht="15.75" thickBot="1" x14ac:dyDescent="0.3">
      <c r="C25" s="1898"/>
      <c r="H25" s="1898"/>
      <c r="M25" s="3388"/>
      <c r="N25" s="3388"/>
      <c r="O25" s="3388"/>
      <c r="P25" s="3388"/>
      <c r="Q25" s="3388"/>
      <c r="X25" s="1"/>
    </row>
    <row r="26" spans="1:35" ht="15.75" thickBot="1" x14ac:dyDescent="0.3">
      <c r="A26" s="9"/>
      <c r="B26" s="9"/>
      <c r="C26" s="4978" t="s">
        <v>91</v>
      </c>
      <c r="D26" s="4979"/>
      <c r="E26" s="4979"/>
      <c r="F26" s="4979"/>
      <c r="G26" s="4980"/>
      <c r="H26" s="1898">
        <f>(H23-259242355)/H23</f>
        <v>0.17452054979847084</v>
      </c>
      <c r="I26" s="1898">
        <f>(H23-H21)/H23</f>
        <v>5.2928562719992106E-2</v>
      </c>
      <c r="M26" s="39"/>
      <c r="N26" s="39"/>
      <c r="O26" s="39"/>
      <c r="P26" s="39"/>
      <c r="Q26" s="39"/>
      <c r="X26" s="1"/>
    </row>
    <row r="27" spans="1:35" ht="37.5" thickBot="1" x14ac:dyDescent="0.3">
      <c r="A27" s="17" t="s">
        <v>0</v>
      </c>
      <c r="B27" s="149" t="s">
        <v>1</v>
      </c>
      <c r="C27" s="41" t="s">
        <v>3</v>
      </c>
      <c r="D27" s="42" t="s">
        <v>4</v>
      </c>
      <c r="E27" s="42" t="s">
        <v>5</v>
      </c>
      <c r="F27" s="265" t="s">
        <v>6</v>
      </c>
      <c r="G27" s="43" t="s">
        <v>7</v>
      </c>
      <c r="H27" s="1898">
        <f>(H23-H21)/H23</f>
        <v>5.2928562719992106E-2</v>
      </c>
      <c r="I27" s="1"/>
      <c r="K27" s="1"/>
      <c r="L27" s="1"/>
      <c r="M27" s="34"/>
      <c r="N27" s="889"/>
      <c r="O27" s="901" t="s">
        <v>344</v>
      </c>
      <c r="P27" s="890" t="s">
        <v>338</v>
      </c>
      <c r="Q27" s="890" t="s">
        <v>339</v>
      </c>
      <c r="R27" s="901" t="s">
        <v>343</v>
      </c>
      <c r="S27" s="1807" t="s">
        <v>1100</v>
      </c>
      <c r="T27" s="1812" t="s">
        <v>693</v>
      </c>
      <c r="U27" s="3058" t="s">
        <v>1101</v>
      </c>
      <c r="V27" s="1807" t="s">
        <v>1102</v>
      </c>
      <c r="X27" s="217"/>
      <c r="AI27" s="97"/>
    </row>
    <row r="28" spans="1:35" x14ac:dyDescent="0.25">
      <c r="A28" s="10" t="s">
        <v>78</v>
      </c>
      <c r="B28" s="1" t="s">
        <v>13</v>
      </c>
      <c r="C28" s="1740">
        <f t="shared" ref="C28:C41" si="2">R5+C5+H5+M5</f>
        <v>0</v>
      </c>
      <c r="D28" s="1741">
        <f t="shared" ref="D28:D41" si="3">S5+D5+I5+N5</f>
        <v>0</v>
      </c>
      <c r="E28" s="1741">
        <f t="shared" ref="E28:E41" si="4">T5+E5+J5+O5</f>
        <v>0</v>
      </c>
      <c r="F28" s="1741">
        <f t="shared" ref="F28:F41" si="5">U5+F5+K5+P5</f>
        <v>146</v>
      </c>
      <c r="G28" s="1742">
        <f>G5+L5+Q5+V5</f>
        <v>305</v>
      </c>
      <c r="H28" s="1"/>
      <c r="I28" s="34"/>
      <c r="J28" s="34"/>
      <c r="K28" s="34"/>
      <c r="L28" s="1"/>
      <c r="M28" s="94"/>
      <c r="N28" s="892" t="s">
        <v>101</v>
      </c>
      <c r="O28" s="393">
        <v>112247735.45999999</v>
      </c>
      <c r="P28" s="893">
        <v>110254792.72</v>
      </c>
      <c r="Q28" s="1802">
        <v>114124346.86</v>
      </c>
      <c r="R28" s="894">
        <f t="shared" ref="R28:R34" si="6">(Q28-P28)/P28</f>
        <v>3.5096471042551522E-2</v>
      </c>
      <c r="S28" s="1808">
        <v>106100541.51000001</v>
      </c>
      <c r="T28" s="894">
        <f t="shared" ref="T28:T34" si="7">(S28-Q28)/Q28</f>
        <v>-7.0307568636892651E-2</v>
      </c>
      <c r="U28" s="893">
        <v>110768339.23999999</v>
      </c>
      <c r="V28" s="3061">
        <f>(U28-S28)/S28</f>
        <v>4.3994099026912585E-2</v>
      </c>
      <c r="X28" s="1"/>
    </row>
    <row r="29" spans="1:35" x14ac:dyDescent="0.25">
      <c r="A29" s="12" t="s">
        <v>79</v>
      </c>
      <c r="B29" s="1" t="s">
        <v>13</v>
      </c>
      <c r="C29" s="1743">
        <f t="shared" si="2"/>
        <v>0</v>
      </c>
      <c r="D29" s="1744">
        <f t="shared" si="3"/>
        <v>0</v>
      </c>
      <c r="E29" s="1744">
        <f t="shared" si="4"/>
        <v>0</v>
      </c>
      <c r="F29" s="1744">
        <f t="shared" si="5"/>
        <v>56.94</v>
      </c>
      <c r="G29" s="1745">
        <f>V6+G6+L6+Q6</f>
        <v>62.339999999999996</v>
      </c>
      <c r="H29" s="1"/>
      <c r="I29" s="1"/>
      <c r="J29" s="34"/>
      <c r="K29" s="34"/>
      <c r="M29" s="94"/>
      <c r="N29" s="895" t="s">
        <v>341</v>
      </c>
      <c r="O29" s="908">
        <v>113662526</v>
      </c>
      <c r="P29" s="896">
        <v>114032686.06</v>
      </c>
      <c r="Q29" s="1803">
        <v>113095285.97</v>
      </c>
      <c r="R29" s="1805">
        <f t="shared" si="6"/>
        <v>-8.2204508407946863E-3</v>
      </c>
      <c r="S29" s="1809">
        <v>105039804.79000001</v>
      </c>
      <c r="T29" s="1805">
        <f t="shared" si="7"/>
        <v>-7.1227382387421642E-2</v>
      </c>
      <c r="U29" s="3060"/>
      <c r="V29" s="3062"/>
    </row>
    <row r="30" spans="1:35" x14ac:dyDescent="0.25">
      <c r="A30" s="12" t="s">
        <v>80</v>
      </c>
      <c r="B30" s="1" t="s">
        <v>13</v>
      </c>
      <c r="C30" s="1743">
        <f t="shared" si="2"/>
        <v>0</v>
      </c>
      <c r="D30" s="1744">
        <f t="shared" si="3"/>
        <v>0</v>
      </c>
      <c r="E30" s="1744">
        <f t="shared" si="4"/>
        <v>0</v>
      </c>
      <c r="F30" s="1744">
        <f t="shared" si="5"/>
        <v>56.98</v>
      </c>
      <c r="G30" s="1745">
        <f t="shared" ref="G30:G41" si="8">V7+G7+L7+Q7</f>
        <v>97.47999999999999</v>
      </c>
      <c r="H30" s="1"/>
      <c r="I30" s="1"/>
      <c r="J30" s="34"/>
      <c r="K30" s="34"/>
      <c r="M30" s="94"/>
      <c r="N30" s="895" t="s">
        <v>340</v>
      </c>
      <c r="O30" s="321"/>
      <c r="P30" s="896">
        <v>25940136.010000002</v>
      </c>
      <c r="Q30" s="1803">
        <v>26138532.800000001</v>
      </c>
      <c r="R30" s="1805">
        <f t="shared" si="6"/>
        <v>7.6482555805997519E-3</v>
      </c>
      <c r="S30" s="1809">
        <v>24207568.77</v>
      </c>
      <c r="T30" s="1805">
        <f t="shared" si="7"/>
        <v>-7.387423176254182E-2</v>
      </c>
      <c r="U30" s="3060"/>
      <c r="V30" s="3062"/>
    </row>
    <row r="31" spans="1:35" x14ac:dyDescent="0.25">
      <c r="A31" s="12" t="s">
        <v>81</v>
      </c>
      <c r="B31" s="1" t="s">
        <v>13</v>
      </c>
      <c r="C31" s="1743">
        <f t="shared" si="2"/>
        <v>0</v>
      </c>
      <c r="D31" s="1744">
        <f t="shared" si="3"/>
        <v>0</v>
      </c>
      <c r="E31" s="1744">
        <f t="shared" si="4"/>
        <v>0</v>
      </c>
      <c r="F31" s="1744">
        <f t="shared" si="5"/>
        <v>22.33</v>
      </c>
      <c r="G31" s="1745">
        <f>V8+G8+L8+Q8</f>
        <v>255.07999999999998</v>
      </c>
      <c r="H31" s="1"/>
      <c r="I31" s="1"/>
      <c r="J31" s="34"/>
      <c r="K31" s="34"/>
      <c r="M31" s="34"/>
      <c r="N31" s="895" t="s">
        <v>99</v>
      </c>
      <c r="O31" s="393">
        <v>262423391.44</v>
      </c>
      <c r="P31" s="896">
        <v>261604429.47</v>
      </c>
      <c r="Q31" s="1803">
        <v>261942719.80000001</v>
      </c>
      <c r="R31" s="1805">
        <f t="shared" si="6"/>
        <v>1.293136858138739E-3</v>
      </c>
      <c r="S31" s="2186">
        <v>243459145.72</v>
      </c>
      <c r="T31" s="1805">
        <f t="shared" si="7"/>
        <v>-7.0563419720588896E-2</v>
      </c>
      <c r="U31" s="896">
        <v>250948380</v>
      </c>
      <c r="V31" s="3063">
        <f>(U31-S31)/S31</f>
        <v>3.0761770143617018E-2</v>
      </c>
    </row>
    <row r="32" spans="1:35" ht="20.25" customHeight="1" x14ac:dyDescent="0.25">
      <c r="A32" s="12" t="s">
        <v>82</v>
      </c>
      <c r="B32" s="1" t="s">
        <v>13</v>
      </c>
      <c r="C32" s="1743">
        <f t="shared" si="2"/>
        <v>0</v>
      </c>
      <c r="D32" s="1744">
        <f t="shared" si="3"/>
        <v>0</v>
      </c>
      <c r="E32" s="1744">
        <f t="shared" si="4"/>
        <v>0</v>
      </c>
      <c r="F32" s="1744">
        <f t="shared" si="5"/>
        <v>415.5</v>
      </c>
      <c r="G32" s="1745">
        <f>V9+G9+L9+Q9</f>
        <v>1220.8699999999999</v>
      </c>
      <c r="H32" s="1"/>
      <c r="I32" s="1"/>
      <c r="J32" s="1"/>
      <c r="K32" s="98"/>
      <c r="M32" s="34"/>
      <c r="N32" s="895" t="s">
        <v>100</v>
      </c>
      <c r="O32" s="393">
        <v>319076067.55000001</v>
      </c>
      <c r="P32" s="896">
        <v>362587146.17000002</v>
      </c>
      <c r="Q32" s="1803">
        <f>P32</f>
        <v>362587146.17000002</v>
      </c>
      <c r="R32" s="1805">
        <f t="shared" si="6"/>
        <v>0</v>
      </c>
      <c r="S32" s="1809">
        <v>314050646.49000001</v>
      </c>
      <c r="T32" s="1805">
        <f t="shared" si="7"/>
        <v>-0.13386161145724546</v>
      </c>
      <c r="U32" s="3059">
        <v>297428397.14999998</v>
      </c>
      <c r="V32" s="3063">
        <f>(U32-S32)/S32</f>
        <v>-5.2928562719992106E-2</v>
      </c>
    </row>
    <row r="33" spans="1:23" ht="15.75" thickBot="1" x14ac:dyDescent="0.3">
      <c r="A33" s="12" t="s">
        <v>83</v>
      </c>
      <c r="B33" s="1" t="s">
        <v>13</v>
      </c>
      <c r="C33" s="1743">
        <f t="shared" si="2"/>
        <v>0</v>
      </c>
      <c r="D33" s="1744">
        <f t="shared" si="3"/>
        <v>0</v>
      </c>
      <c r="E33" s="1744">
        <f t="shared" si="4"/>
        <v>0</v>
      </c>
      <c r="F33" s="1744">
        <f t="shared" si="5"/>
        <v>211.3</v>
      </c>
      <c r="G33" s="1745">
        <f t="shared" si="8"/>
        <v>563.03560000000004</v>
      </c>
      <c r="H33" s="1"/>
      <c r="I33" s="1"/>
      <c r="J33" s="73"/>
      <c r="K33" s="73"/>
      <c r="M33" s="94"/>
      <c r="N33" s="895" t="s">
        <v>154</v>
      </c>
      <c r="O33" s="393">
        <v>213580845.72</v>
      </c>
      <c r="P33" s="896">
        <v>214182452.25999999</v>
      </c>
      <c r="Q33" s="1804">
        <v>214723562.47</v>
      </c>
      <c r="R33" s="1806">
        <f t="shared" si="6"/>
        <v>2.5263984247558468E-3</v>
      </c>
      <c r="S33" s="1810">
        <v>204055067.84</v>
      </c>
      <c r="T33" s="1806">
        <f t="shared" si="7"/>
        <v>-4.9684787767483779E-2</v>
      </c>
      <c r="U33" s="3060"/>
      <c r="V33" s="3062"/>
    </row>
    <row r="34" spans="1:23" ht="15.75" thickBot="1" x14ac:dyDescent="0.3">
      <c r="A34" s="12" t="s">
        <v>84</v>
      </c>
      <c r="B34" s="1" t="s">
        <v>13</v>
      </c>
      <c r="C34" s="1743">
        <f t="shared" si="2"/>
        <v>0</v>
      </c>
      <c r="D34" s="1744">
        <f t="shared" si="3"/>
        <v>0</v>
      </c>
      <c r="E34" s="1744">
        <f t="shared" si="4"/>
        <v>0</v>
      </c>
      <c r="F34" s="1744">
        <f t="shared" si="5"/>
        <v>13</v>
      </c>
      <c r="G34" s="1745">
        <f t="shared" si="8"/>
        <v>134.30000000000001</v>
      </c>
      <c r="H34" s="1"/>
      <c r="I34" s="1"/>
      <c r="M34" s="94"/>
      <c r="N34" s="897" t="s">
        <v>342</v>
      </c>
      <c r="O34" s="902"/>
      <c r="P34" s="900">
        <v>1088601642.6900001</v>
      </c>
      <c r="Q34" s="898">
        <f>SUM(Q28:Q33)</f>
        <v>1092611594.0699999</v>
      </c>
      <c r="R34" s="899">
        <f t="shared" si="6"/>
        <v>3.6835801295421943E-3</v>
      </c>
      <c r="S34" s="1811">
        <v>996912775.12</v>
      </c>
      <c r="T34" s="899">
        <f t="shared" si="7"/>
        <v>-8.7587226302001719E-2</v>
      </c>
      <c r="U34" s="3064">
        <f>U28+U31+U32</f>
        <v>659145116.38999999</v>
      </c>
      <c r="V34" s="902"/>
    </row>
    <row r="35" spans="1:23" s="9" customFormat="1" x14ac:dyDescent="0.25">
      <c r="A35" s="12" t="s">
        <v>569</v>
      </c>
      <c r="B35" s="39" t="s">
        <v>13</v>
      </c>
      <c r="C35" s="1743">
        <f t="shared" si="2"/>
        <v>0</v>
      </c>
      <c r="D35" s="1744">
        <f t="shared" si="3"/>
        <v>0</v>
      </c>
      <c r="E35" s="1744">
        <f t="shared" si="4"/>
        <v>0</v>
      </c>
      <c r="F35" s="1744">
        <f t="shared" si="5"/>
        <v>2.7</v>
      </c>
      <c r="G35" s="1745">
        <f t="shared" si="8"/>
        <v>14.45</v>
      </c>
      <c r="H35" s="1"/>
      <c r="I35" s="1"/>
      <c r="M35" s="94"/>
      <c r="N35" s="874"/>
      <c r="O35" s="299"/>
      <c r="P35" s="874"/>
      <c r="Q35" s="1434"/>
      <c r="R35" s="1435"/>
    </row>
    <row r="36" spans="1:23" x14ac:dyDescent="0.25">
      <c r="A36" s="12" t="s">
        <v>85</v>
      </c>
      <c r="B36" s="1" t="s">
        <v>13</v>
      </c>
      <c r="C36" s="1743">
        <f t="shared" si="2"/>
        <v>0</v>
      </c>
      <c r="D36" s="1744">
        <f t="shared" si="3"/>
        <v>0</v>
      </c>
      <c r="E36" s="1744">
        <f t="shared" si="4"/>
        <v>0</v>
      </c>
      <c r="F36" s="1744">
        <f t="shared" si="5"/>
        <v>46.8</v>
      </c>
      <c r="G36" s="1745">
        <f t="shared" si="8"/>
        <v>237.18</v>
      </c>
      <c r="H36" s="1"/>
      <c r="M36" s="34"/>
      <c r="N36" s="34"/>
      <c r="O36" s="34"/>
      <c r="P36" s="34"/>
      <c r="Q36" s="34"/>
    </row>
    <row r="37" spans="1:23" ht="15.75" thickBot="1" x14ac:dyDescent="0.3">
      <c r="A37" s="20" t="s">
        <v>12</v>
      </c>
      <c r="B37" s="1" t="s">
        <v>13</v>
      </c>
      <c r="C37" s="29">
        <f t="shared" si="2"/>
        <v>5383.6100000000006</v>
      </c>
      <c r="D37" s="31">
        <f>S14+D14+I14+N14</f>
        <v>5386.6100000000006</v>
      </c>
      <c r="E37" s="31">
        <f t="shared" si="4"/>
        <v>5388.48</v>
      </c>
      <c r="F37" s="31">
        <f t="shared" si="5"/>
        <v>5389.26</v>
      </c>
      <c r="G37" s="30">
        <f t="shared" si="8"/>
        <v>5389.26</v>
      </c>
      <c r="H37" s="1"/>
      <c r="L37">
        <v>15.548</v>
      </c>
      <c r="M37" s="98" t="s">
        <v>967</v>
      </c>
      <c r="N37" s="98"/>
      <c r="O37" s="98"/>
      <c r="P37" s="98" t="s">
        <v>967</v>
      </c>
      <c r="Q37" s="98"/>
    </row>
    <row r="38" spans="1:23" ht="54.75" customHeight="1" thickBot="1" x14ac:dyDescent="0.3">
      <c r="A38" s="20" t="s">
        <v>14</v>
      </c>
      <c r="B38" s="1" t="s">
        <v>13</v>
      </c>
      <c r="C38" s="29">
        <f t="shared" si="2"/>
        <v>0</v>
      </c>
      <c r="D38" s="31">
        <f t="shared" si="3"/>
        <v>3.63</v>
      </c>
      <c r="E38" s="31">
        <f t="shared" si="4"/>
        <v>2.2200000000000002</v>
      </c>
      <c r="F38" s="31">
        <f t="shared" si="5"/>
        <v>86.8</v>
      </c>
      <c r="G38" s="30">
        <f t="shared" si="8"/>
        <v>92.649999999999991</v>
      </c>
      <c r="H38" s="1"/>
      <c r="L38" s="4538" t="s">
        <v>1432</v>
      </c>
      <c r="M38" s="3053" t="s">
        <v>1082</v>
      </c>
      <c r="N38" s="3053" t="s">
        <v>1083</v>
      </c>
      <c r="O38" s="3053" t="s">
        <v>1084</v>
      </c>
      <c r="P38" s="4535" t="s">
        <v>1085</v>
      </c>
      <c r="Q38" s="3053" t="s">
        <v>1086</v>
      </c>
      <c r="R38" s="3053" t="s">
        <v>1087</v>
      </c>
      <c r="S38" s="3053" t="s">
        <v>1088</v>
      </c>
      <c r="T38" s="3053" t="s">
        <v>1089</v>
      </c>
      <c r="U38" s="3053" t="s">
        <v>1090</v>
      </c>
      <c r="V38" s="3397" t="s">
        <v>1231</v>
      </c>
      <c r="W38" s="4615" t="s">
        <v>1453</v>
      </c>
    </row>
    <row r="39" spans="1:23" ht="60.75" thickBot="1" x14ac:dyDescent="0.3">
      <c r="A39" s="20" t="s">
        <v>15</v>
      </c>
      <c r="B39" s="1" t="s">
        <v>13</v>
      </c>
      <c r="C39" s="29">
        <f t="shared" si="2"/>
        <v>689.92000000000007</v>
      </c>
      <c r="D39" s="31">
        <f t="shared" si="3"/>
        <v>693.55</v>
      </c>
      <c r="E39" s="31">
        <f t="shared" si="4"/>
        <v>695.77</v>
      </c>
      <c r="F39" s="31">
        <f t="shared" si="5"/>
        <v>695.77</v>
      </c>
      <c r="G39" s="30">
        <f t="shared" si="8"/>
        <v>695.77</v>
      </c>
      <c r="H39" s="1"/>
      <c r="L39" s="4539">
        <f>P39/15.548</f>
        <v>7124282.173913043</v>
      </c>
      <c r="M39" s="3056" t="s">
        <v>1091</v>
      </c>
      <c r="N39" s="3054">
        <v>71536962</v>
      </c>
      <c r="O39" s="3052">
        <v>106100541.51000001</v>
      </c>
      <c r="P39" s="4536">
        <v>110768339.23999999</v>
      </c>
      <c r="Q39" s="3052">
        <v>164752351.72</v>
      </c>
      <c r="R39" s="3055">
        <v>-39231377.240000002</v>
      </c>
      <c r="S39" s="3055">
        <v>-93215389.719999999</v>
      </c>
      <c r="T39" s="3056" t="s">
        <v>1092</v>
      </c>
      <c r="U39" s="3398" t="s">
        <v>1093</v>
      </c>
      <c r="V39" s="3401">
        <f>(P39-O39)/O39</f>
        <v>4.3994099026912585E-2</v>
      </c>
      <c r="W39" s="1898">
        <v>-4.2099999999999999E-2</v>
      </c>
    </row>
    <row r="40" spans="1:23" ht="84.75" thickBot="1" x14ac:dyDescent="0.3">
      <c r="A40" s="20" t="s">
        <v>16</v>
      </c>
      <c r="B40" s="1" t="s">
        <v>13</v>
      </c>
      <c r="C40" s="29">
        <f t="shared" si="2"/>
        <v>124</v>
      </c>
      <c r="D40" s="31">
        <f t="shared" si="3"/>
        <v>124</v>
      </c>
      <c r="E40" s="31">
        <f t="shared" si="4"/>
        <v>124</v>
      </c>
      <c r="F40" s="31">
        <f t="shared" si="5"/>
        <v>124</v>
      </c>
      <c r="G40" s="30">
        <f t="shared" si="8"/>
        <v>124</v>
      </c>
      <c r="H40" s="1"/>
      <c r="L40" s="4539">
        <f>P40/L37</f>
        <v>16140235.400051454</v>
      </c>
      <c r="M40" s="3056" t="s">
        <v>528</v>
      </c>
      <c r="N40" s="3054">
        <v>347879259</v>
      </c>
      <c r="O40" s="3052">
        <v>243459145.72</v>
      </c>
      <c r="P40" s="4536">
        <v>250948380</v>
      </c>
      <c r="Q40" s="3052">
        <v>376251205.69999999</v>
      </c>
      <c r="R40" s="3052">
        <v>96930879</v>
      </c>
      <c r="S40" s="3055">
        <v>-28371946.699999999</v>
      </c>
      <c r="T40" s="3056" t="s">
        <v>1094</v>
      </c>
      <c r="U40" s="3398" t="s">
        <v>1095</v>
      </c>
      <c r="V40" s="3401">
        <f>(P40-O40)/O40</f>
        <v>3.0761770143617018E-2</v>
      </c>
      <c r="W40" s="1898">
        <v>-2.98E-2</v>
      </c>
    </row>
    <row r="41" spans="1:23" ht="108.75" thickBot="1" x14ac:dyDescent="0.3">
      <c r="A41" s="259" t="s">
        <v>17</v>
      </c>
      <c r="B41" s="1" t="s">
        <v>13</v>
      </c>
      <c r="C41" s="29">
        <f t="shared" si="2"/>
        <v>4569.6900000000005</v>
      </c>
      <c r="D41" s="31">
        <f t="shared" si="3"/>
        <v>4569.0599999999995</v>
      </c>
      <c r="E41" s="31">
        <f t="shared" si="4"/>
        <v>4568.71</v>
      </c>
      <c r="F41" s="31">
        <f t="shared" si="5"/>
        <v>4569.49</v>
      </c>
      <c r="G41" s="30">
        <f t="shared" si="8"/>
        <v>4569.49</v>
      </c>
      <c r="H41" s="1"/>
      <c r="L41" s="4539">
        <f>P41/L37</f>
        <v>19129688.522639565</v>
      </c>
      <c r="M41" s="3056" t="s">
        <v>524</v>
      </c>
      <c r="N41" s="3057">
        <v>362374694.31999999</v>
      </c>
      <c r="O41" s="3052">
        <v>314050646.49000001</v>
      </c>
      <c r="P41" s="4536">
        <v>297428397.14999998</v>
      </c>
      <c r="Q41" s="3052">
        <v>252156775.78999999</v>
      </c>
      <c r="R41" s="3052">
        <v>64946297.170000002</v>
      </c>
      <c r="S41" s="3052">
        <v>110217918.53</v>
      </c>
      <c r="T41" s="3056" t="s">
        <v>1096</v>
      </c>
      <c r="U41" s="3398" t="s">
        <v>1097</v>
      </c>
      <c r="V41" s="3401">
        <f>(P41-O41)/O41</f>
        <v>-5.2928562719992106E-2</v>
      </c>
      <c r="W41" s="1898">
        <v>5.5899999999999998E-2</v>
      </c>
    </row>
    <row r="42" spans="1:23" s="9" customFormat="1" ht="30.75" thickBot="1" x14ac:dyDescent="0.3">
      <c r="A42" s="259" t="s">
        <v>302</v>
      </c>
      <c r="B42" s="1" t="s">
        <v>224</v>
      </c>
      <c r="D42" s="448">
        <f>D19+I19+N19</f>
        <v>0</v>
      </c>
      <c r="E42" s="448">
        <f>E19+J19+O19</f>
        <v>0</v>
      </c>
      <c r="F42" s="448">
        <f>F19+K19+P19</f>
        <v>0</v>
      </c>
      <c r="G42" s="885">
        <f>G19+L19+Q19</f>
        <v>0</v>
      </c>
      <c r="H42" s="1"/>
      <c r="I42" s="73"/>
      <c r="L42" s="4539"/>
      <c r="M42" s="3479" t="s">
        <v>527</v>
      </c>
      <c r="N42" s="3479" t="s">
        <v>1098</v>
      </c>
      <c r="O42" s="3056"/>
      <c r="P42" s="4537"/>
      <c r="Q42" s="3056"/>
      <c r="R42" s="3056"/>
      <c r="S42" s="3056"/>
      <c r="T42" s="3056" t="s">
        <v>1099</v>
      </c>
      <c r="U42" s="3399"/>
      <c r="V42" s="3400" t="e">
        <f>(P42-O42)/O42</f>
        <v>#DIV/0!</v>
      </c>
    </row>
    <row r="43" spans="1:23" s="9" customFormat="1" ht="30" x14ac:dyDescent="0.25">
      <c r="A43" s="259" t="s">
        <v>304</v>
      </c>
      <c r="B43" s="39" t="s">
        <v>303</v>
      </c>
      <c r="C43" s="884" t="str">
        <f>R19</f>
        <v xml:space="preserve">$        5 060 792.00 </v>
      </c>
      <c r="D43" s="448"/>
      <c r="E43" s="448"/>
      <c r="F43" s="448"/>
      <c r="G43" s="885"/>
      <c r="H43" s="1"/>
      <c r="L43" s="4339">
        <f>SUM(L39:L41)</f>
        <v>42394206.096604064</v>
      </c>
      <c r="M43" s="125" t="s">
        <v>1251</v>
      </c>
      <c r="N43" s="125">
        <f>N39+N40+N41</f>
        <v>781790915.31999993</v>
      </c>
      <c r="O43" s="445"/>
      <c r="P43" s="445"/>
      <c r="Q43" s="3478"/>
      <c r="R43" s="445"/>
      <c r="S43" s="445"/>
      <c r="T43" s="445"/>
      <c r="U43" s="445"/>
    </row>
    <row r="44" spans="1:23" s="9" customFormat="1" ht="30.75" thickBot="1" x14ac:dyDescent="0.3">
      <c r="A44" s="259" t="s">
        <v>989</v>
      </c>
      <c r="B44" s="1" t="s">
        <v>98</v>
      </c>
      <c r="C44" s="1822">
        <f>IF(ISERROR((C42-C45)/C45),0,((C42-C45)/C45))</f>
        <v>-1</v>
      </c>
      <c r="D44" s="1822">
        <v>0</v>
      </c>
      <c r="E44" s="1822">
        <v>0</v>
      </c>
      <c r="F44" s="1822" t="e">
        <f>(F42-F45)/F45</f>
        <v>#DIV/0!</v>
      </c>
      <c r="G44" s="1822">
        <f>C44</f>
        <v>-1</v>
      </c>
      <c r="H44" s="1"/>
      <c r="M44" s="3480" t="s">
        <v>1252</v>
      </c>
      <c r="N44" s="125">
        <f>N43/15.15</f>
        <v>51603360.747194715</v>
      </c>
    </row>
    <row r="45" spans="1:23" ht="30.75" thickBot="1" x14ac:dyDescent="0.3">
      <c r="A45" s="1820" t="s">
        <v>990</v>
      </c>
      <c r="B45" s="1817" t="s">
        <v>224</v>
      </c>
      <c r="C45" s="2545">
        <f>C21+H21+M21</f>
        <v>659145116.38999999</v>
      </c>
      <c r="D45" s="1818"/>
      <c r="E45" s="1818"/>
      <c r="F45" s="1818"/>
      <c r="G45" s="1821"/>
      <c r="M45" s="3480" t="s">
        <v>1253</v>
      </c>
      <c r="N45" s="125">
        <v>5060792</v>
      </c>
      <c r="O45" s="445"/>
      <c r="P45" s="445"/>
    </row>
    <row r="46" spans="1:23" x14ac:dyDescent="0.25">
      <c r="M46" s="3480" t="s">
        <v>1254</v>
      </c>
      <c r="N46" s="125">
        <f>N44+N45</f>
        <v>56664152.747194715</v>
      </c>
    </row>
    <row r="49" spans="1:18" x14ac:dyDescent="0.25">
      <c r="A49" t="s">
        <v>1390</v>
      </c>
      <c r="H49" s="9"/>
      <c r="I49" s="39"/>
      <c r="J49" s="39"/>
      <c r="K49" s="225"/>
      <c r="L49" s="225"/>
      <c r="M49" s="225"/>
      <c r="N49" s="225"/>
      <c r="O49" s="225"/>
      <c r="P49" s="225"/>
      <c r="Q49" s="225"/>
      <c r="R49" s="225"/>
    </row>
    <row r="50" spans="1:18" x14ac:dyDescent="0.25">
      <c r="A50" s="76" t="s">
        <v>149</v>
      </c>
      <c r="B50" s="76" t="s">
        <v>92</v>
      </c>
      <c r="C50" s="76" t="s">
        <v>93</v>
      </c>
      <c r="D50" s="76" t="s">
        <v>94</v>
      </c>
      <c r="E50" s="76" t="s">
        <v>95</v>
      </c>
      <c r="F50" s="76" t="s">
        <v>119</v>
      </c>
      <c r="H50" s="9"/>
      <c r="I50" s="4553"/>
      <c r="J50" s="4553"/>
      <c r="K50" s="4552"/>
      <c r="L50" s="4552"/>
      <c r="M50" s="4552"/>
      <c r="N50" s="4552"/>
      <c r="O50" s="4552"/>
      <c r="P50" s="4552"/>
      <c r="Q50" s="4552"/>
      <c r="R50" s="4552"/>
    </row>
    <row r="51" spans="1:18" x14ac:dyDescent="0.25">
      <c r="A51" s="117" t="s">
        <v>140</v>
      </c>
      <c r="B51" s="123">
        <f>C39/C37</f>
        <v>0.12815192779566129</v>
      </c>
      <c r="C51" s="123">
        <f>D39/D37</f>
        <v>0.12875444853070853</v>
      </c>
      <c r="D51" s="123">
        <f>E39/E37</f>
        <v>0.12912175604252035</v>
      </c>
      <c r="E51" s="123">
        <f>F39/F37</f>
        <v>0.1291030679536708</v>
      </c>
      <c r="F51" s="123">
        <f>G39/G37</f>
        <v>0.1291030679536708</v>
      </c>
      <c r="H51" s="9"/>
      <c r="I51" s="4554"/>
      <c r="J51" s="4555"/>
      <c r="K51" s="4357"/>
      <c r="L51" s="4357"/>
      <c r="M51" s="4357"/>
      <c r="N51" s="4357"/>
      <c r="O51" s="4357"/>
      <c r="P51" s="4357"/>
      <c r="Q51" s="4357"/>
      <c r="R51" s="4357"/>
    </row>
    <row r="52" spans="1:18" ht="20.25" customHeight="1" x14ac:dyDescent="0.25">
      <c r="A52" s="118" t="s">
        <v>141</v>
      </c>
      <c r="B52" s="123">
        <f>C40/C37</f>
        <v>2.3032871994813887E-2</v>
      </c>
      <c r="C52" s="123">
        <f>D40/D37</f>
        <v>2.3020044146504014E-2</v>
      </c>
      <c r="D52" s="123">
        <f>E40/E37</f>
        <v>2.3012055347704737E-2</v>
      </c>
      <c r="E52" s="123">
        <f>F40/F37</f>
        <v>2.30087247599856E-2</v>
      </c>
      <c r="F52" s="123">
        <f>G40/G37</f>
        <v>2.30087247599856E-2</v>
      </c>
      <c r="H52" s="9"/>
      <c r="I52" s="4554"/>
      <c r="J52" s="4555"/>
      <c r="K52" s="4357"/>
      <c r="L52" s="4357"/>
      <c r="M52" s="4357"/>
      <c r="N52" s="4357"/>
      <c r="O52" s="4357"/>
      <c r="P52" s="4357"/>
      <c r="Q52" s="4357"/>
      <c r="R52" s="904"/>
    </row>
    <row r="53" spans="1:18" x14ac:dyDescent="0.25">
      <c r="A53" s="119" t="s">
        <v>142</v>
      </c>
      <c r="B53" s="123">
        <f>C41/C37</f>
        <v>0.84881520020952483</v>
      </c>
      <c r="C53" s="123">
        <f>D41/D37</f>
        <v>0.84822550732278723</v>
      </c>
      <c r="D53" s="123">
        <f>E41/E37</f>
        <v>0.84786618860977503</v>
      </c>
      <c r="E53" s="123">
        <f>F41/F37</f>
        <v>0.84788820728634351</v>
      </c>
      <c r="F53" s="123">
        <f>G41/G37</f>
        <v>0.84788820728634351</v>
      </c>
      <c r="H53" s="9"/>
      <c r="I53" s="4554"/>
      <c r="J53" s="4555"/>
      <c r="K53" s="4357"/>
      <c r="L53" s="4357"/>
      <c r="M53" s="4357"/>
      <c r="N53" s="4357"/>
      <c r="O53" s="4357"/>
      <c r="P53" s="4357"/>
      <c r="Q53" s="4357"/>
      <c r="R53" s="4357"/>
    </row>
    <row r="54" spans="1:18" x14ac:dyDescent="0.25">
      <c r="H54" s="9"/>
      <c r="I54" s="4554"/>
      <c r="J54" s="4555"/>
      <c r="K54" s="4357"/>
      <c r="L54" s="4357"/>
      <c r="M54" s="4357"/>
      <c r="N54" s="4357"/>
      <c r="O54" s="4357"/>
      <c r="P54" s="4357"/>
      <c r="Q54" s="4357"/>
      <c r="R54" s="4357"/>
    </row>
    <row r="55" spans="1:18" x14ac:dyDescent="0.25">
      <c r="A55" s="1"/>
      <c r="B55" s="1"/>
      <c r="C55" s="1"/>
      <c r="D55" s="1"/>
      <c r="E55" s="1"/>
      <c r="F55" s="1"/>
      <c r="G55" s="1"/>
      <c r="H55" s="9"/>
      <c r="I55" s="4554"/>
      <c r="J55" s="4555"/>
      <c r="K55" s="4357"/>
      <c r="L55" s="4357"/>
      <c r="M55" s="4357"/>
      <c r="N55" s="4357"/>
      <c r="O55" s="4357"/>
      <c r="P55" s="4357"/>
      <c r="Q55" s="4357"/>
      <c r="R55" s="4357"/>
    </row>
    <row r="56" spans="1:18" x14ac:dyDescent="0.25">
      <c r="A56" s="1717"/>
      <c r="B56" s="177"/>
      <c r="C56" s="1"/>
      <c r="D56" s="1"/>
      <c r="E56" s="1"/>
      <c r="F56" s="1"/>
      <c r="G56" s="1"/>
      <c r="H56" s="9"/>
      <c r="I56" s="4554"/>
      <c r="J56" s="4555"/>
      <c r="K56" s="4357"/>
      <c r="L56" s="4357"/>
      <c r="M56" s="4357"/>
      <c r="N56" s="4357"/>
      <c r="O56" s="4357"/>
      <c r="P56" s="4357"/>
      <c r="Q56" s="4357"/>
      <c r="R56" s="4357"/>
    </row>
    <row r="57" spans="1:18" x14ac:dyDescent="0.25">
      <c r="A57" s="4990"/>
      <c r="B57" s="4991"/>
      <c r="C57" s="4989"/>
      <c r="D57" s="4988"/>
      <c r="E57" s="4988"/>
      <c r="F57" s="4989"/>
      <c r="G57" s="1"/>
      <c r="H57" s="9"/>
      <c r="I57" s="4554"/>
      <c r="J57" s="4555"/>
      <c r="K57" s="4357"/>
      <c r="L57" s="4357"/>
      <c r="M57" s="4357"/>
      <c r="N57" s="4357"/>
      <c r="O57" s="4357"/>
      <c r="P57" s="4357"/>
      <c r="Q57" s="4357"/>
      <c r="R57" s="4357"/>
    </row>
    <row r="58" spans="1:18" x14ac:dyDescent="0.25">
      <c r="A58" s="4990"/>
      <c r="B58" s="4991"/>
      <c r="C58" s="4989"/>
      <c r="D58" s="4988"/>
      <c r="E58" s="4988"/>
      <c r="F58" s="4989"/>
      <c r="G58" s="1"/>
      <c r="H58" s="9"/>
      <c r="I58" s="4554"/>
      <c r="J58" s="4555"/>
      <c r="K58" s="4357"/>
      <c r="L58" s="4357"/>
      <c r="M58" s="4357"/>
      <c r="N58" s="4357"/>
      <c r="O58" s="4357"/>
      <c r="P58" s="4357"/>
      <c r="Q58" s="4357"/>
      <c r="R58" s="4357"/>
    </row>
    <row r="59" spans="1:18" x14ac:dyDescent="0.25">
      <c r="A59" s="4990"/>
      <c r="B59" s="4992"/>
      <c r="C59" s="4988"/>
      <c r="D59" s="4989"/>
      <c r="E59" s="4988"/>
      <c r="F59" s="4989"/>
      <c r="G59" s="1"/>
      <c r="H59" s="9"/>
      <c r="I59" s="4554"/>
      <c r="J59" s="4555"/>
      <c r="K59" s="4357"/>
      <c r="L59" s="4357"/>
      <c r="M59" s="4357"/>
      <c r="N59" s="4357"/>
      <c r="O59" s="4357"/>
      <c r="P59" s="4357"/>
      <c r="Q59" s="4357"/>
      <c r="R59" s="4357"/>
    </row>
    <row r="60" spans="1:18" x14ac:dyDescent="0.25">
      <c r="A60" s="4990"/>
      <c r="B60" s="4987"/>
      <c r="C60" s="4988"/>
      <c r="D60" s="4989"/>
      <c r="E60" s="4988"/>
      <c r="F60" s="4989"/>
      <c r="G60" s="1"/>
    </row>
    <row r="61" spans="1:18" x14ac:dyDescent="0.25">
      <c r="A61" s="1"/>
      <c r="B61" s="1"/>
      <c r="C61" s="1"/>
      <c r="D61" s="1"/>
      <c r="E61" s="1"/>
      <c r="F61" s="1"/>
      <c r="G61" s="1"/>
    </row>
  </sheetData>
  <mergeCells count="18">
    <mergeCell ref="E57:E58"/>
    <mergeCell ref="E59:E60"/>
    <mergeCell ref="F57:F58"/>
    <mergeCell ref="F59:F60"/>
    <mergeCell ref="A59:A60"/>
    <mergeCell ref="A57:A58"/>
    <mergeCell ref="B57:B58"/>
    <mergeCell ref="B59:B60"/>
    <mergeCell ref="C57:C58"/>
    <mergeCell ref="C59:C60"/>
    <mergeCell ref="D57:D58"/>
    <mergeCell ref="D59:D60"/>
    <mergeCell ref="C26:G26"/>
    <mergeCell ref="C3:G3"/>
    <mergeCell ref="H3:L3"/>
    <mergeCell ref="W3:AA3"/>
    <mergeCell ref="M3:Q3"/>
    <mergeCell ref="R3:V3"/>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97F961"/>
  </sheetPr>
  <dimension ref="A1:EK112"/>
  <sheetViews>
    <sheetView workbookViewId="0">
      <pane xSplit="1" topLeftCell="B1" activePane="topRight" state="frozen"/>
      <selection pane="topRight" activeCell="E9" sqref="E9"/>
    </sheetView>
  </sheetViews>
  <sheetFormatPr defaultRowHeight="15" x14ac:dyDescent="0.25"/>
  <cols>
    <col min="1" max="1" width="39.28515625" customWidth="1"/>
    <col min="3" max="3" width="15" bestFit="1" customWidth="1"/>
    <col min="4" max="5" width="16.140625" customWidth="1"/>
    <col min="6" max="6" width="17.140625" customWidth="1"/>
    <col min="7" max="7" width="15" bestFit="1" customWidth="1"/>
    <col min="8" max="8" width="14.42578125" customWidth="1"/>
    <col min="9" max="9" width="14.7109375" customWidth="1"/>
    <col min="10" max="10" width="15.5703125" customWidth="1"/>
    <col min="11" max="12" width="14.7109375" customWidth="1"/>
    <col min="13" max="13" width="18.7109375" style="9" customWidth="1"/>
    <col min="14" max="22" width="15" style="9" customWidth="1"/>
    <col min="23" max="23" width="12.42578125" customWidth="1"/>
    <col min="24" max="24" width="11.28515625" style="9" customWidth="1"/>
    <col min="25" max="25" width="11.7109375" style="9" customWidth="1"/>
    <col min="26" max="26" width="13.7109375" style="9" customWidth="1"/>
    <col min="27" max="27" width="13.85546875" customWidth="1"/>
    <col min="28" max="30" width="12.7109375" style="9" customWidth="1"/>
    <col min="31" max="31" width="12.7109375" bestFit="1" customWidth="1"/>
    <col min="32" max="32" width="15" customWidth="1"/>
    <col min="33" max="33" width="12.7109375" bestFit="1" customWidth="1"/>
    <col min="34" max="36" width="12.7109375" style="9" customWidth="1"/>
    <col min="37" max="37" width="12.7109375" bestFit="1" customWidth="1"/>
    <col min="38" max="38" width="13.28515625" bestFit="1" customWidth="1"/>
    <col min="39" max="39" width="14" customWidth="1"/>
    <col min="40" max="40" width="12.7109375" bestFit="1" customWidth="1"/>
    <col min="41" max="41" width="13.85546875" bestFit="1" customWidth="1"/>
  </cols>
  <sheetData>
    <row r="1" spans="1:128" x14ac:dyDescent="0.25">
      <c r="A1" s="3" t="s">
        <v>18</v>
      </c>
      <c r="C1">
        <v>847.5</v>
      </c>
      <c r="F1">
        <v>172582</v>
      </c>
      <c r="G1">
        <v>169192</v>
      </c>
      <c r="V1" s="73">
        <f>R5+S5+T5+U5</f>
        <v>1402313.06</v>
      </c>
    </row>
    <row r="2" spans="1:128" ht="15.75" thickBot="1" x14ac:dyDescent="0.3">
      <c r="A2" s="2375" t="s">
        <v>1549</v>
      </c>
      <c r="C2" s="445"/>
      <c r="D2" s="445"/>
      <c r="E2" s="445"/>
      <c r="F2" s="445"/>
      <c r="G2" s="445">
        <f>C6+D6+E6+F6</f>
        <v>172582</v>
      </c>
      <c r="H2" s="445">
        <f>H5+H6</f>
        <v>599390</v>
      </c>
      <c r="I2" s="445">
        <f t="shared" ref="I2:K2" si="0">I5+I6</f>
        <v>536490</v>
      </c>
      <c r="J2" s="445">
        <f t="shared" si="0"/>
        <v>551420</v>
      </c>
      <c r="K2" s="445">
        <f t="shared" si="0"/>
        <v>358800</v>
      </c>
      <c r="R2" s="445">
        <f>R5+R6</f>
        <v>1073492</v>
      </c>
      <c r="S2" s="445">
        <f t="shared" ref="S2:U2" si="1">S5+S6</f>
        <v>1047556</v>
      </c>
      <c r="T2" s="445">
        <f t="shared" si="1"/>
        <v>710857</v>
      </c>
      <c r="U2" s="445">
        <f t="shared" si="1"/>
        <v>343139</v>
      </c>
      <c r="V2" s="9" t="s">
        <v>924</v>
      </c>
    </row>
    <row r="3" spans="1:128" ht="15.75" thickBot="1" x14ac:dyDescent="0.3">
      <c r="C3" s="4994" t="s">
        <v>2</v>
      </c>
      <c r="D3" s="4982"/>
      <c r="E3" s="4982"/>
      <c r="F3" s="4982"/>
      <c r="G3" s="4983"/>
      <c r="H3" s="4984" t="s">
        <v>8</v>
      </c>
      <c r="I3" s="4985"/>
      <c r="J3" s="4985"/>
      <c r="K3" s="4985"/>
      <c r="L3" s="4986"/>
      <c r="M3" s="4984" t="s">
        <v>9</v>
      </c>
      <c r="N3" s="4985"/>
      <c r="O3" s="4985"/>
      <c r="P3" s="4985"/>
      <c r="Q3" s="4986"/>
      <c r="R3" s="4984" t="s">
        <v>223</v>
      </c>
      <c r="S3" s="4985"/>
      <c r="T3" s="4985"/>
      <c r="U3" s="4985"/>
      <c r="V3" s="4985"/>
      <c r="W3" s="4981" t="s">
        <v>619</v>
      </c>
      <c r="X3" s="4982"/>
      <c r="Y3" s="4982"/>
      <c r="Z3" s="4982"/>
      <c r="AA3" s="4983"/>
      <c r="AB3" s="4981" t="s">
        <v>620</v>
      </c>
      <c r="AC3" s="4982"/>
      <c r="AD3" s="4982"/>
      <c r="AE3" s="4982"/>
      <c r="AF3" s="4983"/>
      <c r="AG3" s="4995" t="s">
        <v>621</v>
      </c>
      <c r="AH3" s="4995"/>
      <c r="AI3" s="4995"/>
      <c r="AJ3" s="4995"/>
      <c r="AK3" s="4996"/>
      <c r="AL3" s="260"/>
      <c r="AM3" s="260"/>
      <c r="AN3" s="260"/>
      <c r="AO3" s="260"/>
    </row>
    <row r="4" spans="1:128" ht="15.75" thickBot="1" x14ac:dyDescent="0.3">
      <c r="A4" s="10" t="s">
        <v>0</v>
      </c>
      <c r="B4" s="19" t="s">
        <v>1</v>
      </c>
      <c r="C4" s="15" t="s">
        <v>3</v>
      </c>
      <c r="D4" s="15" t="s">
        <v>4</v>
      </c>
      <c r="E4" s="15" t="s">
        <v>5</v>
      </c>
      <c r="F4" s="15" t="s">
        <v>6</v>
      </c>
      <c r="G4" s="137" t="s">
        <v>7</v>
      </c>
      <c r="H4" s="10" t="s">
        <v>3</v>
      </c>
      <c r="I4" s="15" t="s">
        <v>4</v>
      </c>
      <c r="J4" s="15" t="s">
        <v>5</v>
      </c>
      <c r="K4" s="15" t="s">
        <v>6</v>
      </c>
      <c r="L4" s="15" t="s">
        <v>7</v>
      </c>
      <c r="M4" s="10" t="s">
        <v>3</v>
      </c>
      <c r="N4" s="15" t="s">
        <v>4</v>
      </c>
      <c r="O4" s="15" t="s">
        <v>5</v>
      </c>
      <c r="P4" s="15" t="s">
        <v>6</v>
      </c>
      <c r="Q4" s="11" t="s">
        <v>7</v>
      </c>
      <c r="R4" s="10" t="s">
        <v>3</v>
      </c>
      <c r="S4" s="15" t="s">
        <v>4</v>
      </c>
      <c r="T4" s="15" t="s">
        <v>5</v>
      </c>
      <c r="U4" s="15" t="s">
        <v>6</v>
      </c>
      <c r="V4" s="15" t="s">
        <v>7</v>
      </c>
      <c r="W4" s="10" t="s">
        <v>3</v>
      </c>
      <c r="X4" s="15" t="s">
        <v>4</v>
      </c>
      <c r="Y4" s="15" t="s">
        <v>5</v>
      </c>
      <c r="Z4" s="15" t="s">
        <v>6</v>
      </c>
      <c r="AA4" s="15" t="s">
        <v>7</v>
      </c>
      <c r="AB4" s="10" t="s">
        <v>3</v>
      </c>
      <c r="AC4" s="15" t="s">
        <v>4</v>
      </c>
      <c r="AD4" s="15" t="s">
        <v>5</v>
      </c>
      <c r="AE4" s="15" t="s">
        <v>6</v>
      </c>
      <c r="AF4" s="15" t="s">
        <v>7</v>
      </c>
      <c r="AG4" s="10" t="s">
        <v>3</v>
      </c>
      <c r="AH4" s="15" t="s">
        <v>4</v>
      </c>
      <c r="AI4" s="15" t="s">
        <v>5</v>
      </c>
      <c r="AJ4" s="15" t="s">
        <v>6</v>
      </c>
      <c r="AK4" s="15" t="s">
        <v>7</v>
      </c>
      <c r="AL4" s="1"/>
      <c r="AM4" s="1"/>
      <c r="AN4" s="1"/>
      <c r="AO4" s="1"/>
    </row>
    <row r="5" spans="1:128" ht="21.75" customHeight="1" x14ac:dyDescent="0.25">
      <c r="A5" s="834" t="s">
        <v>108</v>
      </c>
      <c r="B5" s="1" t="s">
        <v>20</v>
      </c>
      <c r="C5" s="2553">
        <v>0</v>
      </c>
      <c r="D5" s="2554">
        <v>0</v>
      </c>
      <c r="E5" s="2554">
        <v>0</v>
      </c>
      <c r="F5" s="2554">
        <v>0</v>
      </c>
      <c r="G5" s="1785">
        <f>SUM(C5:F5)</f>
        <v>0</v>
      </c>
      <c r="H5" s="2555">
        <v>249466</v>
      </c>
      <c r="I5" s="2556">
        <v>321213</v>
      </c>
      <c r="J5" s="2554">
        <v>322092</v>
      </c>
      <c r="K5" s="2019">
        <v>203288</v>
      </c>
      <c r="L5" s="1785">
        <f t="shared" ref="L5:L14" si="2">SUM(H5:K5)</f>
        <v>1096059</v>
      </c>
      <c r="M5" s="2555">
        <v>0</v>
      </c>
      <c r="N5" s="2554">
        <v>0</v>
      </c>
      <c r="O5" s="2554">
        <v>0</v>
      </c>
      <c r="P5" s="2554">
        <v>0</v>
      </c>
      <c r="Q5" s="1785">
        <f>SUM(M5:P5)</f>
        <v>0</v>
      </c>
      <c r="R5" s="1783">
        <v>414316</v>
      </c>
      <c r="S5" s="1784">
        <v>370687</v>
      </c>
      <c r="T5" s="1784">
        <v>376190</v>
      </c>
      <c r="U5" s="4900">
        <v>241120.06</v>
      </c>
      <c r="V5" s="2582">
        <f>SUM(R5:U5)</f>
        <v>1402313.06</v>
      </c>
      <c r="W5" s="1783"/>
      <c r="X5" s="1784"/>
      <c r="Y5" s="1784"/>
      <c r="Z5" s="1784"/>
      <c r="AA5" s="2583">
        <f>SUM(W5:Z5)</f>
        <v>0</v>
      </c>
      <c r="AB5" s="1783"/>
      <c r="AC5" s="1784"/>
      <c r="AD5" s="1784"/>
      <c r="AE5" s="1784"/>
      <c r="AF5" s="2583"/>
      <c r="AG5" s="2555">
        <f>W5+AB5</f>
        <v>0</v>
      </c>
      <c r="AH5" s="2554">
        <f t="shared" ref="AH5:AK9" si="3">X5+AC5</f>
        <v>0</v>
      </c>
      <c r="AI5" s="2554">
        <f t="shared" si="3"/>
        <v>0</v>
      </c>
      <c r="AJ5" s="2554">
        <f t="shared" si="3"/>
        <v>0</v>
      </c>
      <c r="AK5" s="2585">
        <f t="shared" si="3"/>
        <v>0</v>
      </c>
      <c r="AL5" s="52"/>
      <c r="AM5" s="34"/>
      <c r="AN5" s="34"/>
      <c r="AO5" s="52"/>
    </row>
    <row r="6" spans="1:128" ht="21" customHeight="1" x14ac:dyDescent="0.25">
      <c r="A6" s="834" t="s">
        <v>109</v>
      </c>
      <c r="B6" s="1" t="s">
        <v>20</v>
      </c>
      <c r="C6" s="4908">
        <v>48681.5</v>
      </c>
      <c r="D6" s="4909">
        <v>35527.5</v>
      </c>
      <c r="E6" s="4909">
        <v>38614.5</v>
      </c>
      <c r="F6" s="4909">
        <v>49758.5</v>
      </c>
      <c r="G6" s="4927">
        <f t="shared" ref="G6:G14" si="4">SUM(C6:F6)</f>
        <v>172582</v>
      </c>
      <c r="H6" s="251">
        <v>349924</v>
      </c>
      <c r="I6" s="2561">
        <v>215277</v>
      </c>
      <c r="J6" s="2559">
        <v>229328</v>
      </c>
      <c r="K6" s="4899">
        <v>155512</v>
      </c>
      <c r="L6" s="1786">
        <f t="shared" si="2"/>
        <v>950041</v>
      </c>
      <c r="M6" s="824">
        <v>4590</v>
      </c>
      <c r="N6" s="95">
        <v>3650</v>
      </c>
      <c r="O6" s="95">
        <v>2190</v>
      </c>
      <c r="P6" s="95">
        <v>1980</v>
      </c>
      <c r="Q6" s="1786">
        <f t="shared" ref="Q6:Q14" si="5">SUM(M6:P6)</f>
        <v>12410</v>
      </c>
      <c r="R6" s="824">
        <v>659176</v>
      </c>
      <c r="S6" s="95">
        <v>676869</v>
      </c>
      <c r="T6" s="95">
        <v>334667</v>
      </c>
      <c r="U6" s="4903">
        <v>102018.94</v>
      </c>
      <c r="V6" s="2557">
        <f t="shared" ref="V6:V14" si="6">SUM(R6:U6)</f>
        <v>1772730.94</v>
      </c>
      <c r="W6" s="824">
        <v>319</v>
      </c>
      <c r="X6" s="95">
        <v>319</v>
      </c>
      <c r="Y6" s="95">
        <v>330</v>
      </c>
      <c r="Z6" s="95">
        <v>531</v>
      </c>
      <c r="AA6" s="2558">
        <f>SUM(W6:Z6)</f>
        <v>1499</v>
      </c>
      <c r="AB6" s="824">
        <v>10.67</v>
      </c>
      <c r="AC6" s="95">
        <v>9.6150000000000002</v>
      </c>
      <c r="AD6" s="95">
        <f>(AB6+AC6)/2</f>
        <v>10.1425</v>
      </c>
      <c r="AE6" s="95">
        <v>10.1425</v>
      </c>
      <c r="AF6" s="2558">
        <f>SUM(AB6:AE6)</f>
        <v>40.57</v>
      </c>
      <c r="AG6" s="824">
        <f>W6+AB6</f>
        <v>329.67</v>
      </c>
      <c r="AH6" s="95">
        <f t="shared" si="3"/>
        <v>328.61500000000001</v>
      </c>
      <c r="AI6" s="95">
        <f t="shared" si="3"/>
        <v>340.14249999999998</v>
      </c>
      <c r="AJ6" s="95">
        <f t="shared" si="3"/>
        <v>541.14250000000004</v>
      </c>
      <c r="AK6" s="2558">
        <f t="shared" si="3"/>
        <v>1539.57</v>
      </c>
      <c r="AL6" s="52"/>
      <c r="AM6" s="34"/>
      <c r="AN6" s="34"/>
      <c r="AO6" s="52"/>
    </row>
    <row r="7" spans="1:128" ht="17.25" x14ac:dyDescent="0.25">
      <c r="A7" s="76" t="s">
        <v>21</v>
      </c>
      <c r="B7" s="1" t="s">
        <v>20</v>
      </c>
      <c r="C7" s="2560">
        <v>103159</v>
      </c>
      <c r="D7" s="95">
        <v>160407</v>
      </c>
      <c r="E7" s="95">
        <v>6808</v>
      </c>
      <c r="F7" s="2559">
        <v>0</v>
      </c>
      <c r="G7" s="1786">
        <f t="shared" si="4"/>
        <v>270374</v>
      </c>
      <c r="H7" s="2560">
        <v>199680</v>
      </c>
      <c r="I7" s="2561">
        <v>375930</v>
      </c>
      <c r="J7" s="2559">
        <v>183447</v>
      </c>
      <c r="K7" s="2562">
        <v>228609</v>
      </c>
      <c r="L7" s="1786">
        <f t="shared" si="2"/>
        <v>987666</v>
      </c>
      <c r="M7" s="824">
        <v>281679</v>
      </c>
      <c r="N7" s="95">
        <v>181060</v>
      </c>
      <c r="O7" s="95">
        <v>116495</v>
      </c>
      <c r="P7" s="95">
        <v>39434</v>
      </c>
      <c r="Q7" s="1786">
        <f t="shared" si="5"/>
        <v>618668</v>
      </c>
      <c r="R7" s="2560">
        <v>1502766</v>
      </c>
      <c r="S7" s="2559">
        <v>1195187</v>
      </c>
      <c r="T7" s="2559">
        <v>1427074</v>
      </c>
      <c r="U7" s="2559">
        <v>308621</v>
      </c>
      <c r="V7" s="2557">
        <f t="shared" si="6"/>
        <v>4433648</v>
      </c>
      <c r="W7" s="2547"/>
      <c r="X7" s="2546"/>
      <c r="Y7" s="2546"/>
      <c r="Z7" s="2546"/>
      <c r="AA7" s="2563">
        <f>SUM(W7:Z7)</f>
        <v>0</v>
      </c>
      <c r="AB7" s="2548"/>
      <c r="AC7" s="2549"/>
      <c r="AD7" s="2549"/>
      <c r="AE7" s="2564"/>
      <c r="AF7" s="2563">
        <f>SUM(AB7:AE7)</f>
        <v>0</v>
      </c>
      <c r="AG7" s="2548">
        <f>W7+AB7</f>
        <v>0</v>
      </c>
      <c r="AH7" s="2549">
        <f t="shared" si="3"/>
        <v>0</v>
      </c>
      <c r="AI7" s="2549">
        <f t="shared" si="3"/>
        <v>0</v>
      </c>
      <c r="AJ7" s="2549">
        <f t="shared" si="3"/>
        <v>0</v>
      </c>
      <c r="AK7" s="2563">
        <f t="shared" si="3"/>
        <v>0</v>
      </c>
      <c r="AL7" s="136"/>
      <c r="AM7" s="34"/>
      <c r="AN7" s="34"/>
      <c r="AO7" s="52"/>
    </row>
    <row r="8" spans="1:128" s="9" customFormat="1" ht="17.25" x14ac:dyDescent="0.25">
      <c r="A8" s="21" t="s">
        <v>968</v>
      </c>
      <c r="B8" s="1" t="s">
        <v>20</v>
      </c>
      <c r="C8" s="1755">
        <f>C6+C7+C11</f>
        <v>156024.5</v>
      </c>
      <c r="D8" s="1756">
        <f>D6+D7+D11</f>
        <v>223017.5</v>
      </c>
      <c r="E8" s="1756">
        <f>E6+E7+E11</f>
        <v>86340.5</v>
      </c>
      <c r="F8" s="1756">
        <f>F6+F7+F11</f>
        <v>210318.5</v>
      </c>
      <c r="G8" s="1786">
        <f t="shared" si="4"/>
        <v>675701</v>
      </c>
      <c r="H8" s="1755">
        <f>H6+H7+H11</f>
        <v>945083</v>
      </c>
      <c r="I8" s="1756">
        <f>I6+I7+I11</f>
        <v>953008</v>
      </c>
      <c r="J8" s="1756">
        <f>J6+J7+J11</f>
        <v>794017</v>
      </c>
      <c r="K8" s="1756">
        <f>K6+K7+K11</f>
        <v>519716</v>
      </c>
      <c r="L8" s="1786">
        <f t="shared" si="2"/>
        <v>3211824</v>
      </c>
      <c r="M8" s="1755">
        <f>M6+M7+M11</f>
        <v>640469</v>
      </c>
      <c r="N8" s="1756">
        <f>N6+N7+N11</f>
        <v>486776.66666666669</v>
      </c>
      <c r="O8" s="1756">
        <v>360385</v>
      </c>
      <c r="P8" s="1756">
        <f>P6+P7+P11</f>
        <v>369014</v>
      </c>
      <c r="Q8" s="1786">
        <f t="shared" si="5"/>
        <v>1856644.6666666667</v>
      </c>
      <c r="R8" s="1755">
        <f>R6+R7+R11</f>
        <v>2161942</v>
      </c>
      <c r="S8" s="1756">
        <f>S6+S7+S11</f>
        <v>1872056</v>
      </c>
      <c r="T8" s="1756">
        <f>T6+T7+T11</f>
        <v>1761741</v>
      </c>
      <c r="U8" s="1756">
        <f>U6+U7+U11</f>
        <v>410639.94</v>
      </c>
      <c r="V8" s="2557">
        <f t="shared" si="6"/>
        <v>6206378.9400000004</v>
      </c>
      <c r="W8" s="2584">
        <f>W6</f>
        <v>319</v>
      </c>
      <c r="X8" s="2572">
        <f>X6</f>
        <v>319</v>
      </c>
      <c r="Y8" s="2572">
        <f>Y6</f>
        <v>330</v>
      </c>
      <c r="Z8" s="2572">
        <f>Z6</f>
        <v>531</v>
      </c>
      <c r="AA8" s="2573">
        <f>SUM(W8:Z8)</f>
        <v>1499</v>
      </c>
      <c r="AB8" s="1755">
        <f>AB6</f>
        <v>10.67</v>
      </c>
      <c r="AC8" s="1756">
        <f>AC6</f>
        <v>9.6150000000000002</v>
      </c>
      <c r="AD8" s="1756">
        <f>AD6</f>
        <v>10.1425</v>
      </c>
      <c r="AE8" s="1756">
        <f>AE6</f>
        <v>10.1425</v>
      </c>
      <c r="AF8" s="2573">
        <f>SUM(AB8:AE8)</f>
        <v>40.57</v>
      </c>
      <c r="AG8" s="1755">
        <f>W8+AB8</f>
        <v>329.67</v>
      </c>
      <c r="AH8" s="1756">
        <f t="shared" si="3"/>
        <v>328.61500000000001</v>
      </c>
      <c r="AI8" s="1756">
        <f t="shared" si="3"/>
        <v>340.14249999999998</v>
      </c>
      <c r="AJ8" s="1756">
        <f t="shared" si="3"/>
        <v>541.14250000000004</v>
      </c>
      <c r="AK8" s="2573">
        <f t="shared" si="3"/>
        <v>1539.57</v>
      </c>
      <c r="AL8" s="136"/>
      <c r="AM8" s="34"/>
      <c r="AN8" s="34"/>
      <c r="AO8" s="52"/>
    </row>
    <row r="9" spans="1:128" s="9" customFormat="1" ht="17.25" x14ac:dyDescent="0.25">
      <c r="A9" s="21" t="s">
        <v>969</v>
      </c>
      <c r="B9" s="1" t="s">
        <v>20</v>
      </c>
      <c r="C9" s="824">
        <v>155177</v>
      </c>
      <c r="D9" s="3086">
        <v>222170</v>
      </c>
      <c r="E9" s="95">
        <v>122612.67</v>
      </c>
      <c r="F9" s="95">
        <v>270969.73333333334</v>
      </c>
      <c r="G9" s="1786">
        <f t="shared" si="4"/>
        <v>770929.40333333332</v>
      </c>
      <c r="H9" s="824">
        <v>945083</v>
      </c>
      <c r="I9" s="74">
        <v>953008</v>
      </c>
      <c r="J9" s="95">
        <v>794017</v>
      </c>
      <c r="K9" s="95">
        <v>513816</v>
      </c>
      <c r="L9" s="1786">
        <f t="shared" si="2"/>
        <v>3205924</v>
      </c>
      <c r="M9" s="824">
        <v>640469</v>
      </c>
      <c r="N9" s="95">
        <v>486776.66666666669</v>
      </c>
      <c r="O9" s="95">
        <v>360385</v>
      </c>
      <c r="P9" s="95"/>
      <c r="Q9" s="1786">
        <f t="shared" si="5"/>
        <v>1487630.6666666667</v>
      </c>
      <c r="R9" s="824">
        <v>2576258</v>
      </c>
      <c r="S9" s="95">
        <v>2242743</v>
      </c>
      <c r="T9" s="95">
        <v>2137859</v>
      </c>
      <c r="U9" s="95">
        <v>715475</v>
      </c>
      <c r="V9" s="2557">
        <f t="shared" si="6"/>
        <v>7672335</v>
      </c>
      <c r="W9" s="2584">
        <f>W8</f>
        <v>319</v>
      </c>
      <c r="X9" s="2584">
        <f>X8</f>
        <v>319</v>
      </c>
      <c r="Y9" s="2584">
        <f>Y8</f>
        <v>330</v>
      </c>
      <c r="Z9" s="2584">
        <f>Z8</f>
        <v>531</v>
      </c>
      <c r="AA9" s="2573">
        <f>SUM(W9:Z9)</f>
        <v>1499</v>
      </c>
      <c r="AB9" s="1755">
        <f>AB8</f>
        <v>10.67</v>
      </c>
      <c r="AC9" s="1755">
        <f>AC8</f>
        <v>9.6150000000000002</v>
      </c>
      <c r="AD9" s="1755">
        <f>AD8</f>
        <v>10.1425</v>
      </c>
      <c r="AE9" s="1755">
        <f>AE8</f>
        <v>10.1425</v>
      </c>
      <c r="AF9" s="2573">
        <f>SUM(AB9:AE9)</f>
        <v>40.57</v>
      </c>
      <c r="AG9" s="1755">
        <f>AG8</f>
        <v>329.67</v>
      </c>
      <c r="AH9" s="1755">
        <f>AH8</f>
        <v>328.61500000000001</v>
      </c>
      <c r="AI9" s="1755">
        <f>AI8</f>
        <v>340.14249999999998</v>
      </c>
      <c r="AJ9" s="1755">
        <f>AJ8</f>
        <v>541.14250000000004</v>
      </c>
      <c r="AK9" s="2573">
        <f t="shared" si="3"/>
        <v>1539.57</v>
      </c>
      <c r="AL9" s="136"/>
      <c r="AM9" s="34"/>
      <c r="AN9" s="34"/>
      <c r="AO9" s="52"/>
    </row>
    <row r="10" spans="1:128" ht="17.25" x14ac:dyDescent="0.25">
      <c r="A10" s="12" t="s">
        <v>22</v>
      </c>
      <c r="B10" s="1" t="s">
        <v>20</v>
      </c>
      <c r="C10" s="824">
        <v>8476223.9809999987</v>
      </c>
      <c r="D10" s="95">
        <v>7351800.5470000003</v>
      </c>
      <c r="E10" s="95">
        <v>3188225.5</v>
      </c>
      <c r="F10" s="95">
        <v>11343479.905999999</v>
      </c>
      <c r="G10" s="1786">
        <f t="shared" si="4"/>
        <v>30359729.933999997</v>
      </c>
      <c r="H10" s="824">
        <v>486330</v>
      </c>
      <c r="I10" s="2565">
        <v>473900</v>
      </c>
      <c r="J10" s="95">
        <v>549290</v>
      </c>
      <c r="K10" s="2566">
        <v>132760</v>
      </c>
      <c r="L10" s="1749">
        <f t="shared" si="2"/>
        <v>1642280</v>
      </c>
      <c r="M10" s="824">
        <v>540000</v>
      </c>
      <c r="N10" s="95">
        <v>540000</v>
      </c>
      <c r="O10" s="95">
        <v>540000</v>
      </c>
      <c r="P10" s="95">
        <v>180000</v>
      </c>
      <c r="Q10" s="1786">
        <f t="shared" si="5"/>
        <v>1800000</v>
      </c>
      <c r="R10" s="2560">
        <v>5444282</v>
      </c>
      <c r="S10" s="95">
        <v>5868534</v>
      </c>
      <c r="T10" s="2559">
        <v>5608868</v>
      </c>
      <c r="U10" s="2559">
        <v>661603</v>
      </c>
      <c r="V10" s="2557">
        <f t="shared" si="6"/>
        <v>17583287</v>
      </c>
      <c r="W10" s="2547"/>
      <c r="X10" s="2546"/>
      <c r="Y10" s="2546"/>
      <c r="Z10" s="2546"/>
      <c r="AA10" s="2563"/>
      <c r="AB10" s="2548"/>
      <c r="AC10" s="2549"/>
      <c r="AD10" s="2549"/>
      <c r="AE10" s="2564"/>
      <c r="AF10" s="2563"/>
      <c r="AG10" s="2548"/>
      <c r="AH10" s="2549"/>
      <c r="AI10" s="2549"/>
      <c r="AJ10" s="2549"/>
      <c r="AK10" s="2563"/>
      <c r="AL10" s="53"/>
      <c r="AM10" s="34"/>
      <c r="AN10" s="34"/>
      <c r="AO10" s="52"/>
    </row>
    <row r="11" spans="1:128" s="116" customFormat="1" ht="17.25" x14ac:dyDescent="0.25">
      <c r="A11" s="21" t="s">
        <v>970</v>
      </c>
      <c r="B11" s="39" t="s">
        <v>20</v>
      </c>
      <c r="C11" s="824">
        <v>4184</v>
      </c>
      <c r="D11" s="95">
        <v>27083</v>
      </c>
      <c r="E11" s="95">
        <v>40918</v>
      </c>
      <c r="F11" s="95">
        <v>160560</v>
      </c>
      <c r="G11" s="1786">
        <f t="shared" si="4"/>
        <v>232745</v>
      </c>
      <c r="H11" s="824">
        <v>395479</v>
      </c>
      <c r="I11" s="2565">
        <v>361801</v>
      </c>
      <c r="J11" s="95">
        <v>381242</v>
      </c>
      <c r="K11" s="2566">
        <v>135595</v>
      </c>
      <c r="L11" s="1786">
        <f t="shared" si="2"/>
        <v>1274117</v>
      </c>
      <c r="M11" s="824">
        <v>354200</v>
      </c>
      <c r="N11" s="95">
        <v>302066.66666666669</v>
      </c>
      <c r="O11" s="95">
        <v>241700</v>
      </c>
      <c r="P11" s="95">
        <v>327600</v>
      </c>
      <c r="Q11" s="1786">
        <f t="shared" si="5"/>
        <v>1225566.6666666667</v>
      </c>
      <c r="R11" s="2560">
        <v>0</v>
      </c>
      <c r="S11" s="2559">
        <v>0</v>
      </c>
      <c r="T11" s="2559">
        <v>0</v>
      </c>
      <c r="U11" s="2559">
        <v>0</v>
      </c>
      <c r="V11" s="2557">
        <f t="shared" si="6"/>
        <v>0</v>
      </c>
      <c r="W11" s="2548"/>
      <c r="X11" s="2549"/>
      <c r="Y11" s="2549"/>
      <c r="Z11" s="2549"/>
      <c r="AA11" s="2563"/>
      <c r="AB11" s="2548"/>
      <c r="AC11" s="2549"/>
      <c r="AD11" s="2549"/>
      <c r="AE11" s="2564"/>
      <c r="AF11" s="2563"/>
      <c r="AG11" s="2548"/>
      <c r="AH11" s="2549"/>
      <c r="AI11" s="2549"/>
      <c r="AJ11" s="2549"/>
      <c r="AK11" s="2563"/>
      <c r="AL11" s="34"/>
      <c r="AM11" s="34"/>
      <c r="AN11" s="34"/>
      <c r="AO11" s="52"/>
    </row>
    <row r="12" spans="1:128" s="116" customFormat="1" ht="30" x14ac:dyDescent="0.25">
      <c r="A12" s="103" t="s">
        <v>971</v>
      </c>
      <c r="B12" s="39" t="s">
        <v>20</v>
      </c>
      <c r="C12" s="824">
        <v>0</v>
      </c>
      <c r="D12" s="95">
        <v>0</v>
      </c>
      <c r="E12" s="95">
        <v>0</v>
      </c>
      <c r="F12" s="95"/>
      <c r="G12" s="1786">
        <f t="shared" si="4"/>
        <v>0</v>
      </c>
      <c r="H12" s="824">
        <v>0</v>
      </c>
      <c r="I12" s="2565">
        <v>0</v>
      </c>
      <c r="J12" s="95">
        <v>0</v>
      </c>
      <c r="K12" s="2566">
        <v>247706</v>
      </c>
      <c r="L12" s="1786">
        <f t="shared" si="2"/>
        <v>247706</v>
      </c>
      <c r="M12" s="824">
        <v>0</v>
      </c>
      <c r="N12" s="95">
        <v>0</v>
      </c>
      <c r="O12" s="95">
        <v>0</v>
      </c>
      <c r="P12" s="95">
        <v>0</v>
      </c>
      <c r="Q12" s="1786">
        <f t="shared" si="5"/>
        <v>0</v>
      </c>
      <c r="R12" s="2560">
        <v>0</v>
      </c>
      <c r="S12" s="2559">
        <v>0</v>
      </c>
      <c r="T12" s="2559">
        <v>0</v>
      </c>
      <c r="U12" s="2559">
        <v>0</v>
      </c>
      <c r="V12" s="2557">
        <f t="shared" si="6"/>
        <v>0</v>
      </c>
      <c r="W12" s="2548"/>
      <c r="X12" s="2549"/>
      <c r="Y12" s="2549"/>
      <c r="Z12" s="2549"/>
      <c r="AA12" s="2563"/>
      <c r="AB12" s="2548"/>
      <c r="AC12" s="2549"/>
      <c r="AD12" s="2549"/>
      <c r="AE12" s="2564"/>
      <c r="AF12" s="2563"/>
      <c r="AG12" s="2548"/>
      <c r="AH12" s="2549"/>
      <c r="AI12" s="2549"/>
      <c r="AJ12" s="2549"/>
      <c r="AK12" s="2563"/>
      <c r="AL12" s="34"/>
      <c r="AM12" s="34"/>
      <c r="AN12" s="34"/>
      <c r="AO12" s="52"/>
    </row>
    <row r="13" spans="1:128" ht="17.25" x14ac:dyDescent="0.25">
      <c r="A13" s="21" t="s">
        <v>305</v>
      </c>
      <c r="B13" s="1" t="s">
        <v>20</v>
      </c>
      <c r="C13" s="1755">
        <f>C6+C7+C11</f>
        <v>156024.5</v>
      </c>
      <c r="D13" s="1756">
        <f>D6+D7+D11</f>
        <v>223017.5</v>
      </c>
      <c r="E13" s="1756">
        <f>E6+E7+E11</f>
        <v>86340.5</v>
      </c>
      <c r="F13" s="1756">
        <f>F6+F7+F11</f>
        <v>210318.5</v>
      </c>
      <c r="G13" s="1786">
        <f t="shared" si="4"/>
        <v>675701</v>
      </c>
      <c r="H13" s="1755">
        <f>H6+H7+H11</f>
        <v>945083</v>
      </c>
      <c r="I13" s="1756">
        <f>I6+I7+I11</f>
        <v>953008</v>
      </c>
      <c r="J13" s="1756">
        <f>J6+J7+J11</f>
        <v>794017</v>
      </c>
      <c r="K13" s="1756">
        <f>K6+K7+K11</f>
        <v>519716</v>
      </c>
      <c r="L13" s="1786">
        <f t="shared" si="2"/>
        <v>3211824</v>
      </c>
      <c r="M13" s="1755">
        <f>M6+M7+M11</f>
        <v>640469</v>
      </c>
      <c r="N13" s="1756">
        <f>N6+N7+N11</f>
        <v>486776.66666666669</v>
      </c>
      <c r="O13" s="1756">
        <f>O6+O7+O11</f>
        <v>360385</v>
      </c>
      <c r="P13" s="1756">
        <f>P6+P7+P11</f>
        <v>369014</v>
      </c>
      <c r="Q13" s="1786">
        <f t="shared" si="5"/>
        <v>1856644.6666666667</v>
      </c>
      <c r="R13" s="2567">
        <f>R6+R7+R11</f>
        <v>2161942</v>
      </c>
      <c r="S13" s="2578">
        <f>S6+S7+S11</f>
        <v>1872056</v>
      </c>
      <c r="T13" s="2578">
        <f>T6+T7+T11</f>
        <v>1761741</v>
      </c>
      <c r="U13" s="2578">
        <f>U6+U7+U11</f>
        <v>410639.94</v>
      </c>
      <c r="V13" s="2557">
        <f t="shared" si="6"/>
        <v>6206378.9400000004</v>
      </c>
      <c r="W13" s="1755">
        <f>bryanstonLondon!N5</f>
        <v>319</v>
      </c>
      <c r="X13" s="1756">
        <f>bryanstonLondon!R5</f>
        <v>319</v>
      </c>
      <c r="Y13" s="1756">
        <f>bryanstonLondon!V5</f>
        <v>330</v>
      </c>
      <c r="Z13" s="1756">
        <f>bryanstonLondon!Z5</f>
        <v>531</v>
      </c>
      <c r="AA13" s="2573">
        <f>SUM(W13:Z13)</f>
        <v>1499</v>
      </c>
      <c r="AB13" s="1755">
        <f>AB8</f>
        <v>10.67</v>
      </c>
      <c r="AC13" s="1756">
        <f>AC8</f>
        <v>9.6150000000000002</v>
      </c>
      <c r="AD13" s="1756">
        <f>AD8</f>
        <v>10.1425</v>
      </c>
      <c r="AE13" s="1756">
        <f>AE8</f>
        <v>10.1425</v>
      </c>
      <c r="AF13" s="2573">
        <f>SUM(AB13:AE13)</f>
        <v>40.57</v>
      </c>
      <c r="AG13" s="1755">
        <f>W13+AB13</f>
        <v>329.67</v>
      </c>
      <c r="AH13" s="1756">
        <f>X13+AC13</f>
        <v>328.61500000000001</v>
      </c>
      <c r="AI13" s="1756">
        <f>Y13+AD13</f>
        <v>340.14249999999998</v>
      </c>
      <c r="AJ13" s="1756">
        <f>Z13+AE13</f>
        <v>541.14250000000004</v>
      </c>
      <c r="AK13" s="2573">
        <f>AA13+AF13</f>
        <v>1539.57</v>
      </c>
      <c r="AL13" s="52"/>
      <c r="AM13" s="34"/>
      <c r="AN13" s="34"/>
      <c r="AO13" s="52"/>
      <c r="AP13" s="116"/>
      <c r="AQ13" s="116"/>
      <c r="AR13" s="116"/>
      <c r="AS13" s="116"/>
      <c r="AT13" s="116"/>
      <c r="AU13" s="116"/>
      <c r="AV13" s="116"/>
      <c r="AW13" s="116"/>
      <c r="AX13" s="116"/>
      <c r="AY13" s="116"/>
      <c r="AZ13" s="116"/>
      <c r="BA13" s="116"/>
      <c r="BB13" s="116"/>
      <c r="BC13" s="116"/>
      <c r="BD13" s="116"/>
      <c r="BE13" s="116"/>
      <c r="BF13" s="116"/>
      <c r="BG13" s="116"/>
      <c r="BH13" s="116"/>
      <c r="BI13" s="116"/>
      <c r="BJ13" s="116"/>
      <c r="BK13" s="116"/>
      <c r="BL13" s="116"/>
      <c r="BM13" s="116"/>
      <c r="BN13" s="116"/>
      <c r="BO13" s="116"/>
      <c r="BP13" s="116"/>
      <c r="BQ13" s="116"/>
      <c r="BR13" s="116"/>
      <c r="BS13" s="116"/>
      <c r="BT13" s="116"/>
      <c r="BU13" s="116"/>
      <c r="BV13" s="116"/>
      <c r="BW13" s="116"/>
      <c r="BX13" s="116"/>
      <c r="BY13" s="116"/>
      <c r="BZ13" s="116"/>
      <c r="CA13" s="116"/>
      <c r="CB13" s="116"/>
      <c r="CC13" s="116"/>
      <c r="CD13" s="116"/>
      <c r="CE13" s="116"/>
      <c r="CF13" s="116"/>
      <c r="CG13" s="116"/>
      <c r="CH13" s="116"/>
      <c r="CI13" s="116"/>
      <c r="CJ13" s="116"/>
      <c r="CK13" s="116"/>
      <c r="CL13" s="116"/>
      <c r="CM13" s="116"/>
      <c r="CN13" s="116"/>
      <c r="CO13" s="116"/>
      <c r="CP13" s="116"/>
      <c r="CQ13" s="116"/>
      <c r="CR13" s="116"/>
      <c r="CS13" s="116"/>
      <c r="CT13" s="116"/>
      <c r="CU13" s="116"/>
      <c r="CV13" s="116"/>
      <c r="CW13" s="116"/>
      <c r="CX13" s="116"/>
      <c r="CY13" s="116"/>
      <c r="CZ13" s="116"/>
      <c r="DA13" s="116"/>
      <c r="DB13" s="116"/>
      <c r="DC13" s="116"/>
      <c r="DD13" s="116"/>
      <c r="DE13" s="116"/>
      <c r="DF13" s="116"/>
      <c r="DG13" s="116"/>
      <c r="DH13" s="116"/>
      <c r="DI13" s="116"/>
      <c r="DJ13" s="116"/>
      <c r="DK13" s="116"/>
      <c r="DL13" s="116"/>
      <c r="DM13" s="116"/>
      <c r="DN13" s="116"/>
      <c r="DO13" s="116"/>
      <c r="DP13" s="116"/>
      <c r="DQ13" s="116"/>
      <c r="DR13" s="116"/>
      <c r="DS13" s="116"/>
      <c r="DT13" s="116"/>
      <c r="DU13" s="116"/>
      <c r="DV13" s="116"/>
      <c r="DW13" s="116"/>
      <c r="DX13" s="116"/>
    </row>
    <row r="14" spans="1:128" s="9" customFormat="1" x14ac:dyDescent="0.25">
      <c r="A14" s="21" t="s">
        <v>296</v>
      </c>
      <c r="B14" s="1" t="s">
        <v>297</v>
      </c>
      <c r="C14" s="824">
        <v>0.6</v>
      </c>
      <c r="D14" s="2559">
        <v>453.7</v>
      </c>
      <c r="E14" s="2559">
        <v>236.7</v>
      </c>
      <c r="F14" s="2559">
        <v>123.2</v>
      </c>
      <c r="G14" s="1786">
        <f t="shared" si="4"/>
        <v>814.2</v>
      </c>
      <c r="H14" s="824">
        <v>0</v>
      </c>
      <c r="I14" s="95">
        <v>39</v>
      </c>
      <c r="J14" s="95">
        <v>250</v>
      </c>
      <c r="K14" s="2559">
        <v>43.5</v>
      </c>
      <c r="L14" s="1786">
        <f t="shared" si="2"/>
        <v>332.5</v>
      </c>
      <c r="M14" s="2581">
        <v>0</v>
      </c>
      <c r="N14" s="95">
        <v>25</v>
      </c>
      <c r="O14" s="95">
        <v>202</v>
      </c>
      <c r="P14" s="95">
        <v>112</v>
      </c>
      <c r="Q14" s="1786">
        <f t="shared" si="5"/>
        <v>339</v>
      </c>
      <c r="R14" s="2560">
        <v>3.1</v>
      </c>
      <c r="S14" s="2559">
        <v>215.5</v>
      </c>
      <c r="T14" s="2559">
        <v>545.6</v>
      </c>
      <c r="U14" s="2559">
        <v>43.9</v>
      </c>
      <c r="V14" s="2557">
        <f t="shared" si="6"/>
        <v>808.1</v>
      </c>
      <c r="W14" s="2548"/>
      <c r="X14" s="2549"/>
      <c r="Y14" s="2549"/>
      <c r="Z14" s="2549"/>
      <c r="AA14" s="2563"/>
      <c r="AB14" s="2548"/>
      <c r="AC14" s="2549"/>
      <c r="AD14" s="2549"/>
      <c r="AE14" s="2549"/>
      <c r="AF14" s="2563"/>
      <c r="AG14" s="2548"/>
      <c r="AH14" s="2549"/>
      <c r="AI14" s="2549"/>
      <c r="AJ14" s="2549"/>
      <c r="AK14" s="2563"/>
      <c r="AL14" s="52"/>
      <c r="AM14" s="34"/>
      <c r="AN14" s="34"/>
      <c r="AO14" s="52"/>
      <c r="AP14" s="116"/>
      <c r="AQ14" s="116"/>
      <c r="AR14" s="116"/>
      <c r="AS14" s="116"/>
      <c r="AT14" s="116"/>
      <c r="AU14" s="116"/>
      <c r="AV14" s="116"/>
      <c r="AW14" s="116"/>
      <c r="AX14" s="116"/>
      <c r="AY14" s="116"/>
      <c r="AZ14" s="116"/>
      <c r="BA14" s="116"/>
      <c r="BB14" s="116"/>
      <c r="BC14" s="116"/>
      <c r="BD14" s="116"/>
      <c r="BE14" s="116"/>
      <c r="BF14" s="116"/>
      <c r="BG14" s="116"/>
      <c r="BH14" s="116"/>
      <c r="BI14" s="116"/>
      <c r="BJ14" s="116"/>
      <c r="BK14" s="116"/>
      <c r="BL14" s="116"/>
      <c r="BM14" s="116"/>
      <c r="BN14" s="116"/>
      <c r="BO14" s="116"/>
      <c r="BP14" s="116"/>
      <c r="BQ14" s="116"/>
      <c r="BR14" s="116"/>
      <c r="BS14" s="116"/>
      <c r="BT14" s="116"/>
      <c r="BU14" s="116"/>
      <c r="BV14" s="116"/>
      <c r="BW14" s="116"/>
      <c r="BX14" s="116"/>
      <c r="BY14" s="116"/>
      <c r="BZ14" s="116"/>
      <c r="CA14" s="116"/>
      <c r="CB14" s="116"/>
      <c r="CC14" s="116"/>
      <c r="CD14" s="116"/>
      <c r="CE14" s="116"/>
      <c r="CF14" s="116"/>
      <c r="CG14" s="116"/>
      <c r="CH14" s="116"/>
      <c r="CI14" s="116"/>
      <c r="CJ14" s="116"/>
      <c r="CK14" s="116"/>
      <c r="CL14" s="116"/>
      <c r="CM14" s="116"/>
      <c r="CN14" s="116"/>
      <c r="CO14" s="116"/>
      <c r="CP14" s="116"/>
      <c r="CQ14" s="116"/>
      <c r="CR14" s="116"/>
      <c r="CS14" s="116"/>
      <c r="CT14" s="116"/>
      <c r="CU14" s="116"/>
      <c r="CV14" s="116"/>
      <c r="CW14" s="116"/>
      <c r="CX14" s="116"/>
      <c r="CY14" s="116"/>
      <c r="CZ14" s="116"/>
      <c r="DA14" s="116"/>
      <c r="DB14" s="116"/>
      <c r="DC14" s="116"/>
      <c r="DD14" s="116"/>
      <c r="DE14" s="116"/>
      <c r="DF14" s="116"/>
      <c r="DG14" s="116"/>
      <c r="DH14" s="116"/>
      <c r="DI14" s="116"/>
      <c r="DJ14" s="116"/>
      <c r="DK14" s="116"/>
      <c r="DL14" s="116"/>
      <c r="DM14" s="116"/>
      <c r="DN14" s="116"/>
      <c r="DO14" s="116"/>
      <c r="DP14" s="116"/>
      <c r="DQ14" s="116"/>
      <c r="DR14" s="116"/>
      <c r="DS14" s="116"/>
      <c r="DT14" s="116"/>
      <c r="DU14" s="116"/>
      <c r="DV14" s="116"/>
      <c r="DW14" s="116"/>
      <c r="DX14" s="116"/>
    </row>
    <row r="15" spans="1:128" s="184" customFormat="1" x14ac:dyDescent="0.25">
      <c r="A15" s="21" t="s">
        <v>19</v>
      </c>
      <c r="B15" s="39" t="s">
        <v>106</v>
      </c>
      <c r="C15" s="2568">
        <f>Production!C7</f>
        <v>1273287.6723840002</v>
      </c>
      <c r="D15" s="2569">
        <f>Production!D7</f>
        <v>1139021.52</v>
      </c>
      <c r="E15" s="2569">
        <f>Production!E7</f>
        <v>1054064</v>
      </c>
      <c r="F15" s="2569">
        <f>Production!F7</f>
        <v>763857.49151100009</v>
      </c>
      <c r="G15" s="2570">
        <f>Production!G7</f>
        <v>4230230.6838950003</v>
      </c>
      <c r="H15" s="2568">
        <f>Production!H7</f>
        <v>902158.1180960699</v>
      </c>
      <c r="I15" s="2569">
        <f>Production!I7</f>
        <v>806266</v>
      </c>
      <c r="J15" s="2569">
        <f>Production!J7</f>
        <v>762062</v>
      </c>
      <c r="K15" s="2571">
        <f>Production!K7</f>
        <v>460443</v>
      </c>
      <c r="L15" s="2570">
        <f>Production!L7</f>
        <v>2930929.1180960699</v>
      </c>
      <c r="M15" s="2568">
        <f>Production!M7</f>
        <v>314302</v>
      </c>
      <c r="N15" s="2569">
        <f>Production!N7</f>
        <v>246994</v>
      </c>
      <c r="O15" s="2569">
        <f>Production!O7</f>
        <v>236350</v>
      </c>
      <c r="P15" s="2569">
        <f>Production!P7</f>
        <v>94059</v>
      </c>
      <c r="Q15" s="2570">
        <f>Production!Q7</f>
        <v>891705</v>
      </c>
      <c r="R15" s="2568">
        <f>Production!R7</f>
        <v>1418323.5</v>
      </c>
      <c r="S15" s="2569">
        <f>Production!S7</f>
        <v>1435280</v>
      </c>
      <c r="T15" s="2569">
        <f>Production!T7</f>
        <v>1320231</v>
      </c>
      <c r="U15" s="2569">
        <f>Production!U7</f>
        <v>109170</v>
      </c>
      <c r="V15" s="2569">
        <f>Production!V7</f>
        <v>4283004.5</v>
      </c>
      <c r="W15" s="2548"/>
      <c r="X15" s="2549"/>
      <c r="Y15" s="2549"/>
      <c r="Z15" s="2549"/>
      <c r="AA15" s="1801">
        <f>Production!G16</f>
        <v>12335870</v>
      </c>
      <c r="AB15" s="2548"/>
      <c r="AC15" s="2549"/>
      <c r="AD15" s="2549"/>
      <c r="AE15" s="2549"/>
      <c r="AF15" s="1801">
        <f>Production!G16</f>
        <v>12335870</v>
      </c>
      <c r="AG15" s="2548"/>
      <c r="AH15" s="2549"/>
      <c r="AI15" s="2549"/>
      <c r="AJ15" s="2549"/>
      <c r="AK15" s="1801">
        <f>Production!G16</f>
        <v>12335870</v>
      </c>
      <c r="AL15" s="52"/>
      <c r="AM15" s="52"/>
      <c r="AN15" s="52"/>
      <c r="AO15" s="52"/>
      <c r="AP15" s="116"/>
      <c r="AQ15" s="116"/>
      <c r="AR15" s="116"/>
      <c r="AS15" s="116"/>
      <c r="AT15" s="116"/>
      <c r="AU15" s="116"/>
      <c r="AV15" s="116"/>
      <c r="AW15" s="116"/>
      <c r="AX15" s="116"/>
      <c r="AY15" s="116"/>
      <c r="AZ15" s="116"/>
      <c r="BA15" s="116"/>
      <c r="BB15" s="116"/>
      <c r="BC15" s="116"/>
      <c r="BD15" s="116"/>
      <c r="BE15" s="116"/>
      <c r="BF15" s="116"/>
      <c r="BG15" s="116"/>
      <c r="BH15" s="116"/>
      <c r="BI15" s="116"/>
      <c r="BJ15" s="116"/>
      <c r="BK15" s="116"/>
      <c r="BL15" s="116"/>
      <c r="BM15" s="116"/>
      <c r="BN15" s="116"/>
      <c r="BO15" s="116"/>
      <c r="BP15" s="116"/>
      <c r="BQ15" s="116"/>
      <c r="BR15" s="116"/>
      <c r="BS15" s="116"/>
      <c r="BT15" s="116"/>
      <c r="BU15" s="116"/>
      <c r="BV15" s="116"/>
      <c r="BW15" s="116"/>
      <c r="BX15" s="116"/>
      <c r="BY15" s="116"/>
      <c r="BZ15" s="116"/>
      <c r="CA15" s="116"/>
      <c r="CB15" s="116"/>
      <c r="CC15" s="116"/>
      <c r="CD15" s="116"/>
      <c r="CE15" s="116"/>
      <c r="CF15" s="116"/>
      <c r="CG15" s="116"/>
      <c r="CH15" s="116"/>
      <c r="CI15" s="116"/>
      <c r="CJ15" s="116"/>
      <c r="CK15" s="116"/>
      <c r="CL15" s="116"/>
      <c r="CM15" s="116"/>
      <c r="CN15" s="116"/>
      <c r="CO15" s="116"/>
      <c r="CP15" s="116"/>
      <c r="CQ15" s="116"/>
      <c r="CR15" s="116"/>
      <c r="CS15" s="116"/>
      <c r="CT15" s="116"/>
      <c r="CU15" s="116"/>
      <c r="CV15" s="116"/>
      <c r="CW15" s="116"/>
      <c r="CX15" s="116"/>
      <c r="CY15" s="116"/>
      <c r="CZ15" s="116"/>
      <c r="DA15" s="116"/>
      <c r="DB15" s="116"/>
      <c r="DC15" s="116"/>
      <c r="DD15" s="116"/>
      <c r="DE15" s="116"/>
      <c r="DF15" s="116"/>
      <c r="DG15" s="116"/>
      <c r="DH15" s="116"/>
      <c r="DI15" s="116"/>
      <c r="DJ15" s="116"/>
      <c r="DK15" s="116"/>
      <c r="DL15" s="116"/>
      <c r="DM15" s="116"/>
      <c r="DN15" s="116"/>
      <c r="DO15" s="116"/>
      <c r="DP15" s="116"/>
      <c r="DQ15" s="116"/>
      <c r="DR15" s="116"/>
      <c r="DS15" s="116"/>
      <c r="DT15" s="116"/>
      <c r="DU15" s="116"/>
      <c r="DV15" s="116"/>
      <c r="DW15" s="116"/>
      <c r="DX15" s="116"/>
    </row>
    <row r="16" spans="1:128" ht="17.25" x14ac:dyDescent="0.25">
      <c r="A16" s="2603" t="s">
        <v>686</v>
      </c>
      <c r="B16" s="39" t="s">
        <v>972</v>
      </c>
      <c r="C16" s="3004">
        <f t="shared" ref="C16:V16" si="7">IF(ISERROR(C13/C15),0,(C13/C15))</f>
        <v>0.12253672393440551</v>
      </c>
      <c r="D16" s="3004">
        <f t="shared" si="7"/>
        <v>0.19579744200092022</v>
      </c>
      <c r="E16" s="3004">
        <f t="shared" si="7"/>
        <v>8.1912009137965064E-2</v>
      </c>
      <c r="F16" s="3004">
        <f t="shared" si="7"/>
        <v>0.27533735328557851</v>
      </c>
      <c r="G16" s="3497">
        <f t="shared" si="7"/>
        <v>0.15973147813722674</v>
      </c>
      <c r="H16" s="2568">
        <f t="shared" si="7"/>
        <v>1.0475802201885847</v>
      </c>
      <c r="I16" s="2569">
        <f t="shared" si="7"/>
        <v>1.182001969573317</v>
      </c>
      <c r="J16" s="2569">
        <f t="shared" si="7"/>
        <v>1.0419322837249463</v>
      </c>
      <c r="K16" s="2569">
        <f t="shared" si="7"/>
        <v>1.1287303748781066</v>
      </c>
      <c r="L16" s="3501">
        <f t="shared" si="7"/>
        <v>1.0958381695994066</v>
      </c>
      <c r="M16" s="2568">
        <f t="shared" si="7"/>
        <v>2.0377503165745048</v>
      </c>
      <c r="N16" s="2569">
        <f t="shared" si="7"/>
        <v>1.9708036092644627</v>
      </c>
      <c r="O16" s="2569">
        <f t="shared" si="7"/>
        <v>1.524793738100275</v>
      </c>
      <c r="P16" s="2569">
        <f t="shared" si="7"/>
        <v>3.9232184054689077</v>
      </c>
      <c r="Q16" s="3511">
        <f t="shared" si="7"/>
        <v>2.0821288056775131</v>
      </c>
      <c r="R16" s="2568">
        <f t="shared" si="7"/>
        <v>1.5242939992180908</v>
      </c>
      <c r="S16" s="2569">
        <f t="shared" si="7"/>
        <v>1.3043141407948275</v>
      </c>
      <c r="T16" s="2569">
        <f t="shared" si="7"/>
        <v>1.3344187494461197</v>
      </c>
      <c r="U16" s="2569">
        <f t="shared" si="7"/>
        <v>3.7614723825226712</v>
      </c>
      <c r="V16" s="3527">
        <f t="shared" si="7"/>
        <v>1.4490713096378955</v>
      </c>
      <c r="W16" s="2548"/>
      <c r="X16" s="2549"/>
      <c r="Y16" s="2549"/>
      <c r="Z16" s="2549"/>
      <c r="AA16" s="1801">
        <f>IF(ISERROR(AA13/AA15),0,(AA13/AA15))</f>
        <v>1.2151554774815234E-4</v>
      </c>
      <c r="AB16" s="2548"/>
      <c r="AC16" s="2549"/>
      <c r="AD16" s="2549"/>
      <c r="AE16" s="2549"/>
      <c r="AF16" s="1801">
        <f>IF(ISERROR(AF13/AF15),0,(AF13/AF15))</f>
        <v>3.2887830367862177E-6</v>
      </c>
      <c r="AG16" s="2548"/>
      <c r="AH16" s="2549"/>
      <c r="AI16" s="2549"/>
      <c r="AJ16" s="2549"/>
      <c r="AK16" s="1801">
        <f>IF(ISERROR(AK13/AK15),0,(AK13/AK15))</f>
        <v>1.2480433078493856E-4</v>
      </c>
      <c r="AL16" s="34"/>
      <c r="AM16" s="34"/>
      <c r="AN16" s="34"/>
      <c r="AO16" s="34"/>
      <c r="AP16" s="116"/>
      <c r="AQ16" s="116"/>
      <c r="AR16" s="116"/>
      <c r="AS16" s="116"/>
      <c r="AT16" s="116"/>
      <c r="AU16" s="116"/>
      <c r="AV16" s="116"/>
      <c r="AW16" s="116"/>
      <c r="AX16" s="116"/>
      <c r="AY16" s="116"/>
      <c r="AZ16" s="116"/>
      <c r="BA16" s="116"/>
      <c r="BB16" s="116"/>
      <c r="BC16" s="116"/>
      <c r="BD16" s="116"/>
      <c r="BE16" s="116"/>
      <c r="BF16" s="116"/>
      <c r="BG16" s="116"/>
      <c r="BH16" s="116"/>
      <c r="BI16" s="116"/>
      <c r="BJ16" s="116"/>
      <c r="BK16" s="116"/>
      <c r="BL16" s="116"/>
      <c r="BM16" s="116"/>
      <c r="BN16" s="116"/>
      <c r="BO16" s="116"/>
      <c r="BP16" s="116"/>
      <c r="BQ16" s="116"/>
      <c r="BR16" s="116"/>
      <c r="BS16" s="116"/>
      <c r="BT16" s="116"/>
      <c r="BU16" s="116"/>
      <c r="BV16" s="116"/>
      <c r="BW16" s="116"/>
      <c r="BX16" s="116"/>
      <c r="BY16" s="116"/>
      <c r="BZ16" s="116"/>
      <c r="CA16" s="116"/>
      <c r="CB16" s="116"/>
      <c r="CC16" s="116"/>
      <c r="CD16" s="116"/>
      <c r="CE16" s="116"/>
      <c r="CF16" s="116"/>
      <c r="CG16" s="116"/>
      <c r="CH16" s="116"/>
      <c r="CI16" s="116"/>
      <c r="CJ16" s="116"/>
      <c r="CK16" s="116"/>
      <c r="CL16" s="116"/>
      <c r="CM16" s="116"/>
      <c r="CN16" s="116"/>
      <c r="CO16" s="116"/>
      <c r="CP16" s="116"/>
      <c r="CQ16" s="116"/>
      <c r="CR16" s="116"/>
      <c r="CS16" s="116"/>
      <c r="CT16" s="116"/>
      <c r="CU16" s="116"/>
      <c r="CV16" s="116"/>
      <c r="CW16" s="116"/>
      <c r="CX16" s="116"/>
      <c r="CY16" s="116"/>
      <c r="CZ16" s="116"/>
      <c r="DA16" s="116"/>
      <c r="DB16" s="116"/>
      <c r="DC16" s="116"/>
      <c r="DD16" s="116"/>
      <c r="DE16" s="116"/>
      <c r="DF16" s="116"/>
      <c r="DG16" s="116"/>
      <c r="DH16" s="116"/>
      <c r="DI16" s="116"/>
      <c r="DJ16" s="116"/>
      <c r="DK16" s="116"/>
      <c r="DL16" s="116"/>
      <c r="DM16" s="116"/>
      <c r="DN16" s="116"/>
      <c r="DO16" s="116"/>
      <c r="DP16" s="116"/>
      <c r="DQ16" s="116"/>
      <c r="DR16" s="116"/>
      <c r="DS16" s="116"/>
      <c r="DT16" s="116"/>
      <c r="DU16" s="116"/>
      <c r="DV16" s="116"/>
      <c r="DW16" s="116"/>
      <c r="DX16" s="116"/>
    </row>
    <row r="17" spans="1:128" s="9" customFormat="1" ht="32.25" x14ac:dyDescent="0.25">
      <c r="A17" s="2604" t="s">
        <v>987</v>
      </c>
      <c r="B17" s="101" t="s">
        <v>972</v>
      </c>
      <c r="C17" s="2964">
        <v>0.12903300000000001</v>
      </c>
      <c r="D17" s="2965">
        <f>$C$17</f>
        <v>0.12903300000000001</v>
      </c>
      <c r="E17" s="2965">
        <f>$C$17</f>
        <v>0.12903300000000001</v>
      </c>
      <c r="F17" s="2965">
        <f>$C$17</f>
        <v>0.12903300000000001</v>
      </c>
      <c r="G17" s="2965">
        <f>$C$17</f>
        <v>0.12903300000000001</v>
      </c>
      <c r="H17" s="2964">
        <v>1.218</v>
      </c>
      <c r="I17" s="2965">
        <v>1.218</v>
      </c>
      <c r="J17" s="2965">
        <v>1.218</v>
      </c>
      <c r="K17" s="2965">
        <v>1.218</v>
      </c>
      <c r="L17" s="2966">
        <v>1.218</v>
      </c>
      <c r="M17" s="2964">
        <v>1.5935964289925515</v>
      </c>
      <c r="N17" s="2965">
        <v>1.5935964289925515</v>
      </c>
      <c r="O17" s="2965">
        <v>1.5935964289925515</v>
      </c>
      <c r="P17" s="2965">
        <v>1.5935964289925515</v>
      </c>
      <c r="Q17" s="2966">
        <v>1.5935964289925515</v>
      </c>
      <c r="R17" s="2964">
        <v>1.63</v>
      </c>
      <c r="S17" s="2965">
        <v>1.63</v>
      </c>
      <c r="T17" s="2965">
        <v>1.63</v>
      </c>
      <c r="U17" s="2965">
        <v>1.63</v>
      </c>
      <c r="V17" s="2965">
        <v>1.63</v>
      </c>
      <c r="W17" s="2964"/>
      <c r="X17" s="2965"/>
      <c r="Y17" s="2965"/>
      <c r="Z17" s="2965"/>
      <c r="AA17" s="2966"/>
      <c r="AB17" s="2964"/>
      <c r="AC17" s="2965"/>
      <c r="AD17" s="2965"/>
      <c r="AE17" s="2965"/>
      <c r="AF17" s="2966"/>
      <c r="AG17" s="2964"/>
      <c r="AH17" s="2965"/>
      <c r="AI17" s="2965"/>
      <c r="AJ17" s="2965"/>
      <c r="AK17" s="2966"/>
      <c r="AL17" s="34"/>
      <c r="AM17" s="34"/>
      <c r="AN17" s="34"/>
      <c r="AO17" s="34"/>
      <c r="AP17" s="116"/>
      <c r="AQ17" s="116"/>
      <c r="AR17" s="116"/>
      <c r="AS17" s="116"/>
      <c r="AT17" s="116"/>
      <c r="AU17" s="116"/>
      <c r="AV17" s="116"/>
      <c r="AW17" s="116"/>
      <c r="AX17" s="116"/>
      <c r="AY17" s="116"/>
      <c r="AZ17" s="116"/>
      <c r="BA17" s="116"/>
      <c r="BB17" s="116"/>
      <c r="BC17" s="116"/>
      <c r="BD17" s="116"/>
      <c r="BE17" s="116"/>
      <c r="BF17" s="116"/>
      <c r="BG17" s="116"/>
      <c r="BH17" s="116"/>
      <c r="BI17" s="116"/>
      <c r="BJ17" s="116"/>
      <c r="BK17" s="116"/>
      <c r="BL17" s="116"/>
      <c r="BM17" s="116"/>
      <c r="BN17" s="116"/>
      <c r="BO17" s="116"/>
      <c r="BP17" s="116"/>
      <c r="BQ17" s="116"/>
      <c r="BR17" s="116"/>
      <c r="BS17" s="116"/>
      <c r="BT17" s="116"/>
      <c r="BU17" s="116"/>
      <c r="BV17" s="116"/>
      <c r="BW17" s="116"/>
      <c r="BX17" s="116"/>
      <c r="BY17" s="116"/>
      <c r="BZ17" s="116"/>
      <c r="CA17" s="116"/>
      <c r="CB17" s="116"/>
      <c r="CC17" s="116"/>
      <c r="CD17" s="116"/>
      <c r="CE17" s="116"/>
      <c r="CF17" s="116"/>
      <c r="CG17" s="116"/>
      <c r="CH17" s="116"/>
      <c r="CI17" s="116"/>
      <c r="CJ17" s="116"/>
      <c r="CK17" s="116"/>
      <c r="CL17" s="116"/>
      <c r="CM17" s="116"/>
      <c r="CN17" s="116"/>
      <c r="CO17" s="116"/>
      <c r="CP17" s="116"/>
      <c r="CQ17" s="116"/>
      <c r="CR17" s="116"/>
      <c r="CS17" s="116"/>
      <c r="CT17" s="116"/>
      <c r="CU17" s="116"/>
      <c r="CV17" s="116"/>
      <c r="CW17" s="116"/>
      <c r="CX17" s="116"/>
      <c r="CY17" s="116"/>
      <c r="CZ17" s="116"/>
      <c r="DA17" s="116"/>
      <c r="DB17" s="116"/>
      <c r="DC17" s="116"/>
      <c r="DD17" s="116"/>
      <c r="DE17" s="116"/>
      <c r="DF17" s="116"/>
      <c r="DG17" s="116"/>
      <c r="DH17" s="116"/>
      <c r="DI17" s="116"/>
      <c r="DJ17" s="116"/>
      <c r="DK17" s="116"/>
      <c r="DL17" s="116"/>
      <c r="DM17" s="116"/>
      <c r="DN17" s="116"/>
      <c r="DO17" s="116"/>
      <c r="DP17" s="116"/>
      <c r="DQ17" s="116"/>
      <c r="DR17" s="116"/>
      <c r="DS17" s="116"/>
      <c r="DT17" s="116"/>
      <c r="DU17" s="116"/>
      <c r="DV17" s="116"/>
      <c r="DW17" s="116"/>
      <c r="DX17" s="116"/>
    </row>
    <row r="18" spans="1:128" s="9" customFormat="1" ht="45" x14ac:dyDescent="0.25">
      <c r="A18" s="2605" t="s">
        <v>983</v>
      </c>
      <c r="B18" s="39" t="s">
        <v>98</v>
      </c>
      <c r="C18" s="2550">
        <f>IF(ISERROR((C16-C17)/C17),0,((C16-C17)/C17))</f>
        <v>-5.0345850019719737E-2</v>
      </c>
      <c r="D18" s="2577">
        <f t="shared" ref="D18:AK18" si="8">IF(ISERROR((D16-D17)/D17),0,((D16-D17)/D17))</f>
        <v>0.51742145033379217</v>
      </c>
      <c r="E18" s="2577">
        <f t="shared" si="8"/>
        <v>-0.36518557936368945</v>
      </c>
      <c r="F18" s="2577">
        <f t="shared" si="8"/>
        <v>1.133852218312978</v>
      </c>
      <c r="G18" s="3498">
        <f t="shared" si="8"/>
        <v>0.23791183757044113</v>
      </c>
      <c r="H18" s="2550">
        <f t="shared" si="8"/>
        <v>-0.1399177174149551</v>
      </c>
      <c r="I18" s="2577">
        <f t="shared" si="8"/>
        <v>-2.9555033191036886E-2</v>
      </c>
      <c r="J18" s="2577">
        <f t="shared" si="8"/>
        <v>-0.14455477526687496</v>
      </c>
      <c r="K18" s="2577">
        <f t="shared" si="8"/>
        <v>-7.329197464851675E-2</v>
      </c>
      <c r="L18" s="3502">
        <f t="shared" si="8"/>
        <v>-0.10029706929441164</v>
      </c>
      <c r="M18" s="2550">
        <f t="shared" si="8"/>
        <v>0.27871164838311097</v>
      </c>
      <c r="N18" s="2577">
        <f t="shared" si="8"/>
        <v>0.23670182325293998</v>
      </c>
      <c r="O18" s="2577">
        <f t="shared" si="8"/>
        <v>-4.3174476072196391E-2</v>
      </c>
      <c r="P18" s="2577">
        <f t="shared" si="8"/>
        <v>1.4618644558265665</v>
      </c>
      <c r="Q18" s="3498">
        <f t="shared" si="8"/>
        <v>0.30655965826542714</v>
      </c>
      <c r="R18" s="2550">
        <f t="shared" si="8"/>
        <v>-6.4850307228165066E-2</v>
      </c>
      <c r="S18" s="2577">
        <f t="shared" si="8"/>
        <v>-0.19980727558599531</v>
      </c>
      <c r="T18" s="2577">
        <f>IF(ISERROR((T16-T17)/T17),0,((T16-T17)/T17))</f>
        <v>-0.18133819052385289</v>
      </c>
      <c r="U18" s="2577">
        <f t="shared" si="8"/>
        <v>1.3076517684188169</v>
      </c>
      <c r="V18" s="3528">
        <f t="shared" si="8"/>
        <v>-0.11099919654116833</v>
      </c>
      <c r="W18" s="2550">
        <f t="shared" si="8"/>
        <v>0</v>
      </c>
      <c r="X18" s="2577">
        <f t="shared" si="8"/>
        <v>0</v>
      </c>
      <c r="Y18" s="2577">
        <f t="shared" si="8"/>
        <v>0</v>
      </c>
      <c r="Z18" s="2577">
        <f t="shared" si="8"/>
        <v>0</v>
      </c>
      <c r="AA18" s="2579">
        <f t="shared" si="8"/>
        <v>0</v>
      </c>
      <c r="AB18" s="2550">
        <f t="shared" si="8"/>
        <v>0</v>
      </c>
      <c r="AC18" s="2577">
        <f t="shared" si="8"/>
        <v>0</v>
      </c>
      <c r="AD18" s="2577">
        <f t="shared" si="8"/>
        <v>0</v>
      </c>
      <c r="AE18" s="2577">
        <f t="shared" si="8"/>
        <v>0</v>
      </c>
      <c r="AF18" s="2579">
        <f t="shared" si="8"/>
        <v>0</v>
      </c>
      <c r="AG18" s="2550">
        <f t="shared" si="8"/>
        <v>0</v>
      </c>
      <c r="AH18" s="2577">
        <f t="shared" si="8"/>
        <v>0</v>
      </c>
      <c r="AI18" s="2577">
        <f t="shared" si="8"/>
        <v>0</v>
      </c>
      <c r="AJ18" s="2577">
        <f t="shared" si="8"/>
        <v>0</v>
      </c>
      <c r="AK18" s="2579">
        <f t="shared" si="8"/>
        <v>0</v>
      </c>
      <c r="AL18" s="34"/>
      <c r="AM18" s="34"/>
      <c r="AN18" s="34"/>
      <c r="AO18" s="34"/>
      <c r="AP18" s="116"/>
      <c r="AQ18" s="116"/>
      <c r="AR18" s="116"/>
      <c r="AS18" s="116"/>
      <c r="AT18" s="116"/>
      <c r="AU18" s="116"/>
      <c r="AV18" s="116"/>
      <c r="AW18" s="116"/>
      <c r="AX18" s="116"/>
      <c r="AY18" s="116"/>
      <c r="AZ18" s="116"/>
      <c r="BA18" s="116"/>
      <c r="BB18" s="116"/>
      <c r="BC18" s="116"/>
      <c r="BD18" s="116"/>
      <c r="BE18" s="116"/>
      <c r="BF18" s="116"/>
      <c r="BG18" s="116"/>
      <c r="BH18" s="116"/>
      <c r="BI18" s="116"/>
      <c r="BJ18" s="116"/>
      <c r="BK18" s="116"/>
      <c r="BL18" s="116"/>
      <c r="BM18" s="116"/>
      <c r="BN18" s="116"/>
      <c r="BO18" s="116"/>
      <c r="BP18" s="116"/>
      <c r="BQ18" s="116"/>
      <c r="BR18" s="116"/>
      <c r="BS18" s="116"/>
      <c r="BT18" s="116"/>
      <c r="BU18" s="116"/>
      <c r="BV18" s="116"/>
      <c r="BW18" s="116"/>
      <c r="BX18" s="116"/>
      <c r="BY18" s="116"/>
      <c r="BZ18" s="116"/>
      <c r="CA18" s="116"/>
      <c r="CB18" s="116"/>
      <c r="CC18" s="116"/>
      <c r="CD18" s="116"/>
      <c r="CE18" s="116"/>
      <c r="CF18" s="116"/>
      <c r="CG18" s="116"/>
      <c r="CH18" s="116"/>
      <c r="CI18" s="116"/>
      <c r="CJ18" s="116"/>
      <c r="CK18" s="116"/>
      <c r="CL18" s="116"/>
      <c r="CM18" s="116"/>
      <c r="CN18" s="116"/>
      <c r="CO18" s="116"/>
      <c r="CP18" s="116"/>
      <c r="CQ18" s="116"/>
      <c r="CR18" s="116"/>
      <c r="CS18" s="116"/>
      <c r="CT18" s="116"/>
      <c r="CU18" s="116"/>
      <c r="CV18" s="116"/>
      <c r="CW18" s="116"/>
      <c r="CX18" s="116"/>
      <c r="CY18" s="116"/>
      <c r="CZ18" s="116"/>
      <c r="DA18" s="116"/>
      <c r="DB18" s="116"/>
      <c r="DC18" s="116"/>
      <c r="DD18" s="116"/>
      <c r="DE18" s="116"/>
      <c r="DF18" s="116"/>
      <c r="DG18" s="116"/>
      <c r="DH18" s="116"/>
      <c r="DI18" s="116"/>
      <c r="DJ18" s="116"/>
      <c r="DK18" s="116"/>
      <c r="DL18" s="116"/>
      <c r="DM18" s="116"/>
      <c r="DN18" s="116"/>
      <c r="DO18" s="116"/>
      <c r="DP18" s="116"/>
      <c r="DQ18" s="116"/>
      <c r="DR18" s="116"/>
      <c r="DS18" s="116"/>
      <c r="DT18" s="116"/>
      <c r="DU18" s="116"/>
      <c r="DV18" s="116"/>
      <c r="DW18" s="116"/>
      <c r="DX18" s="116"/>
    </row>
    <row r="19" spans="1:128" s="9" customFormat="1" ht="30" x14ac:dyDescent="0.25">
      <c r="A19" s="1789" t="s">
        <v>685</v>
      </c>
      <c r="B19" s="305" t="s">
        <v>973</v>
      </c>
      <c r="C19" s="1790" t="s">
        <v>676</v>
      </c>
      <c r="D19" s="1791" t="s">
        <v>676</v>
      </c>
      <c r="E19" s="1791" t="s">
        <v>676</v>
      </c>
      <c r="F19" s="1791" t="s">
        <v>676</v>
      </c>
      <c r="G19" s="1792" t="s">
        <v>676</v>
      </c>
      <c r="H19" s="1790" t="s">
        <v>676</v>
      </c>
      <c r="I19" s="1791" t="s">
        <v>676</v>
      </c>
      <c r="J19" s="1791" t="s">
        <v>676</v>
      </c>
      <c r="K19" s="1791" t="s">
        <v>676</v>
      </c>
      <c r="L19" s="1792" t="s">
        <v>676</v>
      </c>
      <c r="M19" s="1790" t="s">
        <v>676</v>
      </c>
      <c r="N19" s="1791" t="s">
        <v>676</v>
      </c>
      <c r="O19" s="1791" t="s">
        <v>676</v>
      </c>
      <c r="P19" s="1791" t="s">
        <v>676</v>
      </c>
      <c r="Q19" s="1792" t="s">
        <v>676</v>
      </c>
      <c r="R19" s="1790" t="s">
        <v>676</v>
      </c>
      <c r="S19" s="1791" t="s">
        <v>676</v>
      </c>
      <c r="T19" s="1791" t="s">
        <v>676</v>
      </c>
      <c r="U19" s="1791" t="s">
        <v>676</v>
      </c>
      <c r="V19" s="1791" t="s">
        <v>676</v>
      </c>
      <c r="W19" s="1790" t="s">
        <v>676</v>
      </c>
      <c r="X19" s="1791" t="s">
        <v>676</v>
      </c>
      <c r="Y19" s="1791" t="s">
        <v>676</v>
      </c>
      <c r="Z19" s="1791" t="s">
        <v>676</v>
      </c>
      <c r="AA19" s="1792" t="s">
        <v>676</v>
      </c>
      <c r="AB19" s="1790" t="s">
        <v>676</v>
      </c>
      <c r="AC19" s="1791" t="s">
        <v>676</v>
      </c>
      <c r="AD19" s="1791" t="s">
        <v>676</v>
      </c>
      <c r="AE19" s="1791" t="s">
        <v>676</v>
      </c>
      <c r="AF19" s="1792" t="s">
        <v>676</v>
      </c>
      <c r="AG19" s="1790" t="s">
        <v>676</v>
      </c>
      <c r="AH19" s="1791" t="s">
        <v>676</v>
      </c>
      <c r="AI19" s="1791" t="s">
        <v>676</v>
      </c>
      <c r="AJ19" s="1791" t="s">
        <v>676</v>
      </c>
      <c r="AK19" s="1792" t="s">
        <v>676</v>
      </c>
      <c r="AL19" s="34"/>
      <c r="AM19" s="34"/>
      <c r="AN19" s="34"/>
      <c r="AO19" s="34"/>
      <c r="AP19" s="116"/>
      <c r="AQ19" s="116"/>
      <c r="AR19" s="116"/>
      <c r="AS19" s="116"/>
      <c r="AT19" s="116"/>
      <c r="AU19" s="116"/>
      <c r="AV19" s="116"/>
      <c r="AW19" s="116"/>
      <c r="AX19" s="116"/>
      <c r="AY19" s="116"/>
      <c r="AZ19" s="116"/>
      <c r="BA19" s="116"/>
      <c r="BB19" s="116"/>
      <c r="BC19" s="116"/>
      <c r="BD19" s="116"/>
      <c r="BE19" s="116"/>
      <c r="BF19" s="116"/>
      <c r="BG19" s="116"/>
      <c r="BH19" s="116"/>
      <c r="BI19" s="116"/>
      <c r="BJ19" s="116"/>
      <c r="BK19" s="116"/>
      <c r="BL19" s="116"/>
      <c r="BM19" s="116"/>
      <c r="BN19" s="116"/>
      <c r="BO19" s="116"/>
      <c r="BP19" s="116"/>
      <c r="BQ19" s="116"/>
      <c r="BR19" s="116"/>
      <c r="BS19" s="116"/>
      <c r="BT19" s="116"/>
      <c r="BU19" s="116"/>
      <c r="BV19" s="116"/>
      <c r="BW19" s="116"/>
      <c r="BX19" s="116"/>
      <c r="BY19" s="116"/>
      <c r="BZ19" s="116"/>
      <c r="CA19" s="116"/>
      <c r="CB19" s="116"/>
      <c r="CC19" s="116"/>
      <c r="CD19" s="116"/>
      <c r="CE19" s="116"/>
      <c r="CF19" s="116"/>
      <c r="CG19" s="116"/>
      <c r="CH19" s="116"/>
      <c r="CI19" s="116"/>
      <c r="CJ19" s="116"/>
      <c r="CK19" s="116"/>
      <c r="CL19" s="116"/>
      <c r="CM19" s="116"/>
      <c r="CN19" s="116"/>
      <c r="CO19" s="116"/>
      <c r="CP19" s="116"/>
      <c r="CQ19" s="116"/>
      <c r="CR19" s="116"/>
      <c r="CS19" s="116"/>
      <c r="CT19" s="116"/>
      <c r="CU19" s="116"/>
      <c r="CV19" s="116"/>
      <c r="CW19" s="116"/>
      <c r="CX19" s="116"/>
      <c r="CY19" s="116"/>
      <c r="CZ19" s="116"/>
      <c r="DA19" s="116"/>
      <c r="DB19" s="116"/>
      <c r="DC19" s="116"/>
      <c r="DD19" s="116"/>
      <c r="DE19" s="116"/>
      <c r="DF19" s="116"/>
      <c r="DG19" s="116"/>
      <c r="DH19" s="116"/>
      <c r="DI19" s="116"/>
      <c r="DJ19" s="116"/>
      <c r="DK19" s="116"/>
      <c r="DL19" s="116"/>
      <c r="DM19" s="116"/>
      <c r="DN19" s="116"/>
      <c r="DO19" s="116"/>
      <c r="DP19" s="116"/>
      <c r="DQ19" s="116"/>
      <c r="DR19" s="116"/>
      <c r="DS19" s="116"/>
      <c r="DT19" s="116"/>
      <c r="DU19" s="116"/>
      <c r="DV19" s="116"/>
      <c r="DW19" s="116"/>
      <c r="DX19" s="116"/>
    </row>
    <row r="20" spans="1:128" ht="17.25" x14ac:dyDescent="0.25">
      <c r="A20" s="21" t="s">
        <v>974</v>
      </c>
      <c r="B20" s="39" t="s">
        <v>972</v>
      </c>
      <c r="C20" s="2589">
        <f>IF(ISERROR(C6/C15),0,(C6/C15))</f>
        <v>3.8232915511427767E-2</v>
      </c>
      <c r="D20" s="2590">
        <f t="shared" ref="D20:AK20" si="9">IF(ISERROR(D6/D15),0,(D6/D15))</f>
        <v>3.1191245622821946E-2</v>
      </c>
      <c r="E20" s="2590">
        <f t="shared" si="9"/>
        <v>3.6633923556823877E-2</v>
      </c>
      <c r="F20" s="2590">
        <f t="shared" si="9"/>
        <v>6.5141077429995253E-2</v>
      </c>
      <c r="G20" s="2591">
        <f t="shared" si="9"/>
        <v>4.0797302297730605E-2</v>
      </c>
      <c r="H20" s="2589">
        <f t="shared" si="9"/>
        <v>0.38787435703453588</v>
      </c>
      <c r="I20" s="2590">
        <f t="shared" si="9"/>
        <v>0.26700493385557622</v>
      </c>
      <c r="J20" s="2590">
        <f t="shared" si="9"/>
        <v>0.30093089538646461</v>
      </c>
      <c r="K20" s="2590">
        <f t="shared" si="9"/>
        <v>0.33774430276928957</v>
      </c>
      <c r="L20" s="2591">
        <f t="shared" si="9"/>
        <v>0.32414328757876826</v>
      </c>
      <c r="M20" s="2589">
        <f t="shared" si="9"/>
        <v>1.4603788712766703E-2</v>
      </c>
      <c r="N20" s="2590">
        <f t="shared" si="9"/>
        <v>1.4777686907374268E-2</v>
      </c>
      <c r="O20" s="2590">
        <f t="shared" si="9"/>
        <v>9.2659191876454418E-3</v>
      </c>
      <c r="P20" s="2590">
        <f t="shared" si="9"/>
        <v>2.1050617165821451E-2</v>
      </c>
      <c r="Q20" s="2591">
        <f t="shared" si="9"/>
        <v>1.3917158701588529E-2</v>
      </c>
      <c r="R20" s="2589">
        <f t="shared" si="9"/>
        <v>0.4647571587159065</v>
      </c>
      <c r="S20" s="2590">
        <f t="shared" si="9"/>
        <v>0.47159369600356726</v>
      </c>
      <c r="T20" s="2590">
        <f t="shared" si="9"/>
        <v>0.25349124509271481</v>
      </c>
      <c r="U20" s="2590">
        <f t="shared" si="9"/>
        <v>0.93449610698909957</v>
      </c>
      <c r="V20" s="2590">
        <f t="shared" si="9"/>
        <v>0.41389892072259088</v>
      </c>
      <c r="W20" s="3015">
        <f t="shared" si="9"/>
        <v>0</v>
      </c>
      <c r="X20" s="2590">
        <f t="shared" si="9"/>
        <v>0</v>
      </c>
      <c r="Y20" s="2590">
        <f t="shared" si="9"/>
        <v>0</v>
      </c>
      <c r="Z20" s="2590">
        <f t="shared" si="9"/>
        <v>0</v>
      </c>
      <c r="AA20" s="2591">
        <f t="shared" si="9"/>
        <v>1.2151554774815234E-4</v>
      </c>
      <c r="AB20" s="2589">
        <f t="shared" si="9"/>
        <v>0</v>
      </c>
      <c r="AC20" s="2590">
        <f t="shared" si="9"/>
        <v>0</v>
      </c>
      <c r="AD20" s="2590">
        <f t="shared" si="9"/>
        <v>0</v>
      </c>
      <c r="AE20" s="2590">
        <f t="shared" si="9"/>
        <v>0</v>
      </c>
      <c r="AF20" s="2591">
        <f t="shared" si="9"/>
        <v>3.2887830367862177E-6</v>
      </c>
      <c r="AG20" s="2589">
        <f t="shared" si="9"/>
        <v>0</v>
      </c>
      <c r="AH20" s="2590">
        <f t="shared" si="9"/>
        <v>0</v>
      </c>
      <c r="AI20" s="2590">
        <f t="shared" si="9"/>
        <v>0</v>
      </c>
      <c r="AJ20" s="2590">
        <f t="shared" si="9"/>
        <v>0</v>
      </c>
      <c r="AK20" s="2591">
        <f t="shared" si="9"/>
        <v>1.2480433078493856E-4</v>
      </c>
      <c r="AL20" s="34"/>
      <c r="AM20" s="34"/>
      <c r="AN20" s="34"/>
      <c r="AO20" s="34"/>
      <c r="AP20" s="116"/>
      <c r="AQ20" s="116"/>
      <c r="AR20" s="116"/>
      <c r="AS20" s="116"/>
      <c r="AT20" s="116"/>
      <c r="AU20" s="116"/>
      <c r="AV20" s="116"/>
      <c r="AW20" s="116"/>
      <c r="AX20" s="116"/>
      <c r="AY20" s="116"/>
      <c r="AZ20" s="116"/>
      <c r="BA20" s="116"/>
      <c r="BB20" s="116"/>
      <c r="BC20" s="116"/>
      <c r="BD20" s="116"/>
      <c r="BE20" s="116"/>
      <c r="BF20" s="116"/>
      <c r="BG20" s="116"/>
      <c r="BH20" s="116"/>
      <c r="BI20" s="116"/>
      <c r="BJ20" s="116"/>
      <c r="BK20" s="116"/>
      <c r="BL20" s="116"/>
      <c r="BM20" s="116"/>
      <c r="BN20" s="116"/>
      <c r="BO20" s="116"/>
      <c r="BP20" s="116"/>
      <c r="BQ20" s="116"/>
      <c r="BR20" s="116"/>
      <c r="BS20" s="116"/>
      <c r="BT20" s="116"/>
      <c r="BU20" s="116"/>
      <c r="BV20" s="116"/>
      <c r="BW20" s="116"/>
      <c r="BX20" s="116"/>
      <c r="BY20" s="116"/>
      <c r="BZ20" s="116"/>
      <c r="CA20" s="116"/>
      <c r="CB20" s="116"/>
      <c r="CC20" s="116"/>
      <c r="CD20" s="116"/>
      <c r="CE20" s="116"/>
      <c r="CF20" s="116"/>
      <c r="CG20" s="116"/>
      <c r="CH20" s="116"/>
      <c r="CI20" s="116"/>
      <c r="CJ20" s="116"/>
      <c r="CK20" s="116"/>
      <c r="CL20" s="116"/>
      <c r="CM20" s="116"/>
      <c r="CN20" s="116"/>
      <c r="CO20" s="116"/>
      <c r="CP20" s="116"/>
      <c r="CQ20" s="116"/>
      <c r="CR20" s="116"/>
      <c r="CS20" s="116"/>
      <c r="CT20" s="116"/>
      <c r="CU20" s="116"/>
      <c r="CV20" s="116"/>
      <c r="CW20" s="116"/>
      <c r="CX20" s="116"/>
      <c r="CY20" s="116"/>
      <c r="CZ20" s="116"/>
      <c r="DA20" s="116"/>
      <c r="DB20" s="116"/>
      <c r="DC20" s="116"/>
      <c r="DD20" s="116"/>
      <c r="DE20" s="116"/>
      <c r="DF20" s="116"/>
      <c r="DG20" s="116"/>
      <c r="DH20" s="116"/>
      <c r="DI20" s="116"/>
      <c r="DJ20" s="116"/>
      <c r="DK20" s="116"/>
      <c r="DL20" s="116"/>
      <c r="DM20" s="116"/>
      <c r="DN20" s="116"/>
      <c r="DO20" s="116"/>
      <c r="DP20" s="116"/>
      <c r="DQ20" s="116"/>
      <c r="DR20" s="116"/>
      <c r="DS20" s="116"/>
      <c r="DT20" s="116"/>
      <c r="DU20" s="116"/>
      <c r="DV20" s="116"/>
      <c r="DW20" s="116"/>
      <c r="DX20" s="116"/>
    </row>
    <row r="21" spans="1:128" s="9" customFormat="1" ht="17.25" x14ac:dyDescent="0.25">
      <c r="A21" s="21" t="s">
        <v>975</v>
      </c>
      <c r="B21" s="39" t="s">
        <v>972</v>
      </c>
      <c r="C21" s="2589">
        <f>IF(ISERROR(C7/C15),0,(C7/C15))</f>
        <v>8.1017826715351363E-2</v>
      </c>
      <c r="D21" s="2590">
        <f t="shared" ref="D21:AK21" si="10">IF(ISERROR(D7/D15),0,(D7/D15))</f>
        <v>0.1408287702939976</v>
      </c>
      <c r="E21" s="2590">
        <f t="shared" si="10"/>
        <v>6.4588108501950547E-3</v>
      </c>
      <c r="F21" s="2590">
        <f t="shared" si="10"/>
        <v>0</v>
      </c>
      <c r="G21" s="2591">
        <f t="shared" si="10"/>
        <v>6.3914717707794638E-2</v>
      </c>
      <c r="H21" s="2589">
        <f t="shared" si="10"/>
        <v>0.22133592326521223</v>
      </c>
      <c r="I21" s="2590">
        <f t="shared" si="10"/>
        <v>0.46626051452002193</v>
      </c>
      <c r="J21" s="2590">
        <f t="shared" si="10"/>
        <v>0.24072450797966569</v>
      </c>
      <c r="K21" s="2590">
        <f t="shared" si="10"/>
        <v>0.4964979378555</v>
      </c>
      <c r="L21" s="2591">
        <f t="shared" si="10"/>
        <v>0.33698051375653443</v>
      </c>
      <c r="M21" s="2589">
        <f t="shared" si="10"/>
        <v>0.89620492392666928</v>
      </c>
      <c r="N21" s="2590">
        <f t="shared" si="10"/>
        <v>0.73305424423265342</v>
      </c>
      <c r="O21" s="2590">
        <f t="shared" si="10"/>
        <v>0.49289189760947749</v>
      </c>
      <c r="P21" s="2590">
        <f t="shared" si="10"/>
        <v>0.41924749359444602</v>
      </c>
      <c r="Q21" s="2591">
        <f t="shared" si="10"/>
        <v>0.69380344396409122</v>
      </c>
      <c r="R21" s="2589">
        <f t="shared" si="10"/>
        <v>1.0595368405021846</v>
      </c>
      <c r="S21" s="2590">
        <f t="shared" si="10"/>
        <v>0.83272044479126028</v>
      </c>
      <c r="T21" s="2590">
        <f t="shared" si="10"/>
        <v>1.0809275043534048</v>
      </c>
      <c r="U21" s="2590">
        <f t="shared" si="10"/>
        <v>2.8269762755335717</v>
      </c>
      <c r="V21" s="2590">
        <f t="shared" si="10"/>
        <v>1.0351723889153046</v>
      </c>
      <c r="W21" s="2592"/>
      <c r="X21" s="2593"/>
      <c r="Y21" s="2593"/>
      <c r="Z21" s="2593"/>
      <c r="AA21" s="2594"/>
      <c r="AB21" s="2592"/>
      <c r="AC21" s="2593"/>
      <c r="AD21" s="2593"/>
      <c r="AE21" s="2593"/>
      <c r="AF21" s="2594"/>
      <c r="AG21" s="2592"/>
      <c r="AH21" s="2593"/>
      <c r="AI21" s="2593"/>
      <c r="AJ21" s="2593"/>
      <c r="AK21" s="2594">
        <f t="shared" si="10"/>
        <v>0</v>
      </c>
      <c r="AL21" s="34"/>
      <c r="AM21" s="34"/>
      <c r="AN21" s="34"/>
      <c r="AO21" s="34"/>
      <c r="AP21" s="116"/>
      <c r="AQ21" s="116"/>
      <c r="AR21" s="116"/>
      <c r="AS21" s="116"/>
      <c r="AT21" s="116"/>
      <c r="AU21" s="116"/>
      <c r="AV21" s="116"/>
      <c r="AW21" s="116"/>
      <c r="AX21" s="116"/>
      <c r="AY21" s="116"/>
      <c r="AZ21" s="116"/>
      <c r="BA21" s="116"/>
      <c r="BB21" s="116"/>
      <c r="BC21" s="116"/>
      <c r="BD21" s="116"/>
      <c r="BE21" s="116"/>
      <c r="BF21" s="116"/>
      <c r="BG21" s="116"/>
      <c r="BH21" s="116"/>
      <c r="BI21" s="116"/>
      <c r="BJ21" s="116"/>
      <c r="BK21" s="116"/>
      <c r="BL21" s="116"/>
      <c r="BM21" s="116"/>
      <c r="BN21" s="116"/>
      <c r="BO21" s="116"/>
      <c r="BP21" s="116"/>
      <c r="BQ21" s="116"/>
      <c r="BR21" s="116"/>
      <c r="BS21" s="116"/>
      <c r="BT21" s="116"/>
      <c r="BU21" s="116"/>
      <c r="BV21" s="116"/>
      <c r="BW21" s="116"/>
      <c r="BX21" s="116"/>
      <c r="BY21" s="116"/>
      <c r="BZ21" s="116"/>
      <c r="CA21" s="116"/>
      <c r="CB21" s="116"/>
      <c r="CC21" s="116"/>
      <c r="CD21" s="116"/>
      <c r="CE21" s="116"/>
      <c r="CF21" s="116"/>
      <c r="CG21" s="116"/>
      <c r="CH21" s="116"/>
      <c r="CI21" s="116"/>
      <c r="CJ21" s="116"/>
      <c r="CK21" s="116"/>
      <c r="CL21" s="116"/>
      <c r="CM21" s="116"/>
      <c r="CN21" s="116"/>
      <c r="CO21" s="116"/>
      <c r="CP21" s="116"/>
      <c r="CQ21" s="116"/>
      <c r="CR21" s="116"/>
      <c r="CS21" s="116"/>
      <c r="CT21" s="116"/>
      <c r="CU21" s="116"/>
      <c r="CV21" s="116"/>
      <c r="CW21" s="116"/>
      <c r="CX21" s="116"/>
      <c r="CY21" s="116"/>
      <c r="CZ21" s="116"/>
      <c r="DA21" s="116"/>
      <c r="DB21" s="116"/>
      <c r="DC21" s="116"/>
      <c r="DD21" s="116"/>
      <c r="DE21" s="116"/>
      <c r="DF21" s="116"/>
      <c r="DG21" s="116"/>
      <c r="DH21" s="116"/>
      <c r="DI21" s="116"/>
      <c r="DJ21" s="116"/>
      <c r="DK21" s="116"/>
      <c r="DL21" s="116"/>
      <c r="DM21" s="116"/>
      <c r="DN21" s="116"/>
      <c r="DO21" s="116"/>
      <c r="DP21" s="116"/>
      <c r="DQ21" s="116"/>
      <c r="DR21" s="116"/>
      <c r="DS21" s="116"/>
      <c r="DT21" s="116"/>
      <c r="DU21" s="116"/>
      <c r="DV21" s="116"/>
      <c r="DW21" s="116"/>
      <c r="DX21" s="116"/>
    </row>
    <row r="22" spans="1:128" s="9" customFormat="1" ht="17.25" x14ac:dyDescent="0.25">
      <c r="A22" s="21" t="s">
        <v>976</v>
      </c>
      <c r="B22" s="39" t="s">
        <v>972</v>
      </c>
      <c r="C22" s="2590">
        <f>IF(ISERROR(C8/C15),0,(C8/C15))</f>
        <v>0.12253672393440551</v>
      </c>
      <c r="D22" s="2590">
        <f t="shared" ref="D22:AK22" si="11">IF(ISERROR(D8/D15),0,(D8/D15))</f>
        <v>0.19579744200092022</v>
      </c>
      <c r="E22" s="2590">
        <f t="shared" si="11"/>
        <v>8.1912009137965064E-2</v>
      </c>
      <c r="F22" s="2590">
        <f t="shared" si="11"/>
        <v>0.27533735328557851</v>
      </c>
      <c r="G22" s="2591">
        <f t="shared" si="11"/>
        <v>0.15973147813722674</v>
      </c>
      <c r="H22" s="2589">
        <f t="shared" si="11"/>
        <v>1.0475802201885847</v>
      </c>
      <c r="I22" s="2590">
        <f t="shared" si="11"/>
        <v>1.182001969573317</v>
      </c>
      <c r="J22" s="2590">
        <f t="shared" si="11"/>
        <v>1.0419322837249463</v>
      </c>
      <c r="K22" s="2590">
        <f t="shared" si="11"/>
        <v>1.1287303748781066</v>
      </c>
      <c r="L22" s="2591">
        <f t="shared" si="11"/>
        <v>1.0958381695994066</v>
      </c>
      <c r="M22" s="2589">
        <f t="shared" si="11"/>
        <v>2.0377503165745048</v>
      </c>
      <c r="N22" s="2590">
        <f t="shared" si="11"/>
        <v>1.9708036092644627</v>
      </c>
      <c r="O22" s="2590">
        <f t="shared" si="11"/>
        <v>1.524793738100275</v>
      </c>
      <c r="P22" s="2590">
        <f t="shared" si="11"/>
        <v>3.9232184054689077</v>
      </c>
      <c r="Q22" s="2591">
        <f t="shared" si="11"/>
        <v>2.0821288056775131</v>
      </c>
      <c r="R22" s="2589">
        <f t="shared" si="11"/>
        <v>1.5242939992180908</v>
      </c>
      <c r="S22" s="2590">
        <f t="shared" si="11"/>
        <v>1.3043141407948275</v>
      </c>
      <c r="T22" s="2590">
        <f t="shared" si="11"/>
        <v>1.3344187494461197</v>
      </c>
      <c r="U22" s="2590">
        <f t="shared" si="11"/>
        <v>3.7614723825226712</v>
      </c>
      <c r="V22" s="2590">
        <f t="shared" si="11"/>
        <v>1.4490713096378955</v>
      </c>
      <c r="W22" s="2592"/>
      <c r="X22" s="2593"/>
      <c r="Y22" s="2593"/>
      <c r="Z22" s="2593"/>
      <c r="AA22" s="2591">
        <f t="shared" si="11"/>
        <v>1.2151554774815234E-4</v>
      </c>
      <c r="AB22" s="2592"/>
      <c r="AC22" s="2593"/>
      <c r="AD22" s="2593"/>
      <c r="AE22" s="2593"/>
      <c r="AF22" s="2591">
        <f t="shared" si="11"/>
        <v>3.2887830367862177E-6</v>
      </c>
      <c r="AG22" s="2592"/>
      <c r="AH22" s="2593"/>
      <c r="AI22" s="2593"/>
      <c r="AJ22" s="2593"/>
      <c r="AK22" s="2591">
        <f t="shared" si="11"/>
        <v>1.2480433078493856E-4</v>
      </c>
      <c r="AL22" s="34"/>
      <c r="AM22" s="34"/>
      <c r="AN22" s="34"/>
      <c r="AO22" s="34"/>
      <c r="AP22" s="116"/>
      <c r="AQ22" s="116"/>
      <c r="AR22" s="116"/>
      <c r="AS22" s="116"/>
      <c r="AT22" s="116"/>
      <c r="AU22" s="116"/>
      <c r="AV22" s="116"/>
      <c r="AW22" s="116"/>
      <c r="AX22" s="116"/>
      <c r="AY22" s="116"/>
      <c r="AZ22" s="116"/>
      <c r="BA22" s="116"/>
      <c r="BB22" s="116"/>
      <c r="BC22" s="116"/>
      <c r="BD22" s="116"/>
      <c r="BE22" s="116"/>
      <c r="BF22" s="116"/>
      <c r="BG22" s="116"/>
      <c r="BH22" s="116"/>
      <c r="BI22" s="116"/>
      <c r="BJ22" s="116"/>
      <c r="BK22" s="116"/>
      <c r="BL22" s="116"/>
      <c r="BM22" s="116"/>
      <c r="BN22" s="116"/>
      <c r="BO22" s="116"/>
      <c r="BP22" s="116"/>
      <c r="BQ22" s="116"/>
      <c r="BR22" s="116"/>
      <c r="BS22" s="116"/>
      <c r="BT22" s="116"/>
      <c r="BU22" s="116"/>
      <c r="BV22" s="116"/>
      <c r="BW22" s="116"/>
      <c r="BX22" s="116"/>
      <c r="BY22" s="116"/>
      <c r="BZ22" s="116"/>
      <c r="CA22" s="116"/>
      <c r="CB22" s="116"/>
      <c r="CC22" s="116"/>
      <c r="CD22" s="116"/>
      <c r="CE22" s="116"/>
      <c r="CF22" s="116"/>
      <c r="CG22" s="116"/>
      <c r="CH22" s="116"/>
      <c r="CI22" s="116"/>
      <c r="CJ22" s="116"/>
      <c r="CK22" s="116"/>
      <c r="CL22" s="116"/>
      <c r="CM22" s="116"/>
      <c r="CN22" s="116"/>
      <c r="CO22" s="116"/>
      <c r="CP22" s="116"/>
      <c r="CQ22" s="116"/>
      <c r="CR22" s="116"/>
      <c r="CS22" s="116"/>
      <c r="CT22" s="116"/>
      <c r="CU22" s="116"/>
      <c r="CV22" s="116"/>
      <c r="CW22" s="116"/>
      <c r="CX22" s="116"/>
      <c r="CY22" s="116"/>
      <c r="CZ22" s="116"/>
      <c r="DA22" s="116"/>
      <c r="DB22" s="116"/>
      <c r="DC22" s="116"/>
      <c r="DD22" s="116"/>
      <c r="DE22" s="116"/>
      <c r="DF22" s="116"/>
      <c r="DG22" s="116"/>
      <c r="DH22" s="116"/>
      <c r="DI22" s="116"/>
      <c r="DJ22" s="116"/>
      <c r="DK22" s="116"/>
      <c r="DL22" s="116"/>
      <c r="DM22" s="116"/>
      <c r="DN22" s="116"/>
      <c r="DO22" s="116"/>
      <c r="DP22" s="116"/>
      <c r="DQ22" s="116"/>
      <c r="DR22" s="116"/>
      <c r="DS22" s="116"/>
      <c r="DT22" s="116"/>
      <c r="DU22" s="116"/>
      <c r="DV22" s="116"/>
      <c r="DW22" s="116"/>
      <c r="DX22" s="116"/>
    </row>
    <row r="23" spans="1:128" s="9" customFormat="1" ht="17.25" x14ac:dyDescent="0.25">
      <c r="A23" s="21" t="s">
        <v>977</v>
      </c>
      <c r="B23" s="39" t="s">
        <v>972</v>
      </c>
      <c r="C23" s="2590">
        <f t="shared" ref="C23:H23" si="12">IF(ISERROR(C9/C15),0,(C9/C15))</f>
        <v>0.1218711241501767</v>
      </c>
      <c r="D23" s="2590">
        <f t="shared" si="12"/>
        <v>0.19505338231010771</v>
      </c>
      <c r="E23" s="2590">
        <f t="shared" si="12"/>
        <v>0.11632374315032104</v>
      </c>
      <c r="F23" s="2590">
        <f t="shared" si="12"/>
        <v>0.35473859501897831</v>
      </c>
      <c r="G23" s="2590">
        <f t="shared" si="12"/>
        <v>0.18224287537517866</v>
      </c>
      <c r="H23" s="2589">
        <f t="shared" si="12"/>
        <v>1.0475802201885847</v>
      </c>
      <c r="I23" s="2590">
        <f t="shared" ref="I23:V23" si="13">IF(ISERROR(I9/I15),0,(I9/I15))</f>
        <v>1.182001969573317</v>
      </c>
      <c r="J23" s="2590">
        <f t="shared" si="13"/>
        <v>1.0419322837249463</v>
      </c>
      <c r="K23" s="2590">
        <f t="shared" si="13"/>
        <v>1.1159166281168353</v>
      </c>
      <c r="L23" s="2591">
        <f t="shared" si="13"/>
        <v>1.0938251560592385</v>
      </c>
      <c r="M23" s="2805">
        <f t="shared" si="13"/>
        <v>2.0377503165745048</v>
      </c>
      <c r="N23" s="2806">
        <f t="shared" si="13"/>
        <v>1.9708036092644627</v>
      </c>
      <c r="O23" s="2806">
        <f t="shared" si="13"/>
        <v>1.524793738100275</v>
      </c>
      <c r="P23" s="2806">
        <f t="shared" si="13"/>
        <v>0</v>
      </c>
      <c r="Q23" s="3644">
        <f t="shared" si="13"/>
        <v>1.6682991198509223</v>
      </c>
      <c r="R23" s="2589">
        <f t="shared" si="13"/>
        <v>1.8164107130707488</v>
      </c>
      <c r="S23" s="2590">
        <f t="shared" si="13"/>
        <v>1.5625822139234156</v>
      </c>
      <c r="T23" s="2590">
        <f t="shared" si="13"/>
        <v>1.6193067728299062</v>
      </c>
      <c r="U23" s="2590">
        <f t="shared" si="13"/>
        <v>6.5537693505541812</v>
      </c>
      <c r="V23" s="2590">
        <f t="shared" si="13"/>
        <v>1.7913441370421161</v>
      </c>
      <c r="W23" s="2592"/>
      <c r="X23" s="2593"/>
      <c r="Y23" s="2593"/>
      <c r="Z23" s="2593"/>
      <c r="AA23" s="2594"/>
      <c r="AB23" s="2592"/>
      <c r="AC23" s="2593"/>
      <c r="AD23" s="2593"/>
      <c r="AE23" s="2593"/>
      <c r="AF23" s="2594"/>
      <c r="AG23" s="2592"/>
      <c r="AH23" s="2593"/>
      <c r="AI23" s="2593"/>
      <c r="AJ23" s="2593"/>
      <c r="AK23" s="2594"/>
      <c r="AL23" s="34"/>
      <c r="AM23" s="34"/>
      <c r="AN23" s="34"/>
      <c r="AO23" s="34"/>
      <c r="AP23" s="116"/>
      <c r="AQ23" s="116"/>
      <c r="AR23" s="116"/>
      <c r="AS23" s="116"/>
      <c r="AT23" s="116"/>
      <c r="AU23" s="116"/>
      <c r="AV23" s="116"/>
      <c r="AW23" s="116"/>
      <c r="AX23" s="116"/>
      <c r="AY23" s="116"/>
      <c r="AZ23" s="116"/>
      <c r="BA23" s="116"/>
      <c r="BB23" s="116"/>
      <c r="BC23" s="116"/>
      <c r="BD23" s="116"/>
      <c r="BE23" s="116"/>
      <c r="BF23" s="116"/>
      <c r="BG23" s="116"/>
      <c r="BH23" s="116"/>
      <c r="BI23" s="116"/>
      <c r="BJ23" s="116"/>
      <c r="BK23" s="116"/>
      <c r="BL23" s="116"/>
      <c r="BM23" s="116"/>
      <c r="BN23" s="116"/>
      <c r="BO23" s="116"/>
      <c r="BP23" s="116"/>
      <c r="BQ23" s="116"/>
      <c r="BR23" s="116"/>
      <c r="BS23" s="116"/>
      <c r="BT23" s="116"/>
      <c r="BU23" s="116"/>
      <c r="BV23" s="116"/>
      <c r="BW23" s="116"/>
      <c r="BX23" s="116"/>
      <c r="BY23" s="116"/>
      <c r="BZ23" s="116"/>
      <c r="CA23" s="116"/>
      <c r="CB23" s="116"/>
      <c r="CC23" s="116"/>
      <c r="CD23" s="116"/>
      <c r="CE23" s="116"/>
      <c r="CF23" s="116"/>
      <c r="CG23" s="116"/>
      <c r="CH23" s="116"/>
      <c r="CI23" s="116"/>
      <c r="CJ23" s="116"/>
      <c r="CK23" s="116"/>
      <c r="CL23" s="116"/>
      <c r="CM23" s="116"/>
      <c r="CN23" s="116"/>
      <c r="CO23" s="116"/>
      <c r="CP23" s="116"/>
      <c r="CQ23" s="116"/>
      <c r="CR23" s="116"/>
      <c r="CS23" s="116"/>
      <c r="CT23" s="116"/>
      <c r="CU23" s="116"/>
      <c r="CV23" s="116"/>
      <c r="CW23" s="116"/>
      <c r="CX23" s="116"/>
      <c r="CY23" s="116"/>
      <c r="CZ23" s="116"/>
      <c r="DA23" s="116"/>
      <c r="DB23" s="116"/>
      <c r="DC23" s="116"/>
      <c r="DD23" s="116"/>
      <c r="DE23" s="116"/>
      <c r="DF23" s="116"/>
      <c r="DG23" s="116"/>
      <c r="DH23" s="116"/>
      <c r="DI23" s="116"/>
      <c r="DJ23" s="116"/>
      <c r="DK23" s="116"/>
      <c r="DL23" s="116"/>
      <c r="DM23" s="116"/>
      <c r="DN23" s="116"/>
      <c r="DO23" s="116"/>
      <c r="DP23" s="116"/>
      <c r="DQ23" s="116"/>
      <c r="DR23" s="116"/>
      <c r="DS23" s="116"/>
      <c r="DT23" s="116"/>
      <c r="DU23" s="116"/>
      <c r="DV23" s="116"/>
      <c r="DW23" s="116"/>
      <c r="DX23" s="116"/>
    </row>
    <row r="24" spans="1:128" s="9" customFormat="1" ht="17.25" x14ac:dyDescent="0.25">
      <c r="A24" s="25" t="s">
        <v>295</v>
      </c>
      <c r="B24" s="39" t="s">
        <v>972</v>
      </c>
      <c r="C24" s="2589">
        <f>IF(ISERROR(C10/C15),0,(C10/C15))</f>
        <v>6.6569591183819501</v>
      </c>
      <c r="D24" s="2590">
        <f t="shared" ref="D24:V24" si="14">IF(ISERROR(D10/D15),0,(D10/D15))</f>
        <v>6.4544878370691361</v>
      </c>
      <c r="E24" s="2590">
        <f t="shared" si="14"/>
        <v>3.0246982156681188</v>
      </c>
      <c r="F24" s="2590">
        <f t="shared" si="14"/>
        <v>14.850256797981073</v>
      </c>
      <c r="G24" s="2591">
        <f t="shared" si="14"/>
        <v>7.1768497282153332</v>
      </c>
      <c r="H24" s="2589">
        <f t="shared" si="14"/>
        <v>0.53907401623382745</v>
      </c>
      <c r="I24" s="2590">
        <f t="shared" si="14"/>
        <v>0.58777128143813584</v>
      </c>
      <c r="J24" s="2590">
        <f t="shared" si="14"/>
        <v>0.7207943710616721</v>
      </c>
      <c r="K24" s="2590">
        <f t="shared" si="14"/>
        <v>0.28833102034345187</v>
      </c>
      <c r="L24" s="2591">
        <f t="shared" si="14"/>
        <v>0.56032743673679297</v>
      </c>
      <c r="M24" s="2589">
        <f t="shared" si="14"/>
        <v>1.7180927897372591</v>
      </c>
      <c r="N24" s="2590">
        <f t="shared" si="14"/>
        <v>2.1862879260224943</v>
      </c>
      <c r="O24" s="2590">
        <f t="shared" si="14"/>
        <v>2.2847471969536706</v>
      </c>
      <c r="P24" s="2590">
        <f t="shared" si="14"/>
        <v>1.9136924696201321</v>
      </c>
      <c r="Q24" s="2591">
        <f t="shared" si="14"/>
        <v>2.0186048076437837</v>
      </c>
      <c r="R24" s="2589">
        <f t="shared" si="14"/>
        <v>3.8385333106304733</v>
      </c>
      <c r="S24" s="2590">
        <f t="shared" si="14"/>
        <v>4.0887729223566129</v>
      </c>
      <c r="T24" s="2590">
        <f t="shared" si="14"/>
        <v>4.2483989544253999</v>
      </c>
      <c r="U24" s="2590">
        <f t="shared" si="14"/>
        <v>6.0603004488412564</v>
      </c>
      <c r="V24" s="2590">
        <f t="shared" si="14"/>
        <v>4.1053627190912358</v>
      </c>
      <c r="W24" s="2592"/>
      <c r="X24" s="2593"/>
      <c r="Y24" s="2593"/>
      <c r="Z24" s="2593"/>
      <c r="AA24" s="2594"/>
      <c r="AB24" s="2592"/>
      <c r="AC24" s="2593"/>
      <c r="AD24" s="2593"/>
      <c r="AE24" s="2593"/>
      <c r="AF24" s="2594"/>
      <c r="AG24" s="2592"/>
      <c r="AH24" s="2593"/>
      <c r="AI24" s="2593"/>
      <c r="AJ24" s="2593"/>
      <c r="AK24" s="2594"/>
      <c r="AL24" s="34"/>
      <c r="AM24" s="34"/>
      <c r="AN24" s="34"/>
      <c r="AO24" s="34"/>
      <c r="AP24" s="116"/>
      <c r="AQ24" s="116"/>
      <c r="AR24" s="116"/>
      <c r="AS24" s="116"/>
      <c r="AT24" s="116"/>
      <c r="AU24" s="116"/>
      <c r="AV24" s="116"/>
      <c r="AW24" s="116"/>
      <c r="AX24" s="116"/>
      <c r="AY24" s="116"/>
      <c r="AZ24" s="116"/>
      <c r="BA24" s="116"/>
      <c r="BB24" s="116"/>
      <c r="BC24" s="116"/>
      <c r="BD24" s="116"/>
      <c r="BE24" s="116"/>
      <c r="BF24" s="116"/>
      <c r="BG24" s="116"/>
      <c r="BH24" s="116"/>
      <c r="BI24" s="116"/>
      <c r="BJ24" s="116"/>
      <c r="BK24" s="116"/>
      <c r="BL24" s="116"/>
      <c r="BM24" s="116"/>
      <c r="BN24" s="116"/>
      <c r="BO24" s="116"/>
      <c r="BP24" s="116"/>
      <c r="BQ24" s="116"/>
      <c r="BR24" s="116"/>
      <c r="BS24" s="116"/>
      <c r="BT24" s="116"/>
      <c r="BU24" s="116"/>
      <c r="BV24" s="116"/>
      <c r="BW24" s="116"/>
      <c r="BX24" s="116"/>
      <c r="BY24" s="116"/>
      <c r="BZ24" s="116"/>
      <c r="CA24" s="116"/>
      <c r="CB24" s="116"/>
      <c r="CC24" s="116"/>
      <c r="CD24" s="116"/>
      <c r="CE24" s="116"/>
      <c r="CF24" s="116"/>
      <c r="CG24" s="116"/>
      <c r="CH24" s="116"/>
      <c r="CI24" s="116"/>
      <c r="CJ24" s="116"/>
      <c r="CK24" s="116"/>
      <c r="CL24" s="116"/>
      <c r="CM24" s="116"/>
      <c r="CN24" s="116"/>
      <c r="CO24" s="116"/>
      <c r="CP24" s="116"/>
      <c r="CQ24" s="116"/>
      <c r="CR24" s="116"/>
      <c r="CS24" s="116"/>
      <c r="CT24" s="116"/>
      <c r="CU24" s="116"/>
      <c r="CV24" s="116"/>
      <c r="CW24" s="116"/>
      <c r="CX24" s="116"/>
      <c r="CY24" s="116"/>
      <c r="CZ24" s="116"/>
      <c r="DA24" s="116"/>
      <c r="DB24" s="116"/>
      <c r="DC24" s="116"/>
      <c r="DD24" s="116"/>
      <c r="DE24" s="116"/>
      <c r="DF24" s="116"/>
      <c r="DG24" s="116"/>
      <c r="DH24" s="116"/>
      <c r="DI24" s="116"/>
      <c r="DJ24" s="116"/>
      <c r="DK24" s="116"/>
      <c r="DL24" s="116"/>
      <c r="DM24" s="116"/>
      <c r="DN24" s="116"/>
      <c r="DO24" s="116"/>
      <c r="DP24" s="116"/>
      <c r="DQ24" s="116"/>
      <c r="DR24" s="116"/>
      <c r="DS24" s="116"/>
      <c r="DT24" s="116"/>
      <c r="DU24" s="116"/>
      <c r="DV24" s="116"/>
      <c r="DW24" s="116"/>
      <c r="DX24" s="116"/>
    </row>
    <row r="25" spans="1:128" s="9" customFormat="1" x14ac:dyDescent="0.25">
      <c r="A25" s="266" t="s">
        <v>97</v>
      </c>
      <c r="B25" s="39" t="s">
        <v>98</v>
      </c>
      <c r="C25" s="2595">
        <f>IF(ISERROR(100*(C10/(C13+C10))),0,(100*(C10/(C10+C13))))</f>
        <v>98.192539286335219</v>
      </c>
      <c r="D25" s="2596">
        <f t="shared" ref="D25:V25" si="15">IF(ISERROR(100*(D10/(D13+D10))),0,(100*(D10/(D10+D13))))</f>
        <v>97.055803867284624</v>
      </c>
      <c r="E25" s="2596">
        <f t="shared" si="15"/>
        <v>97.363299441819166</v>
      </c>
      <c r="F25" s="2596">
        <f t="shared" si="15"/>
        <v>98.17965925482325</v>
      </c>
      <c r="G25" s="3499">
        <f>IF(ISERROR(100*(G10/(G13+G10))),0,(100*(G10/(G10+G13))))</f>
        <v>97.822807740491996</v>
      </c>
      <c r="H25" s="2595">
        <f t="shared" si="15"/>
        <v>33.975519294571164</v>
      </c>
      <c r="I25" s="2596">
        <f t="shared" si="15"/>
        <v>33.211671670493118</v>
      </c>
      <c r="J25" s="2596">
        <f t="shared" si="15"/>
        <v>40.890876024616865</v>
      </c>
      <c r="K25" s="2596">
        <f t="shared" si="15"/>
        <v>20.347108552651743</v>
      </c>
      <c r="L25" s="3503">
        <f t="shared" si="15"/>
        <v>33.832814459681956</v>
      </c>
      <c r="M25" s="2595">
        <f t="shared" si="15"/>
        <v>45.744530351919451</v>
      </c>
      <c r="N25" s="2596">
        <f t="shared" si="15"/>
        <v>52.591767765142038</v>
      </c>
      <c r="O25" s="2596">
        <f t="shared" si="15"/>
        <v>59.974344308268137</v>
      </c>
      <c r="P25" s="2596">
        <f t="shared" si="15"/>
        <v>32.786049171787965</v>
      </c>
      <c r="Q25" s="3503">
        <f t="shared" si="15"/>
        <v>49.225455686424361</v>
      </c>
      <c r="R25" s="2595">
        <f t="shared" si="15"/>
        <v>71.576671946553233</v>
      </c>
      <c r="S25" s="2596">
        <f t="shared" si="15"/>
        <v>75.815073527986883</v>
      </c>
      <c r="T25" s="2596">
        <f t="shared" si="15"/>
        <v>76.097755287249669</v>
      </c>
      <c r="U25" s="2596">
        <f t="shared" si="15"/>
        <v>61.702714498637775</v>
      </c>
      <c r="V25" s="3530">
        <f t="shared" si="15"/>
        <v>73.911449804914739</v>
      </c>
      <c r="W25" s="2592"/>
      <c r="X25" s="2593"/>
      <c r="Y25" s="2593"/>
      <c r="Z25" s="2593"/>
      <c r="AA25" s="2594"/>
      <c r="AB25" s="2592"/>
      <c r="AC25" s="2593"/>
      <c r="AD25" s="2593"/>
      <c r="AE25" s="2593"/>
      <c r="AF25" s="2594"/>
      <c r="AG25" s="2592"/>
      <c r="AH25" s="2593"/>
      <c r="AI25" s="2593"/>
      <c r="AJ25" s="2593"/>
      <c r="AK25" s="2594"/>
      <c r="AL25" s="34"/>
      <c r="AM25" s="34"/>
      <c r="AN25" s="34"/>
      <c r="AO25" s="34"/>
      <c r="AP25" s="116"/>
      <c r="AQ25" s="116"/>
      <c r="AR25" s="116"/>
      <c r="AS25" s="116"/>
      <c r="AT25" s="116"/>
      <c r="AU25" s="116"/>
      <c r="AV25" s="116"/>
      <c r="AW25" s="116"/>
      <c r="AX25" s="116"/>
      <c r="AY25" s="116"/>
      <c r="AZ25" s="116"/>
      <c r="BA25" s="116"/>
      <c r="BB25" s="116"/>
      <c r="BC25" s="116"/>
      <c r="BD25" s="116"/>
      <c r="BE25" s="116"/>
      <c r="BF25" s="116"/>
      <c r="BG25" s="116"/>
      <c r="BH25" s="116"/>
      <c r="BI25" s="116"/>
      <c r="BJ25" s="116"/>
      <c r="BK25" s="116"/>
      <c r="BL25" s="116"/>
      <c r="BM25" s="116"/>
      <c r="BN25" s="116"/>
      <c r="BO25" s="116"/>
      <c r="BP25" s="116"/>
      <c r="BQ25" s="116"/>
      <c r="BR25" s="116"/>
      <c r="BS25" s="116"/>
      <c r="BT25" s="116"/>
      <c r="BU25" s="116"/>
      <c r="BV25" s="116"/>
      <c r="BW25" s="116"/>
      <c r="BX25" s="116"/>
      <c r="BY25" s="116"/>
      <c r="BZ25" s="116"/>
      <c r="CA25" s="116"/>
      <c r="CB25" s="116"/>
      <c r="CC25" s="116"/>
      <c r="CD25" s="116"/>
      <c r="CE25" s="116"/>
      <c r="CF25" s="116"/>
      <c r="CG25" s="116"/>
      <c r="CH25" s="116"/>
      <c r="CI25" s="116"/>
      <c r="CJ25" s="116"/>
      <c r="CK25" s="116"/>
      <c r="CL25" s="116"/>
      <c r="CM25" s="116"/>
      <c r="CN25" s="116"/>
      <c r="CO25" s="116"/>
      <c r="CP25" s="116"/>
      <c r="CQ25" s="116"/>
      <c r="CR25" s="116"/>
      <c r="CS25" s="116"/>
      <c r="CT25" s="116"/>
      <c r="CU25" s="116"/>
      <c r="CV25" s="116"/>
      <c r="CW25" s="116"/>
      <c r="CX25" s="116"/>
      <c r="CY25" s="116"/>
      <c r="CZ25" s="116"/>
      <c r="DA25" s="116"/>
      <c r="DB25" s="116"/>
      <c r="DC25" s="116"/>
      <c r="DD25" s="116"/>
      <c r="DE25" s="116"/>
      <c r="DF25" s="116"/>
      <c r="DG25" s="116"/>
      <c r="DH25" s="116"/>
      <c r="DI25" s="116"/>
      <c r="DJ25" s="116"/>
      <c r="DK25" s="116"/>
      <c r="DL25" s="116"/>
      <c r="DM25" s="116"/>
      <c r="DN25" s="116"/>
      <c r="DO25" s="116"/>
      <c r="DP25" s="116"/>
      <c r="DQ25" s="116"/>
      <c r="DR25" s="116"/>
      <c r="DS25" s="116"/>
      <c r="DT25" s="116"/>
      <c r="DU25" s="116"/>
      <c r="DV25" s="116"/>
      <c r="DW25" s="116"/>
      <c r="DX25" s="116"/>
    </row>
    <row r="26" spans="1:128" s="9" customFormat="1" ht="30" x14ac:dyDescent="0.25">
      <c r="A26" s="2574" t="s">
        <v>985</v>
      </c>
      <c r="B26" s="1815" t="s">
        <v>98</v>
      </c>
      <c r="C26" s="2976">
        <v>98</v>
      </c>
      <c r="D26" s="2977">
        <v>98</v>
      </c>
      <c r="E26" s="2978">
        <v>98</v>
      </c>
      <c r="F26" s="2978">
        <v>98</v>
      </c>
      <c r="G26" s="2979">
        <v>98</v>
      </c>
      <c r="H26" s="2980">
        <v>34.214194355930175</v>
      </c>
      <c r="I26" s="2978">
        <v>34.214194355930175</v>
      </c>
      <c r="J26" s="2978">
        <v>34.214194355930175</v>
      </c>
      <c r="K26" s="2978">
        <v>34.214194355930175</v>
      </c>
      <c r="L26" s="2979">
        <v>34.214194355930175</v>
      </c>
      <c r="M26" s="2981">
        <v>58.341999999999999</v>
      </c>
      <c r="N26" s="2978">
        <v>58.341999999999999</v>
      </c>
      <c r="O26" s="2978">
        <v>58.341999999999999</v>
      </c>
      <c r="P26" s="2978">
        <v>58.341999999999999</v>
      </c>
      <c r="Q26" s="2979">
        <v>58.341999999999999</v>
      </c>
      <c r="R26" s="2981">
        <v>24.41</v>
      </c>
      <c r="S26" s="2978">
        <v>24.41</v>
      </c>
      <c r="T26" s="2978">
        <v>24.41</v>
      </c>
      <c r="U26" s="2978">
        <v>24.41</v>
      </c>
      <c r="V26" s="3529">
        <v>24.41</v>
      </c>
      <c r="W26" s="2981"/>
      <c r="X26" s="2978"/>
      <c r="Y26" s="2978"/>
      <c r="Z26" s="2978"/>
      <c r="AA26" s="2979"/>
      <c r="AB26" s="2981"/>
      <c r="AC26" s="2978"/>
      <c r="AD26" s="2978"/>
      <c r="AE26" s="2978"/>
      <c r="AF26" s="2979"/>
      <c r="AG26" s="2981"/>
      <c r="AH26" s="2978"/>
      <c r="AI26" s="2978"/>
      <c r="AJ26" s="2978"/>
      <c r="AK26" s="2979"/>
      <c r="AL26" s="34"/>
      <c r="AM26" s="34"/>
      <c r="AN26" s="34"/>
      <c r="AO26" s="34"/>
      <c r="AP26" s="116"/>
      <c r="AQ26" s="116"/>
      <c r="AR26" s="116"/>
      <c r="AS26" s="116"/>
      <c r="AT26" s="116"/>
      <c r="AU26" s="116"/>
      <c r="AV26" s="116"/>
      <c r="AW26" s="116"/>
      <c r="AX26" s="116"/>
      <c r="AY26" s="116"/>
      <c r="AZ26" s="116"/>
      <c r="BA26" s="116"/>
      <c r="BB26" s="116"/>
      <c r="BC26" s="116"/>
      <c r="BD26" s="116"/>
      <c r="BE26" s="116"/>
      <c r="BF26" s="116"/>
      <c r="BG26" s="116"/>
      <c r="BH26" s="116"/>
      <c r="BI26" s="116"/>
      <c r="BJ26" s="116"/>
      <c r="BK26" s="116"/>
      <c r="BL26" s="116"/>
      <c r="BM26" s="116"/>
      <c r="BN26" s="116"/>
      <c r="BO26" s="116"/>
      <c r="BP26" s="116"/>
      <c r="BQ26" s="116"/>
      <c r="BR26" s="116"/>
      <c r="BS26" s="116"/>
      <c r="BT26" s="116"/>
      <c r="BU26" s="116"/>
      <c r="BV26" s="116"/>
      <c r="BW26" s="116"/>
      <c r="BX26" s="116"/>
      <c r="BY26" s="116"/>
      <c r="BZ26" s="116"/>
      <c r="CA26" s="116"/>
      <c r="CB26" s="116"/>
      <c r="CC26" s="116"/>
      <c r="CD26" s="116"/>
      <c r="CE26" s="116"/>
      <c r="CF26" s="116"/>
      <c r="CG26" s="116"/>
      <c r="CH26" s="116"/>
      <c r="CI26" s="116"/>
      <c r="CJ26" s="116"/>
      <c r="CK26" s="116"/>
      <c r="CL26" s="116"/>
      <c r="CM26" s="116"/>
      <c r="CN26" s="116"/>
      <c r="CO26" s="116"/>
      <c r="CP26" s="116"/>
      <c r="CQ26" s="116"/>
      <c r="CR26" s="116"/>
      <c r="CS26" s="116"/>
      <c r="CT26" s="116"/>
      <c r="CU26" s="116"/>
      <c r="CV26" s="116"/>
      <c r="CW26" s="116"/>
      <c r="CX26" s="116"/>
      <c r="CY26" s="116"/>
      <c r="CZ26" s="116"/>
      <c r="DA26" s="116"/>
      <c r="DB26" s="116"/>
      <c r="DC26" s="116"/>
      <c r="DD26" s="116"/>
      <c r="DE26" s="116"/>
      <c r="DF26" s="116"/>
      <c r="DG26" s="116"/>
      <c r="DH26" s="116"/>
      <c r="DI26" s="116"/>
      <c r="DJ26" s="116"/>
      <c r="DK26" s="116"/>
      <c r="DL26" s="116"/>
      <c r="DM26" s="116"/>
      <c r="DN26" s="116"/>
      <c r="DO26" s="116"/>
      <c r="DP26" s="116"/>
      <c r="DQ26" s="116"/>
      <c r="DR26" s="116"/>
      <c r="DS26" s="116"/>
      <c r="DT26" s="116"/>
      <c r="DU26" s="116"/>
      <c r="DV26" s="116"/>
      <c r="DW26" s="116"/>
      <c r="DX26" s="116"/>
    </row>
    <row r="27" spans="1:128" s="9" customFormat="1" ht="30" x14ac:dyDescent="0.25">
      <c r="A27" s="1788" t="s">
        <v>986</v>
      </c>
      <c r="B27" s="39" t="s">
        <v>98</v>
      </c>
      <c r="C27" s="2597">
        <f t="shared" ref="C27:AK27" si="16">C25-C26</f>
        <v>0.19253928633521866</v>
      </c>
      <c r="D27" s="2598">
        <f t="shared" si="16"/>
        <v>-0.94419613271537628</v>
      </c>
      <c r="E27" s="2598">
        <f t="shared" si="16"/>
        <v>-0.63670055818083426</v>
      </c>
      <c r="F27" s="2598">
        <f t="shared" si="16"/>
        <v>0.17965925482324963</v>
      </c>
      <c r="G27" s="2599">
        <f t="shared" si="16"/>
        <v>-0.17719225950800421</v>
      </c>
      <c r="H27" s="3013">
        <f t="shared" si="16"/>
        <v>-0.23867506135901095</v>
      </c>
      <c r="I27" s="2598">
        <f t="shared" si="16"/>
        <v>-1.0025226854370572</v>
      </c>
      <c r="J27" s="2598">
        <f t="shared" si="16"/>
        <v>6.6766816686866903</v>
      </c>
      <c r="K27" s="2598">
        <f t="shared" si="16"/>
        <v>-13.867085803278432</v>
      </c>
      <c r="L27" s="2599">
        <f t="shared" si="16"/>
        <v>-0.38137989624821955</v>
      </c>
      <c r="M27" s="2597">
        <f t="shared" si="16"/>
        <v>-12.597469648080548</v>
      </c>
      <c r="N27" s="2598">
        <f t="shared" si="16"/>
        <v>-5.7502322348579611</v>
      </c>
      <c r="O27" s="2598">
        <f t="shared" si="16"/>
        <v>1.6323443082681379</v>
      </c>
      <c r="P27" s="2598">
        <f t="shared" si="16"/>
        <v>-25.555950828212033</v>
      </c>
      <c r="Q27" s="3503">
        <f t="shared" si="16"/>
        <v>-9.1165443135756377</v>
      </c>
      <c r="R27" s="2597">
        <f t="shared" si="16"/>
        <v>47.166671946553237</v>
      </c>
      <c r="S27" s="2598">
        <f t="shared" si="16"/>
        <v>51.405073527986886</v>
      </c>
      <c r="T27" s="2598">
        <f t="shared" si="16"/>
        <v>51.687755287249672</v>
      </c>
      <c r="U27" s="2598">
        <f t="shared" si="16"/>
        <v>37.292714498637778</v>
      </c>
      <c r="V27" s="3530">
        <f t="shared" si="16"/>
        <v>49.501449804914742</v>
      </c>
      <c r="W27" s="1754">
        <f t="shared" si="16"/>
        <v>0</v>
      </c>
      <c r="X27" s="1751">
        <f t="shared" si="16"/>
        <v>0</v>
      </c>
      <c r="Y27" s="1751">
        <f t="shared" si="16"/>
        <v>0</v>
      </c>
      <c r="Z27" s="1751">
        <f t="shared" si="16"/>
        <v>0</v>
      </c>
      <c r="AA27" s="2580">
        <f t="shared" si="16"/>
        <v>0</v>
      </c>
      <c r="AB27" s="1754">
        <f t="shared" si="16"/>
        <v>0</v>
      </c>
      <c r="AC27" s="1751">
        <f t="shared" si="16"/>
        <v>0</v>
      </c>
      <c r="AD27" s="1751">
        <f t="shared" si="16"/>
        <v>0</v>
      </c>
      <c r="AE27" s="1751">
        <f t="shared" si="16"/>
        <v>0</v>
      </c>
      <c r="AF27" s="2580">
        <f t="shared" si="16"/>
        <v>0</v>
      </c>
      <c r="AG27" s="1754">
        <f t="shared" si="16"/>
        <v>0</v>
      </c>
      <c r="AH27" s="1751">
        <f t="shared" si="16"/>
        <v>0</v>
      </c>
      <c r="AI27" s="1751">
        <f t="shared" si="16"/>
        <v>0</v>
      </c>
      <c r="AJ27" s="1751">
        <f t="shared" si="16"/>
        <v>0</v>
      </c>
      <c r="AK27" s="2580">
        <f t="shared" si="16"/>
        <v>0</v>
      </c>
      <c r="AL27" s="34"/>
      <c r="AM27" s="34"/>
      <c r="AN27" s="34"/>
      <c r="AO27" s="34"/>
      <c r="AP27" s="116"/>
      <c r="AQ27" s="116"/>
      <c r="AR27" s="116"/>
      <c r="AS27" s="116"/>
      <c r="AT27" s="116"/>
      <c r="AU27" s="116"/>
      <c r="AV27" s="116"/>
      <c r="AW27" s="116"/>
      <c r="AX27" s="116"/>
      <c r="AY27" s="116"/>
      <c r="AZ27" s="116"/>
      <c r="BA27" s="116"/>
      <c r="BB27" s="116"/>
      <c r="BC27" s="116"/>
      <c r="BD27" s="116"/>
      <c r="BE27" s="116"/>
      <c r="BF27" s="116"/>
      <c r="BG27" s="116"/>
      <c r="BH27" s="116"/>
      <c r="BI27" s="116"/>
      <c r="BJ27" s="116"/>
      <c r="BK27" s="116"/>
      <c r="BL27" s="116"/>
      <c r="BM27" s="116"/>
      <c r="BN27" s="116"/>
      <c r="BO27" s="116"/>
      <c r="BP27" s="116"/>
      <c r="BQ27" s="116"/>
      <c r="BR27" s="116"/>
      <c r="BS27" s="116"/>
      <c r="BT27" s="116"/>
      <c r="BU27" s="116"/>
      <c r="BV27" s="116"/>
      <c r="BW27" s="116"/>
      <c r="BX27" s="116"/>
      <c r="BY27" s="116"/>
      <c r="BZ27" s="116"/>
      <c r="CA27" s="116"/>
      <c r="CB27" s="116"/>
      <c r="CC27" s="116"/>
      <c r="CD27" s="116"/>
      <c r="CE27" s="116"/>
      <c r="CF27" s="116"/>
      <c r="CG27" s="116"/>
      <c r="CH27" s="116"/>
      <c r="CI27" s="116"/>
      <c r="CJ27" s="116"/>
      <c r="CK27" s="116"/>
      <c r="CL27" s="116"/>
      <c r="CM27" s="116"/>
      <c r="CN27" s="116"/>
      <c r="CO27" s="116"/>
      <c r="CP27" s="116"/>
      <c r="CQ27" s="116"/>
      <c r="CR27" s="116"/>
      <c r="CS27" s="116"/>
      <c r="CT27" s="116"/>
      <c r="CU27" s="116"/>
      <c r="CV27" s="116"/>
      <c r="CW27" s="116"/>
      <c r="CX27" s="116"/>
      <c r="CY27" s="116"/>
      <c r="CZ27" s="116"/>
      <c r="DA27" s="116"/>
      <c r="DB27" s="116"/>
      <c r="DC27" s="116"/>
      <c r="DD27" s="116"/>
      <c r="DE27" s="116"/>
      <c r="DF27" s="116"/>
      <c r="DG27" s="116"/>
      <c r="DH27" s="116"/>
      <c r="DI27" s="116"/>
      <c r="DJ27" s="116"/>
      <c r="DK27" s="116"/>
      <c r="DL27" s="116"/>
      <c r="DM27" s="116"/>
      <c r="DN27" s="116"/>
      <c r="DO27" s="116"/>
      <c r="DP27" s="116"/>
      <c r="DQ27" s="116"/>
      <c r="DR27" s="116"/>
      <c r="DS27" s="116"/>
      <c r="DT27" s="116"/>
      <c r="DU27" s="116"/>
      <c r="DV27" s="116"/>
      <c r="DW27" s="116"/>
      <c r="DX27" s="116"/>
    </row>
    <row r="28" spans="1:128" s="9" customFormat="1" ht="32.25" customHeight="1" x14ac:dyDescent="0.25">
      <c r="A28" s="1772" t="s">
        <v>677</v>
      </c>
      <c r="B28" s="264" t="s">
        <v>98</v>
      </c>
      <c r="C28" s="268" t="s">
        <v>676</v>
      </c>
      <c r="D28" s="263" t="s">
        <v>676</v>
      </c>
      <c r="E28" s="263" t="s">
        <v>676</v>
      </c>
      <c r="F28" s="263" t="s">
        <v>676</v>
      </c>
      <c r="G28" s="267" t="s">
        <v>676</v>
      </c>
      <c r="H28" s="268" t="s">
        <v>676</v>
      </c>
      <c r="I28" s="263" t="s">
        <v>676</v>
      </c>
      <c r="J28" s="263" t="s">
        <v>676</v>
      </c>
      <c r="K28" s="263" t="s">
        <v>676</v>
      </c>
      <c r="L28" s="267" t="s">
        <v>676</v>
      </c>
      <c r="M28" s="268" t="s">
        <v>676</v>
      </c>
      <c r="N28" s="263" t="s">
        <v>676</v>
      </c>
      <c r="O28" s="263" t="s">
        <v>676</v>
      </c>
      <c r="P28" s="263" t="s">
        <v>676</v>
      </c>
      <c r="Q28" s="267" t="s">
        <v>676</v>
      </c>
      <c r="R28" s="268" t="s">
        <v>676</v>
      </c>
      <c r="S28" s="263" t="s">
        <v>676</v>
      </c>
      <c r="T28" s="263" t="s">
        <v>676</v>
      </c>
      <c r="U28" s="263" t="s">
        <v>676</v>
      </c>
      <c r="V28" s="263" t="s">
        <v>676</v>
      </c>
      <c r="W28" s="268" t="s">
        <v>676</v>
      </c>
      <c r="X28" s="263" t="s">
        <v>676</v>
      </c>
      <c r="Y28" s="263" t="s">
        <v>676</v>
      </c>
      <c r="Z28" s="263" t="s">
        <v>676</v>
      </c>
      <c r="AA28" s="267" t="s">
        <v>676</v>
      </c>
      <c r="AB28" s="268" t="s">
        <v>676</v>
      </c>
      <c r="AC28" s="263" t="s">
        <v>676</v>
      </c>
      <c r="AD28" s="263" t="s">
        <v>676</v>
      </c>
      <c r="AE28" s="263" t="s">
        <v>676</v>
      </c>
      <c r="AF28" s="267" t="s">
        <v>676</v>
      </c>
      <c r="AG28" s="268" t="s">
        <v>676</v>
      </c>
      <c r="AH28" s="263" t="s">
        <v>676</v>
      </c>
      <c r="AI28" s="263" t="s">
        <v>676</v>
      </c>
      <c r="AJ28" s="263" t="s">
        <v>676</v>
      </c>
      <c r="AK28" s="267" t="s">
        <v>676</v>
      </c>
      <c r="AL28" s="34"/>
      <c r="AM28" s="34"/>
      <c r="AN28" s="34"/>
      <c r="AO28" s="34"/>
      <c r="AP28" s="116"/>
      <c r="AQ28" s="116"/>
      <c r="AR28" s="116"/>
      <c r="AS28" s="116"/>
      <c r="AT28" s="116"/>
      <c r="AU28" s="116"/>
      <c r="AV28" s="116"/>
      <c r="AW28" s="116"/>
      <c r="AX28" s="116"/>
      <c r="AY28" s="116"/>
      <c r="AZ28" s="116"/>
      <c r="BA28" s="116"/>
      <c r="BB28" s="116"/>
      <c r="BC28" s="116"/>
      <c r="BD28" s="116"/>
      <c r="BE28" s="116"/>
      <c r="BF28" s="116"/>
      <c r="BG28" s="116"/>
      <c r="BH28" s="116"/>
      <c r="BI28" s="116"/>
      <c r="BJ28" s="116"/>
      <c r="BK28" s="116"/>
      <c r="BL28" s="116"/>
      <c r="BM28" s="116"/>
      <c r="BN28" s="116"/>
      <c r="BO28" s="116"/>
      <c r="BP28" s="116"/>
      <c r="BQ28" s="116"/>
      <c r="BR28" s="116"/>
      <c r="BS28" s="116"/>
      <c r="BT28" s="116"/>
      <c r="BU28" s="116"/>
      <c r="BV28" s="116"/>
      <c r="BW28" s="116"/>
      <c r="BX28" s="116"/>
      <c r="BY28" s="116"/>
      <c r="BZ28" s="116"/>
      <c r="CA28" s="116"/>
      <c r="CB28" s="116"/>
      <c r="CC28" s="116"/>
      <c r="CD28" s="116"/>
      <c r="CE28" s="116"/>
      <c r="CF28" s="116"/>
      <c r="CG28" s="116"/>
      <c r="CH28" s="116"/>
      <c r="CI28" s="116"/>
      <c r="CJ28" s="116"/>
      <c r="CK28" s="116"/>
      <c r="CL28" s="116"/>
      <c r="CM28" s="116"/>
      <c r="CN28" s="116"/>
      <c r="CO28" s="116"/>
      <c r="CP28" s="116"/>
      <c r="CQ28" s="116"/>
      <c r="CR28" s="116"/>
      <c r="CS28" s="116"/>
      <c r="CT28" s="116"/>
      <c r="CU28" s="116"/>
      <c r="CV28" s="116"/>
      <c r="CW28" s="116"/>
      <c r="CX28" s="116"/>
      <c r="CY28" s="116"/>
      <c r="CZ28" s="116"/>
      <c r="DA28" s="116"/>
      <c r="DB28" s="116"/>
      <c r="DC28" s="116"/>
      <c r="DD28" s="116"/>
      <c r="DE28" s="116"/>
      <c r="DF28" s="116"/>
      <c r="DG28" s="116"/>
      <c r="DH28" s="116"/>
      <c r="DI28" s="116"/>
      <c r="DJ28" s="116"/>
      <c r="DK28" s="116"/>
      <c r="DL28" s="116"/>
      <c r="DM28" s="116"/>
      <c r="DN28" s="116"/>
      <c r="DO28" s="116"/>
      <c r="DP28" s="116"/>
      <c r="DQ28" s="116"/>
      <c r="DR28" s="116"/>
      <c r="DS28" s="116"/>
      <c r="DT28" s="116"/>
      <c r="DU28" s="116"/>
      <c r="DV28" s="116"/>
      <c r="DW28" s="116"/>
      <c r="DX28" s="116"/>
    </row>
    <row r="29" spans="1:128" s="9" customFormat="1" ht="30.75" thickBot="1" x14ac:dyDescent="0.3">
      <c r="A29" s="2551" t="s">
        <v>978</v>
      </c>
      <c r="B29" s="45" t="s">
        <v>973</v>
      </c>
      <c r="C29" s="2600">
        <f>IF(ISERROR(C11/C15),0,(C11/C15))</f>
        <v>3.2859817076263836E-3</v>
      </c>
      <c r="D29" s="2601">
        <f t="shared" ref="D29:V29" si="17">IF(ISERROR(D11/D15),0,(D11/D15))</f>
        <v>2.3777426084100675E-2</v>
      </c>
      <c r="E29" s="2601">
        <f t="shared" si="17"/>
        <v>3.8819274730946131E-2</v>
      </c>
      <c r="F29" s="2601">
        <f t="shared" si="17"/>
        <v>0.21019627585558323</v>
      </c>
      <c r="G29" s="2602">
        <f t="shared" si="17"/>
        <v>5.5019458131701504E-2</v>
      </c>
      <c r="H29" s="2600">
        <f t="shared" si="17"/>
        <v>0.43836993988883649</v>
      </c>
      <c r="I29" s="2601">
        <f t="shared" si="17"/>
        <v>0.44873652119771884</v>
      </c>
      <c r="J29" s="2601">
        <f t="shared" si="17"/>
        <v>0.5002768803588159</v>
      </c>
      <c r="K29" s="2601">
        <f t="shared" si="17"/>
        <v>0.29448813425331694</v>
      </c>
      <c r="L29" s="2602">
        <f t="shared" si="17"/>
        <v>0.43471436826410381</v>
      </c>
      <c r="M29" s="2600">
        <f t="shared" si="17"/>
        <v>1.1269416039350688</v>
      </c>
      <c r="N29" s="2601">
        <f t="shared" si="17"/>
        <v>1.2229716781244349</v>
      </c>
      <c r="O29" s="2601">
        <f t="shared" si="17"/>
        <v>1.0226359213031522</v>
      </c>
      <c r="P29" s="2601">
        <f t="shared" si="17"/>
        <v>3.4829202947086402</v>
      </c>
      <c r="Q29" s="2602">
        <f t="shared" si="17"/>
        <v>1.3744082030118332</v>
      </c>
      <c r="R29" s="2600">
        <f t="shared" si="17"/>
        <v>0</v>
      </c>
      <c r="S29" s="2601">
        <f t="shared" si="17"/>
        <v>0</v>
      </c>
      <c r="T29" s="2601">
        <f t="shared" si="17"/>
        <v>0</v>
      </c>
      <c r="U29" s="2601">
        <f t="shared" si="17"/>
        <v>0</v>
      </c>
      <c r="V29" s="2601">
        <f t="shared" si="17"/>
        <v>0</v>
      </c>
      <c r="W29" s="2586"/>
      <c r="X29" s="2587"/>
      <c r="Y29" s="2587"/>
      <c r="Z29" s="2587"/>
      <c r="AA29" s="2588"/>
      <c r="AB29" s="2586"/>
      <c r="AC29" s="2587"/>
      <c r="AD29" s="2587"/>
      <c r="AE29" s="2587"/>
      <c r="AF29" s="2588"/>
      <c r="AG29" s="2586"/>
      <c r="AH29" s="2587"/>
      <c r="AI29" s="2587"/>
      <c r="AJ29" s="2587"/>
      <c r="AK29" s="2588"/>
      <c r="AL29" s="34"/>
      <c r="AM29" s="34"/>
      <c r="AN29" s="34"/>
      <c r="AO29" s="34"/>
      <c r="AP29" s="116"/>
      <c r="AQ29" s="116"/>
      <c r="AR29" s="116"/>
      <c r="AS29" s="116"/>
      <c r="AT29" s="116"/>
      <c r="AU29" s="116"/>
      <c r="AV29" s="116"/>
      <c r="AW29" s="116"/>
      <c r="AX29" s="116"/>
      <c r="AY29" s="116"/>
      <c r="AZ29" s="116"/>
      <c r="BA29" s="116"/>
      <c r="BB29" s="116"/>
      <c r="BC29" s="116"/>
      <c r="BD29" s="116"/>
      <c r="BE29" s="116"/>
      <c r="BF29" s="116"/>
      <c r="BG29" s="116"/>
      <c r="BH29" s="116"/>
      <c r="BI29" s="116"/>
      <c r="BJ29" s="116"/>
      <c r="BK29" s="116"/>
      <c r="BL29" s="116"/>
      <c r="BM29" s="116"/>
      <c r="BN29" s="116"/>
      <c r="BO29" s="116"/>
      <c r="BP29" s="116"/>
      <c r="BQ29" s="116"/>
      <c r="BR29" s="116"/>
      <c r="BS29" s="116"/>
      <c r="BT29" s="116"/>
      <c r="BU29" s="116"/>
      <c r="BV29" s="116"/>
      <c r="BW29" s="116"/>
      <c r="BX29" s="116"/>
      <c r="BY29" s="116"/>
      <c r="BZ29" s="116"/>
      <c r="CA29" s="116"/>
      <c r="CB29" s="116"/>
      <c r="CC29" s="116"/>
      <c r="CD29" s="116"/>
      <c r="CE29" s="116"/>
      <c r="CF29" s="116"/>
      <c r="CG29" s="116"/>
      <c r="CH29" s="116"/>
      <c r="CI29" s="116"/>
      <c r="CJ29" s="116"/>
      <c r="CK29" s="116"/>
      <c r="CL29" s="116"/>
      <c r="CM29" s="116"/>
      <c r="CN29" s="116"/>
      <c r="CO29" s="116"/>
      <c r="CP29" s="116"/>
      <c r="CQ29" s="116"/>
      <c r="CR29" s="116"/>
      <c r="CS29" s="116"/>
      <c r="CT29" s="116"/>
      <c r="CU29" s="116"/>
      <c r="CV29" s="116"/>
      <c r="CW29" s="116"/>
      <c r="CX29" s="116"/>
      <c r="CY29" s="116"/>
      <c r="CZ29" s="116"/>
      <c r="DA29" s="116"/>
      <c r="DB29" s="116"/>
      <c r="DC29" s="116"/>
      <c r="DD29" s="116"/>
      <c r="DE29" s="116"/>
      <c r="DF29" s="116"/>
      <c r="DG29" s="116"/>
      <c r="DH29" s="116"/>
      <c r="DI29" s="116"/>
      <c r="DJ29" s="116"/>
      <c r="DK29" s="116"/>
      <c r="DL29" s="116"/>
      <c r="DM29" s="116"/>
      <c r="DN29" s="116"/>
      <c r="DO29" s="116"/>
      <c r="DP29" s="116"/>
      <c r="DQ29" s="116"/>
      <c r="DR29" s="116"/>
      <c r="DS29" s="116"/>
      <c r="DT29" s="116"/>
      <c r="DU29" s="116"/>
      <c r="DV29" s="116"/>
      <c r="DW29" s="116"/>
      <c r="DX29" s="116"/>
    </row>
    <row r="30" spans="1:128" ht="15.75" thickBot="1" x14ac:dyDescent="0.3">
      <c r="I30" s="1"/>
      <c r="J30" s="1"/>
      <c r="K30" s="1"/>
      <c r="L30" s="1"/>
      <c r="M30" s="1"/>
      <c r="N30" s="1"/>
      <c r="O30" s="1"/>
      <c r="P30" s="1"/>
      <c r="Q30" s="1"/>
      <c r="R30" s="1"/>
      <c r="S30" s="1"/>
      <c r="T30" s="1"/>
      <c r="U30" s="1"/>
      <c r="V30" s="1"/>
      <c r="W30" s="1"/>
      <c r="X30" s="1"/>
      <c r="Y30" s="1"/>
      <c r="Z30" s="1"/>
    </row>
    <row r="31" spans="1:128" ht="15.75" customHeight="1" thickBot="1" x14ac:dyDescent="0.3">
      <c r="L31" s="445">
        <f>L40+L41</f>
        <v>2980134.666666667</v>
      </c>
      <c r="M31" s="10"/>
      <c r="N31" s="15"/>
      <c r="O31" s="15"/>
      <c r="P31" s="15"/>
      <c r="Q31" s="15"/>
      <c r="R31" s="15"/>
      <c r="S31" s="15"/>
      <c r="T31" s="15"/>
      <c r="U31" s="3748"/>
      <c r="V31" s="3748"/>
      <c r="W31" s="3748"/>
      <c r="X31" s="3748"/>
      <c r="Y31" s="3749"/>
      <c r="Z31" s="2373"/>
      <c r="AA31" s="2373"/>
    </row>
    <row r="32" spans="1:128" ht="15.75" customHeight="1" thickBot="1" x14ac:dyDescent="0.35">
      <c r="A32" s="9"/>
      <c r="B32" s="9"/>
      <c r="C32" s="4978" t="s">
        <v>690</v>
      </c>
      <c r="D32" s="4979"/>
      <c r="E32" s="4979"/>
      <c r="F32" s="4979"/>
      <c r="G32" s="4980"/>
      <c r="H32" s="4978" t="s">
        <v>691</v>
      </c>
      <c r="I32" s="4979"/>
      <c r="J32" s="4979"/>
      <c r="K32" s="4979"/>
      <c r="L32" s="4979"/>
      <c r="M32" s="4998" t="s">
        <v>1281</v>
      </c>
      <c r="N32" s="4999"/>
      <c r="O32" s="4999"/>
      <c r="P32" s="4999"/>
      <c r="Q32" s="4999"/>
      <c r="R32" s="4999"/>
      <c r="S32" s="4999"/>
      <c r="T32" s="5000">
        <v>43922</v>
      </c>
      <c r="U32" s="5001"/>
      <c r="V32" s="5001"/>
      <c r="W32" s="5001"/>
      <c r="X32" s="5001"/>
      <c r="Y32" s="5002"/>
      <c r="Z32" s="4987"/>
      <c r="AA32" s="4987"/>
      <c r="AB32" s="86"/>
      <c r="AC32" s="86"/>
      <c r="AD32" s="1738"/>
    </row>
    <row r="33" spans="1:141" ht="15.75" thickBot="1" x14ac:dyDescent="0.3">
      <c r="A33" s="17" t="s">
        <v>0</v>
      </c>
      <c r="B33" s="18" t="s">
        <v>1</v>
      </c>
      <c r="C33" s="41" t="s">
        <v>3</v>
      </c>
      <c r="D33" s="42" t="s">
        <v>4</v>
      </c>
      <c r="E33" s="42" t="s">
        <v>5</v>
      </c>
      <c r="F33" s="42" t="s">
        <v>6</v>
      </c>
      <c r="G33" s="144" t="s">
        <v>7</v>
      </c>
      <c r="H33" s="17" t="s">
        <v>3</v>
      </c>
      <c r="I33" s="18" t="s">
        <v>4</v>
      </c>
      <c r="J33" s="18" t="s">
        <v>5</v>
      </c>
      <c r="K33" s="18" t="s">
        <v>6</v>
      </c>
      <c r="L33" s="18" t="s">
        <v>7</v>
      </c>
      <c r="M33" s="3751" t="s">
        <v>1285</v>
      </c>
      <c r="N33" s="3495"/>
      <c r="O33" s="3496" t="s">
        <v>99</v>
      </c>
      <c r="P33" s="3496" t="s">
        <v>100</v>
      </c>
      <c r="Q33" s="3496" t="s">
        <v>101</v>
      </c>
      <c r="R33" s="3496" t="s">
        <v>103</v>
      </c>
      <c r="S33" s="3496" t="s">
        <v>1283</v>
      </c>
      <c r="T33" s="857" t="s">
        <v>99</v>
      </c>
      <c r="U33" s="3677" t="s">
        <v>100</v>
      </c>
      <c r="V33" s="857" t="s">
        <v>101</v>
      </c>
      <c r="W33" s="857" t="s">
        <v>103</v>
      </c>
      <c r="X33" s="3678" t="s">
        <v>1283</v>
      </c>
      <c r="Y33" s="3678" t="s">
        <v>119</v>
      </c>
      <c r="Z33" s="298"/>
      <c r="AA33" s="298"/>
      <c r="AD33" s="1738"/>
    </row>
    <row r="34" spans="1:141" ht="24" thickBot="1" x14ac:dyDescent="0.3">
      <c r="A34" s="10" t="s">
        <v>108</v>
      </c>
      <c r="B34" s="15" t="s">
        <v>20</v>
      </c>
      <c r="C34" s="2608">
        <f t="shared" ref="C34:G38" si="18">C5+H5+M5+R5</f>
        <v>663782</v>
      </c>
      <c r="D34" s="1911">
        <f t="shared" si="18"/>
        <v>691900</v>
      </c>
      <c r="E34" s="1911">
        <f t="shared" si="18"/>
        <v>698282</v>
      </c>
      <c r="F34" s="1911">
        <f t="shared" si="18"/>
        <v>444408.06</v>
      </c>
      <c r="G34" s="2609">
        <f t="shared" si="18"/>
        <v>2498372.06</v>
      </c>
      <c r="H34" s="1461">
        <f t="shared" ref="H34:L37" si="19">C34+AG5</f>
        <v>663782</v>
      </c>
      <c r="I34" s="1929">
        <f t="shared" si="19"/>
        <v>691900</v>
      </c>
      <c r="J34" s="1929">
        <f t="shared" si="19"/>
        <v>698282</v>
      </c>
      <c r="K34" s="1929">
        <f t="shared" si="19"/>
        <v>444408.06</v>
      </c>
      <c r="L34" s="3662">
        <f t="shared" si="19"/>
        <v>2498372.06</v>
      </c>
      <c r="M34" s="3740">
        <f>L34-Y34</f>
        <v>2354341.06</v>
      </c>
      <c r="N34" s="3741" t="s">
        <v>108</v>
      </c>
      <c r="O34" s="3742">
        <v>0</v>
      </c>
      <c r="P34" s="3693">
        <f>L5-U34</f>
        <v>1038260</v>
      </c>
      <c r="Q34" s="3693">
        <f>Q5-V34</f>
        <v>0</v>
      </c>
      <c r="R34" s="3693">
        <f>V5-W34</f>
        <v>1316081.06</v>
      </c>
      <c r="S34" s="3694"/>
      <c r="T34" s="3704">
        <v>0</v>
      </c>
      <c r="U34" s="3679">
        <v>57799</v>
      </c>
      <c r="V34" s="3680">
        <v>0</v>
      </c>
      <c r="W34" s="3680">
        <v>86232</v>
      </c>
      <c r="X34" s="3683"/>
      <c r="Y34" s="3681">
        <f>SUM(T34:X34)</f>
        <v>144031</v>
      </c>
      <c r="Z34" s="389"/>
      <c r="AA34" s="298"/>
      <c r="AD34" s="1738"/>
      <c r="AM34" s="1"/>
    </row>
    <row r="35" spans="1:141" ht="23.25" x14ac:dyDescent="0.25">
      <c r="A35" s="12" t="s">
        <v>109</v>
      </c>
      <c r="B35" s="1" t="s">
        <v>20</v>
      </c>
      <c r="C35" s="2610">
        <f t="shared" si="18"/>
        <v>1062371.5</v>
      </c>
      <c r="D35" s="1527">
        <f t="shared" si="18"/>
        <v>931323.5</v>
      </c>
      <c r="E35" s="1527">
        <f>E6+J6+O6+T6</f>
        <v>604799.5</v>
      </c>
      <c r="F35" s="1527">
        <f t="shared" si="18"/>
        <v>309269.44</v>
      </c>
      <c r="G35" s="2609">
        <f t="shared" si="18"/>
        <v>2907763.94</v>
      </c>
      <c r="H35" s="2611">
        <f t="shared" si="19"/>
        <v>1062701.17</v>
      </c>
      <c r="I35" s="2611">
        <f t="shared" si="19"/>
        <v>931652.11499999999</v>
      </c>
      <c r="J35" s="2611">
        <f t="shared" si="19"/>
        <v>605139.64249999996</v>
      </c>
      <c r="K35" s="2611">
        <f t="shared" si="19"/>
        <v>309810.58250000002</v>
      </c>
      <c r="L35" s="3663">
        <f t="shared" si="19"/>
        <v>2909303.51</v>
      </c>
      <c r="M35" s="3740">
        <f t="shared" ref="M35:M42" si="20">L35-Y35</f>
        <v>2798770.51</v>
      </c>
      <c r="N35" s="3743" t="s">
        <v>109</v>
      </c>
      <c r="O35" s="3742">
        <f t="shared" ref="O35:O42" si="21">G6-T35</f>
        <v>155880</v>
      </c>
      <c r="P35" s="3693">
        <f t="shared" ref="P35:P42" si="22">L6-U35</f>
        <v>913910</v>
      </c>
      <c r="Q35" s="3693">
        <f t="shared" ref="Q35:Q42" si="23">Q6-V35</f>
        <v>11540</v>
      </c>
      <c r="R35" s="3693">
        <f t="shared" ref="R35:R42" si="24">V6-W35</f>
        <v>1716107.94</v>
      </c>
      <c r="S35" s="3694">
        <f t="shared" ref="S35:S42" si="25">AK6-X35</f>
        <v>1332.57</v>
      </c>
      <c r="T35" s="3731">
        <v>16702</v>
      </c>
      <c r="U35" s="3658">
        <v>36131</v>
      </c>
      <c r="V35" s="32">
        <v>870</v>
      </c>
      <c r="W35" s="32">
        <v>56623</v>
      </c>
      <c r="X35" s="3659">
        <v>207</v>
      </c>
      <c r="Y35" s="3681">
        <f t="shared" ref="Y35:Y42" si="26">SUM(T35:X35)</f>
        <v>110533</v>
      </c>
      <c r="Z35" s="389"/>
      <c r="AA35" s="298"/>
      <c r="AD35" s="185"/>
      <c r="AM35" s="50"/>
    </row>
    <row r="36" spans="1:141" ht="17.25" x14ac:dyDescent="0.25">
      <c r="A36" s="12" t="s">
        <v>21</v>
      </c>
      <c r="B36" s="1" t="s">
        <v>20</v>
      </c>
      <c r="C36" s="2610">
        <f t="shared" si="18"/>
        <v>2087284</v>
      </c>
      <c r="D36" s="1527">
        <f t="shared" si="18"/>
        <v>1912584</v>
      </c>
      <c r="E36" s="1527">
        <f t="shared" si="18"/>
        <v>1733824</v>
      </c>
      <c r="F36" s="1527">
        <f t="shared" si="18"/>
        <v>576664</v>
      </c>
      <c r="G36" s="2612">
        <f t="shared" si="18"/>
        <v>6310356</v>
      </c>
      <c r="H36" s="2611">
        <f t="shared" si="19"/>
        <v>2087284</v>
      </c>
      <c r="I36" s="2611">
        <f t="shared" si="19"/>
        <v>1912584</v>
      </c>
      <c r="J36" s="2611">
        <f t="shared" si="19"/>
        <v>1733824</v>
      </c>
      <c r="K36" s="2611">
        <f t="shared" si="19"/>
        <v>576664</v>
      </c>
      <c r="L36" s="3663">
        <f t="shared" si="19"/>
        <v>6310356</v>
      </c>
      <c r="M36" s="3740">
        <f t="shared" si="20"/>
        <v>6025314</v>
      </c>
      <c r="N36" s="3743" t="s">
        <v>21</v>
      </c>
      <c r="O36" s="3742">
        <f t="shared" si="21"/>
        <v>270374</v>
      </c>
      <c r="P36" s="3693">
        <f t="shared" si="22"/>
        <v>948331</v>
      </c>
      <c r="Q36" s="3693">
        <f t="shared" si="23"/>
        <v>618392</v>
      </c>
      <c r="R36" s="3693">
        <f t="shared" si="24"/>
        <v>4188217</v>
      </c>
      <c r="S36" s="3694">
        <f t="shared" si="25"/>
        <v>0</v>
      </c>
      <c r="T36" s="3731">
        <v>0</v>
      </c>
      <c r="U36" s="3658">
        <v>39335</v>
      </c>
      <c r="V36" s="3660">
        <v>276</v>
      </c>
      <c r="W36" s="3682">
        <v>245431</v>
      </c>
      <c r="X36" s="3684"/>
      <c r="Y36" s="3681">
        <f t="shared" si="26"/>
        <v>285042</v>
      </c>
      <c r="Z36" s="389"/>
      <c r="AA36" s="2575"/>
      <c r="AD36" s="1738"/>
      <c r="AM36" s="51"/>
    </row>
    <row r="37" spans="1:141" s="9" customFormat="1" ht="17.25" x14ac:dyDescent="0.25">
      <c r="A37" s="12" t="s">
        <v>968</v>
      </c>
      <c r="B37" s="1" t="s">
        <v>20</v>
      </c>
      <c r="C37" s="2610">
        <f t="shared" si="18"/>
        <v>3903518.5</v>
      </c>
      <c r="D37" s="1527">
        <f>D8+I8+N8+S8</f>
        <v>3534858.166666667</v>
      </c>
      <c r="E37" s="1527">
        <f t="shared" si="18"/>
        <v>3002483.5</v>
      </c>
      <c r="F37" s="1527">
        <f t="shared" si="18"/>
        <v>1509688.44</v>
      </c>
      <c r="G37" s="2612">
        <f t="shared" si="18"/>
        <v>11950548.606666667</v>
      </c>
      <c r="H37" s="2611">
        <f t="shared" si="19"/>
        <v>3903848.17</v>
      </c>
      <c r="I37" s="2611">
        <f t="shared" si="19"/>
        <v>3535186.7816666672</v>
      </c>
      <c r="J37" s="2611">
        <f t="shared" si="19"/>
        <v>3002823.6425000001</v>
      </c>
      <c r="K37" s="2611">
        <f t="shared" si="19"/>
        <v>1510229.5825</v>
      </c>
      <c r="L37" s="3663">
        <f t="shared" si="19"/>
        <v>11952088.176666668</v>
      </c>
      <c r="M37" s="3740">
        <f t="shared" si="20"/>
        <v>11383712.176666668</v>
      </c>
      <c r="N37" s="3743" t="s">
        <v>968</v>
      </c>
      <c r="O37" s="3742">
        <f t="shared" si="21"/>
        <v>596298</v>
      </c>
      <c r="P37" s="3693">
        <f t="shared" si="22"/>
        <v>3136358</v>
      </c>
      <c r="Q37" s="3693">
        <f t="shared" si="23"/>
        <v>1745398.6666666667</v>
      </c>
      <c r="R37" s="3693">
        <f t="shared" si="24"/>
        <v>5904324.9400000004</v>
      </c>
      <c r="S37" s="3694">
        <f t="shared" si="25"/>
        <v>1332.57</v>
      </c>
      <c r="T37" s="3731">
        <v>79403</v>
      </c>
      <c r="U37" s="3658">
        <v>75466</v>
      </c>
      <c r="V37" s="32">
        <v>111246</v>
      </c>
      <c r="W37" s="32">
        <v>302054</v>
      </c>
      <c r="X37" s="3659">
        <v>207</v>
      </c>
      <c r="Y37" s="3681">
        <f t="shared" si="26"/>
        <v>568376</v>
      </c>
      <c r="Z37" s="389"/>
      <c r="AA37" s="298"/>
      <c r="AM37" s="51"/>
    </row>
    <row r="38" spans="1:141" s="9" customFormat="1" ht="23.25" x14ac:dyDescent="0.25">
      <c r="A38" s="12" t="s">
        <v>969</v>
      </c>
      <c r="B38" s="1" t="s">
        <v>20</v>
      </c>
      <c r="C38" s="2610">
        <f t="shared" si="18"/>
        <v>4316987</v>
      </c>
      <c r="D38" s="2610">
        <f>D9+I9+N9+S9</f>
        <v>3904697.666666667</v>
      </c>
      <c r="E38" s="2610">
        <f>E9+J9+O9+T9</f>
        <v>3414873.67</v>
      </c>
      <c r="F38" s="2610">
        <f>F9+K9+P9+U9</f>
        <v>1500260.7333333334</v>
      </c>
      <c r="G38" s="2610">
        <f>G9+L9+Q9+V9</f>
        <v>13136819.07</v>
      </c>
      <c r="H38" s="2611"/>
      <c r="I38" s="2611"/>
      <c r="J38" s="2611"/>
      <c r="K38" s="2611"/>
      <c r="L38" s="3663">
        <f>G38+AK9</f>
        <v>13138358.640000001</v>
      </c>
      <c r="M38" s="3740">
        <f t="shared" si="20"/>
        <v>12483750.640000001</v>
      </c>
      <c r="N38" s="3743" t="s">
        <v>969</v>
      </c>
      <c r="O38" s="3742">
        <f t="shared" si="21"/>
        <v>691526.40333333332</v>
      </c>
      <c r="P38" s="3693">
        <f t="shared" si="22"/>
        <v>3130458</v>
      </c>
      <c r="Q38" s="3693">
        <f t="shared" si="23"/>
        <v>1376384.6666666667</v>
      </c>
      <c r="R38" s="3693">
        <f t="shared" si="24"/>
        <v>7284049</v>
      </c>
      <c r="S38" s="3694">
        <f t="shared" si="25"/>
        <v>1332.57</v>
      </c>
      <c r="T38" s="3731">
        <v>79403</v>
      </c>
      <c r="U38" s="3658">
        <v>75466</v>
      </c>
      <c r="V38" s="32">
        <v>111246</v>
      </c>
      <c r="W38" s="32">
        <v>388286</v>
      </c>
      <c r="X38" s="3659">
        <v>207</v>
      </c>
      <c r="Y38" s="3681">
        <f t="shared" si="26"/>
        <v>654608</v>
      </c>
      <c r="Z38" s="389"/>
      <c r="AA38" s="298"/>
      <c r="AM38" s="51"/>
    </row>
    <row r="39" spans="1:141" ht="23.25" x14ac:dyDescent="0.25">
      <c r="A39" s="12" t="s">
        <v>22</v>
      </c>
      <c r="B39" s="1" t="s">
        <v>20</v>
      </c>
      <c r="C39" s="2610">
        <f t="shared" ref="C39:G41" si="27">C10+H10+M10+R10</f>
        <v>14946835.980999999</v>
      </c>
      <c r="D39" s="1527">
        <f t="shared" si="27"/>
        <v>14234234.547</v>
      </c>
      <c r="E39" s="1527">
        <f t="shared" si="27"/>
        <v>9886383.5</v>
      </c>
      <c r="F39" s="1527">
        <f t="shared" si="27"/>
        <v>12317842.905999999</v>
      </c>
      <c r="G39" s="2612">
        <f t="shared" si="27"/>
        <v>51385296.934</v>
      </c>
      <c r="H39" s="2611">
        <f t="shared" ref="H39:K41" si="28">C39+AG10</f>
        <v>14946835.980999999</v>
      </c>
      <c r="I39" s="2611">
        <f t="shared" si="28"/>
        <v>14234234.547</v>
      </c>
      <c r="J39" s="2611">
        <f t="shared" si="28"/>
        <v>9886383.5</v>
      </c>
      <c r="K39" s="2611">
        <f t="shared" si="28"/>
        <v>12317842.905999999</v>
      </c>
      <c r="L39" s="3663">
        <f>G39+AK10</f>
        <v>51385296.934</v>
      </c>
      <c r="M39" s="3740">
        <f t="shared" si="20"/>
        <v>50340014.934</v>
      </c>
      <c r="N39" s="3743" t="s">
        <v>22</v>
      </c>
      <c r="O39" s="3742">
        <f t="shared" si="21"/>
        <v>30025290.933999997</v>
      </c>
      <c r="P39" s="3693">
        <f t="shared" si="22"/>
        <v>1593040</v>
      </c>
      <c r="Q39" s="3693">
        <f t="shared" si="23"/>
        <v>1800000</v>
      </c>
      <c r="R39" s="3693">
        <f t="shared" si="24"/>
        <v>16921684</v>
      </c>
      <c r="S39" s="3694">
        <f t="shared" si="25"/>
        <v>0</v>
      </c>
      <c r="T39" s="3731">
        <v>334439</v>
      </c>
      <c r="U39" s="3658">
        <v>49240</v>
      </c>
      <c r="V39" s="32">
        <v>0</v>
      </c>
      <c r="W39" s="32">
        <v>661603</v>
      </c>
      <c r="X39" s="3685"/>
      <c r="Y39" s="4765">
        <f t="shared" si="26"/>
        <v>1045282</v>
      </c>
      <c r="Z39" s="389"/>
      <c r="AA39" s="298"/>
      <c r="AM39" s="1"/>
    </row>
    <row r="40" spans="1:141" ht="34.5" x14ac:dyDescent="0.25">
      <c r="A40" s="21" t="s">
        <v>970</v>
      </c>
      <c r="B40" s="22" t="s">
        <v>20</v>
      </c>
      <c r="C40" s="1527">
        <f t="shared" si="27"/>
        <v>753863</v>
      </c>
      <c r="D40" s="1527">
        <f t="shared" si="27"/>
        <v>690950.66666666674</v>
      </c>
      <c r="E40" s="1527">
        <f t="shared" si="27"/>
        <v>663860</v>
      </c>
      <c r="F40" s="1527">
        <f t="shared" si="27"/>
        <v>623755</v>
      </c>
      <c r="G40" s="2612">
        <f t="shared" si="27"/>
        <v>2732428.666666667</v>
      </c>
      <c r="H40" s="2611">
        <f t="shared" si="28"/>
        <v>753863</v>
      </c>
      <c r="I40" s="2611">
        <f t="shared" si="28"/>
        <v>690950.66666666674</v>
      </c>
      <c r="J40" s="2611">
        <f t="shared" si="28"/>
        <v>663860</v>
      </c>
      <c r="K40" s="2611">
        <f t="shared" si="28"/>
        <v>623755</v>
      </c>
      <c r="L40" s="3663">
        <f>G40+AK11</f>
        <v>2732428.666666667</v>
      </c>
      <c r="M40" s="3740">
        <f t="shared" si="20"/>
        <v>2559627.666666667</v>
      </c>
      <c r="N40" s="3743" t="s">
        <v>970</v>
      </c>
      <c r="O40" s="3742">
        <f t="shared" si="21"/>
        <v>170044</v>
      </c>
      <c r="P40" s="3693">
        <f t="shared" si="22"/>
        <v>1274117</v>
      </c>
      <c r="Q40" s="3693">
        <f t="shared" si="23"/>
        <v>1115466.6666666667</v>
      </c>
      <c r="R40" s="3693">
        <f t="shared" si="24"/>
        <v>0</v>
      </c>
      <c r="S40" s="3694">
        <f t="shared" si="25"/>
        <v>0</v>
      </c>
      <c r="T40" s="3731">
        <v>62701</v>
      </c>
      <c r="U40" s="3658">
        <v>0</v>
      </c>
      <c r="V40" s="32">
        <v>110100</v>
      </c>
      <c r="W40" s="32">
        <v>0</v>
      </c>
      <c r="X40" s="3685"/>
      <c r="Y40" s="3681">
        <f t="shared" si="26"/>
        <v>172801</v>
      </c>
      <c r="Z40" s="389"/>
      <c r="AA40" s="298"/>
    </row>
    <row r="41" spans="1:141" s="9" customFormat="1" ht="45.75" x14ac:dyDescent="0.25">
      <c r="A41" s="103" t="s">
        <v>971</v>
      </c>
      <c r="B41" s="22" t="s">
        <v>20</v>
      </c>
      <c r="C41" s="2610">
        <f t="shared" si="27"/>
        <v>0</v>
      </c>
      <c r="D41" s="2610">
        <f>D12+I12+N12+S12</f>
        <v>0</v>
      </c>
      <c r="E41" s="2610">
        <f>E12+J12+O12+T12</f>
        <v>0</v>
      </c>
      <c r="F41" s="2610">
        <f>F12+K12+P12+U12</f>
        <v>247706</v>
      </c>
      <c r="G41" s="2610">
        <f>G12+L12+Q12+V12</f>
        <v>247706</v>
      </c>
      <c r="H41" s="2611">
        <f t="shared" si="28"/>
        <v>0</v>
      </c>
      <c r="I41" s="2611">
        <f t="shared" si="28"/>
        <v>0</v>
      </c>
      <c r="J41" s="2611">
        <f t="shared" si="28"/>
        <v>0</v>
      </c>
      <c r="K41" s="2611">
        <f t="shared" si="28"/>
        <v>247706</v>
      </c>
      <c r="L41" s="3663">
        <f>G41+AK12</f>
        <v>247706</v>
      </c>
      <c r="M41" s="3740">
        <f t="shared" si="20"/>
        <v>129954</v>
      </c>
      <c r="N41" s="3743" t="s">
        <v>971</v>
      </c>
      <c r="O41" s="3742">
        <f t="shared" si="21"/>
        <v>0</v>
      </c>
      <c r="P41" s="3693">
        <f t="shared" si="22"/>
        <v>129954</v>
      </c>
      <c r="Q41" s="3693">
        <f t="shared" si="23"/>
        <v>0</v>
      </c>
      <c r="R41" s="3693">
        <f t="shared" si="24"/>
        <v>0</v>
      </c>
      <c r="S41" s="3694">
        <f t="shared" si="25"/>
        <v>0</v>
      </c>
      <c r="T41" s="3731">
        <v>0</v>
      </c>
      <c r="U41" s="3658">
        <v>117752</v>
      </c>
      <c r="V41" s="32">
        <v>0</v>
      </c>
      <c r="W41" s="32">
        <v>0</v>
      </c>
      <c r="X41" s="3685"/>
      <c r="Y41" s="3681">
        <f t="shared" si="26"/>
        <v>117752</v>
      </c>
      <c r="Z41" s="389"/>
      <c r="AA41" s="298"/>
    </row>
    <row r="42" spans="1:141" s="2409" customFormat="1" ht="23.25" x14ac:dyDescent="0.25">
      <c r="A42" s="2408" t="s">
        <v>306</v>
      </c>
      <c r="B42" s="1570" t="s">
        <v>20</v>
      </c>
      <c r="C42" s="2613">
        <f t="shared" ref="C42:G43" si="29">C13+H13+M13+R13</f>
        <v>3903518.5</v>
      </c>
      <c r="D42" s="2614">
        <f t="shared" si="29"/>
        <v>3534858.166666667</v>
      </c>
      <c r="E42" s="2614">
        <f t="shared" si="29"/>
        <v>3002483.5</v>
      </c>
      <c r="F42" s="2614">
        <f t="shared" si="29"/>
        <v>1509688.44</v>
      </c>
      <c r="G42" s="2615">
        <f t="shared" si="29"/>
        <v>11950548.606666667</v>
      </c>
      <c r="H42" s="2616">
        <f t="shared" ref="H42:L43" si="30">C42+AG13</f>
        <v>3903848.17</v>
      </c>
      <c r="I42" s="2617">
        <f t="shared" si="30"/>
        <v>3535186.7816666672</v>
      </c>
      <c r="J42" s="2617">
        <f t="shared" si="30"/>
        <v>3002823.6425000001</v>
      </c>
      <c r="K42" s="2617">
        <f t="shared" si="30"/>
        <v>1510229.5825</v>
      </c>
      <c r="L42" s="3664">
        <f t="shared" si="30"/>
        <v>11952088.176666668</v>
      </c>
      <c r="M42" s="3734">
        <f t="shared" si="20"/>
        <v>11383712.176666668</v>
      </c>
      <c r="N42" s="3707" t="s">
        <v>305</v>
      </c>
      <c r="O42" s="3705">
        <f t="shared" si="21"/>
        <v>596298</v>
      </c>
      <c r="P42" s="3695">
        <f t="shared" si="22"/>
        <v>3136358</v>
      </c>
      <c r="Q42" s="3695">
        <f t="shared" si="23"/>
        <v>1745398.6666666667</v>
      </c>
      <c r="R42" s="3695">
        <f t="shared" si="24"/>
        <v>5904324.9400000004</v>
      </c>
      <c r="S42" s="3696">
        <f t="shared" si="25"/>
        <v>1332.57</v>
      </c>
      <c r="T42" s="3732">
        <v>79403</v>
      </c>
      <c r="U42" s="3697">
        <v>75466</v>
      </c>
      <c r="V42" s="3698">
        <v>111246</v>
      </c>
      <c r="W42" s="3698">
        <v>302054</v>
      </c>
      <c r="X42" s="3699">
        <v>207</v>
      </c>
      <c r="Y42" s="3700">
        <f t="shared" si="26"/>
        <v>568376</v>
      </c>
      <c r="Z42" s="389"/>
      <c r="AA42" s="2576"/>
    </row>
    <row r="43" spans="1:141" s="9" customFormat="1" x14ac:dyDescent="0.25">
      <c r="A43" s="21" t="s">
        <v>296</v>
      </c>
      <c r="B43" s="39" t="s">
        <v>297</v>
      </c>
      <c r="C43" s="2610">
        <f t="shared" si="29"/>
        <v>3.7</v>
      </c>
      <c r="D43" s="1527">
        <f t="shared" si="29"/>
        <v>733.2</v>
      </c>
      <c r="E43" s="1527">
        <f t="shared" si="29"/>
        <v>1234.3000000000002</v>
      </c>
      <c r="F43" s="1527">
        <f t="shared" si="29"/>
        <v>322.59999999999997</v>
      </c>
      <c r="G43" s="2612">
        <f t="shared" si="29"/>
        <v>2293.8000000000002</v>
      </c>
      <c r="H43" s="2611">
        <f t="shared" si="30"/>
        <v>3.7</v>
      </c>
      <c r="I43" s="2618">
        <f t="shared" si="30"/>
        <v>733.2</v>
      </c>
      <c r="J43" s="2618">
        <f t="shared" si="30"/>
        <v>1234.3000000000002</v>
      </c>
      <c r="K43" s="2618">
        <f t="shared" si="30"/>
        <v>322.59999999999997</v>
      </c>
      <c r="L43" s="3665">
        <f t="shared" si="30"/>
        <v>2293.8000000000002</v>
      </c>
      <c r="M43" s="3735"/>
      <c r="N43" s="3708" t="s">
        <v>296</v>
      </c>
      <c r="O43" s="3706"/>
      <c r="P43" s="2155"/>
      <c r="Q43" s="2155"/>
      <c r="R43" s="2155"/>
      <c r="S43" s="3686"/>
      <c r="T43" s="3733"/>
      <c r="U43" s="3688"/>
      <c r="V43" s="3689"/>
      <c r="W43" s="3689"/>
      <c r="X43" s="3690"/>
      <c r="Y43" s="3691"/>
      <c r="Z43" s="298"/>
      <c r="AA43" s="298"/>
    </row>
    <row r="44" spans="1:141" s="184" customFormat="1" x14ac:dyDescent="0.25">
      <c r="A44" s="183" t="s">
        <v>19</v>
      </c>
      <c r="B44" s="186" t="s">
        <v>106</v>
      </c>
      <c r="C44" s="2619">
        <f>Production!C16</f>
        <v>3908071.2904800698</v>
      </c>
      <c r="D44" s="2619">
        <f>Production!D16</f>
        <v>3627561.52</v>
      </c>
      <c r="E44" s="2619">
        <f>Production!E16</f>
        <v>3372707</v>
      </c>
      <c r="F44" s="2619">
        <f>Production!F16</f>
        <v>1427529.4915110001</v>
      </c>
      <c r="G44" s="2620">
        <f>Production!G16</f>
        <v>12335870</v>
      </c>
      <c r="H44" s="2621">
        <f>Production!C16</f>
        <v>3908071.2904800698</v>
      </c>
      <c r="I44" s="2622">
        <f>Production!D16</f>
        <v>3627561.52</v>
      </c>
      <c r="J44" s="2622">
        <f>Production!E16</f>
        <v>3372707</v>
      </c>
      <c r="K44" s="2622">
        <f>Production!F16</f>
        <v>1427529.4915110001</v>
      </c>
      <c r="L44" s="3666">
        <f>Production!G16</f>
        <v>12335870</v>
      </c>
      <c r="M44" s="3744">
        <f>Production!AC7</f>
        <v>12026769.134772001</v>
      </c>
      <c r="N44" s="3707" t="s">
        <v>19</v>
      </c>
      <c r="O44" s="3725">
        <f>Production!Y7</f>
        <v>4102978.7186670001</v>
      </c>
      <c r="P44" s="3726">
        <f>Production!Z7</f>
        <v>2858250.21809607</v>
      </c>
      <c r="Q44" s="3745">
        <f>Production!AA7</f>
        <v>891705</v>
      </c>
      <c r="R44" s="3746">
        <f>Production!AB7</f>
        <v>4173834.5</v>
      </c>
      <c r="S44" s="3686"/>
      <c r="T44" s="39"/>
      <c r="U44" s="39"/>
      <c r="V44" s="39"/>
      <c r="W44" s="39"/>
      <c r="X44" s="39"/>
      <c r="Y44" s="22"/>
      <c r="Z44" s="39"/>
      <c r="AA44" s="39"/>
      <c r="AB44" s="116"/>
      <c r="AC44" s="116"/>
      <c r="AD44" s="116"/>
      <c r="AE44" s="116"/>
      <c r="AF44" s="116"/>
      <c r="AG44" s="116"/>
      <c r="AH44" s="116"/>
      <c r="AI44" s="116"/>
      <c r="AJ44" s="116"/>
      <c r="AK44" s="116"/>
      <c r="AL44" s="116"/>
      <c r="AM44" s="116"/>
      <c r="AN44" s="116"/>
      <c r="AO44" s="116"/>
      <c r="AP44" s="116"/>
      <c r="AQ44" s="116"/>
      <c r="AR44" s="116"/>
      <c r="AS44" s="116"/>
      <c r="AT44" s="116"/>
      <c r="AU44" s="116"/>
      <c r="AV44" s="116"/>
      <c r="AW44" s="116"/>
      <c r="AX44" s="116"/>
      <c r="AY44" s="116"/>
      <c r="AZ44" s="116"/>
      <c r="BA44" s="116"/>
      <c r="BB44" s="116"/>
      <c r="BC44" s="116"/>
      <c r="BD44" s="116"/>
      <c r="BE44" s="116"/>
      <c r="BF44" s="116"/>
      <c r="BG44" s="116"/>
      <c r="BH44" s="116"/>
      <c r="BI44" s="116"/>
      <c r="BJ44" s="116"/>
      <c r="BK44" s="116"/>
      <c r="BL44" s="116"/>
      <c r="BM44" s="116"/>
      <c r="BN44" s="116"/>
      <c r="BO44" s="116"/>
      <c r="BP44" s="116"/>
      <c r="BQ44" s="116"/>
      <c r="BR44" s="116"/>
      <c r="BS44" s="116"/>
      <c r="BT44" s="116"/>
      <c r="BU44" s="116"/>
      <c r="BV44" s="116"/>
      <c r="BW44" s="116"/>
      <c r="BX44" s="116"/>
      <c r="BY44" s="116"/>
      <c r="BZ44" s="116"/>
      <c r="CA44" s="116"/>
      <c r="CB44" s="116"/>
      <c r="CC44" s="116"/>
      <c r="CD44" s="116"/>
      <c r="CE44" s="116"/>
      <c r="CF44" s="116"/>
      <c r="CG44" s="116"/>
      <c r="CH44" s="116"/>
      <c r="CI44" s="116"/>
      <c r="CJ44" s="116"/>
      <c r="CK44" s="116"/>
      <c r="CL44" s="116"/>
      <c r="CM44" s="116"/>
      <c r="CN44" s="116"/>
      <c r="CO44" s="116"/>
      <c r="CP44" s="116"/>
      <c r="CQ44" s="116"/>
      <c r="CR44" s="116"/>
      <c r="CS44" s="116"/>
      <c r="CT44" s="116"/>
      <c r="CU44" s="116"/>
      <c r="CV44" s="116"/>
      <c r="CW44" s="116"/>
      <c r="CX44" s="116"/>
      <c r="CY44" s="116"/>
      <c r="CZ44" s="116"/>
      <c r="DA44" s="116"/>
      <c r="DB44" s="116"/>
      <c r="DC44" s="116"/>
      <c r="DD44" s="116"/>
      <c r="DE44" s="116"/>
      <c r="DF44" s="116"/>
      <c r="DG44" s="116"/>
      <c r="DH44" s="116"/>
      <c r="DI44" s="116"/>
      <c r="DJ44" s="116"/>
      <c r="DK44" s="116"/>
      <c r="DL44" s="116"/>
      <c r="DM44" s="116"/>
      <c r="DN44" s="116"/>
      <c r="DO44" s="116"/>
      <c r="DP44" s="116"/>
      <c r="DQ44" s="116"/>
      <c r="DR44" s="116"/>
      <c r="DS44" s="116"/>
      <c r="DT44" s="116"/>
      <c r="DU44" s="116"/>
      <c r="DV44" s="116"/>
      <c r="DW44" s="116"/>
      <c r="DX44" s="116"/>
      <c r="DY44" s="116"/>
      <c r="DZ44" s="116"/>
      <c r="EA44" s="116"/>
      <c r="EB44" s="116"/>
      <c r="EC44" s="116"/>
      <c r="ED44" s="116"/>
      <c r="EE44" s="116"/>
      <c r="EF44" s="116"/>
      <c r="EG44" s="116"/>
      <c r="EH44" s="116"/>
      <c r="EI44" s="116"/>
      <c r="EJ44" s="116"/>
      <c r="EK44" s="116"/>
    </row>
    <row r="45" spans="1:141" ht="23.25" x14ac:dyDescent="0.25">
      <c r="A45" s="183" t="s">
        <v>24</v>
      </c>
      <c r="B45" s="186" t="s">
        <v>972</v>
      </c>
      <c r="C45" s="2623">
        <f>IF(ISERROR(C42/C44),0,(C42/C44))</f>
        <v>0.99883502880534436</v>
      </c>
      <c r="D45" s="2623">
        <f t="shared" ref="D45:R45" si="31">IF(ISERROR(D42/D44),0,(D42/D44))</f>
        <v>0.97444471918057696</v>
      </c>
      <c r="E45" s="2623">
        <f t="shared" si="31"/>
        <v>0.89022956930441932</v>
      </c>
      <c r="F45" s="2623">
        <f t="shared" si="31"/>
        <v>1.0575532407404324</v>
      </c>
      <c r="G45" s="2623">
        <f t="shared" si="31"/>
        <v>0.9687641493195589</v>
      </c>
      <c r="H45" s="2623">
        <f t="shared" si="31"/>
        <v>0.99891938499424071</v>
      </c>
      <c r="I45" s="2623">
        <f t="shared" si="31"/>
        <v>0.9745353075822315</v>
      </c>
      <c r="J45" s="2623">
        <f t="shared" si="31"/>
        <v>0.89033042078662628</v>
      </c>
      <c r="K45" s="2623">
        <f t="shared" si="31"/>
        <v>1.0579323169719346</v>
      </c>
      <c r="L45" s="3667">
        <f t="shared" si="31"/>
        <v>0.96888895365034389</v>
      </c>
      <c r="M45" s="3709">
        <f t="shared" si="31"/>
        <v>0.94653119629226812</v>
      </c>
      <c r="N45" s="3747" t="s">
        <v>1284</v>
      </c>
      <c r="O45" s="3897">
        <f t="shared" si="31"/>
        <v>0.14533294976331948</v>
      </c>
      <c r="P45" s="3898">
        <f t="shared" si="31"/>
        <v>1.0973000124842753</v>
      </c>
      <c r="Q45" s="3898">
        <f t="shared" si="31"/>
        <v>1.957372299882435</v>
      </c>
      <c r="R45" s="3898">
        <f t="shared" si="31"/>
        <v>1.4146044698226536</v>
      </c>
      <c r="S45" s="3686"/>
      <c r="T45" s="1"/>
      <c r="U45" s="1">
        <f>672311-79403</f>
        <v>592908</v>
      </c>
      <c r="V45" s="1"/>
      <c r="W45" s="1"/>
      <c r="X45" s="1"/>
      <c r="Y45" s="13"/>
      <c r="Z45" s="1"/>
      <c r="AA45" s="1"/>
    </row>
    <row r="46" spans="1:141" s="9" customFormat="1" ht="47.25" x14ac:dyDescent="0.25">
      <c r="A46" s="3701" t="s">
        <v>982</v>
      </c>
      <c r="B46" s="101" t="s">
        <v>972</v>
      </c>
      <c r="C46" s="2967">
        <v>1.016</v>
      </c>
      <c r="D46" s="2968">
        <v>1.016</v>
      </c>
      <c r="E46" s="2968">
        <v>1.016</v>
      </c>
      <c r="F46" s="2968">
        <v>1.016</v>
      </c>
      <c r="G46" s="2969">
        <v>1.016</v>
      </c>
      <c r="H46" s="2970">
        <v>1.016</v>
      </c>
      <c r="I46" s="2971">
        <v>1.016</v>
      </c>
      <c r="J46" s="2971">
        <v>1.016</v>
      </c>
      <c r="K46" s="2971">
        <v>1.016</v>
      </c>
      <c r="L46" s="3668">
        <v>1.016</v>
      </c>
      <c r="M46" s="3736">
        <v>1.016</v>
      </c>
      <c r="N46" s="3711" t="s">
        <v>1282</v>
      </c>
      <c r="O46" s="3710">
        <f>G17</f>
        <v>0.12903300000000001</v>
      </c>
      <c r="P46" s="3702">
        <f>L17</f>
        <v>1.218</v>
      </c>
      <c r="Q46" s="3702">
        <f>Q17</f>
        <v>1.5935964289925515</v>
      </c>
      <c r="R46" s="3703">
        <f>R17</f>
        <v>1.63</v>
      </c>
      <c r="S46" s="3686"/>
      <c r="T46" s="1"/>
      <c r="U46" s="1"/>
      <c r="V46" s="1"/>
      <c r="W46" s="1"/>
      <c r="X46" s="1"/>
      <c r="Y46" s="13"/>
      <c r="Z46" s="1"/>
      <c r="AA46" s="1"/>
    </row>
    <row r="47" spans="1:141" s="9" customFormat="1" ht="57" x14ac:dyDescent="0.25">
      <c r="A47" s="187" t="s">
        <v>983</v>
      </c>
      <c r="B47" s="186" t="s">
        <v>98</v>
      </c>
      <c r="C47" s="2552">
        <f>IF(ISERROR((C45-C46)/C46),0,((C45-C46)/C46))</f>
        <v>-1.6894656687653203E-2</v>
      </c>
      <c r="D47" s="2552">
        <f t="shared" ref="D47:L47" si="32">IF(ISERROR((D45-D46)/D46),0,((D45-D46)/D46))</f>
        <v>-4.0900866948251041E-2</v>
      </c>
      <c r="E47" s="2552">
        <f t="shared" si="32"/>
        <v>-0.12378979399171328</v>
      </c>
      <c r="F47" s="2552">
        <f t="shared" si="32"/>
        <v>4.089885899648861E-2</v>
      </c>
      <c r="G47" s="2552">
        <f t="shared" si="32"/>
        <v>-4.6491979016182197E-2</v>
      </c>
      <c r="H47" s="2552">
        <f t="shared" si="32"/>
        <v>-1.6811628942676481E-2</v>
      </c>
      <c r="I47" s="2552">
        <f t="shared" si="32"/>
        <v>-4.0811705135598932E-2</v>
      </c>
      <c r="J47" s="2552">
        <f t="shared" si="32"/>
        <v>-0.12369053072182454</v>
      </c>
      <c r="K47" s="2552">
        <f t="shared" si="32"/>
        <v>4.1271965523557635E-2</v>
      </c>
      <c r="L47" s="3669">
        <f t="shared" si="32"/>
        <v>-4.6369140107929259E-2</v>
      </c>
      <c r="M47" s="3712">
        <f>IF(ISERROR((M45-M46)/M46),0,((M45-M46)/M46))</f>
        <v>-6.8374806798948723E-2</v>
      </c>
      <c r="N47" s="3713" t="s">
        <v>983</v>
      </c>
      <c r="O47" s="3714">
        <f>IF(ISERROR((O45-O46)/O46),0,((O45-O46)/O46))</f>
        <v>0.12632388430339114</v>
      </c>
      <c r="P47" s="3715">
        <f>IF(ISERROR((P45-P46)/P46),0,((P45-P46)/P46))</f>
        <v>-9.9096869881547325E-2</v>
      </c>
      <c r="Q47" s="3715">
        <f>IF(ISERROR((Q45-Q46)/Q46),0,((Q45-Q46)/Q46))</f>
        <v>0.2282735228767156</v>
      </c>
      <c r="R47" s="3715">
        <f>IF(ISERROR((R45-R46)/R46),0,((R45-R46)/R46))</f>
        <v>-0.13214449704131673</v>
      </c>
      <c r="S47" s="3686"/>
      <c r="T47" s="1"/>
      <c r="U47" s="1"/>
      <c r="V47" s="1"/>
      <c r="W47" s="1"/>
      <c r="X47" s="1"/>
      <c r="Y47" s="13"/>
      <c r="Z47" s="1"/>
    </row>
    <row r="48" spans="1:141" s="9" customFormat="1" ht="45.75" x14ac:dyDescent="0.25">
      <c r="A48" s="1789" t="s">
        <v>685</v>
      </c>
      <c r="B48" s="264" t="s">
        <v>98</v>
      </c>
      <c r="C48" s="268" t="s">
        <v>676</v>
      </c>
      <c r="D48" s="263" t="s">
        <v>676</v>
      </c>
      <c r="E48" s="263" t="s">
        <v>676</v>
      </c>
      <c r="F48" s="263" t="s">
        <v>676</v>
      </c>
      <c r="G48" s="267" t="s">
        <v>676</v>
      </c>
      <c r="H48" s="2060" t="s">
        <v>676</v>
      </c>
      <c r="I48" s="2058" t="s">
        <v>676</v>
      </c>
      <c r="J48" s="2058" t="s">
        <v>676</v>
      </c>
      <c r="K48" s="2058" t="s">
        <v>676</v>
      </c>
      <c r="L48" s="3670" t="s">
        <v>676</v>
      </c>
      <c r="M48" s="3737"/>
      <c r="N48" s="3716" t="s">
        <v>685</v>
      </c>
      <c r="O48" s="3717"/>
      <c r="P48" s="3718"/>
      <c r="Q48" s="3718"/>
      <c r="R48" s="3719"/>
      <c r="S48" s="3686"/>
      <c r="T48" s="1"/>
      <c r="U48" s="1"/>
      <c r="V48" s="1"/>
      <c r="W48" s="1"/>
      <c r="X48" s="1"/>
      <c r="Y48" s="13"/>
      <c r="Z48" s="1"/>
    </row>
    <row r="49" spans="1:26" ht="34.5" x14ac:dyDescent="0.25">
      <c r="A49" s="21" t="s">
        <v>979</v>
      </c>
      <c r="B49" s="39" t="s">
        <v>972</v>
      </c>
      <c r="C49" s="2624">
        <f>IF(ISERROR(C35/C44),0,(C35/C44))</f>
        <v>0.27184035833427633</v>
      </c>
      <c r="D49" s="2624">
        <f t="shared" ref="D49:R49" si="33">IF(ISERROR(D35/D44),0,(D35/D44))</f>
        <v>0.25673541161612057</v>
      </c>
      <c r="E49" s="2624">
        <f t="shared" si="33"/>
        <v>0.17932168433249612</v>
      </c>
      <c r="F49" s="2624">
        <f t="shared" si="33"/>
        <v>0.21664662050004091</v>
      </c>
      <c r="G49" s="2624">
        <f t="shared" si="33"/>
        <v>0.23571616270275222</v>
      </c>
      <c r="H49" s="2624">
        <f t="shared" si="33"/>
        <v>0.27192471452317263</v>
      </c>
      <c r="I49" s="2624">
        <f t="shared" si="33"/>
        <v>0.256826000017775</v>
      </c>
      <c r="J49" s="2624">
        <f t="shared" si="33"/>
        <v>0.17942253581470313</v>
      </c>
      <c r="K49" s="2624">
        <f t="shared" si="33"/>
        <v>0.21702569673154296</v>
      </c>
      <c r="L49" s="3671">
        <f t="shared" si="33"/>
        <v>0.23584096703353713</v>
      </c>
      <c r="M49" s="3671">
        <f t="shared" si="33"/>
        <v>0.23271175148013332</v>
      </c>
      <c r="N49" s="3488" t="s">
        <v>974</v>
      </c>
      <c r="O49" s="3671">
        <f t="shared" si="33"/>
        <v>3.7991910435899903E-2</v>
      </c>
      <c r="P49" s="3671">
        <f t="shared" si="33"/>
        <v>0.31974457457009181</v>
      </c>
      <c r="Q49" s="3671">
        <f t="shared" si="33"/>
        <v>1.2941499711227367E-2</v>
      </c>
      <c r="R49" s="3671">
        <f t="shared" si="33"/>
        <v>0.41115859768757002</v>
      </c>
      <c r="S49" s="3686"/>
      <c r="T49" s="1"/>
      <c r="U49" s="1"/>
      <c r="V49" s="1"/>
      <c r="W49" s="1"/>
      <c r="X49" s="1"/>
      <c r="Y49" s="13"/>
      <c r="Z49" s="1"/>
    </row>
    <row r="50" spans="1:26" s="9" customFormat="1" ht="23.25" x14ac:dyDescent="0.25">
      <c r="A50" s="21" t="s">
        <v>294</v>
      </c>
      <c r="B50" s="39" t="s">
        <v>972</v>
      </c>
      <c r="C50" s="2624">
        <f>IF(ISERROR(C36/C44),0,(C36/C44))</f>
        <v>0.53409568169458776</v>
      </c>
      <c r="D50" s="2624">
        <f t="shared" ref="D50:R50" si="34">IF(ISERROR(D36/D44),0,(D36/D44))</f>
        <v>0.52723681995612304</v>
      </c>
      <c r="E50" s="2624">
        <f t="shared" si="34"/>
        <v>0.51407489592188116</v>
      </c>
      <c r="F50" s="2624">
        <f t="shared" si="34"/>
        <v>0.40395943021087238</v>
      </c>
      <c r="G50" s="2624">
        <f t="shared" si="34"/>
        <v>0.51154527406660411</v>
      </c>
      <c r="H50" s="2624">
        <f t="shared" si="34"/>
        <v>0.53409568169458776</v>
      </c>
      <c r="I50" s="2624">
        <f t="shared" si="34"/>
        <v>0.52723681995612304</v>
      </c>
      <c r="J50" s="2624">
        <f t="shared" si="34"/>
        <v>0.51407489592188116</v>
      </c>
      <c r="K50" s="2624">
        <f t="shared" si="34"/>
        <v>0.40395943021087238</v>
      </c>
      <c r="L50" s="3671">
        <f t="shared" si="34"/>
        <v>0.51154527406660411</v>
      </c>
      <c r="M50" s="3671">
        <f t="shared" si="34"/>
        <v>0.5009919066775389</v>
      </c>
      <c r="N50" s="3488" t="s">
        <v>975</v>
      </c>
      <c r="O50" s="3671">
        <f t="shared" si="34"/>
        <v>6.5897002772619964E-2</v>
      </c>
      <c r="P50" s="3671">
        <f t="shared" si="34"/>
        <v>0.33178725711134543</v>
      </c>
      <c r="Q50" s="3671">
        <f t="shared" si="34"/>
        <v>0.69349392456025249</v>
      </c>
      <c r="R50" s="3671">
        <f t="shared" si="34"/>
        <v>1.0034458721350834</v>
      </c>
      <c r="S50" s="3686"/>
      <c r="T50" s="1"/>
      <c r="U50" s="1"/>
      <c r="V50" s="1"/>
      <c r="W50" s="1"/>
      <c r="X50" s="1"/>
      <c r="Y50" s="13"/>
      <c r="Z50" s="1"/>
    </row>
    <row r="51" spans="1:26" s="9" customFormat="1" ht="23.25" x14ac:dyDescent="0.25">
      <c r="A51" s="21" t="s">
        <v>980</v>
      </c>
      <c r="B51" s="39" t="s">
        <v>972</v>
      </c>
      <c r="C51" s="2625">
        <f>IF(ISERROR(C37/C44),0,(C37/C44))</f>
        <v>0.99883502880534436</v>
      </c>
      <c r="D51" s="2625">
        <f t="shared" ref="D51:R51" si="35">IF(ISERROR(D37/D44),0,(D37/D44))</f>
        <v>0.97444471918057696</v>
      </c>
      <c r="E51" s="2625">
        <f t="shared" si="35"/>
        <v>0.89022956930441932</v>
      </c>
      <c r="F51" s="2625">
        <f t="shared" si="35"/>
        <v>1.0575532407404324</v>
      </c>
      <c r="G51" s="2625">
        <f t="shared" si="35"/>
        <v>0.9687641493195589</v>
      </c>
      <c r="H51" s="2625">
        <f t="shared" si="35"/>
        <v>0.99891938499424071</v>
      </c>
      <c r="I51" s="2625">
        <f t="shared" si="35"/>
        <v>0.9745353075822315</v>
      </c>
      <c r="J51" s="2625">
        <f t="shared" si="35"/>
        <v>0.89033042078662628</v>
      </c>
      <c r="K51" s="2625">
        <f t="shared" si="35"/>
        <v>1.0579323169719346</v>
      </c>
      <c r="L51" s="3672">
        <f t="shared" si="35"/>
        <v>0.96888895365034389</v>
      </c>
      <c r="M51" s="3672">
        <f t="shared" si="35"/>
        <v>0.94653119629226812</v>
      </c>
      <c r="N51" s="3488" t="s">
        <v>976</v>
      </c>
      <c r="O51" s="3672">
        <f t="shared" si="35"/>
        <v>0.14533294976331948</v>
      </c>
      <c r="P51" s="3672">
        <f t="shared" si="35"/>
        <v>1.0973000124842753</v>
      </c>
      <c r="Q51" s="3672">
        <f t="shared" si="35"/>
        <v>1.957372299882435</v>
      </c>
      <c r="R51" s="3672">
        <f t="shared" si="35"/>
        <v>1.4146044698226536</v>
      </c>
      <c r="S51" s="3686"/>
      <c r="T51" s="1"/>
      <c r="U51" s="1"/>
      <c r="V51" s="1"/>
      <c r="W51" s="1"/>
      <c r="X51" s="1"/>
      <c r="Y51" s="13"/>
      <c r="Z51" s="1"/>
    </row>
    <row r="52" spans="1:26" s="9" customFormat="1" ht="17.25" x14ac:dyDescent="0.25">
      <c r="A52" s="21" t="s">
        <v>977</v>
      </c>
      <c r="B52" s="39" t="s">
        <v>972</v>
      </c>
      <c r="C52" s="2625">
        <f>IF(ISERROR(C38/C44),0,(C38/C44))</f>
        <v>1.1046336361662683</v>
      </c>
      <c r="D52" s="2625">
        <f t="shared" ref="D52:R52" si="36">IF(ISERROR(D38/D44),0,(D38/D44))</f>
        <v>1.0763973664233453</v>
      </c>
      <c r="E52" s="2625">
        <f t="shared" si="36"/>
        <v>1.0125023223185412</v>
      </c>
      <c r="F52" s="2625">
        <f t="shared" si="36"/>
        <v>1.0509490292528734</v>
      </c>
      <c r="G52" s="2625">
        <f t="shared" si="36"/>
        <v>1.0649284622811364</v>
      </c>
      <c r="H52" s="2625">
        <f t="shared" si="36"/>
        <v>0</v>
      </c>
      <c r="I52" s="2625">
        <f t="shared" si="36"/>
        <v>0</v>
      </c>
      <c r="J52" s="2625">
        <f t="shared" si="36"/>
        <v>0</v>
      </c>
      <c r="K52" s="2625">
        <f t="shared" si="36"/>
        <v>0</v>
      </c>
      <c r="L52" s="3672">
        <f t="shared" si="36"/>
        <v>1.0650532666119212</v>
      </c>
      <c r="M52" s="3672">
        <f t="shared" si="36"/>
        <v>1.0379970298013592</v>
      </c>
      <c r="N52" s="3752" t="s">
        <v>977</v>
      </c>
      <c r="O52" s="3672">
        <f t="shared" si="36"/>
        <v>0.16854252745381057</v>
      </c>
      <c r="P52" s="3672">
        <f t="shared" si="36"/>
        <v>1.0952358125193296</v>
      </c>
      <c r="Q52" s="3672">
        <f t="shared" si="36"/>
        <v>1.5435426140558444</v>
      </c>
      <c r="R52" s="3672">
        <f t="shared" si="36"/>
        <v>1.7451695796754758</v>
      </c>
      <c r="S52" s="3686"/>
      <c r="T52" s="1"/>
      <c r="U52" s="1"/>
      <c r="V52" s="1"/>
      <c r="W52" s="1"/>
      <c r="X52" s="1"/>
      <c r="Y52" s="13"/>
      <c r="Z52" s="1"/>
    </row>
    <row r="53" spans="1:26" s="9" customFormat="1" ht="34.5" x14ac:dyDescent="0.25">
      <c r="A53" s="103" t="s">
        <v>295</v>
      </c>
      <c r="B53" s="39" t="s">
        <v>972</v>
      </c>
      <c r="C53" s="2625">
        <f>IF(ISERROR(C39/C44),0,(C39/C44))</f>
        <v>3.8246067868336966</v>
      </c>
      <c r="D53" s="2625">
        <f t="shared" ref="D53:R53" si="37">IF(ISERROR(D39/D44),0,(D39/D44))</f>
        <v>3.9239126527618478</v>
      </c>
      <c r="E53" s="2625">
        <f t="shared" si="37"/>
        <v>2.9312903551953964</v>
      </c>
      <c r="F53" s="2625">
        <f t="shared" si="37"/>
        <v>8.6287834887123118</v>
      </c>
      <c r="G53" s="2625">
        <f t="shared" si="37"/>
        <v>4.1655186812117835</v>
      </c>
      <c r="H53" s="2625">
        <f t="shared" si="37"/>
        <v>3.8246067868336966</v>
      </c>
      <c r="I53" s="2625">
        <f t="shared" si="37"/>
        <v>3.9239126527618478</v>
      </c>
      <c r="J53" s="2625">
        <f t="shared" si="37"/>
        <v>2.9312903551953964</v>
      </c>
      <c r="K53" s="2625">
        <f t="shared" si="37"/>
        <v>8.6287834887123118</v>
      </c>
      <c r="L53" s="3672">
        <f t="shared" si="37"/>
        <v>4.1655186812117835</v>
      </c>
      <c r="M53" s="3672">
        <f t="shared" si="37"/>
        <v>4.1856640274615469</v>
      </c>
      <c r="N53" s="112" t="s">
        <v>295</v>
      </c>
      <c r="O53" s="3672">
        <f t="shared" si="37"/>
        <v>7.3179250960762454</v>
      </c>
      <c r="P53" s="3672">
        <f t="shared" si="37"/>
        <v>0.55734798511137751</v>
      </c>
      <c r="Q53" s="3672">
        <f t="shared" si="37"/>
        <v>2.0186048076437837</v>
      </c>
      <c r="R53" s="3672">
        <f t="shared" si="37"/>
        <v>4.0542297496462787</v>
      </c>
      <c r="S53" s="3686"/>
      <c r="T53" s="1"/>
      <c r="U53" s="1"/>
      <c r="V53" s="1"/>
      <c r="W53" s="1"/>
      <c r="X53" s="1"/>
      <c r="Y53" s="13"/>
      <c r="Z53" s="1"/>
    </row>
    <row r="54" spans="1:26" s="9" customFormat="1" ht="23.25" x14ac:dyDescent="0.25">
      <c r="A54" s="266" t="s">
        <v>97</v>
      </c>
      <c r="B54" s="1793" t="s">
        <v>98</v>
      </c>
      <c r="C54" s="3016">
        <f t="shared" ref="C54:R54" si="38">IF(ISERROR(C39/(C42+C39)),0,(C39/(C42+C39)))*100</f>
        <v>79.292068465160654</v>
      </c>
      <c r="D54" s="3016">
        <f t="shared" si="38"/>
        <v>80.106704244117566</v>
      </c>
      <c r="E54" s="3016">
        <f t="shared" si="38"/>
        <v>76.704829834926528</v>
      </c>
      <c r="F54" s="3016">
        <f t="shared" si="38"/>
        <v>89.082010358727416</v>
      </c>
      <c r="G54" s="3016">
        <f t="shared" si="38"/>
        <v>81.13146117392013</v>
      </c>
      <c r="H54" s="3016">
        <f t="shared" si="38"/>
        <v>79.290681766619556</v>
      </c>
      <c r="I54" s="3016">
        <f t="shared" si="38"/>
        <v>80.105222807883464</v>
      </c>
      <c r="J54" s="3016">
        <f t="shared" si="38"/>
        <v>76.702805616346311</v>
      </c>
      <c r="K54" s="3016">
        <f t="shared" si="38"/>
        <v>89.078524257404851</v>
      </c>
      <c r="L54" s="3896">
        <f t="shared" si="38"/>
        <v>81.129489075396293</v>
      </c>
      <c r="M54" s="3673">
        <f t="shared" si="38"/>
        <v>81.556991598617486</v>
      </c>
      <c r="N54" s="3753" t="s">
        <v>97</v>
      </c>
      <c r="O54" s="3896">
        <f t="shared" si="38"/>
        <v>98.052687594738387</v>
      </c>
      <c r="P54" s="3896">
        <f t="shared" si="38"/>
        <v>33.68377962692081</v>
      </c>
      <c r="Q54" s="3896">
        <f t="shared" si="38"/>
        <v>50.770030939632925</v>
      </c>
      <c r="R54" s="3896">
        <f t="shared" si="38"/>
        <v>74.133345187413212</v>
      </c>
      <c r="S54" s="3686"/>
      <c r="T54" s="1"/>
      <c r="U54" s="1"/>
      <c r="V54" s="1"/>
      <c r="W54" s="1"/>
      <c r="X54" s="1"/>
      <c r="Y54" s="13"/>
      <c r="Z54" s="1"/>
    </row>
    <row r="55" spans="1:26" s="9" customFormat="1" ht="45.75" x14ac:dyDescent="0.25">
      <c r="A55" s="2607" t="s">
        <v>984</v>
      </c>
      <c r="B55" s="2053"/>
      <c r="C55" s="2970">
        <v>72.569999999999993</v>
      </c>
      <c r="D55" s="2972">
        <v>72.569999999999993</v>
      </c>
      <c r="E55" s="2972">
        <v>72.569999999999993</v>
      </c>
      <c r="F55" s="2972">
        <v>72.569999999999993</v>
      </c>
      <c r="G55" s="2973">
        <v>72.569999999999993</v>
      </c>
      <c r="H55" s="2974">
        <v>72.569999999999993</v>
      </c>
      <c r="I55" s="2975">
        <v>72.569999999999993</v>
      </c>
      <c r="J55" s="2975">
        <v>72.569999999999993</v>
      </c>
      <c r="K55" s="2975">
        <v>72.569999999999993</v>
      </c>
      <c r="L55" s="3674">
        <v>72.569999999999993</v>
      </c>
      <c r="M55" s="3738">
        <v>72.569999999999993</v>
      </c>
      <c r="N55" s="3720" t="s">
        <v>985</v>
      </c>
      <c r="O55" s="3721">
        <v>98</v>
      </c>
      <c r="P55" s="3722">
        <v>34.214194355930175</v>
      </c>
      <c r="Q55" s="3722">
        <v>58.341999999999999</v>
      </c>
      <c r="R55" s="3723">
        <v>24.41</v>
      </c>
      <c r="S55" s="3686"/>
      <c r="T55" s="1"/>
      <c r="U55" s="1"/>
      <c r="V55" s="1"/>
      <c r="W55" s="1"/>
      <c r="X55" s="1"/>
      <c r="Y55" s="13"/>
      <c r="Z55" s="1"/>
    </row>
    <row r="56" spans="1:26" s="9" customFormat="1" ht="34.5" customHeight="1" x14ac:dyDescent="0.25">
      <c r="A56" s="3661" t="s">
        <v>986</v>
      </c>
      <c r="B56" s="1793" t="s">
        <v>98</v>
      </c>
      <c r="C56" s="2982">
        <f>C54-C55</f>
        <v>6.7220684651606604</v>
      </c>
      <c r="D56" s="2982">
        <f t="shared" ref="D56:M56" si="39">D54-D55</f>
        <v>7.5367042441175727</v>
      </c>
      <c r="E56" s="2982">
        <f t="shared" si="39"/>
        <v>4.1348298349265349</v>
      </c>
      <c r="F56" s="2982">
        <f t="shared" si="39"/>
        <v>16.512010358727423</v>
      </c>
      <c r="G56" s="2982">
        <v>7.0000000000000007E-2</v>
      </c>
      <c r="H56" s="2982">
        <f t="shared" si="39"/>
        <v>6.7206817666195633</v>
      </c>
      <c r="I56" s="2982">
        <f t="shared" si="39"/>
        <v>7.5352228078834713</v>
      </c>
      <c r="J56" s="2982">
        <f t="shared" si="39"/>
        <v>4.1328056163463174</v>
      </c>
      <c r="K56" s="2982">
        <f t="shared" si="39"/>
        <v>16.508524257404858</v>
      </c>
      <c r="L56" s="3675">
        <f t="shared" si="39"/>
        <v>8.5594890753963</v>
      </c>
      <c r="M56" s="3675">
        <f t="shared" si="39"/>
        <v>8.9869915986174931</v>
      </c>
      <c r="N56" s="3724" t="s">
        <v>986</v>
      </c>
      <c r="O56" s="3895">
        <f>O54-O55</f>
        <v>5.2687594738387133E-2</v>
      </c>
      <c r="P56" s="3895">
        <f>P54-P55</f>
        <v>-0.53041472900936526</v>
      </c>
      <c r="Q56" s="3895">
        <f>Q54-Q55</f>
        <v>-7.5719690603670742</v>
      </c>
      <c r="R56" s="3895">
        <f>R54-R55</f>
        <v>49.723345187413216</v>
      </c>
      <c r="S56" s="3686"/>
      <c r="T56" s="1"/>
      <c r="U56" s="1"/>
      <c r="V56" s="1"/>
      <c r="W56" s="1"/>
      <c r="X56" s="1"/>
      <c r="Y56" s="13"/>
      <c r="Z56" s="1"/>
    </row>
    <row r="57" spans="1:26" s="9" customFormat="1" ht="45" x14ac:dyDescent="0.25">
      <c r="A57" s="1794" t="s">
        <v>675</v>
      </c>
      <c r="B57" s="271" t="s">
        <v>98</v>
      </c>
      <c r="C57" s="2056"/>
      <c r="D57" s="270"/>
      <c r="E57" s="270"/>
      <c r="F57" s="270"/>
      <c r="G57" s="2057"/>
      <c r="H57" s="2060"/>
      <c r="I57" s="2058"/>
      <c r="J57" s="2058"/>
      <c r="K57" s="2058"/>
      <c r="L57" s="3670"/>
      <c r="M57" s="3739"/>
      <c r="N57" s="3727" t="s">
        <v>677</v>
      </c>
      <c r="O57" s="3728"/>
      <c r="P57" s="3729"/>
      <c r="Q57" s="3729"/>
      <c r="R57" s="3730"/>
      <c r="S57" s="3686"/>
      <c r="T57" s="1"/>
      <c r="U57" s="1"/>
      <c r="V57" s="1"/>
      <c r="W57" s="1"/>
      <c r="X57" s="1"/>
      <c r="Y57" s="13"/>
      <c r="Z57" s="1"/>
    </row>
    <row r="58" spans="1:26" s="269" customFormat="1" ht="35.25" thickBot="1" x14ac:dyDescent="0.3">
      <c r="A58" s="272" t="s">
        <v>981</v>
      </c>
      <c r="B58" s="2054" t="s">
        <v>972</v>
      </c>
      <c r="C58" s="2626">
        <f>IF(ISERROR(C40/C44),0,(C40/C44))</f>
        <v>0.19289898877648035</v>
      </c>
      <c r="D58" s="2626">
        <f t="shared" ref="D58:R58" si="40">IF(ISERROR(D40/D44),0,(D40/D44))</f>
        <v>0.1904724876083333</v>
      </c>
      <c r="E58" s="2626">
        <f t="shared" si="40"/>
        <v>0.19683298905004201</v>
      </c>
      <c r="F58" s="2626">
        <f t="shared" si="40"/>
        <v>0.43694719002951932</v>
      </c>
      <c r="G58" s="2626">
        <f t="shared" si="40"/>
        <v>0.22150271255020254</v>
      </c>
      <c r="H58" s="2626">
        <f t="shared" si="40"/>
        <v>0.19289898877648035</v>
      </c>
      <c r="I58" s="2626">
        <f t="shared" si="40"/>
        <v>0.1904724876083333</v>
      </c>
      <c r="J58" s="2626">
        <f t="shared" si="40"/>
        <v>0.19683298905004201</v>
      </c>
      <c r="K58" s="2626">
        <f t="shared" si="40"/>
        <v>0.43694719002951932</v>
      </c>
      <c r="L58" s="3676">
        <f t="shared" si="40"/>
        <v>0.22150271255020254</v>
      </c>
      <c r="M58" s="3676">
        <f t="shared" si="40"/>
        <v>0.21282753813459573</v>
      </c>
      <c r="N58" s="3754" t="s">
        <v>981</v>
      </c>
      <c r="O58" s="3755">
        <f t="shared" si="40"/>
        <v>4.1444036554799606E-2</v>
      </c>
      <c r="P58" s="3676">
        <f t="shared" si="40"/>
        <v>0.44576818080283798</v>
      </c>
      <c r="Q58" s="3676">
        <f t="shared" si="40"/>
        <v>1.2509368756109551</v>
      </c>
      <c r="R58" s="3676">
        <f t="shared" si="40"/>
        <v>0</v>
      </c>
      <c r="S58" s="3687"/>
      <c r="T58" s="3692"/>
      <c r="U58" s="3692"/>
      <c r="V58" s="3692"/>
      <c r="W58" s="3692"/>
      <c r="X58" s="3692"/>
      <c r="Y58" s="3750"/>
      <c r="Z58" s="3692"/>
    </row>
    <row r="59" spans="1:26" ht="15.75" thickBot="1" x14ac:dyDescent="0.3">
      <c r="A59" s="1795"/>
      <c r="B59" s="1796"/>
      <c r="C59" s="1797"/>
      <c r="D59" s="1797"/>
      <c r="E59" s="1797"/>
      <c r="F59" s="1797"/>
      <c r="G59" s="1797"/>
      <c r="H59" s="116"/>
      <c r="I59" s="116"/>
      <c r="J59" s="116"/>
      <c r="K59" s="116"/>
      <c r="L59" s="116"/>
      <c r="M59" s="14"/>
      <c r="N59" s="16"/>
      <c r="O59" s="16"/>
      <c r="P59" s="16"/>
      <c r="Q59" s="16"/>
      <c r="R59" s="16"/>
      <c r="S59" s="16"/>
      <c r="T59" s="16"/>
      <c r="U59" s="16"/>
      <c r="V59" s="16"/>
      <c r="W59" s="16"/>
      <c r="X59" s="16"/>
      <c r="Y59" s="812"/>
      <c r="Z59" s="1"/>
    </row>
    <row r="60" spans="1:26" x14ac:dyDescent="0.25">
      <c r="D60" s="93"/>
      <c r="E60" s="93"/>
      <c r="F60" s="73"/>
      <c r="G60" s="2606"/>
      <c r="H60" s="116"/>
      <c r="I60" s="116"/>
      <c r="J60" s="116"/>
      <c r="K60" s="116"/>
      <c r="L60" s="116"/>
    </row>
    <row r="62" spans="1:26" x14ac:dyDescent="0.25">
      <c r="A62" s="1"/>
      <c r="B62" s="1"/>
      <c r="C62" s="1"/>
      <c r="D62" s="1"/>
      <c r="E62" s="1"/>
      <c r="F62" s="1"/>
      <c r="G62" s="1"/>
      <c r="H62" s="1"/>
      <c r="K62" s="4997"/>
      <c r="L62" s="4997"/>
    </row>
    <row r="63" spans="1:26" x14ac:dyDescent="0.25">
      <c r="A63" s="1"/>
      <c r="B63" s="1839"/>
      <c r="C63" s="1839"/>
      <c r="D63" s="51"/>
      <c r="E63" s="51"/>
      <c r="F63" s="51"/>
      <c r="G63" s="2627"/>
      <c r="H63" s="1"/>
    </row>
    <row r="64" spans="1:26" x14ac:dyDescent="0.25">
      <c r="A64" s="1"/>
      <c r="B64" s="1"/>
      <c r="C64" s="1"/>
      <c r="D64" s="253"/>
      <c r="E64" s="44"/>
      <c r="F64" s="177"/>
      <c r="G64" s="1"/>
      <c r="H64" s="1"/>
    </row>
    <row r="65" spans="1:17" x14ac:dyDescent="0.25">
      <c r="A65" s="1"/>
      <c r="B65" s="44"/>
      <c r="C65" s="1"/>
      <c r="D65" s="253"/>
      <c r="E65" s="44"/>
      <c r="F65" s="177"/>
      <c r="G65" s="1"/>
      <c r="H65" s="1"/>
    </row>
    <row r="66" spans="1:17" x14ac:dyDescent="0.25">
      <c r="A66" s="1"/>
      <c r="B66" s="44"/>
      <c r="C66" s="1"/>
      <c r="D66" s="253"/>
      <c r="E66" s="44"/>
      <c r="F66" s="177"/>
      <c r="G66" s="1"/>
      <c r="H66" s="1"/>
    </row>
    <row r="67" spans="1:17" x14ac:dyDescent="0.25">
      <c r="A67" s="39"/>
      <c r="B67" s="44"/>
      <c r="C67" s="1"/>
      <c r="D67" s="253"/>
      <c r="E67" s="44"/>
      <c r="F67" s="177"/>
      <c r="G67" s="1"/>
      <c r="H67" s="1"/>
    </row>
    <row r="68" spans="1:17" x14ac:dyDescent="0.25">
      <c r="A68" s="1"/>
      <c r="B68" s="44"/>
      <c r="C68" s="253"/>
      <c r="D68" s="253"/>
      <c r="E68" s="44"/>
      <c r="F68" s="177"/>
      <c r="G68" s="1"/>
      <c r="H68" s="1"/>
    </row>
    <row r="69" spans="1:17" x14ac:dyDescent="0.25">
      <c r="A69" s="1"/>
      <c r="B69" s="44"/>
      <c r="C69" s="44"/>
      <c r="D69" s="253"/>
      <c r="E69" s="1"/>
      <c r="F69" s="1"/>
      <c r="G69" s="1"/>
      <c r="H69" s="1"/>
    </row>
    <row r="70" spans="1:17" x14ac:dyDescent="0.25">
      <c r="A70" s="1"/>
      <c r="B70" s="1"/>
      <c r="C70" s="1"/>
      <c r="D70" s="1"/>
      <c r="E70" s="1"/>
      <c r="F70" s="177"/>
      <c r="G70" s="1"/>
      <c r="H70" s="1"/>
    </row>
    <row r="71" spans="1:17" x14ac:dyDescent="0.25">
      <c r="A71" s="1"/>
      <c r="B71" s="1"/>
      <c r="C71" s="1"/>
      <c r="D71" s="1"/>
      <c r="E71" s="2859"/>
      <c r="F71" s="2860"/>
      <c r="G71" s="1"/>
      <c r="H71" s="1"/>
    </row>
    <row r="72" spans="1:17" x14ac:dyDescent="0.25">
      <c r="A72" s="1"/>
      <c r="B72" s="1"/>
      <c r="C72" s="1"/>
      <c r="D72" s="1"/>
      <c r="E72" s="1"/>
      <c r="F72" s="1"/>
      <c r="G72" s="1"/>
      <c r="H72" s="1"/>
    </row>
    <row r="76" spans="1:17" x14ac:dyDescent="0.25">
      <c r="A76" s="39"/>
      <c r="B76" s="39"/>
      <c r="C76" s="39"/>
      <c r="D76" s="39"/>
      <c r="E76" s="39"/>
      <c r="F76" s="39"/>
      <c r="G76" s="39"/>
      <c r="H76" s="39"/>
      <c r="I76" s="39"/>
      <c r="J76" s="39"/>
      <c r="K76" s="39"/>
      <c r="L76" s="39"/>
      <c r="M76" s="39"/>
      <c r="N76" s="39"/>
      <c r="O76" s="39"/>
      <c r="P76" s="39"/>
      <c r="Q76" s="39"/>
    </row>
    <row r="77" spans="1:17" x14ac:dyDescent="0.25">
      <c r="A77" s="39"/>
      <c r="B77" s="39"/>
      <c r="C77" s="39"/>
      <c r="D77" s="39"/>
      <c r="E77" s="39"/>
      <c r="F77" s="39"/>
      <c r="G77" s="39"/>
      <c r="H77" s="39"/>
      <c r="I77" s="39"/>
      <c r="J77" s="39"/>
      <c r="K77" s="39"/>
      <c r="L77" s="39"/>
      <c r="M77" s="39"/>
      <c r="N77" s="39"/>
      <c r="O77" s="39"/>
      <c r="P77" s="39"/>
      <c r="Q77" s="39"/>
    </row>
    <row r="78" spans="1:17" x14ac:dyDescent="0.25">
      <c r="A78" s="39"/>
      <c r="B78" s="39"/>
      <c r="C78" s="39"/>
      <c r="D78" s="39"/>
      <c r="E78" s="39"/>
      <c r="F78" s="39"/>
      <c r="G78" s="39"/>
      <c r="H78" s="39"/>
      <c r="I78" s="39"/>
      <c r="J78" s="39"/>
      <c r="K78" s="39"/>
      <c r="L78" s="39"/>
      <c r="M78" s="39"/>
      <c r="N78" s="39"/>
      <c r="O78" s="39"/>
      <c r="P78" s="39"/>
      <c r="Q78" s="39"/>
    </row>
    <row r="79" spans="1:17" x14ac:dyDescent="0.25">
      <c r="A79" s="39"/>
      <c r="B79" s="39"/>
      <c r="C79" s="39"/>
      <c r="D79" s="39"/>
      <c r="E79" s="39"/>
      <c r="F79" s="39"/>
      <c r="G79" s="39"/>
      <c r="H79" s="39"/>
      <c r="I79" s="39"/>
      <c r="J79" s="39"/>
      <c r="K79" s="39"/>
      <c r="L79" s="39"/>
      <c r="M79" s="39"/>
      <c r="N79" s="39"/>
      <c r="O79" s="39"/>
      <c r="P79" s="39"/>
      <c r="Q79" s="39"/>
    </row>
    <row r="80" spans="1:17" x14ac:dyDescent="0.25">
      <c r="A80" s="39"/>
      <c r="B80" s="39"/>
      <c r="C80" s="39"/>
      <c r="D80" s="39"/>
      <c r="E80" s="39"/>
      <c r="F80" s="39"/>
      <c r="G80" s="39"/>
      <c r="H80" s="39"/>
      <c r="I80" s="39"/>
      <c r="J80" s="39"/>
      <c r="K80" s="39"/>
      <c r="L80" s="39"/>
      <c r="M80" s="39"/>
      <c r="N80" s="39"/>
      <c r="O80" s="39"/>
      <c r="P80" s="39"/>
      <c r="Q80" s="39"/>
    </row>
    <row r="81" spans="1:17" x14ac:dyDescent="0.25">
      <c r="A81" s="4993"/>
      <c r="B81" s="394"/>
      <c r="C81" s="39"/>
      <c r="D81" s="39"/>
      <c r="E81" s="39"/>
      <c r="F81" s="39"/>
      <c r="G81" s="39"/>
      <c r="H81" s="39"/>
      <c r="I81" s="39"/>
      <c r="J81" s="39"/>
      <c r="K81" s="39"/>
      <c r="L81" s="39"/>
      <c r="M81" s="39"/>
      <c r="N81" s="39"/>
      <c r="O81" s="39"/>
      <c r="P81" s="39"/>
      <c r="Q81" s="39"/>
    </row>
    <row r="82" spans="1:17" x14ac:dyDescent="0.25">
      <c r="A82" s="4993"/>
      <c r="B82" s="2373"/>
      <c r="C82" s="427"/>
      <c r="D82" s="427"/>
      <c r="E82" s="427"/>
      <c r="F82" s="39"/>
      <c r="G82" s="39"/>
      <c r="H82" s="39"/>
      <c r="I82" s="39"/>
      <c r="J82" s="39"/>
      <c r="K82" s="39"/>
      <c r="L82" s="39"/>
      <c r="M82" s="39"/>
      <c r="N82" s="39"/>
      <c r="O82" s="39"/>
      <c r="P82" s="39"/>
      <c r="Q82" s="39"/>
    </row>
    <row r="83" spans="1:17" x14ac:dyDescent="0.25">
      <c r="A83" s="4993"/>
      <c r="B83" s="2373"/>
      <c r="C83" s="427"/>
      <c r="D83" s="427"/>
      <c r="E83" s="427"/>
      <c r="F83" s="427"/>
      <c r="G83" s="39"/>
      <c r="H83" s="39"/>
      <c r="I83" s="39"/>
      <c r="J83" s="39"/>
      <c r="K83" s="39"/>
      <c r="L83" s="39"/>
      <c r="M83" s="39"/>
      <c r="N83" s="39"/>
      <c r="O83" s="39"/>
      <c r="P83" s="39"/>
      <c r="Q83" s="39"/>
    </row>
    <row r="84" spans="1:17" x14ac:dyDescent="0.25">
      <c r="A84" s="4993"/>
      <c r="B84" s="394"/>
      <c r="C84" s="39"/>
      <c r="D84" s="39"/>
      <c r="E84" s="39"/>
      <c r="F84" s="39"/>
      <c r="G84" s="39"/>
      <c r="H84" s="39"/>
      <c r="I84" s="39"/>
      <c r="J84" s="39"/>
      <c r="K84" s="39"/>
      <c r="L84" s="39"/>
      <c r="M84" s="39"/>
      <c r="N84" s="39"/>
      <c r="O84" s="39"/>
      <c r="P84" s="39"/>
      <c r="Q84" s="39"/>
    </row>
    <row r="85" spans="1:17" x14ac:dyDescent="0.25">
      <c r="A85" s="4993"/>
      <c r="B85" s="394"/>
      <c r="C85" s="39"/>
      <c r="D85" s="39"/>
      <c r="E85" s="39"/>
      <c r="F85" s="39"/>
      <c r="G85" s="39"/>
      <c r="H85" s="39"/>
      <c r="I85" s="39"/>
      <c r="J85" s="39"/>
      <c r="K85" s="39"/>
      <c r="L85" s="39"/>
      <c r="M85" s="39"/>
      <c r="N85" s="39"/>
      <c r="O85" s="39"/>
      <c r="P85" s="39"/>
      <c r="Q85" s="39"/>
    </row>
    <row r="86" spans="1:17" x14ac:dyDescent="0.25">
      <c r="A86" s="4993"/>
      <c r="B86" s="2373"/>
      <c r="C86" s="427"/>
      <c r="D86" s="427"/>
      <c r="E86" s="427"/>
      <c r="F86" s="39"/>
      <c r="G86" s="39"/>
      <c r="H86" s="39"/>
      <c r="I86" s="39"/>
      <c r="J86" s="39"/>
      <c r="K86" s="39"/>
      <c r="L86" s="39"/>
      <c r="M86" s="39"/>
      <c r="N86" s="39"/>
      <c r="O86" s="39"/>
      <c r="P86" s="39"/>
      <c r="Q86" s="39"/>
    </row>
    <row r="87" spans="1:17" x14ac:dyDescent="0.25">
      <c r="A87" s="4993"/>
      <c r="B87" s="2373"/>
      <c r="C87" s="427"/>
      <c r="D87" s="427"/>
      <c r="E87" s="427"/>
      <c r="F87" s="427"/>
      <c r="G87" s="39"/>
      <c r="H87" s="39"/>
      <c r="I87" s="39"/>
      <c r="J87" s="39"/>
      <c r="K87" s="39"/>
      <c r="L87" s="39"/>
      <c r="M87" s="39"/>
      <c r="N87" s="39"/>
      <c r="O87" s="39"/>
      <c r="P87" s="39"/>
      <c r="Q87" s="39"/>
    </row>
    <row r="88" spans="1:17" x14ac:dyDescent="0.25">
      <c r="A88" s="4993"/>
      <c r="B88" s="394"/>
      <c r="C88" s="39"/>
      <c r="D88" s="39"/>
      <c r="E88" s="39"/>
      <c r="F88" s="39"/>
      <c r="G88" s="39"/>
      <c r="H88" s="39"/>
      <c r="I88" s="39"/>
      <c r="J88" s="39"/>
      <c r="K88" s="39"/>
      <c r="L88" s="39"/>
      <c r="M88" s="39"/>
      <c r="N88" s="39"/>
      <c r="O88" s="39"/>
      <c r="P88" s="39"/>
      <c r="Q88" s="39"/>
    </row>
    <row r="89" spans="1:17" x14ac:dyDescent="0.25">
      <c r="A89" s="4993"/>
      <c r="B89" s="394"/>
      <c r="C89" s="39"/>
      <c r="D89" s="39"/>
      <c r="E89" s="39"/>
      <c r="F89" s="39"/>
      <c r="G89" s="39"/>
      <c r="H89" s="39"/>
      <c r="I89" s="39"/>
      <c r="J89" s="39"/>
      <c r="K89" s="39"/>
      <c r="L89" s="39"/>
      <c r="M89" s="39"/>
      <c r="N89" s="39"/>
      <c r="O89" s="39"/>
      <c r="P89" s="39"/>
      <c r="Q89" s="39"/>
    </row>
    <row r="90" spans="1:17" x14ac:dyDescent="0.25">
      <c r="A90" s="4993"/>
      <c r="B90" s="2373"/>
      <c r="C90" s="427"/>
      <c r="D90" s="427"/>
      <c r="E90" s="427"/>
      <c r="F90" s="427"/>
      <c r="G90" s="39"/>
      <c r="H90" s="39"/>
      <c r="I90" s="39"/>
      <c r="J90" s="39"/>
      <c r="K90" s="39"/>
      <c r="L90" s="39"/>
      <c r="M90" s="39"/>
      <c r="N90" s="39"/>
      <c r="O90" s="39"/>
      <c r="P90" s="39"/>
      <c r="Q90" s="39"/>
    </row>
    <row r="91" spans="1:17" x14ac:dyDescent="0.25">
      <c r="A91" s="4993"/>
      <c r="B91" s="2373"/>
      <c r="C91" s="427"/>
      <c r="D91" s="427"/>
      <c r="E91" s="427"/>
      <c r="F91" s="427"/>
      <c r="G91" s="39"/>
      <c r="H91" s="39"/>
      <c r="I91" s="39"/>
      <c r="J91" s="39"/>
      <c r="K91" s="39"/>
      <c r="L91" s="39"/>
      <c r="M91" s="39"/>
      <c r="N91" s="39"/>
      <c r="O91" s="39"/>
      <c r="P91" s="39"/>
      <c r="Q91" s="39"/>
    </row>
    <row r="92" spans="1:17" x14ac:dyDescent="0.25">
      <c r="A92" s="4993"/>
      <c r="B92" s="394"/>
      <c r="C92" s="39"/>
      <c r="D92" s="39"/>
      <c r="E92" s="39"/>
      <c r="F92" s="39"/>
      <c r="G92" s="39"/>
      <c r="H92" s="39"/>
      <c r="I92" s="39"/>
      <c r="J92" s="39"/>
      <c r="K92" s="39"/>
      <c r="L92" s="39"/>
      <c r="M92" s="39"/>
      <c r="N92" s="39"/>
      <c r="O92" s="39"/>
      <c r="P92" s="39"/>
      <c r="Q92" s="39"/>
    </row>
    <row r="93" spans="1:17" x14ac:dyDescent="0.25">
      <c r="A93" s="4993"/>
      <c r="B93" s="394"/>
      <c r="C93" s="53"/>
      <c r="D93" s="39"/>
      <c r="E93" s="39"/>
      <c r="F93" s="53"/>
      <c r="G93" s="39"/>
      <c r="H93" s="39"/>
      <c r="I93" s="39"/>
      <c r="J93" s="39"/>
      <c r="K93" s="39"/>
      <c r="L93" s="39"/>
      <c r="M93" s="39"/>
      <c r="N93" s="39"/>
      <c r="O93" s="39"/>
      <c r="P93" s="39"/>
      <c r="Q93" s="39"/>
    </row>
    <row r="94" spans="1:17" x14ac:dyDescent="0.25">
      <c r="A94" s="4993"/>
      <c r="B94" s="2373"/>
      <c r="C94" s="1660"/>
      <c r="D94" s="1660"/>
      <c r="E94" s="1660"/>
      <c r="F94" s="39"/>
      <c r="G94" s="39"/>
      <c r="H94" s="39"/>
      <c r="I94" s="39"/>
      <c r="J94" s="39"/>
      <c r="K94" s="39"/>
      <c r="L94" s="39"/>
      <c r="M94" s="39"/>
      <c r="N94" s="39"/>
      <c r="O94" s="39"/>
      <c r="P94" s="39"/>
      <c r="Q94" s="39"/>
    </row>
    <row r="95" spans="1:17" x14ac:dyDescent="0.25">
      <c r="A95" s="4993"/>
      <c r="B95" s="2373"/>
      <c r="C95" s="1660"/>
      <c r="D95" s="1660"/>
      <c r="E95" s="1660"/>
      <c r="F95" s="1660"/>
      <c r="G95" s="39"/>
      <c r="H95" s="39"/>
      <c r="I95" s="39"/>
      <c r="J95" s="39"/>
      <c r="K95" s="39"/>
      <c r="L95" s="39"/>
      <c r="M95" s="39"/>
      <c r="N95" s="39"/>
      <c r="O95" s="39"/>
      <c r="P95" s="39"/>
      <c r="Q95" s="39"/>
    </row>
    <row r="96" spans="1:17" x14ac:dyDescent="0.25">
      <c r="A96" s="4993"/>
      <c r="B96" s="394"/>
      <c r="C96" s="39"/>
      <c r="D96" s="39"/>
      <c r="E96" s="39"/>
      <c r="F96" s="39"/>
      <c r="G96" s="39"/>
      <c r="H96" s="39"/>
      <c r="I96" s="39"/>
      <c r="J96" s="39"/>
      <c r="K96" s="39"/>
      <c r="L96" s="39"/>
      <c r="M96" s="39"/>
      <c r="N96" s="39"/>
      <c r="O96" s="39"/>
      <c r="P96" s="39"/>
      <c r="Q96" s="39"/>
    </row>
    <row r="97" spans="1:17" x14ac:dyDescent="0.25">
      <c r="A97" s="4993"/>
      <c r="B97" s="394"/>
      <c r="C97" s="39"/>
      <c r="D97" s="39"/>
      <c r="E97" s="39"/>
      <c r="F97" s="39"/>
      <c r="G97" s="39"/>
      <c r="H97" s="39"/>
      <c r="I97" s="39"/>
      <c r="J97" s="39"/>
      <c r="K97" s="39"/>
      <c r="L97" s="39"/>
      <c r="M97" s="39"/>
      <c r="N97" s="39"/>
      <c r="O97" s="39"/>
      <c r="P97" s="39"/>
      <c r="Q97" s="39"/>
    </row>
    <row r="98" spans="1:17" x14ac:dyDescent="0.25">
      <c r="A98" s="4993"/>
      <c r="B98" s="2373"/>
      <c r="C98" s="39"/>
      <c r="D98" s="39"/>
      <c r="E98" s="39"/>
      <c r="F98" s="39"/>
      <c r="G98" s="39"/>
      <c r="H98" s="39"/>
      <c r="I98" s="39"/>
      <c r="J98" s="39"/>
      <c r="K98" s="39"/>
      <c r="L98" s="39"/>
      <c r="M98" s="39"/>
      <c r="N98" s="39"/>
      <c r="O98" s="39"/>
      <c r="P98" s="39"/>
      <c r="Q98" s="39"/>
    </row>
    <row r="99" spans="1:17" x14ac:dyDescent="0.25">
      <c r="A99" s="4993"/>
      <c r="B99" s="2373"/>
      <c r="C99" s="39"/>
      <c r="D99" s="39"/>
      <c r="E99" s="39"/>
      <c r="F99" s="39"/>
      <c r="G99" s="39"/>
      <c r="H99" s="39"/>
      <c r="I99" s="39"/>
      <c r="J99" s="39"/>
      <c r="K99" s="39"/>
      <c r="L99" s="39"/>
      <c r="M99" s="39"/>
      <c r="N99" s="39"/>
      <c r="O99" s="39"/>
      <c r="P99" s="39"/>
      <c r="Q99" s="39"/>
    </row>
    <row r="100" spans="1:17" x14ac:dyDescent="0.25">
      <c r="A100" s="4993"/>
      <c r="B100" s="394"/>
      <c r="C100" s="39"/>
      <c r="D100" s="39"/>
      <c r="E100" s="39"/>
      <c r="F100" s="39"/>
      <c r="G100" s="39"/>
      <c r="H100" s="39"/>
      <c r="I100" s="39"/>
      <c r="J100" s="39"/>
      <c r="K100" s="39"/>
      <c r="L100" s="39"/>
      <c r="M100" s="39"/>
      <c r="N100" s="39"/>
      <c r="O100" s="39"/>
      <c r="P100" s="39"/>
      <c r="Q100" s="39"/>
    </row>
    <row r="101" spans="1:17" x14ac:dyDescent="0.25">
      <c r="A101" s="4993"/>
      <c r="B101" s="394"/>
      <c r="C101" s="39"/>
      <c r="D101" s="39"/>
      <c r="E101" s="39"/>
      <c r="F101" s="39"/>
      <c r="G101" s="39"/>
      <c r="H101" s="39"/>
      <c r="I101" s="39"/>
      <c r="J101" s="39"/>
      <c r="K101" s="39"/>
      <c r="L101" s="39"/>
      <c r="M101" s="39"/>
      <c r="N101" s="39"/>
      <c r="O101" s="39"/>
      <c r="P101" s="39"/>
      <c r="Q101" s="39"/>
    </row>
    <row r="102" spans="1:17" x14ac:dyDescent="0.25">
      <c r="A102" s="4993"/>
      <c r="B102" s="2373"/>
      <c r="C102" s="427"/>
      <c r="D102" s="427"/>
      <c r="E102" s="427"/>
      <c r="F102" s="39"/>
      <c r="G102" s="39"/>
      <c r="H102" s="39"/>
      <c r="I102" s="39"/>
      <c r="J102" s="39"/>
      <c r="K102" s="39"/>
      <c r="L102" s="39"/>
      <c r="M102" s="39"/>
      <c r="N102" s="39"/>
      <c r="O102" s="39"/>
      <c r="P102" s="39"/>
      <c r="Q102" s="39"/>
    </row>
    <row r="103" spans="1:17" x14ac:dyDescent="0.25">
      <c r="A103" s="4993"/>
      <c r="B103" s="2373"/>
      <c r="C103" s="427"/>
      <c r="D103" s="427"/>
      <c r="E103" s="427"/>
      <c r="F103" s="39"/>
      <c r="G103" s="39"/>
      <c r="H103" s="39"/>
      <c r="I103" s="39"/>
      <c r="J103" s="39"/>
      <c r="K103" s="39"/>
      <c r="L103" s="39"/>
      <c r="M103" s="39"/>
      <c r="N103" s="39"/>
      <c r="O103" s="39"/>
      <c r="P103" s="39"/>
      <c r="Q103" s="39"/>
    </row>
    <row r="104" spans="1:17" x14ac:dyDescent="0.25">
      <c r="A104" s="4993"/>
      <c r="B104" s="394"/>
      <c r="C104" s="39"/>
      <c r="D104" s="39"/>
      <c r="E104" s="39"/>
      <c r="F104" s="39"/>
      <c r="G104" s="39"/>
      <c r="H104" s="39"/>
      <c r="I104" s="39"/>
      <c r="J104" s="39"/>
      <c r="K104" s="39"/>
      <c r="L104" s="39"/>
      <c r="M104" s="39"/>
      <c r="N104" s="39"/>
      <c r="O104" s="39"/>
      <c r="P104" s="39"/>
      <c r="Q104" s="39"/>
    </row>
    <row r="105" spans="1:17" x14ac:dyDescent="0.25">
      <c r="A105" s="4967"/>
      <c r="B105" s="240"/>
      <c r="C105" s="2372"/>
      <c r="D105" s="816"/>
      <c r="E105" s="816"/>
      <c r="F105" s="816"/>
      <c r="G105" s="1"/>
      <c r="H105" s="1"/>
      <c r="I105" s="1"/>
      <c r="J105" s="243"/>
      <c r="K105" s="1"/>
      <c r="L105" s="1"/>
      <c r="M105" s="243"/>
      <c r="N105" s="247"/>
    </row>
    <row r="106" spans="1:17" x14ac:dyDescent="0.25">
      <c r="A106" s="4967"/>
      <c r="B106" s="239"/>
      <c r="C106" s="254"/>
      <c r="D106" s="255"/>
      <c r="E106" s="255"/>
      <c r="F106" s="255"/>
      <c r="G106" s="814"/>
      <c r="H106" s="814"/>
      <c r="I106" s="814"/>
      <c r="J106" s="814"/>
      <c r="K106" s="814"/>
      <c r="L106" s="814"/>
      <c r="M106" s="814"/>
      <c r="N106" s="814"/>
    </row>
    <row r="107" spans="1:17" x14ac:dyDescent="0.25">
      <c r="A107" s="4967"/>
      <c r="B107" s="239"/>
      <c r="C107" s="254"/>
      <c r="D107" s="255"/>
      <c r="E107" s="255"/>
      <c r="F107" s="815"/>
      <c r="G107" s="250"/>
      <c r="H107" s="250"/>
      <c r="I107" s="250"/>
      <c r="J107" s="250"/>
      <c r="K107" s="250"/>
      <c r="L107" s="250"/>
      <c r="M107" s="250"/>
      <c r="N107" s="250"/>
    </row>
    <row r="108" spans="1:17" ht="15.75" thickBot="1" x14ac:dyDescent="0.3">
      <c r="A108" s="4968"/>
      <c r="B108" s="241"/>
      <c r="C108" s="14"/>
      <c r="D108" s="16"/>
      <c r="E108" s="16"/>
      <c r="F108" s="244"/>
      <c r="G108" s="16"/>
      <c r="H108" s="16"/>
      <c r="I108" s="16"/>
      <c r="J108" s="244"/>
      <c r="K108" s="16"/>
      <c r="L108" s="16"/>
      <c r="M108" s="244"/>
      <c r="N108" s="248"/>
    </row>
    <row r="109" spans="1:17" x14ac:dyDescent="0.25">
      <c r="A109" s="4966"/>
      <c r="B109" s="238"/>
      <c r="C109" s="15"/>
      <c r="D109" s="15"/>
      <c r="E109" s="15"/>
      <c r="F109" s="245"/>
      <c r="G109" s="15"/>
      <c r="H109" s="15"/>
      <c r="I109" s="15"/>
      <c r="J109" s="245"/>
      <c r="K109" s="15"/>
      <c r="L109" s="15"/>
      <c r="M109" s="245"/>
      <c r="N109" s="249"/>
    </row>
    <row r="110" spans="1:17" x14ac:dyDescent="0.25">
      <c r="A110" s="4967"/>
      <c r="B110" s="239"/>
      <c r="C110" s="252"/>
      <c r="D110" s="253"/>
      <c r="E110" s="253"/>
      <c r="F110" s="243"/>
      <c r="G110" s="1"/>
      <c r="H110" s="1"/>
      <c r="I110" s="1"/>
      <c r="J110" s="243"/>
      <c r="K110" s="1"/>
      <c r="L110" s="1"/>
      <c r="M110" s="243"/>
      <c r="N110" s="247"/>
    </row>
    <row r="111" spans="1:17" x14ac:dyDescent="0.25">
      <c r="A111" s="4967"/>
      <c r="B111" s="239"/>
      <c r="C111" s="252"/>
      <c r="D111" s="253"/>
      <c r="E111" s="253"/>
      <c r="F111" s="243"/>
      <c r="G111" s="1"/>
      <c r="H111" s="1"/>
      <c r="I111" s="1"/>
      <c r="J111" s="243"/>
      <c r="K111" s="1"/>
      <c r="L111" s="1"/>
      <c r="M111" s="243"/>
      <c r="N111" s="247"/>
    </row>
    <row r="112" spans="1:17" ht="15.75" thickBot="1" x14ac:dyDescent="0.3">
      <c r="A112" s="4968"/>
      <c r="B112" s="241"/>
      <c r="C112" s="14"/>
      <c r="D112" s="16"/>
      <c r="E112" s="16"/>
      <c r="F112" s="244"/>
      <c r="G112" s="16"/>
      <c r="H112" s="16"/>
      <c r="I112" s="16"/>
      <c r="J112" s="244"/>
      <c r="K112" s="16"/>
      <c r="L112" s="16"/>
      <c r="M112" s="244"/>
      <c r="N112" s="248"/>
    </row>
  </sheetData>
  <mergeCells count="21">
    <mergeCell ref="C3:G3"/>
    <mergeCell ref="H3:L3"/>
    <mergeCell ref="AG3:AK3"/>
    <mergeCell ref="A101:A104"/>
    <mergeCell ref="M3:Q3"/>
    <mergeCell ref="R3:V3"/>
    <mergeCell ref="W3:AA3"/>
    <mergeCell ref="K62:L62"/>
    <mergeCell ref="C32:G32"/>
    <mergeCell ref="AB3:AF3"/>
    <mergeCell ref="H32:L32"/>
    <mergeCell ref="Z32:AA32"/>
    <mergeCell ref="M32:S32"/>
    <mergeCell ref="T32:Y32"/>
    <mergeCell ref="A105:A108"/>
    <mergeCell ref="A109:A112"/>
    <mergeCell ref="A81:A84"/>
    <mergeCell ref="A85:A88"/>
    <mergeCell ref="A89:A92"/>
    <mergeCell ref="A93:A96"/>
    <mergeCell ref="A97:A100"/>
  </mergeCells>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97F961"/>
  </sheetPr>
  <dimension ref="A1:AF13"/>
  <sheetViews>
    <sheetView workbookViewId="0">
      <selection activeCell="A12" sqref="A12"/>
    </sheetView>
  </sheetViews>
  <sheetFormatPr defaultColWidth="9.140625" defaultRowHeight="12.75" x14ac:dyDescent="0.2"/>
  <cols>
    <col min="1" max="1" width="22.140625" style="56" customWidth="1"/>
    <col min="2" max="2" width="9.140625" style="56"/>
    <col min="3" max="3" width="12.7109375" style="56" bestFit="1" customWidth="1"/>
    <col min="4" max="4" width="13.140625" style="56" customWidth="1"/>
    <col min="5" max="5" width="12.5703125" style="56" bestFit="1" customWidth="1"/>
    <col min="6" max="6" width="11.85546875" style="56" bestFit="1" customWidth="1"/>
    <col min="7" max="7" width="13.42578125" style="56" bestFit="1" customWidth="1"/>
    <col min="8" max="8" width="11.7109375" style="56" bestFit="1" customWidth="1"/>
    <col min="9" max="11" width="10.7109375" style="56" bestFit="1" customWidth="1"/>
    <col min="12" max="12" width="11.85546875" style="56" bestFit="1" customWidth="1"/>
    <col min="13" max="17" width="9.140625" style="56"/>
    <col min="18" max="18" width="10.5703125" style="56" bestFit="1" customWidth="1"/>
    <col min="19" max="20" width="9.7109375" style="56" bestFit="1" customWidth="1"/>
    <col min="21" max="21" width="9.140625" style="56"/>
    <col min="22" max="22" width="10.28515625" style="56" customWidth="1"/>
    <col min="23" max="27" width="9.140625" style="56"/>
    <col min="28" max="29" width="10.5703125" style="56" bestFit="1" customWidth="1"/>
    <col min="30" max="31" width="9.140625" style="56"/>
    <col min="32" max="32" width="11.5703125" style="56" bestFit="1" customWidth="1"/>
    <col min="33" max="16384" width="9.140625" style="56"/>
  </cols>
  <sheetData>
    <row r="1" spans="1:32" x14ac:dyDescent="0.2">
      <c r="A1" s="56" t="s">
        <v>25</v>
      </c>
    </row>
    <row r="2" spans="1:32" ht="13.5" thickBot="1" x14ac:dyDescent="0.25"/>
    <row r="3" spans="1:32" ht="15.75" customHeight="1" thickBot="1" x14ac:dyDescent="0.25">
      <c r="C3" s="5007" t="s">
        <v>2</v>
      </c>
      <c r="D3" s="5008"/>
      <c r="E3" s="5008"/>
      <c r="F3" s="5008"/>
      <c r="G3" s="5009"/>
      <c r="H3" s="5010" t="s">
        <v>8</v>
      </c>
      <c r="I3" s="5011"/>
      <c r="J3" s="5011"/>
      <c r="K3" s="5011"/>
      <c r="L3" s="5012"/>
      <c r="M3" s="5007" t="s">
        <v>9</v>
      </c>
      <c r="N3" s="5008"/>
      <c r="O3" s="5008"/>
      <c r="P3" s="5008"/>
      <c r="Q3" s="5009"/>
      <c r="R3" s="5007" t="s">
        <v>223</v>
      </c>
      <c r="S3" s="5008"/>
      <c r="T3" s="5008"/>
      <c r="U3" s="5008"/>
      <c r="V3" s="5009"/>
      <c r="W3" s="5003"/>
      <c r="X3" s="5003"/>
      <c r="Y3" s="5003"/>
      <c r="Z3" s="5003"/>
      <c r="AA3" s="5003"/>
      <c r="AB3" s="5003"/>
      <c r="AC3" s="5003"/>
      <c r="AD3" s="5003"/>
      <c r="AE3" s="5003"/>
      <c r="AF3" s="5003"/>
    </row>
    <row r="4" spans="1:32" ht="13.5" thickBot="1" x14ac:dyDescent="0.25">
      <c r="A4" s="57" t="s">
        <v>0</v>
      </c>
      <c r="B4" s="58" t="s">
        <v>1</v>
      </c>
      <c r="C4" s="57" t="s">
        <v>3</v>
      </c>
      <c r="D4" s="59" t="s">
        <v>4</v>
      </c>
      <c r="E4" s="59" t="s">
        <v>5</v>
      </c>
      <c r="F4" s="59" t="s">
        <v>6</v>
      </c>
      <c r="G4" s="58" t="s">
        <v>7</v>
      </c>
      <c r="H4" s="57" t="s">
        <v>3</v>
      </c>
      <c r="I4" s="59" t="s">
        <v>4</v>
      </c>
      <c r="J4" s="59" t="s">
        <v>5</v>
      </c>
      <c r="K4" s="59" t="s">
        <v>6</v>
      </c>
      <c r="L4" s="58" t="s">
        <v>7</v>
      </c>
      <c r="M4" s="151" t="s">
        <v>3</v>
      </c>
      <c r="N4" s="142" t="s">
        <v>4</v>
      </c>
      <c r="O4" s="142" t="s">
        <v>5</v>
      </c>
      <c r="P4" s="142" t="s">
        <v>6</v>
      </c>
      <c r="Q4" s="60" t="s">
        <v>7</v>
      </c>
      <c r="R4" s="151" t="s">
        <v>3</v>
      </c>
      <c r="S4" s="142" t="s">
        <v>4</v>
      </c>
      <c r="T4" s="142" t="s">
        <v>5</v>
      </c>
      <c r="U4" s="142" t="s">
        <v>6</v>
      </c>
      <c r="V4" s="60" t="s">
        <v>7</v>
      </c>
      <c r="W4" s="279"/>
      <c r="X4" s="279"/>
      <c r="Y4" s="279"/>
      <c r="Z4" s="279"/>
      <c r="AA4" s="279"/>
      <c r="AB4" s="279"/>
      <c r="AC4" s="279"/>
      <c r="AD4" s="279"/>
      <c r="AE4" s="279"/>
      <c r="AF4" s="279"/>
    </row>
    <row r="5" spans="1:32" ht="63.75" x14ac:dyDescent="0.2">
      <c r="A5" s="197" t="s">
        <v>1699</v>
      </c>
      <c r="B5" s="60" t="s">
        <v>96</v>
      </c>
      <c r="C5" s="178">
        <v>38780</v>
      </c>
      <c r="D5" s="179">
        <v>26980</v>
      </c>
      <c r="E5" s="196">
        <v>14820</v>
      </c>
      <c r="F5" s="87">
        <v>9610</v>
      </c>
      <c r="G5" s="180">
        <f>SUM(C5:F5)</f>
        <v>90190</v>
      </c>
      <c r="H5" s="139">
        <v>0</v>
      </c>
      <c r="I5" s="140">
        <v>0</v>
      </c>
      <c r="J5" s="140">
        <v>0</v>
      </c>
      <c r="K5" s="140">
        <v>0</v>
      </c>
      <c r="L5" s="141">
        <f>SUM(H5:K5)</f>
        <v>0</v>
      </c>
      <c r="M5" s="61">
        <v>0</v>
      </c>
      <c r="N5" s="62">
        <v>0</v>
      </c>
      <c r="O5" s="62">
        <v>0</v>
      </c>
      <c r="P5" s="62">
        <v>0</v>
      </c>
      <c r="Q5" s="62">
        <f>SUM(M5:P5)</f>
        <v>0</v>
      </c>
      <c r="R5" s="3516">
        <v>62400</v>
      </c>
      <c r="S5" s="3517">
        <v>62400</v>
      </c>
      <c r="T5" s="3517">
        <v>62400</v>
      </c>
      <c r="U5" s="3517">
        <v>62400</v>
      </c>
      <c r="V5" s="3518">
        <f>SUM(R5:U5)</f>
        <v>249600</v>
      </c>
      <c r="W5" s="280"/>
      <c r="X5" s="280"/>
      <c r="Y5" s="280"/>
      <c r="Z5" s="280"/>
      <c r="AA5" s="280"/>
      <c r="AB5" s="280"/>
      <c r="AC5" s="280"/>
      <c r="AD5" s="280"/>
      <c r="AE5" s="280"/>
      <c r="AF5" s="280"/>
    </row>
    <row r="6" spans="1:32" ht="64.5" thickBot="1" x14ac:dyDescent="0.25">
      <c r="A6" s="198" t="s">
        <v>1700</v>
      </c>
      <c r="B6" s="63" t="s">
        <v>96</v>
      </c>
      <c r="C6" s="88">
        <v>0</v>
      </c>
      <c r="D6" s="89">
        <v>0</v>
      </c>
      <c r="E6" s="90">
        <v>0</v>
      </c>
      <c r="F6" s="89">
        <v>0</v>
      </c>
      <c r="G6" s="91">
        <f>SUM(C6:F6)</f>
        <v>0</v>
      </c>
      <c r="H6" s="88">
        <v>70285</v>
      </c>
      <c r="I6" s="89">
        <v>57205</v>
      </c>
      <c r="J6" s="89">
        <v>60540</v>
      </c>
      <c r="K6" s="89">
        <v>55315</v>
      </c>
      <c r="L6" s="91">
        <f>SUM(H6:K6)</f>
        <v>243345</v>
      </c>
      <c r="M6" s="64">
        <v>0</v>
      </c>
      <c r="N6" s="65">
        <v>0</v>
      </c>
      <c r="O6" s="65">
        <v>0</v>
      </c>
      <c r="P6" s="65">
        <v>0</v>
      </c>
      <c r="Q6" s="65">
        <f>SUM(M6:P6)</f>
        <v>0</v>
      </c>
      <c r="R6" s="3512"/>
      <c r="S6" s="3519">
        <v>0</v>
      </c>
      <c r="T6" s="3519">
        <v>0</v>
      </c>
      <c r="U6" s="3519">
        <v>0</v>
      </c>
      <c r="V6" s="3519">
        <f>SUM(R6:U6)</f>
        <v>0</v>
      </c>
      <c r="W6" s="280"/>
      <c r="X6" s="280"/>
      <c r="Y6" s="280"/>
      <c r="Z6" s="280"/>
      <c r="AA6" s="280"/>
      <c r="AB6" s="281"/>
      <c r="AC6" s="281"/>
      <c r="AD6" s="281"/>
      <c r="AE6" s="281"/>
      <c r="AF6" s="281"/>
    </row>
    <row r="7" spans="1:32" x14ac:dyDescent="0.2">
      <c r="C7" s="92"/>
      <c r="D7" s="92"/>
      <c r="E7" s="92"/>
      <c r="F7" s="92"/>
      <c r="G7" s="92"/>
    </row>
    <row r="8" spans="1:32" ht="13.5" thickBot="1" x14ac:dyDescent="0.25">
      <c r="M8" s="273"/>
      <c r="N8" s="273"/>
      <c r="O8" s="273"/>
      <c r="P8" s="273"/>
      <c r="Q8" s="273"/>
    </row>
    <row r="9" spans="1:32" x14ac:dyDescent="0.2">
      <c r="C9" s="5004" t="s">
        <v>91</v>
      </c>
      <c r="D9" s="5005"/>
      <c r="E9" s="5005"/>
      <c r="F9" s="5005"/>
      <c r="G9" s="5006"/>
      <c r="K9" s="273"/>
      <c r="M9" s="278"/>
      <c r="N9" s="278"/>
      <c r="O9" s="278"/>
      <c r="P9" s="278"/>
      <c r="Q9" s="278"/>
    </row>
    <row r="10" spans="1:32" x14ac:dyDescent="0.2">
      <c r="A10" s="1001" t="s">
        <v>0</v>
      </c>
      <c r="B10" s="3512" t="s">
        <v>1</v>
      </c>
      <c r="C10" s="3512" t="s">
        <v>3</v>
      </c>
      <c r="D10" s="3512" t="s">
        <v>4</v>
      </c>
      <c r="E10" s="3512" t="s">
        <v>5</v>
      </c>
      <c r="F10" s="3512" t="s">
        <v>6</v>
      </c>
      <c r="G10" s="3512" t="s">
        <v>7</v>
      </c>
      <c r="K10" s="274"/>
      <c r="M10" s="273"/>
      <c r="N10" s="273"/>
      <c r="O10" s="273"/>
      <c r="P10" s="273"/>
      <c r="Q10" s="273"/>
    </row>
    <row r="11" spans="1:32" ht="63.75" x14ac:dyDescent="0.2">
      <c r="A11" s="1386" t="s">
        <v>1698</v>
      </c>
      <c r="B11" s="3513" t="s">
        <v>96</v>
      </c>
      <c r="C11" s="3514">
        <f>C5+H5+M5+R5</f>
        <v>101180</v>
      </c>
      <c r="D11" s="3514">
        <f>D5+I5+N5+S5</f>
        <v>89380</v>
      </c>
      <c r="E11" s="3514">
        <f>E5+J5++O5+T5</f>
        <v>77220</v>
      </c>
      <c r="F11" s="3514">
        <f>F5+K5+P5+U5</f>
        <v>72010</v>
      </c>
      <c r="G11" s="3514">
        <f>G5+L5+Q5+V5</f>
        <v>339790</v>
      </c>
      <c r="K11" s="275"/>
      <c r="M11" s="277"/>
      <c r="N11" s="277"/>
      <c r="O11" s="277"/>
      <c r="P11" s="277"/>
      <c r="Q11" s="277"/>
      <c r="T11" s="273"/>
    </row>
    <row r="12" spans="1:32" ht="63.75" customHeight="1" thickBot="1" x14ac:dyDescent="0.25">
      <c r="A12" s="198" t="s">
        <v>1700</v>
      </c>
      <c r="B12" s="3513" t="s">
        <v>96</v>
      </c>
      <c r="C12" s="3514">
        <f>C6+H6+M6+S6</f>
        <v>70285</v>
      </c>
      <c r="D12" s="3514">
        <f>D6+I6+N6+S6</f>
        <v>57205</v>
      </c>
      <c r="E12" s="3514">
        <f>E6+J6+O6+T6</f>
        <v>60540</v>
      </c>
      <c r="F12" s="3514">
        <f>F6+K6+P6+U6</f>
        <v>55315</v>
      </c>
      <c r="G12" s="3514">
        <f>G6+L6+Q6+V6</f>
        <v>243345</v>
      </c>
      <c r="K12" s="276"/>
      <c r="M12" s="277"/>
      <c r="N12" s="277"/>
      <c r="O12" s="277"/>
      <c r="P12" s="277"/>
      <c r="Q12" s="277"/>
    </row>
    <row r="13" spans="1:32" ht="15" thickBot="1" x14ac:dyDescent="0.25">
      <c r="A13" s="1387" t="s">
        <v>547</v>
      </c>
      <c r="B13" s="1387" t="s">
        <v>96</v>
      </c>
      <c r="C13" s="3515">
        <f>SUM(C11+C12)</f>
        <v>171465</v>
      </c>
      <c r="D13" s="3515">
        <f>SUM(D11+D12)</f>
        <v>146585</v>
      </c>
      <c r="E13" s="3515">
        <f>SUM(E11+E12)</f>
        <v>137760</v>
      </c>
      <c r="F13" s="3515">
        <f>SUM(F11+F12)</f>
        <v>127325</v>
      </c>
      <c r="G13" s="3515">
        <f>SUM(G11+G12)</f>
        <v>583135</v>
      </c>
      <c r="K13" s="273"/>
    </row>
  </sheetData>
  <mergeCells count="7">
    <mergeCell ref="AB3:AF3"/>
    <mergeCell ref="C9:G9"/>
    <mergeCell ref="C3:G3"/>
    <mergeCell ref="H3:L3"/>
    <mergeCell ref="W3:AA3"/>
    <mergeCell ref="M3:Q3"/>
    <mergeCell ref="R3:V3"/>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rgb="FF97F961"/>
  </sheetPr>
  <dimension ref="A1:HV94"/>
  <sheetViews>
    <sheetView workbookViewId="0">
      <pane xSplit="2" ySplit="4" topLeftCell="D5" activePane="bottomRight" state="frozen"/>
      <selection pane="topRight" activeCell="C1" sqref="C1"/>
      <selection pane="bottomLeft" activeCell="A5" sqref="A5"/>
      <selection pane="bottomRight" activeCell="A6" sqref="A6"/>
    </sheetView>
  </sheetViews>
  <sheetFormatPr defaultRowHeight="15" x14ac:dyDescent="0.25"/>
  <cols>
    <col min="1" max="1" width="29.42578125" customWidth="1"/>
    <col min="3" max="3" width="18" customWidth="1"/>
    <col min="4" max="7" width="15" bestFit="1" customWidth="1"/>
    <col min="8" max="8" width="16.42578125" customWidth="1"/>
    <col min="9" max="9" width="15.28515625" bestFit="1" customWidth="1"/>
    <col min="10" max="10" width="16.28515625" customWidth="1"/>
    <col min="11" max="11" width="18.140625" customWidth="1"/>
    <col min="12" max="12" width="15" bestFit="1" customWidth="1"/>
    <col min="13" max="17" width="15.5703125" style="9" customWidth="1"/>
    <col min="18" max="18" width="17" style="9" customWidth="1"/>
    <col min="19" max="22" width="15.5703125" style="9" customWidth="1"/>
    <col min="23" max="23" width="14.7109375" customWidth="1"/>
    <col min="24" max="26" width="14.7109375" style="9" customWidth="1"/>
    <col min="27" max="27" width="15.140625" customWidth="1"/>
    <col min="28" max="30" width="15.140625" style="9" customWidth="1"/>
    <col min="31" max="32" width="13.85546875" bestFit="1" customWidth="1"/>
    <col min="33" max="34" width="13.85546875" style="9" customWidth="1"/>
    <col min="35" max="35" width="14.85546875" customWidth="1"/>
    <col min="36" max="39" width="12.7109375" bestFit="1" customWidth="1"/>
    <col min="40" max="40" width="13.85546875" bestFit="1" customWidth="1"/>
  </cols>
  <sheetData>
    <row r="1" spans="1:42" x14ac:dyDescent="0.25">
      <c r="A1" s="4" t="s">
        <v>26</v>
      </c>
      <c r="W1" s="116"/>
      <c r="X1" s="116"/>
      <c r="Y1" s="116"/>
      <c r="Z1" s="116"/>
      <c r="AA1" s="116"/>
      <c r="AB1" s="116"/>
      <c r="AC1" s="116"/>
      <c r="AD1" s="116"/>
      <c r="AE1" s="116"/>
      <c r="AF1" s="116"/>
      <c r="AG1" s="116"/>
      <c r="AH1" s="116"/>
      <c r="AI1" s="116"/>
    </row>
    <row r="2" spans="1:42" ht="15.75" thickBot="1" x14ac:dyDescent="0.3">
      <c r="L2" s="445"/>
      <c r="W2" s="121"/>
      <c r="X2" s="121"/>
      <c r="Y2" s="121"/>
      <c r="Z2" s="121"/>
      <c r="AA2" s="121"/>
      <c r="AB2" s="121"/>
      <c r="AC2" s="121"/>
      <c r="AD2" s="121"/>
      <c r="AE2" s="121"/>
      <c r="AF2" s="121"/>
      <c r="AG2" s="121"/>
      <c r="AH2" s="121"/>
      <c r="AI2" s="121"/>
      <c r="AJ2" s="39"/>
      <c r="AK2" s="39"/>
      <c r="AL2" s="39"/>
      <c r="AM2" s="39"/>
      <c r="AN2" s="39"/>
    </row>
    <row r="3" spans="1:42" ht="15.75" thickBot="1" x14ac:dyDescent="0.3">
      <c r="C3" s="4981" t="s">
        <v>2</v>
      </c>
      <c r="D3" s="4982"/>
      <c r="E3" s="4982"/>
      <c r="F3" s="4982"/>
      <c r="G3" s="4983"/>
      <c r="H3" s="5021" t="s">
        <v>8</v>
      </c>
      <c r="I3" s="5022"/>
      <c r="J3" s="5022"/>
      <c r="K3" s="5022"/>
      <c r="L3" s="5023"/>
      <c r="M3" s="4984" t="s">
        <v>9</v>
      </c>
      <c r="N3" s="4985"/>
      <c r="O3" s="4985"/>
      <c r="P3" s="4985"/>
      <c r="Q3" s="4986"/>
      <c r="R3" s="4985" t="s">
        <v>223</v>
      </c>
      <c r="S3" s="4985"/>
      <c r="T3" s="4985"/>
      <c r="U3" s="4985"/>
      <c r="V3" s="4985"/>
      <c r="W3" s="5026" t="s">
        <v>619</v>
      </c>
      <c r="X3" s="5027"/>
      <c r="Y3" s="5027"/>
      <c r="Z3" s="5027"/>
      <c r="AA3" s="5028"/>
      <c r="AB3" s="5024" t="s">
        <v>620</v>
      </c>
      <c r="AC3" s="5025"/>
      <c r="AD3" s="5025"/>
      <c r="AE3" s="5025"/>
      <c r="AF3" s="5025"/>
      <c r="AG3" s="5026" t="s">
        <v>633</v>
      </c>
      <c r="AH3" s="5027"/>
      <c r="AI3" s="5027"/>
      <c r="AJ3" s="5027"/>
      <c r="AK3" s="5027"/>
      <c r="AL3" s="5015" t="s">
        <v>1255</v>
      </c>
      <c r="AM3" s="5016"/>
      <c r="AN3" s="5016"/>
      <c r="AO3" s="5016"/>
      <c r="AP3" s="5017"/>
    </row>
    <row r="4" spans="1:42" ht="15.75" thickBot="1" x14ac:dyDescent="0.3">
      <c r="A4" s="17" t="s">
        <v>0</v>
      </c>
      <c r="B4" s="19" t="s">
        <v>1</v>
      </c>
      <c r="C4" s="10" t="s">
        <v>3</v>
      </c>
      <c r="D4" s="15" t="s">
        <v>4</v>
      </c>
      <c r="E4" s="15" t="s">
        <v>5</v>
      </c>
      <c r="F4" s="15" t="s">
        <v>6</v>
      </c>
      <c r="G4" s="15" t="s">
        <v>7</v>
      </c>
      <c r="H4" s="10" t="s">
        <v>3</v>
      </c>
      <c r="I4" s="15" t="s">
        <v>4</v>
      </c>
      <c r="J4" s="15" t="s">
        <v>5</v>
      </c>
      <c r="K4" s="15" t="s">
        <v>6</v>
      </c>
      <c r="L4" s="11" t="s">
        <v>7</v>
      </c>
      <c r="M4" s="10" t="s">
        <v>3</v>
      </c>
      <c r="N4" s="15" t="s">
        <v>4</v>
      </c>
      <c r="O4" s="15" t="s">
        <v>5</v>
      </c>
      <c r="P4" s="15" t="s">
        <v>6</v>
      </c>
      <c r="Q4" s="11" t="s">
        <v>7</v>
      </c>
      <c r="R4" s="15" t="s">
        <v>3</v>
      </c>
      <c r="S4" s="15" t="s">
        <v>4</v>
      </c>
      <c r="T4" s="15" t="s">
        <v>5</v>
      </c>
      <c r="U4" s="15" t="s">
        <v>6</v>
      </c>
      <c r="V4" s="15" t="s">
        <v>7</v>
      </c>
      <c r="W4" s="1798" t="s">
        <v>3</v>
      </c>
      <c r="X4" s="1799" t="s">
        <v>4</v>
      </c>
      <c r="Y4" s="1799" t="s">
        <v>5</v>
      </c>
      <c r="Z4" s="1799" t="s">
        <v>6</v>
      </c>
      <c r="AA4" s="2660" t="s">
        <v>7</v>
      </c>
      <c r="AB4" s="1798" t="s">
        <v>3</v>
      </c>
      <c r="AC4" s="1799" t="s">
        <v>4</v>
      </c>
      <c r="AD4" s="1799" t="s">
        <v>5</v>
      </c>
      <c r="AE4" s="1799" t="s">
        <v>6</v>
      </c>
      <c r="AF4" s="2660" t="s">
        <v>7</v>
      </c>
      <c r="AG4" s="1798" t="s">
        <v>3</v>
      </c>
      <c r="AH4" s="1799" t="s">
        <v>4</v>
      </c>
      <c r="AI4" s="1799" t="s">
        <v>5</v>
      </c>
      <c r="AJ4" s="143" t="s">
        <v>6</v>
      </c>
      <c r="AK4" s="137" t="s">
        <v>7</v>
      </c>
      <c r="AL4" s="121" t="s">
        <v>99</v>
      </c>
      <c r="AM4" s="121" t="s">
        <v>100</v>
      </c>
      <c r="AN4" s="121" t="s">
        <v>101</v>
      </c>
      <c r="AO4" s="121" t="s">
        <v>103</v>
      </c>
    </row>
    <row r="5" spans="1:42" x14ac:dyDescent="0.25">
      <c r="A5" s="104" t="s">
        <v>159</v>
      </c>
      <c r="B5" s="1" t="s">
        <v>27</v>
      </c>
      <c r="C5" s="1827">
        <v>718885</v>
      </c>
      <c r="D5" s="1784">
        <v>464998</v>
      </c>
      <c r="E5" s="4890">
        <v>496709</v>
      </c>
      <c r="F5" s="1784">
        <v>531151</v>
      </c>
      <c r="G5" s="2631">
        <f>SUM(C5:F5)</f>
        <v>2211743</v>
      </c>
      <c r="H5" s="4895">
        <v>684271.55</v>
      </c>
      <c r="I5" s="4896">
        <v>465130.03</v>
      </c>
      <c r="J5" s="4896">
        <v>470667.23999999993</v>
      </c>
      <c r="K5" s="4896">
        <v>231732.62</v>
      </c>
      <c r="L5" s="4897">
        <f>SUM(H5:K5)</f>
        <v>1851801.44</v>
      </c>
      <c r="M5" s="4928">
        <v>204227</v>
      </c>
      <c r="N5" s="4900">
        <v>168296</v>
      </c>
      <c r="O5" s="4900">
        <v>131073</v>
      </c>
      <c r="P5" s="4900">
        <v>119023</v>
      </c>
      <c r="Q5" s="2666">
        <f>SUM(M5:P5)</f>
        <v>622619</v>
      </c>
      <c r="R5" s="4902">
        <v>1492007</v>
      </c>
      <c r="S5" s="4900">
        <v>1393653</v>
      </c>
      <c r="T5" s="4900">
        <v>1375966</v>
      </c>
      <c r="U5" s="4900">
        <v>141563</v>
      </c>
      <c r="V5" s="2631">
        <f>SUM(R5:U5)</f>
        <v>4403189</v>
      </c>
      <c r="W5" s="2633">
        <f>bryanstonLondon!N9</f>
        <v>19070.933944669585</v>
      </c>
      <c r="X5" s="2634">
        <f>bryanstonLondon!R9</f>
        <v>19072.247188707694</v>
      </c>
      <c r="Y5" s="2634">
        <f>bryanstonLondon!V9</f>
        <v>16680.015508308694</v>
      </c>
      <c r="Z5" s="2634">
        <f>bryanstonLondon!Z9</f>
        <v>8204.31371525328</v>
      </c>
      <c r="AA5" s="2667">
        <f>SUM(W5:Z5)</f>
        <v>63027.510356939252</v>
      </c>
      <c r="AB5" s="2670">
        <v>0</v>
      </c>
      <c r="AC5" s="2671">
        <v>0</v>
      </c>
      <c r="AD5" s="2671">
        <v>0</v>
      </c>
      <c r="AE5" s="2634">
        <v>0</v>
      </c>
      <c r="AF5" s="2672">
        <f>SUM(AB5:AE5)</f>
        <v>0</v>
      </c>
      <c r="AG5" s="2633">
        <f>W5+AB5</f>
        <v>19070.933944669585</v>
      </c>
      <c r="AH5" s="2634">
        <f>X5+AC5</f>
        <v>19072.247188707694</v>
      </c>
      <c r="AI5" s="2634">
        <f>Y5+AD5</f>
        <v>16680.015508308694</v>
      </c>
      <c r="AJ5" s="1784">
        <f>Z5+AE5</f>
        <v>8204.31371525328</v>
      </c>
      <c r="AK5" s="2583">
        <f>AA5+AF5</f>
        <v>63027.510356939252</v>
      </c>
      <c r="AL5" s="34"/>
      <c r="AM5" s="34"/>
      <c r="AN5" s="34"/>
    </row>
    <row r="6" spans="1:42" s="9" customFormat="1" ht="30" x14ac:dyDescent="0.25">
      <c r="A6" s="104" t="s">
        <v>991</v>
      </c>
      <c r="B6" s="1" t="s">
        <v>994</v>
      </c>
      <c r="C6" s="2635">
        <f>IF(ISERROR(C5/C17),0,(C5/C17))</f>
        <v>0.56458961756381276</v>
      </c>
      <c r="D6" s="2656">
        <f>IF(ISERROR(D5/D17),0,(D5/D17))</f>
        <v>0.40824338419874628</v>
      </c>
      <c r="E6" s="2656">
        <f>IF(ISERROR(E5/E17),0,(E5/E17))</f>
        <v>0.47123229709011977</v>
      </c>
      <c r="F6" s="2656">
        <f>IF(ISERROR(F5/F17),0,(F5/F17))</f>
        <v>0.69535352589043897</v>
      </c>
      <c r="G6" s="3504">
        <f t="shared" ref="G6:AK6" si="0">IF(ISERROR(G5/G17),0,(G5/G17))</f>
        <v>0.52284217227688623</v>
      </c>
      <c r="H6" s="3006">
        <f t="shared" si="0"/>
        <v>0.758482949135456</v>
      </c>
      <c r="I6" s="3006">
        <f t="shared" si="0"/>
        <v>0.57689401512652161</v>
      </c>
      <c r="J6" s="3006">
        <f t="shared" si="0"/>
        <v>0.61762329049342435</v>
      </c>
      <c r="K6" s="3006">
        <f t="shared" si="0"/>
        <v>0.50328188288235454</v>
      </c>
      <c r="L6" s="3504">
        <f t="shared" si="0"/>
        <v>0.63181379193602927</v>
      </c>
      <c r="M6" s="3008">
        <f>IF(ISERROR(M5/M17),0,(M5/M17))</f>
        <v>0.64977951142531709</v>
      </c>
      <c r="N6" s="3006">
        <f t="shared" si="0"/>
        <v>0.68137687555163284</v>
      </c>
      <c r="O6" s="3006">
        <f>IF(ISERROR(O5/O17),0,(O5/O17))</f>
        <v>0.55457160990057119</v>
      </c>
      <c r="P6" s="3006">
        <f t="shared" si="0"/>
        <v>1.2654078822866499</v>
      </c>
      <c r="Q6" s="3504">
        <f t="shared" si="0"/>
        <v>0.69823428151686939</v>
      </c>
      <c r="R6" s="3008">
        <f>IF(ISERROR(R5/R17),0,(R5/R17))</f>
        <v>1.051951123985466</v>
      </c>
      <c r="S6" s="3006">
        <f t="shared" si="0"/>
        <v>0.97099729669472157</v>
      </c>
      <c r="T6" s="3006">
        <f>IF(ISERROR(T5/T17),0,(T5/T17))</f>
        <v>1.0422160970315044</v>
      </c>
      <c r="U6" s="3006">
        <f t="shared" si="0"/>
        <v>1.2967207108179903</v>
      </c>
      <c r="V6" s="3504">
        <f t="shared" si="0"/>
        <v>1.0280607923713365</v>
      </c>
      <c r="W6" s="3008">
        <f t="shared" si="0"/>
        <v>4.8798838422230775E-3</v>
      </c>
      <c r="X6" s="3006">
        <f t="shared" si="0"/>
        <v>5.2575944152995907E-3</v>
      </c>
      <c r="Y6" s="3006">
        <f t="shared" si="0"/>
        <v>4.945586885640731E-3</v>
      </c>
      <c r="Z6" s="3006">
        <f t="shared" si="0"/>
        <v>5.7472113634368721E-3</v>
      </c>
      <c r="AA6" s="3007">
        <f t="shared" si="0"/>
        <v>5.1092878213647884E-3</v>
      </c>
      <c r="AB6" s="3008">
        <f t="shared" si="0"/>
        <v>0</v>
      </c>
      <c r="AC6" s="3006">
        <f t="shared" si="0"/>
        <v>0</v>
      </c>
      <c r="AD6" s="3006">
        <f t="shared" si="0"/>
        <v>0</v>
      </c>
      <c r="AE6" s="3006">
        <f t="shared" si="0"/>
        <v>0</v>
      </c>
      <c r="AF6" s="3007">
        <f t="shared" si="0"/>
        <v>0</v>
      </c>
      <c r="AG6" s="3008">
        <f t="shared" si="0"/>
        <v>4.8798838422230775E-3</v>
      </c>
      <c r="AH6" s="3006">
        <f t="shared" si="0"/>
        <v>5.2575944152995907E-3</v>
      </c>
      <c r="AI6" s="3006">
        <f t="shared" si="0"/>
        <v>4.945586885640731E-3</v>
      </c>
      <c r="AJ6" s="3006">
        <f t="shared" si="0"/>
        <v>5.7472113634368721E-3</v>
      </c>
      <c r="AK6" s="3007">
        <f t="shared" si="0"/>
        <v>5.1092878213647884E-3</v>
      </c>
      <c r="AL6" s="34"/>
      <c r="AM6" s="34"/>
      <c r="AN6" s="34"/>
    </row>
    <row r="7" spans="1:42" s="9" customFormat="1" ht="30" customHeight="1" x14ac:dyDescent="0.25">
      <c r="A7" s="2628" t="s">
        <v>992</v>
      </c>
      <c r="B7" s="101" t="s">
        <v>994</v>
      </c>
      <c r="C7" s="3014">
        <v>0.67954999999999999</v>
      </c>
      <c r="D7" s="2965">
        <v>0.67954999999999999</v>
      </c>
      <c r="E7" s="2965">
        <f>$C$7</f>
        <v>0.67954999999999999</v>
      </c>
      <c r="F7" s="2965">
        <f>$C$7</f>
        <v>0.67954999999999999</v>
      </c>
      <c r="G7" s="2965">
        <f>$C$7</f>
        <v>0.67954999999999999</v>
      </c>
      <c r="H7" s="2964">
        <v>0.84799999999999998</v>
      </c>
      <c r="I7" s="2965">
        <v>0.84799999999999998</v>
      </c>
      <c r="J7" s="2965">
        <v>0.84799999999999998</v>
      </c>
      <c r="K7" s="2965">
        <v>0.84799999999999998</v>
      </c>
      <c r="L7" s="2966">
        <v>0.84799999999999998</v>
      </c>
      <c r="M7" s="2984">
        <v>0.85099999999999998</v>
      </c>
      <c r="N7" s="2965">
        <v>0.85099999999999998</v>
      </c>
      <c r="O7" s="2965">
        <v>0.85099999999999998</v>
      </c>
      <c r="P7" s="2965">
        <v>0.85099999999999998</v>
      </c>
      <c r="Q7" s="2985">
        <v>0.85099999999999998</v>
      </c>
      <c r="R7" s="2964">
        <v>1.0569999999999999</v>
      </c>
      <c r="S7" s="2965">
        <v>1.0569999999999999</v>
      </c>
      <c r="T7" s="2965">
        <v>1.0569999999999999</v>
      </c>
      <c r="U7" s="2965">
        <v>1.0569999999999999</v>
      </c>
      <c r="V7" s="2966">
        <v>1.0569999999999999</v>
      </c>
      <c r="W7" s="2986">
        <v>0</v>
      </c>
      <c r="X7" s="2987">
        <v>0</v>
      </c>
      <c r="Y7" s="2987">
        <v>0</v>
      </c>
      <c r="Z7" s="2987">
        <v>0</v>
      </c>
      <c r="AA7" s="2988">
        <v>0</v>
      </c>
      <c r="AB7" s="2989">
        <v>0</v>
      </c>
      <c r="AC7" s="2990">
        <v>0</v>
      </c>
      <c r="AD7" s="2990">
        <v>0</v>
      </c>
      <c r="AE7" s="2987">
        <v>0</v>
      </c>
      <c r="AF7" s="2991">
        <v>0</v>
      </c>
      <c r="AG7" s="2986">
        <v>0</v>
      </c>
      <c r="AH7" s="2987">
        <v>0</v>
      </c>
      <c r="AI7" s="2987">
        <v>0</v>
      </c>
      <c r="AJ7" s="2965">
        <v>0</v>
      </c>
      <c r="AK7" s="2966">
        <v>0</v>
      </c>
      <c r="AL7" s="34"/>
      <c r="AM7" s="34"/>
      <c r="AN7" s="34"/>
    </row>
    <row r="8" spans="1:42" s="9" customFormat="1" ht="33" customHeight="1" x14ac:dyDescent="0.25">
      <c r="A8" s="1717" t="s">
        <v>993</v>
      </c>
      <c r="B8" s="2627" t="s">
        <v>98</v>
      </c>
      <c r="C8" s="2636">
        <f>IF(ISERROR((C6-C7)/C7),0,((C6-C7)/C7))</f>
        <v>-0.16917133755601094</v>
      </c>
      <c r="D8" s="2657">
        <f t="shared" ref="D8:AK8" si="1">IF(ISERROR((D6-D7)/D7),0,((D6-D7)/D7))</f>
        <v>-0.39924452328931453</v>
      </c>
      <c r="E8" s="2657">
        <f t="shared" si="1"/>
        <v>-0.30655242868056837</v>
      </c>
      <c r="F8" s="2657">
        <f t="shared" si="1"/>
        <v>2.3255869164062963E-2</v>
      </c>
      <c r="G8" s="2662">
        <f t="shared" si="1"/>
        <v>-0.23060529427284784</v>
      </c>
      <c r="H8" s="2636">
        <f>IF(ISERROR((H6-H7)/H7),0,((H6-H7)/H7))</f>
        <v>-0.10556255998177357</v>
      </c>
      <c r="I8" s="2657">
        <f t="shared" si="1"/>
        <v>-0.31970045386023394</v>
      </c>
      <c r="J8" s="2657">
        <f t="shared" si="1"/>
        <v>-0.27167064800303731</v>
      </c>
      <c r="K8" s="2657">
        <f t="shared" si="1"/>
        <v>-0.40650721358212905</v>
      </c>
      <c r="L8" s="3505">
        <f t="shared" si="1"/>
        <v>-0.254936566113173</v>
      </c>
      <c r="M8" s="2636">
        <f t="shared" si="1"/>
        <v>-0.23645180796084947</v>
      </c>
      <c r="N8" s="2657">
        <f t="shared" si="1"/>
        <v>-0.19932212038586034</v>
      </c>
      <c r="O8" s="2657">
        <f t="shared" si="1"/>
        <v>-0.34832948307805967</v>
      </c>
      <c r="P8" s="2657">
        <f t="shared" si="1"/>
        <v>0.48696578412062275</v>
      </c>
      <c r="Q8" s="3505">
        <f t="shared" si="1"/>
        <v>-0.17951318270638142</v>
      </c>
      <c r="R8" s="2636">
        <f t="shared" si="1"/>
        <v>-4.7766092852733824E-3</v>
      </c>
      <c r="S8" s="2657">
        <f t="shared" si="1"/>
        <v>-8.1364903789288914E-2</v>
      </c>
      <c r="T8" s="2657">
        <f t="shared" si="1"/>
        <v>-1.3986663167923862E-2</v>
      </c>
      <c r="U8" s="2657">
        <f t="shared" si="1"/>
        <v>0.2267934823254403</v>
      </c>
      <c r="V8" s="2662">
        <f t="shared" si="1"/>
        <v>-2.7378625949539662E-2</v>
      </c>
      <c r="W8" s="2636">
        <f t="shared" si="1"/>
        <v>0</v>
      </c>
      <c r="X8" s="2657">
        <f t="shared" si="1"/>
        <v>0</v>
      </c>
      <c r="Y8" s="2657">
        <f t="shared" si="1"/>
        <v>0</v>
      </c>
      <c r="Z8" s="2657">
        <f t="shared" si="1"/>
        <v>0</v>
      </c>
      <c r="AA8" s="2662">
        <f t="shared" si="1"/>
        <v>0</v>
      </c>
      <c r="AB8" s="2636">
        <f t="shared" si="1"/>
        <v>0</v>
      </c>
      <c r="AC8" s="2657">
        <f t="shared" si="1"/>
        <v>0</v>
      </c>
      <c r="AD8" s="2657">
        <f t="shared" si="1"/>
        <v>0</v>
      </c>
      <c r="AE8" s="2657">
        <f t="shared" si="1"/>
        <v>0</v>
      </c>
      <c r="AF8" s="2662">
        <f t="shared" si="1"/>
        <v>0</v>
      </c>
      <c r="AG8" s="2636">
        <f t="shared" si="1"/>
        <v>0</v>
      </c>
      <c r="AH8" s="2657">
        <f t="shared" si="1"/>
        <v>0</v>
      </c>
      <c r="AI8" s="2657">
        <f t="shared" si="1"/>
        <v>0</v>
      </c>
      <c r="AJ8" s="2657">
        <f t="shared" si="1"/>
        <v>0</v>
      </c>
      <c r="AK8" s="2662">
        <f t="shared" si="1"/>
        <v>0</v>
      </c>
      <c r="AL8" s="34"/>
      <c r="AM8" s="34"/>
      <c r="AN8" s="34"/>
    </row>
    <row r="9" spans="1:42" s="9" customFormat="1" ht="33" customHeight="1" x14ac:dyDescent="0.25">
      <c r="A9" s="2629" t="s">
        <v>997</v>
      </c>
      <c r="B9" s="2630" t="s">
        <v>98</v>
      </c>
      <c r="C9" s="2677" t="s">
        <v>676</v>
      </c>
      <c r="D9" s="2678" t="s">
        <v>676</v>
      </c>
      <c r="E9" s="2678" t="s">
        <v>676</v>
      </c>
      <c r="F9" s="2678" t="s">
        <v>676</v>
      </c>
      <c r="G9" s="2679" t="s">
        <v>676</v>
      </c>
      <c r="H9" s="2677" t="s">
        <v>676</v>
      </c>
      <c r="I9" s="2678" t="s">
        <v>676</v>
      </c>
      <c r="J9" s="2678" t="s">
        <v>676</v>
      </c>
      <c r="K9" s="2678" t="s">
        <v>676</v>
      </c>
      <c r="L9" s="2679" t="s">
        <v>676</v>
      </c>
      <c r="M9" s="2677" t="s">
        <v>676</v>
      </c>
      <c r="N9" s="2678" t="s">
        <v>676</v>
      </c>
      <c r="O9" s="2678" t="s">
        <v>676</v>
      </c>
      <c r="P9" s="2678" t="s">
        <v>676</v>
      </c>
      <c r="Q9" s="2679" t="s">
        <v>676</v>
      </c>
      <c r="R9" s="2677" t="s">
        <v>676</v>
      </c>
      <c r="S9" s="2678" t="s">
        <v>676</v>
      </c>
      <c r="T9" s="2678" t="s">
        <v>676</v>
      </c>
      <c r="U9" s="2678" t="s">
        <v>676</v>
      </c>
      <c r="V9" s="2679" t="s">
        <v>676</v>
      </c>
      <c r="W9" s="2677" t="s">
        <v>676</v>
      </c>
      <c r="X9" s="2678" t="s">
        <v>676</v>
      </c>
      <c r="Y9" s="2678" t="s">
        <v>676</v>
      </c>
      <c r="Z9" s="2678" t="s">
        <v>676</v>
      </c>
      <c r="AA9" s="2679" t="s">
        <v>676</v>
      </c>
      <c r="AB9" s="2677" t="s">
        <v>676</v>
      </c>
      <c r="AC9" s="2678" t="s">
        <v>676</v>
      </c>
      <c r="AD9" s="2678" t="s">
        <v>676</v>
      </c>
      <c r="AE9" s="2678" t="s">
        <v>676</v>
      </c>
      <c r="AF9" s="2679" t="s">
        <v>676</v>
      </c>
      <c r="AG9" s="2677" t="s">
        <v>676</v>
      </c>
      <c r="AH9" s="2678" t="s">
        <v>676</v>
      </c>
      <c r="AI9" s="2678" t="s">
        <v>676</v>
      </c>
      <c r="AJ9" s="2678" t="s">
        <v>676</v>
      </c>
      <c r="AK9" s="2679" t="s">
        <v>676</v>
      </c>
      <c r="AL9" s="34"/>
      <c r="AM9" s="34"/>
      <c r="AN9" s="34"/>
    </row>
    <row r="10" spans="1:42" s="9" customFormat="1" x14ac:dyDescent="0.25">
      <c r="A10" s="104" t="s">
        <v>160</v>
      </c>
      <c r="B10" s="1" t="s">
        <v>27</v>
      </c>
      <c r="C10" s="191">
        <v>0</v>
      </c>
      <c r="D10" s="95">
        <v>1611</v>
      </c>
      <c r="E10" s="2565">
        <v>2424</v>
      </c>
      <c r="F10" s="95">
        <v>0</v>
      </c>
      <c r="G10" s="2638">
        <f>SUM(C10:F10)</f>
        <v>4035</v>
      </c>
      <c r="H10" s="824">
        <v>192</v>
      </c>
      <c r="I10" s="95">
        <v>192</v>
      </c>
      <c r="J10" s="95">
        <v>192</v>
      </c>
      <c r="K10" s="95">
        <v>192</v>
      </c>
      <c r="L10" s="2638">
        <f>SUM(H10:K10)</f>
        <v>768</v>
      </c>
      <c r="M10" s="824">
        <v>0</v>
      </c>
      <c r="N10" s="95">
        <v>0</v>
      </c>
      <c r="O10" s="95">
        <v>1408</v>
      </c>
      <c r="P10" s="95">
        <v>0</v>
      </c>
      <c r="Q10" s="2648">
        <f t="shared" ref="Q10:Q16" si="2">SUM(M10:P10)</f>
        <v>1408</v>
      </c>
      <c r="R10" s="4901">
        <v>0</v>
      </c>
      <c r="S10" s="4893">
        <v>12690</v>
      </c>
      <c r="T10" s="4893">
        <v>19568</v>
      </c>
      <c r="U10" s="4893">
        <v>19174</v>
      </c>
      <c r="V10" s="2638">
        <f t="shared" ref="V10:V16" si="3">SUM(R10:U10)</f>
        <v>51432</v>
      </c>
      <c r="W10" s="2639">
        <v>0</v>
      </c>
      <c r="X10" s="2640">
        <v>0</v>
      </c>
      <c r="Y10" s="2640">
        <v>0</v>
      </c>
      <c r="Z10" s="2640">
        <v>0</v>
      </c>
      <c r="AA10" s="2641">
        <v>0</v>
      </c>
      <c r="AB10" s="2639">
        <v>0</v>
      </c>
      <c r="AC10" s="2640">
        <v>0</v>
      </c>
      <c r="AD10" s="2640">
        <v>0</v>
      </c>
      <c r="AE10" s="2640">
        <v>0</v>
      </c>
      <c r="AF10" s="2673">
        <v>0</v>
      </c>
      <c r="AG10" s="2639">
        <v>0</v>
      </c>
      <c r="AH10" s="2640">
        <v>0</v>
      </c>
      <c r="AI10" s="2640">
        <v>0</v>
      </c>
      <c r="AJ10" s="2642">
        <v>0</v>
      </c>
      <c r="AK10" s="2643">
        <v>0</v>
      </c>
      <c r="AL10" s="34"/>
      <c r="AM10" s="34"/>
      <c r="AN10" s="34"/>
    </row>
    <row r="11" spans="1:42" s="9" customFormat="1" x14ac:dyDescent="0.25">
      <c r="A11" s="25" t="s">
        <v>225</v>
      </c>
      <c r="B11" s="1" t="s">
        <v>27</v>
      </c>
      <c r="C11" s="2644">
        <f>SUM(C5,C10)</f>
        <v>718885</v>
      </c>
      <c r="D11" s="2658">
        <f t="shared" ref="D11:M11" si="4">SUM(D5,D10)</f>
        <v>466609</v>
      </c>
      <c r="E11" s="2658">
        <f t="shared" si="4"/>
        <v>499133</v>
      </c>
      <c r="F11" s="2658">
        <f t="shared" si="4"/>
        <v>531151</v>
      </c>
      <c r="G11" s="2638">
        <f>SUM(C11:F11)</f>
        <v>2215778</v>
      </c>
      <c r="H11" s="2644">
        <f>SUM(H5,H10)</f>
        <v>684463.55</v>
      </c>
      <c r="I11" s="2658">
        <f t="shared" si="4"/>
        <v>465322.03</v>
      </c>
      <c r="J11" s="2658">
        <f t="shared" si="4"/>
        <v>470859.23999999993</v>
      </c>
      <c r="K11" s="2658">
        <f t="shared" si="4"/>
        <v>231924.62</v>
      </c>
      <c r="L11" s="2638">
        <f>SUM(H11:K11)</f>
        <v>1852569.44</v>
      </c>
      <c r="M11" s="2644">
        <f t="shared" si="4"/>
        <v>204227</v>
      </c>
      <c r="N11" s="2658">
        <f>SUM(N5,N10)</f>
        <v>168296</v>
      </c>
      <c r="O11" s="2658">
        <f>SUM(O5,O10)</f>
        <v>132481</v>
      </c>
      <c r="P11" s="2658">
        <f>SUM(P5,P10)</f>
        <v>119023</v>
      </c>
      <c r="Q11" s="2648">
        <f t="shared" si="2"/>
        <v>624027</v>
      </c>
      <c r="R11" s="2644">
        <f>SUM(R5,R10)</f>
        <v>1492007</v>
      </c>
      <c r="S11" s="2658">
        <f>SUM(S5,S10)</f>
        <v>1406343</v>
      </c>
      <c r="T11" s="2658">
        <f>SUM(T5,T10)</f>
        <v>1395534</v>
      </c>
      <c r="U11" s="2658">
        <f>SUM(U5,U10)</f>
        <v>160737</v>
      </c>
      <c r="V11" s="2638">
        <f t="shared" si="3"/>
        <v>4454621</v>
      </c>
      <c r="W11" s="2644">
        <f>SUM(W5,W10)</f>
        <v>19070.933944669585</v>
      </c>
      <c r="X11" s="2658">
        <f>SUM(X5,X10)</f>
        <v>19072.247188707694</v>
      </c>
      <c r="Y11" s="2658">
        <f>SUM(Y5,Y10)</f>
        <v>16680.015508308694</v>
      </c>
      <c r="Z11" s="2658">
        <f>bryanstonLondon!Z9</f>
        <v>8204.31371525328</v>
      </c>
      <c r="AA11" s="2668">
        <f t="shared" ref="AA11:AA16" si="5">SUM(W11:Z11)</f>
        <v>63027.510356939252</v>
      </c>
      <c r="AB11" s="2644">
        <f>SUM(AB5,AB10)</f>
        <v>0</v>
      </c>
      <c r="AC11" s="2658">
        <f>SUM(AC5,AC10)</f>
        <v>0</v>
      </c>
      <c r="AD11" s="2658">
        <f>SUM(AD5,AD10)</f>
        <v>0</v>
      </c>
      <c r="AE11" s="2658">
        <f>SUM(AE5,AE10)</f>
        <v>0</v>
      </c>
      <c r="AF11" s="2668">
        <f t="shared" ref="AF11:AF16" si="6">SUM(AB11:AE11)</f>
        <v>0</v>
      </c>
      <c r="AG11" s="2644">
        <f>W11+AB11</f>
        <v>19070.933944669585</v>
      </c>
      <c r="AH11" s="2658">
        <f>X11+AC11</f>
        <v>19072.247188707694</v>
      </c>
      <c r="AI11" s="2658">
        <f>Y11+AD11</f>
        <v>16680.015508308694</v>
      </c>
      <c r="AJ11" s="2658">
        <f>Z11+AE11</f>
        <v>8204.31371525328</v>
      </c>
      <c r="AK11" s="2668">
        <f>AA11+AF11</f>
        <v>63027.510356939252</v>
      </c>
      <c r="AL11" s="34"/>
      <c r="AM11" s="34"/>
      <c r="AN11" s="34"/>
    </row>
    <row r="12" spans="1:42" x14ac:dyDescent="0.25">
      <c r="A12" s="25" t="s">
        <v>30</v>
      </c>
      <c r="B12" s="1" t="s">
        <v>29</v>
      </c>
      <c r="C12" s="191">
        <v>2130</v>
      </c>
      <c r="D12" s="95">
        <v>5610</v>
      </c>
      <c r="E12" s="95">
        <v>18120</v>
      </c>
      <c r="F12" s="95">
        <v>560</v>
      </c>
      <c r="G12" s="2638">
        <f>SUM(C12:F12)</f>
        <v>26420</v>
      </c>
      <c r="H12" s="824">
        <v>2.76</v>
      </c>
      <c r="I12" s="95">
        <v>2.76</v>
      </c>
      <c r="J12" s="95">
        <v>2.76</v>
      </c>
      <c r="K12" s="95">
        <v>2.76</v>
      </c>
      <c r="L12" s="2665">
        <f>SUM(H12:K12)</f>
        <v>11.04</v>
      </c>
      <c r="M12" s="824">
        <v>0</v>
      </c>
      <c r="N12" s="95">
        <v>0</v>
      </c>
      <c r="O12" s="3531">
        <v>0</v>
      </c>
      <c r="P12" s="95">
        <v>0</v>
      </c>
      <c r="Q12" s="2648">
        <f t="shared" si="2"/>
        <v>0</v>
      </c>
      <c r="R12" s="824">
        <v>33688</v>
      </c>
      <c r="S12" s="95">
        <v>44337</v>
      </c>
      <c r="T12" s="95">
        <v>83920</v>
      </c>
      <c r="U12" s="95">
        <v>19920</v>
      </c>
      <c r="V12" s="2638">
        <f t="shared" si="3"/>
        <v>181865</v>
      </c>
      <c r="W12" s="2639">
        <v>0</v>
      </c>
      <c r="X12" s="2640">
        <v>0</v>
      </c>
      <c r="Y12" s="2640">
        <v>0</v>
      </c>
      <c r="Z12" s="2640">
        <v>0</v>
      </c>
      <c r="AA12" s="2669">
        <f t="shared" si="5"/>
        <v>0</v>
      </c>
      <c r="AB12" s="2639">
        <v>0</v>
      </c>
      <c r="AC12" s="2640">
        <v>0</v>
      </c>
      <c r="AD12" s="2640">
        <v>0</v>
      </c>
      <c r="AE12" s="2640">
        <v>0</v>
      </c>
      <c r="AF12" s="2669">
        <f t="shared" si="6"/>
        <v>0</v>
      </c>
      <c r="AG12" s="2639">
        <f>SUM(W12,AB12)</f>
        <v>0</v>
      </c>
      <c r="AH12" s="2640">
        <f t="shared" ref="AH12:AI16" si="7">X12+AC12</f>
        <v>0</v>
      </c>
      <c r="AI12" s="2640">
        <f t="shared" si="7"/>
        <v>0</v>
      </c>
      <c r="AJ12" s="2642">
        <f t="shared" ref="AJ12:AK16" si="8">Z12+AE12</f>
        <v>0</v>
      </c>
      <c r="AK12" s="2643">
        <f t="shared" si="8"/>
        <v>0</v>
      </c>
      <c r="AL12" s="52"/>
      <c r="AM12" s="52"/>
      <c r="AN12" s="52"/>
    </row>
    <row r="13" spans="1:42" s="116" customFormat="1" ht="15" customHeight="1" x14ac:dyDescent="0.25">
      <c r="A13" s="103" t="s">
        <v>28</v>
      </c>
      <c r="B13" s="39" t="s">
        <v>29</v>
      </c>
      <c r="C13" s="4891">
        <v>57529784.409999996</v>
      </c>
      <c r="D13" s="4892">
        <v>56050478.840000004</v>
      </c>
      <c r="E13" s="4893">
        <v>49501312.68</v>
      </c>
      <c r="F13" s="4893">
        <v>37545945.810000002</v>
      </c>
      <c r="G13" s="2638">
        <f>SUM(C13:F13)</f>
        <v>200627521.74000001</v>
      </c>
      <c r="H13" s="191">
        <v>47586094.873006001</v>
      </c>
      <c r="I13" s="2645">
        <v>43890252.6307</v>
      </c>
      <c r="J13" s="95">
        <v>40782626.351999998</v>
      </c>
      <c r="K13" s="95">
        <v>34778796.318399996</v>
      </c>
      <c r="L13" s="2665">
        <f>SUM(H13:K13)</f>
        <v>167037770.174106</v>
      </c>
      <c r="M13" s="181">
        <v>12855018.720000001</v>
      </c>
      <c r="N13" s="150">
        <v>12512028.640000001</v>
      </c>
      <c r="O13" s="150">
        <v>10679676.960000001</v>
      </c>
      <c r="P13" s="150">
        <v>7637536.0799999991</v>
      </c>
      <c r="Q13" s="2648">
        <f t="shared" si="2"/>
        <v>43684260.399999999</v>
      </c>
      <c r="R13" s="824">
        <v>13458876</v>
      </c>
      <c r="S13" s="95">
        <v>13501825</v>
      </c>
      <c r="T13" s="95">
        <v>13855653</v>
      </c>
      <c r="U13" s="95">
        <v>3879371.54399997</v>
      </c>
      <c r="V13" s="2638">
        <f t="shared" si="3"/>
        <v>44695725.54399997</v>
      </c>
      <c r="W13" s="181">
        <f>bryanstonLondon!N4</f>
        <v>80269</v>
      </c>
      <c r="X13" s="150">
        <f>bryanstonLondon!R4</f>
        <v>82862</v>
      </c>
      <c r="Y13" s="150">
        <f>bryanstonLondon!V4</f>
        <v>89937</v>
      </c>
      <c r="Z13" s="150">
        <f>bryanstonLondon!Z4</f>
        <v>78991</v>
      </c>
      <c r="AA13" s="2668">
        <f t="shared" si="5"/>
        <v>332059</v>
      </c>
      <c r="AB13" s="181">
        <v>7306</v>
      </c>
      <c r="AC13" s="150">
        <v>6700</v>
      </c>
      <c r="AD13" s="150">
        <f>(AB13+AC13)/2</f>
        <v>7003</v>
      </c>
      <c r="AE13" s="150">
        <v>7003</v>
      </c>
      <c r="AF13" s="2668">
        <f t="shared" si="6"/>
        <v>28012</v>
      </c>
      <c r="AG13" s="181">
        <f>W13+AB13</f>
        <v>87575</v>
      </c>
      <c r="AH13" s="150">
        <f t="shared" si="7"/>
        <v>89562</v>
      </c>
      <c r="AI13" s="150">
        <f t="shared" si="7"/>
        <v>96940</v>
      </c>
      <c r="AJ13" s="95">
        <f t="shared" si="8"/>
        <v>85994</v>
      </c>
      <c r="AK13" s="2558">
        <f t="shared" si="8"/>
        <v>360071</v>
      </c>
      <c r="AL13" s="52"/>
      <c r="AM13" s="52"/>
      <c r="AN13" s="52"/>
    </row>
    <row r="14" spans="1:42" s="9" customFormat="1" x14ac:dyDescent="0.25">
      <c r="A14" s="25" t="s">
        <v>226</v>
      </c>
      <c r="B14" s="1" t="s">
        <v>29</v>
      </c>
      <c r="C14" s="2646">
        <f t="shared" ref="C14:M14" si="9">SUM(C12:C13)</f>
        <v>57531914.409999996</v>
      </c>
      <c r="D14" s="2647">
        <f t="shared" si="9"/>
        <v>56056088.840000004</v>
      </c>
      <c r="E14" s="2647">
        <f t="shared" si="9"/>
        <v>49519432.68</v>
      </c>
      <c r="F14" s="2647">
        <f t="shared" si="9"/>
        <v>37546505.810000002</v>
      </c>
      <c r="G14" s="2648">
        <f t="shared" si="9"/>
        <v>200653941.74000001</v>
      </c>
      <c r="H14" s="2646">
        <f t="shared" si="9"/>
        <v>47586097.633005999</v>
      </c>
      <c r="I14" s="2647">
        <f t="shared" si="9"/>
        <v>43890255.390699998</v>
      </c>
      <c r="J14" s="2647">
        <f t="shared" si="9"/>
        <v>40782629.111999996</v>
      </c>
      <c r="K14" s="2647">
        <f t="shared" si="9"/>
        <v>34778799.078399993</v>
      </c>
      <c r="L14" s="2648">
        <f t="shared" si="9"/>
        <v>167037781.21410599</v>
      </c>
      <c r="M14" s="2646">
        <f t="shared" si="9"/>
        <v>12855018.720000001</v>
      </c>
      <c r="N14" s="2647">
        <f>SUM(N12:N13)</f>
        <v>12512028.640000001</v>
      </c>
      <c r="O14" s="2647">
        <f>SUM(O12:O13)</f>
        <v>10679676.960000001</v>
      </c>
      <c r="P14" s="2647">
        <f>SUM(P12:P13)</f>
        <v>7637536.0799999991</v>
      </c>
      <c r="Q14" s="2648">
        <f t="shared" si="2"/>
        <v>43684260.399999999</v>
      </c>
      <c r="R14" s="2655">
        <f t="shared" ref="R14:W14" si="10">SUM(R12:R13)</f>
        <v>13492564</v>
      </c>
      <c r="S14" s="1757">
        <f t="shared" si="10"/>
        <v>13546162</v>
      </c>
      <c r="T14" s="1757">
        <f t="shared" si="10"/>
        <v>13939573</v>
      </c>
      <c r="U14" s="1757">
        <f t="shared" si="10"/>
        <v>3899291.54399997</v>
      </c>
      <c r="V14" s="2638">
        <f t="shared" si="3"/>
        <v>44877590.54399997</v>
      </c>
      <c r="W14" s="2649">
        <f t="shared" si="10"/>
        <v>80269</v>
      </c>
      <c r="X14" s="2661">
        <f>SUM(X12:X13)</f>
        <v>82862</v>
      </c>
      <c r="Y14" s="2661">
        <f>SUM(Y12:Y13)</f>
        <v>89937</v>
      </c>
      <c r="Z14" s="2661">
        <f>SUM(Z12:Z13)</f>
        <v>78991</v>
      </c>
      <c r="AA14" s="2650">
        <f t="shared" si="5"/>
        <v>332059</v>
      </c>
      <c r="AB14" s="2649">
        <f>SUM(AB12:AB13)</f>
        <v>7306</v>
      </c>
      <c r="AC14" s="2661">
        <f>SUM(AC12:AC13)</f>
        <v>6700</v>
      </c>
      <c r="AD14" s="2661">
        <f>SUM(AD12:AD13)</f>
        <v>7003</v>
      </c>
      <c r="AE14" s="2661">
        <f>SUM(AE12:AE13)</f>
        <v>7003</v>
      </c>
      <c r="AF14" s="2650">
        <f t="shared" si="6"/>
        <v>28012</v>
      </c>
      <c r="AG14" s="2651">
        <f>W14+AB14</f>
        <v>87575</v>
      </c>
      <c r="AH14" s="2652">
        <f t="shared" si="7"/>
        <v>89562</v>
      </c>
      <c r="AI14" s="2652">
        <f t="shared" si="7"/>
        <v>96940</v>
      </c>
      <c r="AJ14" s="1757">
        <f t="shared" si="8"/>
        <v>85994</v>
      </c>
      <c r="AK14" s="2653">
        <f>AA14+AF14</f>
        <v>360071</v>
      </c>
      <c r="AL14" s="136"/>
      <c r="AM14" s="136"/>
      <c r="AN14" s="52"/>
    </row>
    <row r="15" spans="1:42" x14ac:dyDescent="0.25">
      <c r="A15" s="25" t="s">
        <v>35</v>
      </c>
      <c r="B15" s="1" t="s">
        <v>27</v>
      </c>
      <c r="C15" s="824">
        <v>3605</v>
      </c>
      <c r="D15" s="95">
        <v>4400</v>
      </c>
      <c r="E15" s="95">
        <v>4114.5</v>
      </c>
      <c r="F15" s="95">
        <v>2190.5</v>
      </c>
      <c r="G15" s="2638">
        <f>SUM(C15:F15)</f>
        <v>14310</v>
      </c>
      <c r="H15" s="191">
        <v>6985.6</v>
      </c>
      <c r="I15" s="95">
        <v>6671.0299999999988</v>
      </c>
      <c r="J15" s="95">
        <v>5420.16</v>
      </c>
      <c r="K15" s="95">
        <v>3044.66</v>
      </c>
      <c r="L15" s="2638">
        <f>SUM(H15:K15)</f>
        <v>22121.45</v>
      </c>
      <c r="M15" s="824">
        <v>718.96</v>
      </c>
      <c r="N15" s="4893">
        <v>833.43</v>
      </c>
      <c r="O15" s="95">
        <v>373.56</v>
      </c>
      <c r="P15" s="95">
        <v>224.27</v>
      </c>
      <c r="Q15" s="2648">
        <f t="shared" si="2"/>
        <v>2150.2199999999998</v>
      </c>
      <c r="R15" s="824">
        <v>4294</v>
      </c>
      <c r="S15" s="95">
        <v>3953</v>
      </c>
      <c r="T15" s="95">
        <v>4068</v>
      </c>
      <c r="U15" s="95">
        <v>3748.29</v>
      </c>
      <c r="V15" s="2638">
        <f t="shared" si="3"/>
        <v>16063.29</v>
      </c>
      <c r="W15" s="181">
        <f>bryanstonLondon!N8</f>
        <v>3241.8436967444882</v>
      </c>
      <c r="X15" s="150">
        <f>bryanstonLondon!R8</f>
        <v>2621.7645238781051</v>
      </c>
      <c r="Y15" s="150">
        <f>bryanstonLondon!V8</f>
        <v>2128.3877437076571</v>
      </c>
      <c r="Z15" s="150">
        <f>bryanstonLondon!Z8</f>
        <v>2058.7783617992213</v>
      </c>
      <c r="AA15" s="2632">
        <f t="shared" si="5"/>
        <v>10050.774326129471</v>
      </c>
      <c r="AB15" s="181">
        <v>0</v>
      </c>
      <c r="AC15" s="150">
        <v>0</v>
      </c>
      <c r="AD15" s="150">
        <v>0</v>
      </c>
      <c r="AE15" s="150">
        <v>0</v>
      </c>
      <c r="AF15" s="2674">
        <f t="shared" si="6"/>
        <v>0</v>
      </c>
      <c r="AG15" s="181">
        <f>W15+AB15</f>
        <v>3241.8436967444882</v>
      </c>
      <c r="AH15" s="150">
        <f t="shared" si="7"/>
        <v>2621.7645238781051</v>
      </c>
      <c r="AI15" s="150">
        <f t="shared" si="7"/>
        <v>2128.3877437076571</v>
      </c>
      <c r="AJ15" s="95">
        <f t="shared" si="8"/>
        <v>2058.7783617992213</v>
      </c>
      <c r="AK15" s="2558">
        <f>AA15+AF15</f>
        <v>10050.774326129471</v>
      </c>
      <c r="AL15" s="52"/>
      <c r="AM15" s="52"/>
      <c r="AN15" s="52"/>
    </row>
    <row r="16" spans="1:42" s="9" customFormat="1" x14ac:dyDescent="0.25">
      <c r="A16" s="25" t="s">
        <v>31</v>
      </c>
      <c r="B16" s="39" t="s">
        <v>32</v>
      </c>
      <c r="C16" s="824">
        <v>96</v>
      </c>
      <c r="D16" s="95">
        <v>0</v>
      </c>
      <c r="E16" s="95">
        <v>0</v>
      </c>
      <c r="F16" s="95">
        <v>0</v>
      </c>
      <c r="G16" s="2638">
        <f>SUM(C16:F16)</f>
        <v>96</v>
      </c>
      <c r="H16" s="191">
        <v>96</v>
      </c>
      <c r="I16" s="95">
        <v>0</v>
      </c>
      <c r="J16" s="95">
        <v>0</v>
      </c>
      <c r="K16" s="95">
        <v>144</v>
      </c>
      <c r="L16" s="2638">
        <f>SUM(H16:K16)</f>
        <v>240</v>
      </c>
      <c r="M16" s="824">
        <v>0</v>
      </c>
      <c r="N16" s="95">
        <v>0</v>
      </c>
      <c r="O16" s="95">
        <v>48</v>
      </c>
      <c r="P16" s="95">
        <v>0</v>
      </c>
      <c r="Q16" s="2648">
        <f t="shared" si="2"/>
        <v>48</v>
      </c>
      <c r="R16" s="824">
        <v>45</v>
      </c>
      <c r="S16" s="95">
        <v>120</v>
      </c>
      <c r="T16" s="4893">
        <v>90</v>
      </c>
      <c r="U16" s="95">
        <v>75</v>
      </c>
      <c r="V16" s="2638">
        <f t="shared" si="3"/>
        <v>330</v>
      </c>
      <c r="W16" s="181">
        <v>0</v>
      </c>
      <c r="X16" s="150">
        <v>0</v>
      </c>
      <c r="Y16" s="150">
        <v>0</v>
      </c>
      <c r="Z16" s="150">
        <v>0</v>
      </c>
      <c r="AA16" s="2632">
        <f t="shared" si="5"/>
        <v>0</v>
      </c>
      <c r="AB16" s="181">
        <v>0</v>
      </c>
      <c r="AC16" s="150">
        <v>0</v>
      </c>
      <c r="AD16" s="150">
        <v>0</v>
      </c>
      <c r="AE16" s="150">
        <v>0</v>
      </c>
      <c r="AF16" s="2674">
        <f t="shared" si="6"/>
        <v>0</v>
      </c>
      <c r="AG16" s="181">
        <f>W16+AB16</f>
        <v>0</v>
      </c>
      <c r="AH16" s="150">
        <f t="shared" si="7"/>
        <v>0</v>
      </c>
      <c r="AI16" s="150">
        <f t="shared" si="7"/>
        <v>0</v>
      </c>
      <c r="AJ16" s="95">
        <f t="shared" si="8"/>
        <v>0</v>
      </c>
      <c r="AK16" s="2558">
        <f>AA16+AF16</f>
        <v>0</v>
      </c>
      <c r="AL16" s="52"/>
      <c r="AM16" s="52"/>
      <c r="AN16" s="52"/>
    </row>
    <row r="17" spans="1:230" s="184" customFormat="1" x14ac:dyDescent="0.25">
      <c r="A17" s="187" t="s">
        <v>34</v>
      </c>
      <c r="B17" s="186" t="s">
        <v>107</v>
      </c>
      <c r="C17" s="1755">
        <f>Production!C7</f>
        <v>1273287.6723840002</v>
      </c>
      <c r="D17" s="1756">
        <f>Production!D7</f>
        <v>1139021.52</v>
      </c>
      <c r="E17" s="1756">
        <f>Production!E7</f>
        <v>1054064</v>
      </c>
      <c r="F17" s="1756">
        <f>Production!F7</f>
        <v>763857.49151100009</v>
      </c>
      <c r="G17" s="2638">
        <f>Production!G7</f>
        <v>4230230.6838950003</v>
      </c>
      <c r="H17" s="1755">
        <f>Production!H7</f>
        <v>902158.1180960699</v>
      </c>
      <c r="I17" s="1756">
        <f>Production!I7</f>
        <v>806266</v>
      </c>
      <c r="J17" s="1756">
        <f>Production!J7</f>
        <v>762062</v>
      </c>
      <c r="K17" s="1756">
        <f>Production!K7</f>
        <v>460443</v>
      </c>
      <c r="L17" s="2638">
        <f>Production!L7</f>
        <v>2930929.1180960699</v>
      </c>
      <c r="M17" s="1755">
        <f>Production!M7</f>
        <v>314302</v>
      </c>
      <c r="N17" s="1756">
        <f>Production!N7</f>
        <v>246994</v>
      </c>
      <c r="O17" s="1756">
        <f>Production!O7</f>
        <v>236350</v>
      </c>
      <c r="P17" s="1756">
        <f>Production!P7</f>
        <v>94059</v>
      </c>
      <c r="Q17" s="2638">
        <f>Production!Q7</f>
        <v>891705</v>
      </c>
      <c r="R17" s="1755">
        <f>Production!R7</f>
        <v>1418323.5</v>
      </c>
      <c r="S17" s="1756">
        <f>Production!S7</f>
        <v>1435280</v>
      </c>
      <c r="T17" s="1756">
        <f>Production!T7</f>
        <v>1320231</v>
      </c>
      <c r="U17" s="1756">
        <f>Production!U7</f>
        <v>109170</v>
      </c>
      <c r="V17" s="2638">
        <f>Production!V7</f>
        <v>4283004.5</v>
      </c>
      <c r="W17" s="2651">
        <f>Production!C16</f>
        <v>3908071.2904800698</v>
      </c>
      <c r="X17" s="2652">
        <f>Production!D16</f>
        <v>3627561.52</v>
      </c>
      <c r="Y17" s="2652">
        <f>Production!E16</f>
        <v>3372707</v>
      </c>
      <c r="Z17" s="2652">
        <f>Production!F16</f>
        <v>1427529.4915110001</v>
      </c>
      <c r="AA17" s="2654">
        <f>Production!G16</f>
        <v>12335870</v>
      </c>
      <c r="AB17" s="2651">
        <f>Production!C16</f>
        <v>3908071.2904800698</v>
      </c>
      <c r="AC17" s="2652">
        <f>Production!D16</f>
        <v>3627561.52</v>
      </c>
      <c r="AD17" s="2652">
        <f>Production!E16</f>
        <v>3372707</v>
      </c>
      <c r="AE17" s="2652">
        <f>Production!F16</f>
        <v>1427529.4915110001</v>
      </c>
      <c r="AF17" s="2654">
        <f>Production!G16</f>
        <v>12335870</v>
      </c>
      <c r="AG17" s="2651">
        <f>Production!C16</f>
        <v>3908071.2904800698</v>
      </c>
      <c r="AH17" s="2652">
        <f>Production!D16</f>
        <v>3627561.52</v>
      </c>
      <c r="AI17" s="2652">
        <f>Production!E16</f>
        <v>3372707</v>
      </c>
      <c r="AJ17" s="1757">
        <f>Production!F16</f>
        <v>1427529.4915110001</v>
      </c>
      <c r="AK17" s="2653">
        <f>Production!G16</f>
        <v>12335870</v>
      </c>
      <c r="AL17" s="34"/>
      <c r="AM17" s="34"/>
      <c r="AN17" s="34"/>
      <c r="AO17" s="116"/>
      <c r="AP17" s="116"/>
      <c r="AQ17" s="116"/>
      <c r="AR17" s="116"/>
      <c r="AS17" s="116"/>
      <c r="AT17" s="116"/>
      <c r="AU17" s="116"/>
      <c r="AV17" s="116"/>
      <c r="AW17" s="116"/>
      <c r="AX17" s="116"/>
      <c r="AY17" s="116"/>
      <c r="AZ17" s="116"/>
      <c r="BA17" s="116"/>
      <c r="BB17" s="116"/>
      <c r="BC17" s="116"/>
      <c r="BD17" s="116"/>
      <c r="BE17" s="116"/>
      <c r="BF17" s="116"/>
      <c r="BG17" s="116"/>
      <c r="BH17" s="116"/>
      <c r="BI17" s="116"/>
      <c r="BJ17" s="116"/>
      <c r="BK17" s="116"/>
      <c r="BL17" s="116"/>
      <c r="BM17" s="116"/>
      <c r="BN17" s="116"/>
      <c r="BO17" s="116"/>
      <c r="BP17" s="116"/>
      <c r="BQ17" s="116"/>
      <c r="BR17" s="116"/>
      <c r="BS17" s="116"/>
      <c r="BT17" s="116"/>
      <c r="BU17" s="116"/>
      <c r="BV17" s="116"/>
      <c r="BW17" s="116"/>
      <c r="BX17" s="116"/>
      <c r="BY17" s="116"/>
      <c r="BZ17" s="116"/>
      <c r="CA17" s="116"/>
      <c r="CB17" s="116"/>
      <c r="CC17" s="116"/>
      <c r="CD17" s="116"/>
      <c r="CE17" s="116"/>
      <c r="CF17" s="116"/>
      <c r="CG17" s="116"/>
      <c r="CH17" s="116"/>
      <c r="CI17" s="116"/>
      <c r="CJ17" s="116"/>
      <c r="CK17" s="116"/>
      <c r="CL17" s="116"/>
      <c r="CM17" s="116"/>
      <c r="CN17" s="116"/>
      <c r="CO17" s="116"/>
      <c r="CP17" s="116"/>
      <c r="CQ17" s="116"/>
      <c r="CR17" s="116"/>
      <c r="CS17" s="116"/>
      <c r="CT17" s="116"/>
      <c r="CU17" s="116"/>
      <c r="CV17" s="116"/>
      <c r="CW17" s="116"/>
      <c r="CX17" s="116"/>
      <c r="CY17" s="116"/>
      <c r="CZ17" s="116"/>
      <c r="DA17" s="116"/>
      <c r="DB17" s="116"/>
      <c r="DC17" s="116"/>
      <c r="DD17" s="116"/>
      <c r="DE17" s="116"/>
      <c r="DF17" s="116"/>
      <c r="DG17" s="116"/>
      <c r="DH17" s="116"/>
      <c r="DI17" s="116"/>
      <c r="DJ17" s="116"/>
      <c r="DK17" s="116"/>
      <c r="DL17" s="116"/>
      <c r="DM17" s="116"/>
      <c r="DN17" s="116"/>
      <c r="DO17" s="116"/>
      <c r="DP17" s="116"/>
      <c r="DQ17" s="116"/>
      <c r="DR17" s="116"/>
      <c r="DS17" s="116"/>
      <c r="DT17" s="116"/>
      <c r="DU17" s="116"/>
      <c r="DV17" s="116"/>
      <c r="DW17" s="116"/>
      <c r="DX17" s="116"/>
      <c r="DY17" s="116"/>
      <c r="DZ17" s="116"/>
      <c r="EA17" s="116"/>
      <c r="EB17" s="116"/>
      <c r="EC17" s="116"/>
      <c r="ED17" s="116"/>
      <c r="EE17" s="116"/>
      <c r="EF17" s="116"/>
      <c r="EG17" s="116"/>
      <c r="EH17" s="116"/>
      <c r="EI17" s="116"/>
      <c r="EJ17" s="116"/>
      <c r="EK17" s="116"/>
      <c r="EL17" s="116"/>
      <c r="EM17" s="116"/>
      <c r="EN17" s="116"/>
      <c r="EO17" s="116"/>
      <c r="EP17" s="116"/>
      <c r="EQ17" s="116"/>
      <c r="ER17" s="116"/>
      <c r="ES17" s="116"/>
      <c r="ET17" s="116"/>
      <c r="EU17" s="116"/>
      <c r="EV17" s="116"/>
      <c r="EW17" s="116"/>
      <c r="EX17" s="116"/>
      <c r="EY17" s="116"/>
      <c r="EZ17" s="116"/>
      <c r="FA17" s="116"/>
      <c r="FB17" s="116"/>
      <c r="FC17" s="116"/>
      <c r="FD17" s="116"/>
      <c r="FE17" s="116"/>
      <c r="FF17" s="116"/>
      <c r="FG17" s="116"/>
      <c r="FH17" s="116"/>
      <c r="FI17" s="116"/>
      <c r="FJ17" s="116"/>
      <c r="FK17" s="116"/>
      <c r="FL17" s="116"/>
      <c r="FM17" s="116"/>
      <c r="FN17" s="116"/>
      <c r="FO17" s="116"/>
      <c r="FP17" s="116"/>
      <c r="FQ17" s="116"/>
      <c r="FR17" s="116"/>
      <c r="FS17" s="116"/>
      <c r="FT17" s="116"/>
      <c r="FU17" s="116"/>
      <c r="FV17" s="116"/>
      <c r="FW17" s="116"/>
      <c r="FX17" s="116"/>
      <c r="FY17" s="116"/>
      <c r="FZ17" s="116"/>
      <c r="GA17" s="116"/>
      <c r="GB17" s="116"/>
      <c r="GC17" s="116"/>
      <c r="GD17" s="116"/>
      <c r="GE17" s="116"/>
      <c r="GF17" s="116"/>
      <c r="GG17" s="116"/>
      <c r="GH17" s="116"/>
      <c r="GI17" s="116"/>
      <c r="GJ17" s="116"/>
      <c r="GK17" s="116"/>
      <c r="GL17" s="116"/>
      <c r="GM17" s="116"/>
      <c r="GN17" s="116"/>
      <c r="GO17" s="116"/>
      <c r="GP17" s="116"/>
      <c r="GQ17" s="116"/>
      <c r="GR17" s="116"/>
      <c r="GS17" s="116"/>
      <c r="GT17" s="116"/>
      <c r="GU17" s="116"/>
      <c r="GV17" s="116"/>
      <c r="GW17" s="116"/>
      <c r="GX17" s="116"/>
      <c r="GY17" s="116"/>
      <c r="GZ17" s="116"/>
      <c r="HA17" s="116"/>
      <c r="HB17" s="116"/>
      <c r="HC17" s="116"/>
      <c r="HD17" s="116"/>
      <c r="HE17" s="116"/>
      <c r="HF17" s="116"/>
      <c r="HG17" s="116"/>
      <c r="HH17" s="116"/>
      <c r="HI17" s="116"/>
      <c r="HJ17" s="116"/>
      <c r="HK17" s="116"/>
      <c r="HL17" s="116"/>
      <c r="HM17" s="116"/>
      <c r="HN17" s="116"/>
      <c r="HO17" s="116"/>
      <c r="HP17" s="116"/>
      <c r="HQ17" s="116"/>
      <c r="HR17" s="116"/>
      <c r="HS17" s="116"/>
      <c r="HT17" s="116"/>
      <c r="HU17" s="116"/>
      <c r="HV17" s="116"/>
    </row>
    <row r="18" spans="1:230" ht="15.75" thickBot="1" x14ac:dyDescent="0.3">
      <c r="A18" s="26" t="s">
        <v>227</v>
      </c>
      <c r="B18" s="45" t="s">
        <v>228</v>
      </c>
      <c r="C18" s="2655">
        <f>IF(ISERROR((C12+C13)/C17),0,((C12+C13)/C17))</f>
        <v>45.183751997128759</v>
      </c>
      <c r="D18" s="1757">
        <f t="shared" ref="D18:AK18" si="11">IF(ISERROR((D12+D13)/D17),0,((D12+D13)/D17))</f>
        <v>49.214249121474019</v>
      </c>
      <c r="E18" s="1757">
        <f t="shared" si="11"/>
        <v>46.979531299807221</v>
      </c>
      <c r="F18" s="1757">
        <f t="shared" si="11"/>
        <v>49.153809744967731</v>
      </c>
      <c r="G18" s="2653">
        <f t="shared" si="11"/>
        <v>47.433333246792856</v>
      </c>
      <c r="H18" s="2655">
        <f t="shared" si="11"/>
        <v>52.746959405999164</v>
      </c>
      <c r="I18" s="1757">
        <f t="shared" si="11"/>
        <v>54.436445776827995</v>
      </c>
      <c r="J18" s="1757">
        <f t="shared" si="11"/>
        <v>53.516156312740954</v>
      </c>
      <c r="K18" s="1757">
        <f t="shared" si="11"/>
        <v>75.533343059618659</v>
      </c>
      <c r="L18" s="3643">
        <f t="shared" si="11"/>
        <v>56.991409373493703</v>
      </c>
      <c r="M18" s="2655">
        <f t="shared" si="11"/>
        <v>40.900212916239795</v>
      </c>
      <c r="N18" s="1757">
        <f t="shared" si="11"/>
        <v>50.657216936443803</v>
      </c>
      <c r="O18" s="1757">
        <f t="shared" si="11"/>
        <v>45.185855553204995</v>
      </c>
      <c r="P18" s="1757">
        <f t="shared" si="11"/>
        <v>81.199418237489226</v>
      </c>
      <c r="Q18" s="3520">
        <f t="shared" si="11"/>
        <v>48.989587812112745</v>
      </c>
      <c r="R18" s="2655">
        <f t="shared" si="11"/>
        <v>9.5130370469078454</v>
      </c>
      <c r="S18" s="1757">
        <f t="shared" si="11"/>
        <v>9.4379925868123298</v>
      </c>
      <c r="T18" s="1757">
        <f t="shared" si="11"/>
        <v>10.558434849658886</v>
      </c>
      <c r="U18" s="1757">
        <f t="shared" si="11"/>
        <v>35.717610552349271</v>
      </c>
      <c r="V18" s="2653">
        <f>IF(ISERROR((V12+V13)/V17),0,((V12+V13)/V17))</f>
        <v>10.478062898136104</v>
      </c>
      <c r="W18" s="2655">
        <f t="shared" si="11"/>
        <v>2.0539287549726275E-2</v>
      </c>
      <c r="X18" s="1757">
        <f t="shared" si="11"/>
        <v>2.2842341761305264E-2</v>
      </c>
      <c r="Y18" s="1757">
        <f t="shared" si="11"/>
        <v>2.6666117157523615E-2</v>
      </c>
      <c r="Z18" s="1757">
        <f t="shared" si="11"/>
        <v>5.5334058224177377E-2</v>
      </c>
      <c r="AA18" s="2653">
        <f t="shared" si="11"/>
        <v>2.6918166290662921E-2</v>
      </c>
      <c r="AB18" s="2655">
        <f t="shared" si="11"/>
        <v>1.8694643615629967E-3</v>
      </c>
      <c r="AC18" s="1757">
        <f t="shared" si="11"/>
        <v>1.8469707441377866E-3</v>
      </c>
      <c r="AD18" s="1757">
        <f t="shared" si="11"/>
        <v>2.0763736666126052E-3</v>
      </c>
      <c r="AE18" s="1757">
        <f t="shared" si="11"/>
        <v>4.9056779853896542E-3</v>
      </c>
      <c r="AF18" s="2653">
        <f t="shared" si="11"/>
        <v>2.2707761998140381E-3</v>
      </c>
      <c r="AG18" s="2655">
        <f t="shared" si="11"/>
        <v>2.2408751911289274E-2</v>
      </c>
      <c r="AH18" s="1757">
        <f t="shared" si="11"/>
        <v>2.468931250544305E-2</v>
      </c>
      <c r="AI18" s="1757">
        <f t="shared" si="11"/>
        <v>2.874249082413622E-2</v>
      </c>
      <c r="AJ18" s="1757">
        <f t="shared" si="11"/>
        <v>6.0239736209567026E-2</v>
      </c>
      <c r="AK18" s="2653">
        <f t="shared" si="11"/>
        <v>2.918894249047696E-2</v>
      </c>
      <c r="AL18" s="34"/>
      <c r="AM18" s="34"/>
      <c r="AN18" s="34"/>
    </row>
    <row r="19" spans="1:230" s="9" customFormat="1" ht="30" x14ac:dyDescent="0.25">
      <c r="A19" s="1815" t="s">
        <v>995</v>
      </c>
      <c r="B19" s="101"/>
      <c r="C19" s="2964">
        <v>51.239452399999998</v>
      </c>
      <c r="D19" s="2965">
        <v>51.239452399999998</v>
      </c>
      <c r="E19" s="2965">
        <v>51.239452399999998</v>
      </c>
      <c r="F19" s="2965">
        <v>51.239452399999998</v>
      </c>
      <c r="G19" s="2966">
        <v>51.239452399999998</v>
      </c>
      <c r="H19" s="2964">
        <v>56.113</v>
      </c>
      <c r="I19" s="2965">
        <v>56.113</v>
      </c>
      <c r="J19" s="2965">
        <v>56.113</v>
      </c>
      <c r="K19" s="2965">
        <v>56.113</v>
      </c>
      <c r="L19" s="2966">
        <v>56.113</v>
      </c>
      <c r="M19" s="2964">
        <v>46.308999999999997</v>
      </c>
      <c r="N19" s="2965">
        <v>46.308999999999997</v>
      </c>
      <c r="O19" s="2965">
        <v>46.308999999999997</v>
      </c>
      <c r="P19" s="2965">
        <v>46.308999999999997</v>
      </c>
      <c r="Q19" s="2966">
        <v>46.308999999999997</v>
      </c>
      <c r="R19" s="2964">
        <v>9.3019999999999996</v>
      </c>
      <c r="S19" s="2965">
        <v>9.3019999999999996</v>
      </c>
      <c r="T19" s="2965">
        <v>9.3019999999999996</v>
      </c>
      <c r="U19" s="2965">
        <v>9.3019999999999996</v>
      </c>
      <c r="V19" s="2966">
        <v>9.3019999999999996</v>
      </c>
      <c r="W19" s="2986">
        <v>0</v>
      </c>
      <c r="X19" s="2987">
        <v>0</v>
      </c>
      <c r="Y19" s="2987">
        <v>0</v>
      </c>
      <c r="Z19" s="2987">
        <v>0</v>
      </c>
      <c r="AA19" s="2991">
        <v>0</v>
      </c>
      <c r="AB19" s="2986">
        <v>0</v>
      </c>
      <c r="AC19" s="2987">
        <v>0</v>
      </c>
      <c r="AD19" s="2987">
        <v>0</v>
      </c>
      <c r="AE19" s="2987">
        <v>0</v>
      </c>
      <c r="AF19" s="2991">
        <v>0</v>
      </c>
      <c r="AG19" s="2986">
        <v>0</v>
      </c>
      <c r="AH19" s="2987">
        <v>0</v>
      </c>
      <c r="AI19" s="2987">
        <v>0</v>
      </c>
      <c r="AJ19" s="2965">
        <v>0</v>
      </c>
      <c r="AK19" s="2966">
        <v>0</v>
      </c>
      <c r="AL19" s="34"/>
      <c r="AM19" s="34"/>
      <c r="AN19" s="34"/>
    </row>
    <row r="20" spans="1:230" s="9" customFormat="1" ht="45" x14ac:dyDescent="0.25">
      <c r="A20" s="226" t="s">
        <v>996</v>
      </c>
      <c r="B20" s="39" t="s">
        <v>98</v>
      </c>
      <c r="C20" s="2637">
        <f>IF(ISERROR((C18-C19)/C19),0,((C18-C19)/C19))</f>
        <v>-0.11818433100333521</v>
      </c>
      <c r="D20" s="2659">
        <f t="shared" ref="D20:V20" si="12">IF(ISERROR((D18-D19)/D19),0,((D18-D19)/D19))</f>
        <v>-3.9524295902232921E-2</v>
      </c>
      <c r="E20" s="2659">
        <f t="shared" si="12"/>
        <v>-8.3137521980870682E-2</v>
      </c>
      <c r="F20" s="2659">
        <f t="shared" si="12"/>
        <v>-4.0703843568637876E-2</v>
      </c>
      <c r="G20" s="2663">
        <f t="shared" si="12"/>
        <v>-7.4281027117439336E-2</v>
      </c>
      <c r="H20" s="2637">
        <f t="shared" si="12"/>
        <v>-5.9986822910926808E-2</v>
      </c>
      <c r="I20" s="2659">
        <f t="shared" si="12"/>
        <v>-2.9878178375278543E-2</v>
      </c>
      <c r="J20" s="2659">
        <f t="shared" si="12"/>
        <v>-4.6278824644183092E-2</v>
      </c>
      <c r="K20" s="2659">
        <f t="shared" si="12"/>
        <v>0.34609347316341416</v>
      </c>
      <c r="L20" s="3642">
        <f t="shared" si="12"/>
        <v>1.5654293541491331E-2</v>
      </c>
      <c r="M20" s="2637">
        <f t="shared" si="12"/>
        <v>-0.11679775170615221</v>
      </c>
      <c r="N20" s="2659">
        <f>IF(ISERROR((N18-N19)/N19),0,((N18-N19)/N19))</f>
        <v>9.3895720841387323E-2</v>
      </c>
      <c r="O20" s="2659">
        <f t="shared" si="12"/>
        <v>-2.4253264954868445E-2</v>
      </c>
      <c r="P20" s="2659">
        <f t="shared" si="12"/>
        <v>0.75342629375476111</v>
      </c>
      <c r="Q20" s="3521">
        <f t="shared" si="12"/>
        <v>5.7884813148907296E-2</v>
      </c>
      <c r="R20" s="2637">
        <f t="shared" si="12"/>
        <v>2.2687276597274323E-2</v>
      </c>
      <c r="S20" s="2659">
        <f t="shared" si="12"/>
        <v>1.4619714772342526E-2</v>
      </c>
      <c r="T20" s="2659">
        <f t="shared" si="12"/>
        <v>0.13507147383991464</v>
      </c>
      <c r="U20" s="2659">
        <f t="shared" si="12"/>
        <v>2.8397775265909773</v>
      </c>
      <c r="V20" s="2663">
        <f t="shared" si="12"/>
        <v>0.12643118664116362</v>
      </c>
      <c r="W20" s="2637">
        <f t="shared" ref="W20:AK20" si="13">IF(ISERROR((W18-W19)/W19),0,((W18-W19)/W19))</f>
        <v>0</v>
      </c>
      <c r="X20" s="2659">
        <f t="shared" si="13"/>
        <v>0</v>
      </c>
      <c r="Y20" s="2659">
        <f t="shared" si="13"/>
        <v>0</v>
      </c>
      <c r="Z20" s="2659">
        <f t="shared" si="13"/>
        <v>0</v>
      </c>
      <c r="AA20" s="2663">
        <f t="shared" si="13"/>
        <v>0</v>
      </c>
      <c r="AB20" s="2637">
        <f t="shared" si="13"/>
        <v>0</v>
      </c>
      <c r="AC20" s="2659">
        <f t="shared" si="13"/>
        <v>0</v>
      </c>
      <c r="AD20" s="2659">
        <f t="shared" si="13"/>
        <v>0</v>
      </c>
      <c r="AE20" s="2659">
        <f t="shared" si="13"/>
        <v>0</v>
      </c>
      <c r="AF20" s="2663">
        <f t="shared" si="13"/>
        <v>0</v>
      </c>
      <c r="AG20" s="2637">
        <f t="shared" si="13"/>
        <v>0</v>
      </c>
      <c r="AH20" s="2659">
        <f t="shared" si="13"/>
        <v>0</v>
      </c>
      <c r="AI20" s="2659">
        <f t="shared" si="13"/>
        <v>0</v>
      </c>
      <c r="AJ20" s="2659">
        <f t="shared" si="13"/>
        <v>0</v>
      </c>
      <c r="AK20" s="2663">
        <f t="shared" si="13"/>
        <v>0</v>
      </c>
      <c r="AL20" s="34"/>
      <c r="AM20" s="34"/>
      <c r="AN20" s="34"/>
    </row>
    <row r="21" spans="1:230" ht="43.5" customHeight="1" thickBot="1" x14ac:dyDescent="0.3">
      <c r="A21" s="283" t="s">
        <v>678</v>
      </c>
      <c r="B21" s="284" t="s">
        <v>98</v>
      </c>
      <c r="C21" s="2681" t="s">
        <v>676</v>
      </c>
      <c r="D21" s="2682" t="s">
        <v>676</v>
      </c>
      <c r="E21" s="2682" t="s">
        <v>676</v>
      </c>
      <c r="F21" s="2682" t="s">
        <v>676</v>
      </c>
      <c r="G21" s="2680" t="s">
        <v>676</v>
      </c>
      <c r="H21" s="2681" t="s">
        <v>676</v>
      </c>
      <c r="I21" s="2682" t="s">
        <v>676</v>
      </c>
      <c r="J21" s="2682" t="s">
        <v>676</v>
      </c>
      <c r="K21" s="2682" t="s">
        <v>676</v>
      </c>
      <c r="L21" s="2680" t="s">
        <v>676</v>
      </c>
      <c r="M21" s="2681" t="s">
        <v>676</v>
      </c>
      <c r="N21" s="2682" t="s">
        <v>676</v>
      </c>
      <c r="O21" s="2682" t="s">
        <v>676</v>
      </c>
      <c r="P21" s="2682" t="s">
        <v>676</v>
      </c>
      <c r="Q21" s="2680" t="s">
        <v>676</v>
      </c>
      <c r="R21" s="2681" t="s">
        <v>676</v>
      </c>
      <c r="S21" s="2682" t="s">
        <v>676</v>
      </c>
      <c r="T21" s="2682" t="s">
        <v>676</v>
      </c>
      <c r="U21" s="2682" t="s">
        <v>676</v>
      </c>
      <c r="V21" s="2680" t="s">
        <v>676</v>
      </c>
      <c r="W21" s="2681" t="s">
        <v>676</v>
      </c>
      <c r="X21" s="2682" t="s">
        <v>676</v>
      </c>
      <c r="Y21" s="2682" t="s">
        <v>676</v>
      </c>
      <c r="Z21" s="2682" t="s">
        <v>676</v>
      </c>
      <c r="AA21" s="2680" t="s">
        <v>676</v>
      </c>
      <c r="AB21" s="2681" t="s">
        <v>676</v>
      </c>
      <c r="AC21" s="2682" t="s">
        <v>676</v>
      </c>
      <c r="AD21" s="2682" t="s">
        <v>676</v>
      </c>
      <c r="AE21" s="2682" t="s">
        <v>676</v>
      </c>
      <c r="AF21" s="2680" t="s">
        <v>676</v>
      </c>
      <c r="AG21" s="2681" t="s">
        <v>676</v>
      </c>
      <c r="AH21" s="2682" t="s">
        <v>676</v>
      </c>
      <c r="AI21" s="2682" t="s">
        <v>676</v>
      </c>
      <c r="AJ21" s="2682" t="s">
        <v>676</v>
      </c>
      <c r="AK21" s="2680" t="s">
        <v>676</v>
      </c>
      <c r="AL21" s="39"/>
      <c r="AM21" s="39"/>
      <c r="AN21" s="39"/>
    </row>
    <row r="22" spans="1:230" ht="15.75" thickTop="1" x14ac:dyDescent="0.25">
      <c r="A22" s="74"/>
      <c r="C22" s="12"/>
      <c r="D22" s="1"/>
      <c r="E22" s="1"/>
      <c r="F22" s="1"/>
      <c r="G22" s="3943">
        <v>2411743</v>
      </c>
      <c r="H22" s="12"/>
      <c r="I22" s="1"/>
      <c r="J22" s="126">
        <f>G5-K22</f>
        <v>2071427</v>
      </c>
      <c r="K22" s="1">
        <v>140316</v>
      </c>
      <c r="L22" s="13"/>
      <c r="M22"/>
      <c r="N22"/>
      <c r="O22"/>
      <c r="P22"/>
      <c r="W22" s="9"/>
      <c r="AA22" s="1610"/>
      <c r="AB22" s="1610"/>
      <c r="AC22" s="1610"/>
      <c r="AD22" s="1610"/>
      <c r="AE22" s="1610"/>
      <c r="AF22" s="1610"/>
      <c r="AG22" s="1610"/>
      <c r="AH22" s="1610"/>
      <c r="AI22" s="1538"/>
    </row>
    <row r="23" spans="1:230" s="9" customFormat="1" x14ac:dyDescent="0.25">
      <c r="A23" s="74"/>
      <c r="C23" s="12"/>
      <c r="D23" s="1"/>
      <c r="E23" s="1"/>
      <c r="F23" s="1">
        <f>G22/G23</f>
        <v>0.57012078302514613</v>
      </c>
      <c r="G23" s="13">
        <v>4230231.6838950003</v>
      </c>
      <c r="H23" s="12"/>
      <c r="I23" s="1">
        <f>J22/J23</f>
        <v>0.50485918577072009</v>
      </c>
      <c r="J23" s="1">
        <v>4102979.7186670001</v>
      </c>
      <c r="K23" s="1"/>
      <c r="L23" s="13"/>
      <c r="AA23" s="1610"/>
      <c r="AB23" s="1610"/>
      <c r="AC23" s="1610"/>
      <c r="AD23" s="1610"/>
      <c r="AE23" s="1610"/>
      <c r="AF23" s="1610"/>
      <c r="AG23" s="1610"/>
      <c r="AH23" s="1610"/>
      <c r="AI23" s="1538"/>
    </row>
    <row r="24" spans="1:230" s="9" customFormat="1" ht="15.75" thickBot="1" x14ac:dyDescent="0.3">
      <c r="A24" s="74"/>
      <c r="C24" s="12"/>
      <c r="D24" s="1"/>
      <c r="E24" s="1"/>
      <c r="F24" s="1"/>
      <c r="G24" s="13"/>
      <c r="H24" s="12"/>
      <c r="I24" s="1"/>
      <c r="J24" s="1"/>
      <c r="K24" s="1"/>
      <c r="L24" s="13"/>
      <c r="AA24" s="1610"/>
      <c r="AB24" s="1610"/>
      <c r="AC24" s="1610"/>
      <c r="AD24" s="1610"/>
      <c r="AE24" s="1610"/>
      <c r="AF24" s="1610"/>
      <c r="AG24" s="1610"/>
      <c r="AH24" s="1610"/>
      <c r="AI24" s="1538"/>
    </row>
    <row r="25" spans="1:230" ht="15.75" customHeight="1" thickBot="1" x14ac:dyDescent="0.35">
      <c r="A25" s="9"/>
      <c r="B25" s="9"/>
      <c r="C25" s="5018" t="s">
        <v>687</v>
      </c>
      <c r="D25" s="5019"/>
      <c r="E25" s="5019"/>
      <c r="F25" s="5019"/>
      <c r="G25" s="5020"/>
      <c r="H25" s="5018" t="s">
        <v>688</v>
      </c>
      <c r="I25" s="5019"/>
      <c r="J25" s="5019"/>
      <c r="K25" s="5019"/>
      <c r="L25" s="5020"/>
      <c r="M25" s="39"/>
      <c r="N25" s="5013" t="s">
        <v>1289</v>
      </c>
      <c r="O25" s="5014"/>
      <c r="P25" s="5014"/>
      <c r="Q25" s="5014"/>
      <c r="R25" s="5014"/>
      <c r="S25" s="5014"/>
      <c r="T25" s="5013" t="s">
        <v>1288</v>
      </c>
      <c r="U25" s="5014"/>
      <c r="V25" s="5014"/>
      <c r="W25" s="5014"/>
      <c r="X25" s="5014"/>
      <c r="Y25" s="5029"/>
      <c r="Z25" s="99"/>
    </row>
    <row r="26" spans="1:230" ht="15.75" thickBot="1" x14ac:dyDescent="0.3">
      <c r="A26" s="17" t="s">
        <v>0</v>
      </c>
      <c r="B26" s="18" t="s">
        <v>1</v>
      </c>
      <c r="C26" s="41" t="s">
        <v>3</v>
      </c>
      <c r="D26" s="42" t="s">
        <v>4</v>
      </c>
      <c r="E26" s="42" t="s">
        <v>5</v>
      </c>
      <c r="F26" s="42" t="s">
        <v>6</v>
      </c>
      <c r="G26" s="1800" t="s">
        <v>689</v>
      </c>
      <c r="H26" s="2476" t="s">
        <v>3</v>
      </c>
      <c r="I26" s="1241" t="s">
        <v>4</v>
      </c>
      <c r="J26" s="1241" t="s">
        <v>5</v>
      </c>
      <c r="K26" s="1241" t="s">
        <v>6</v>
      </c>
      <c r="L26" s="2477" t="s">
        <v>689</v>
      </c>
      <c r="M26" s="226"/>
      <c r="N26" s="3759" t="s">
        <v>1286</v>
      </c>
      <c r="O26" s="3342" t="s">
        <v>99</v>
      </c>
      <c r="P26" s="3760" t="s">
        <v>100</v>
      </c>
      <c r="Q26" s="891" t="s">
        <v>101</v>
      </c>
      <c r="R26" s="891" t="s">
        <v>103</v>
      </c>
      <c r="S26" s="3360" t="s">
        <v>1283</v>
      </c>
      <c r="T26" s="3759" t="s">
        <v>1287</v>
      </c>
      <c r="U26" s="3342" t="s">
        <v>99</v>
      </c>
      <c r="V26" s="3760" t="s">
        <v>100</v>
      </c>
      <c r="W26" s="891" t="s">
        <v>101</v>
      </c>
      <c r="X26" s="891" t="s">
        <v>103</v>
      </c>
      <c r="Y26" s="3360" t="s">
        <v>1283</v>
      </c>
      <c r="Z26" s="1660"/>
      <c r="AA26" s="39"/>
      <c r="AB26" s="39"/>
      <c r="AC26" s="39"/>
      <c r="AD26" s="39"/>
      <c r="AE26" s="39"/>
      <c r="AF26" s="39"/>
      <c r="AK26" s="9"/>
      <c r="AN26" s="9"/>
    </row>
    <row r="27" spans="1:230" x14ac:dyDescent="0.25">
      <c r="A27" s="285" t="s">
        <v>159</v>
      </c>
      <c r="B27" s="71" t="s">
        <v>27</v>
      </c>
      <c r="C27" s="1827">
        <f>C5+H5+M5+R5</f>
        <v>3099390.55</v>
      </c>
      <c r="D27" s="1774">
        <f>D5+I5+N5+S5</f>
        <v>2492077.0300000003</v>
      </c>
      <c r="E27" s="1774">
        <f>E5+J5+O5+T5</f>
        <v>2474415.2400000002</v>
      </c>
      <c r="F27" s="1774">
        <f>F5+K5+P5+U5</f>
        <v>1023469.62</v>
      </c>
      <c r="G27" s="2688">
        <f>G5+L5+Q5+V5</f>
        <v>9089352.4399999995</v>
      </c>
      <c r="H27" s="1827">
        <f>C27+AG5</f>
        <v>3118461.4839446694</v>
      </c>
      <c r="I27" s="1774">
        <f>D27+AH5</f>
        <v>2511149.2771887081</v>
      </c>
      <c r="J27" s="1774">
        <f>E27+AI5</f>
        <v>2491095.2555083088</v>
      </c>
      <c r="K27" s="1774">
        <f>F27+AJ5</f>
        <v>1031673.9337152533</v>
      </c>
      <c r="L27" s="2688">
        <f>G27+AK5</f>
        <v>9152379.9503569379</v>
      </c>
      <c r="M27" s="3757" t="s">
        <v>159</v>
      </c>
      <c r="N27" s="3804">
        <f>L27-T27</f>
        <v>8822257.1536902711</v>
      </c>
      <c r="O27" s="3805">
        <f>G5-U27</f>
        <v>2071427</v>
      </c>
      <c r="P27" s="3805">
        <f>L5-V27</f>
        <v>1825292.71</v>
      </c>
      <c r="Q27" s="3805">
        <f>Q5-W27</f>
        <v>596176</v>
      </c>
      <c r="R27" s="3805">
        <f>V5-X27</f>
        <v>4267135</v>
      </c>
      <c r="S27" s="3806">
        <f>AA5-Y27</f>
        <v>62226.443690272587</v>
      </c>
      <c r="T27" s="1827">
        <f>SUM(U27:Y27)</f>
        <v>330122.79666666663</v>
      </c>
      <c r="U27" s="1774">
        <v>140316</v>
      </c>
      <c r="V27" s="1774">
        <v>26508.73</v>
      </c>
      <c r="W27" s="1774">
        <v>26443</v>
      </c>
      <c r="X27" s="1774">
        <v>136054</v>
      </c>
      <c r="Y27" s="445">
        <v>801.06666666666672</v>
      </c>
      <c r="Z27" s="39"/>
      <c r="AA27" s="39"/>
      <c r="AB27" s="39"/>
      <c r="AC27" s="39"/>
      <c r="AD27" s="201"/>
      <c r="AE27" s="394"/>
      <c r="AF27" s="39"/>
      <c r="AL27" s="9"/>
    </row>
    <row r="28" spans="1:230" s="9" customFormat="1" ht="35.25" thickBot="1" x14ac:dyDescent="0.3">
      <c r="A28" s="286" t="s">
        <v>991</v>
      </c>
      <c r="B28" s="159" t="s">
        <v>994</v>
      </c>
      <c r="C28" s="2646">
        <f t="shared" ref="C28:K28" si="14">IF(ISERROR(C27/C39),0,(C27/C39))</f>
        <v>0.79307420966194009</v>
      </c>
      <c r="D28" s="2647">
        <f t="shared" si="14"/>
        <v>0.68698408455937099</v>
      </c>
      <c r="E28" s="2647">
        <f t="shared" si="14"/>
        <v>0.73365852414692423</v>
      </c>
      <c r="F28" s="2647">
        <f t="shared" si="14"/>
        <v>0.71695164694404034</v>
      </c>
      <c r="G28" s="4576">
        <f t="shared" si="14"/>
        <v>0.7368229755988025</v>
      </c>
      <c r="H28" s="2646">
        <f t="shared" si="14"/>
        <v>0.79795409350416324</v>
      </c>
      <c r="I28" s="2647">
        <f t="shared" si="14"/>
        <v>0.69224167897467059</v>
      </c>
      <c r="J28" s="2647">
        <f t="shared" si="14"/>
        <v>0.73860411103256485</v>
      </c>
      <c r="K28" s="2647">
        <f t="shared" si="14"/>
        <v>0.72269885830747727</v>
      </c>
      <c r="L28" s="4576">
        <f>IF(ISERROR(L27/L39),0,(L27/L39))</f>
        <v>0.74193226342016716</v>
      </c>
      <c r="M28" s="3756" t="s">
        <v>991</v>
      </c>
      <c r="N28" s="3816">
        <f t="shared" ref="N28:S28" si="15">IF(ISERROR(N27/N39),0,(N27/N39))</f>
        <v>0.73355171740872704</v>
      </c>
      <c r="O28" s="3816">
        <f t="shared" si="15"/>
        <v>0.50485930881771124</v>
      </c>
      <c r="P28" s="3816">
        <f t="shared" si="15"/>
        <v>0.63860494033858906</v>
      </c>
      <c r="Q28" s="3816">
        <f t="shared" si="15"/>
        <v>0.66857985544546683</v>
      </c>
      <c r="R28" s="3816">
        <f t="shared" si="15"/>
        <v>1.0223536654364229</v>
      </c>
      <c r="S28" s="3812">
        <f t="shared" si="15"/>
        <v>0</v>
      </c>
      <c r="T28" s="3774"/>
      <c r="U28" s="3775"/>
      <c r="V28" s="3776"/>
      <c r="W28" s="3777"/>
      <c r="X28" s="3778"/>
      <c r="Y28" s="3779"/>
      <c r="Z28" s="3182"/>
      <c r="AA28" s="39">
        <v>4102979.7186670001</v>
      </c>
      <c r="AB28" s="3182"/>
      <c r="AC28" s="3182"/>
      <c r="AD28" s="3182"/>
      <c r="AE28" s="3182"/>
      <c r="AF28" s="3482"/>
    </row>
    <row r="29" spans="1:230" s="9" customFormat="1" ht="30" customHeight="1" x14ac:dyDescent="0.25">
      <c r="A29" s="2684" t="s">
        <v>992</v>
      </c>
      <c r="B29" s="2694" t="s">
        <v>994</v>
      </c>
      <c r="C29" s="2992">
        <v>0.82399999999999995</v>
      </c>
      <c r="D29" s="2993">
        <v>0.82399999999999995</v>
      </c>
      <c r="E29" s="2993">
        <v>0.82399999999999995</v>
      </c>
      <c r="F29" s="2993">
        <v>0.82399999999999995</v>
      </c>
      <c r="G29" s="2994">
        <v>0.82399999999999995</v>
      </c>
      <c r="H29" s="2992">
        <v>0.84499999999999997</v>
      </c>
      <c r="I29" s="2993">
        <v>0.84499999999999997</v>
      </c>
      <c r="J29" s="2993">
        <v>0.84499999999999997</v>
      </c>
      <c r="K29" s="2993">
        <v>0.84499999999999997</v>
      </c>
      <c r="L29" s="2994">
        <v>0.84499999999999997</v>
      </c>
      <c r="M29" s="3821" t="s">
        <v>992</v>
      </c>
      <c r="N29" s="3800">
        <v>0.84499999999999997</v>
      </c>
      <c r="O29" s="3808">
        <v>0.68</v>
      </c>
      <c r="P29" s="3791">
        <v>0.84847630794424866</v>
      </c>
      <c r="Q29" s="3792">
        <v>0.85099999999999998</v>
      </c>
      <c r="R29" s="3792">
        <v>1.056</v>
      </c>
      <c r="S29" s="3793"/>
      <c r="T29" s="3774"/>
      <c r="U29" s="3775"/>
      <c r="V29" s="3776"/>
      <c r="W29" s="3777"/>
      <c r="X29" s="3778"/>
      <c r="Y29" s="3779"/>
      <c r="Z29" s="3182"/>
      <c r="AA29" s="39"/>
      <c r="AB29" s="3182"/>
      <c r="AC29" s="3182"/>
      <c r="AD29" s="3182"/>
      <c r="AE29" s="3182"/>
      <c r="AF29" s="3482"/>
    </row>
    <row r="30" spans="1:230" s="9" customFormat="1" ht="45.75" x14ac:dyDescent="0.25">
      <c r="A30" s="286" t="s">
        <v>993</v>
      </c>
      <c r="B30" s="159" t="s">
        <v>98</v>
      </c>
      <c r="C30" s="2687">
        <f>IF(ISERROR((C28-C29)/C29),0,((C28-C29)/C29))</f>
        <v>-3.7531298953956148E-2</v>
      </c>
      <c r="D30" s="2690">
        <f t="shared" ref="D30:K30" si="16">IF(ISERROR((D28-D29)/D29),0,((D28-D29)/D29))</f>
        <v>-0.16628145077746234</v>
      </c>
      <c r="E30" s="2690">
        <f t="shared" si="16"/>
        <v>-0.10963771341392686</v>
      </c>
      <c r="F30" s="2690">
        <f t="shared" si="16"/>
        <v>-0.12991304982519372</v>
      </c>
      <c r="G30" s="2699">
        <f t="shared" si="16"/>
        <v>-0.10579735971019109</v>
      </c>
      <c r="H30" s="2687">
        <f t="shared" si="16"/>
        <v>-5.5675628989155894E-2</v>
      </c>
      <c r="I30" s="2690">
        <f t="shared" si="16"/>
        <v>-0.18077907813648447</v>
      </c>
      <c r="J30" s="2690">
        <f t="shared" si="16"/>
        <v>-0.12591229463601791</v>
      </c>
      <c r="K30" s="2690">
        <f t="shared" si="16"/>
        <v>-0.14473507892606238</v>
      </c>
      <c r="L30" s="2699">
        <f>IF(ISERROR((L28-L29)/L29),0,((L28-L29)/L29))</f>
        <v>-0.1219736527571986</v>
      </c>
      <c r="M30" s="3756" t="s">
        <v>993</v>
      </c>
      <c r="N30" s="3817">
        <f>IF(ISERROR((N28-N29)/N29),0,((N28-N29)/N29))</f>
        <v>-0.13189145868789695</v>
      </c>
      <c r="O30" s="3817">
        <f>IF(ISERROR((O28-O29)/O29),0,((O28-O29)/O29))</f>
        <v>-0.2575598399739541</v>
      </c>
      <c r="P30" s="3817">
        <f>IF(ISERROR((P28-P29)/P29),0,((P28-P29)/P29))</f>
        <v>-0.24735088727951818</v>
      </c>
      <c r="Q30" s="3817">
        <f>IF(ISERROR((Q28-Q29)/Q29),0,((Q28-Q29)/Q29))</f>
        <v>-0.2143597468325889</v>
      </c>
      <c r="R30" s="3817">
        <f>IF(ISERROR((R28-R29)/R29),0,((R28-R29)/R29))</f>
        <v>-3.1862059245811675E-2</v>
      </c>
      <c r="S30" s="3813"/>
      <c r="T30" s="3789"/>
      <c r="U30" s="3781"/>
      <c r="V30" s="3782"/>
      <c r="W30" s="3783"/>
      <c r="X30" s="3784"/>
      <c r="Y30" s="3785"/>
      <c r="Z30" s="3182"/>
      <c r="AA30" s="39"/>
      <c r="AB30" s="3182"/>
      <c r="AC30" s="3182"/>
      <c r="AD30" s="3182"/>
      <c r="AE30" s="3182"/>
      <c r="AF30" s="3482"/>
    </row>
    <row r="31" spans="1:230" s="9" customFormat="1" ht="79.5" x14ac:dyDescent="0.25">
      <c r="A31" s="3773" t="s">
        <v>997</v>
      </c>
      <c r="B31" s="293" t="s">
        <v>98</v>
      </c>
      <c r="C31" s="2675" t="s">
        <v>676</v>
      </c>
      <c r="D31" s="2676" t="s">
        <v>676</v>
      </c>
      <c r="E31" s="2676" t="s">
        <v>676</v>
      </c>
      <c r="F31" s="2676" t="s">
        <v>676</v>
      </c>
      <c r="G31" s="2700" t="s">
        <v>676</v>
      </c>
      <c r="H31" s="2677" t="s">
        <v>676</v>
      </c>
      <c r="I31" s="2678" t="s">
        <v>676</v>
      </c>
      <c r="J31" s="2678" t="s">
        <v>676</v>
      </c>
      <c r="K31" s="2678" t="s">
        <v>676</v>
      </c>
      <c r="L31" s="2679" t="s">
        <v>676</v>
      </c>
      <c r="M31" s="3766" t="s">
        <v>997</v>
      </c>
      <c r="N31" s="3819"/>
      <c r="O31" s="3767"/>
      <c r="P31" s="3795"/>
      <c r="Q31" s="3795"/>
      <c r="R31" s="3796"/>
      <c r="S31" s="3797"/>
      <c r="T31" s="3786"/>
      <c r="U31" s="3781"/>
      <c r="V31" s="3787"/>
      <c r="W31" s="3787"/>
      <c r="X31" s="3784"/>
      <c r="Y31" s="3788"/>
      <c r="Z31" s="3483"/>
      <c r="AA31" s="39"/>
      <c r="AB31" s="3483"/>
      <c r="AC31" s="3483"/>
      <c r="AD31" s="3182"/>
      <c r="AE31" s="3182"/>
      <c r="AF31" s="3484"/>
    </row>
    <row r="32" spans="1:230" s="9" customFormat="1" ht="23.25" x14ac:dyDescent="0.25">
      <c r="A32" s="286" t="s">
        <v>161</v>
      </c>
      <c r="B32" s="159" t="s">
        <v>27</v>
      </c>
      <c r="C32" s="191">
        <f t="shared" ref="C32:G38" si="17">C10+H10+M10+R10</f>
        <v>192</v>
      </c>
      <c r="D32" s="427">
        <f t="shared" si="17"/>
        <v>14493</v>
      </c>
      <c r="E32" s="427">
        <f t="shared" si="17"/>
        <v>23592</v>
      </c>
      <c r="F32" s="427">
        <f t="shared" si="17"/>
        <v>19366</v>
      </c>
      <c r="G32" s="2689">
        <f t="shared" si="17"/>
        <v>57643</v>
      </c>
      <c r="H32" s="191">
        <f t="shared" ref="H32:L38" si="18">C32+AG10</f>
        <v>192</v>
      </c>
      <c r="I32" s="427">
        <f t="shared" si="18"/>
        <v>14493</v>
      </c>
      <c r="J32" s="427">
        <f t="shared" si="18"/>
        <v>23592</v>
      </c>
      <c r="K32" s="427">
        <f t="shared" si="18"/>
        <v>19366</v>
      </c>
      <c r="L32" s="2689">
        <f t="shared" si="18"/>
        <v>57643</v>
      </c>
      <c r="M32" s="3756" t="s">
        <v>161</v>
      </c>
      <c r="N32" s="3798">
        <f>L32-T32</f>
        <v>51261</v>
      </c>
      <c r="O32" s="3807">
        <f>G10-U32</f>
        <v>4035</v>
      </c>
      <c r="P32" s="3798">
        <f>L10-V32</f>
        <v>704</v>
      </c>
      <c r="Q32" s="3798">
        <f>Q10-W32</f>
        <v>1408</v>
      </c>
      <c r="R32" s="3790">
        <f>V10-X32</f>
        <v>45114</v>
      </c>
      <c r="S32" s="3799">
        <f>AK10-Y32</f>
        <v>0</v>
      </c>
      <c r="T32" s="3763">
        <f>SUM(U32:Y32)</f>
        <v>6382</v>
      </c>
      <c r="U32" s="3761">
        <v>0</v>
      </c>
      <c r="V32" s="3764">
        <v>64</v>
      </c>
      <c r="W32" s="3765">
        <v>0</v>
      </c>
      <c r="X32" s="427">
        <v>6318</v>
      </c>
      <c r="Y32" s="3762">
        <v>0</v>
      </c>
      <c r="Z32" s="3182"/>
      <c r="AA32" s="39"/>
      <c r="AB32" s="3182"/>
      <c r="AC32" s="3182"/>
      <c r="AD32" s="3182"/>
      <c r="AE32" s="3182"/>
      <c r="AF32" s="3482"/>
    </row>
    <row r="33" spans="1:32" s="9" customFormat="1" ht="23.25" x14ac:dyDescent="0.25">
      <c r="A33" s="286" t="s">
        <v>162</v>
      </c>
      <c r="B33" s="158" t="s">
        <v>27</v>
      </c>
      <c r="C33" s="191">
        <f t="shared" si="17"/>
        <v>3099582.55</v>
      </c>
      <c r="D33" s="427">
        <f t="shared" si="17"/>
        <v>2506570.0300000003</v>
      </c>
      <c r="E33" s="427">
        <f t="shared" si="17"/>
        <v>2498007.2400000002</v>
      </c>
      <c r="F33" s="427">
        <f t="shared" si="17"/>
        <v>1042835.62</v>
      </c>
      <c r="G33" s="2689">
        <f t="shared" si="17"/>
        <v>9146995.4399999995</v>
      </c>
      <c r="H33" s="191">
        <f t="shared" si="18"/>
        <v>3118653.4839446694</v>
      </c>
      <c r="I33" s="427">
        <f t="shared" si="18"/>
        <v>2525642.2771887081</v>
      </c>
      <c r="J33" s="427">
        <f t="shared" si="18"/>
        <v>2514687.2555083088</v>
      </c>
      <c r="K33" s="427">
        <f t="shared" si="18"/>
        <v>1051039.9337152534</v>
      </c>
      <c r="L33" s="2689">
        <f t="shared" si="18"/>
        <v>9210022.9503569379</v>
      </c>
      <c r="M33" s="3756" t="s">
        <v>162</v>
      </c>
      <c r="N33" s="3798">
        <f t="shared" ref="N33:N38" si="19">L33-T33</f>
        <v>8873518.1536902711</v>
      </c>
      <c r="O33" s="3807">
        <f t="shared" ref="O33:O38" si="20">G11-U33</f>
        <v>2075462</v>
      </c>
      <c r="P33" s="3798">
        <f t="shared" ref="P33:P38" si="21">L11-V33</f>
        <v>1825996.71</v>
      </c>
      <c r="Q33" s="3798">
        <f t="shared" ref="Q33:Q38" si="22">Q11-W33</f>
        <v>597584</v>
      </c>
      <c r="R33" s="3790">
        <f t="shared" ref="R33:R38" si="23">V11-X33</f>
        <v>4312249</v>
      </c>
      <c r="S33" s="3799">
        <f t="shared" ref="S33:S38" si="24">AK11-Y33</f>
        <v>62226.443690272587</v>
      </c>
      <c r="T33" s="3763">
        <f t="shared" ref="T33:T39" si="25">SUM(U33:Y33)</f>
        <v>336504.79666666663</v>
      </c>
      <c r="U33" s="3761">
        <v>140316</v>
      </c>
      <c r="V33" s="3764">
        <v>26572.73</v>
      </c>
      <c r="W33" s="3765">
        <v>26443</v>
      </c>
      <c r="X33" s="427">
        <v>142372</v>
      </c>
      <c r="Y33" s="3762">
        <v>801.06666666666672</v>
      </c>
      <c r="Z33" s="3182"/>
      <c r="AA33" s="39"/>
      <c r="AB33" s="3182"/>
      <c r="AC33" s="3182"/>
      <c r="AD33" s="3182"/>
      <c r="AE33" s="3182"/>
      <c r="AF33" s="3482"/>
    </row>
    <row r="34" spans="1:32" x14ac:dyDescent="0.25">
      <c r="A34" s="286" t="s">
        <v>30</v>
      </c>
      <c r="B34" s="159" t="s">
        <v>29</v>
      </c>
      <c r="C34" s="191">
        <f t="shared" si="17"/>
        <v>35820.76</v>
      </c>
      <c r="D34" s="427">
        <f t="shared" si="17"/>
        <v>49949.760000000002</v>
      </c>
      <c r="E34" s="427">
        <f t="shared" si="17"/>
        <v>102042.76</v>
      </c>
      <c r="F34" s="427">
        <f t="shared" si="17"/>
        <v>20482.759999999998</v>
      </c>
      <c r="G34" s="2689">
        <f t="shared" si="17"/>
        <v>208296.04</v>
      </c>
      <c r="H34" s="191">
        <f t="shared" si="18"/>
        <v>35820.76</v>
      </c>
      <c r="I34" s="427">
        <f t="shared" si="18"/>
        <v>49949.760000000002</v>
      </c>
      <c r="J34" s="427">
        <f t="shared" si="18"/>
        <v>102042.76</v>
      </c>
      <c r="K34" s="427">
        <f t="shared" si="18"/>
        <v>20482.759999999998</v>
      </c>
      <c r="L34" s="2689">
        <f t="shared" si="18"/>
        <v>208296.04</v>
      </c>
      <c r="M34" s="3756" t="s">
        <v>30</v>
      </c>
      <c r="N34" s="3798">
        <f t="shared" si="19"/>
        <v>188665.12</v>
      </c>
      <c r="O34" s="3807">
        <f t="shared" si="20"/>
        <v>26420</v>
      </c>
      <c r="P34" s="3798">
        <f t="shared" si="21"/>
        <v>10.119999999999999</v>
      </c>
      <c r="Q34" s="3798">
        <f t="shared" si="22"/>
        <v>0</v>
      </c>
      <c r="R34" s="3790">
        <f t="shared" si="23"/>
        <v>162235</v>
      </c>
      <c r="S34" s="3799">
        <f t="shared" si="24"/>
        <v>0</v>
      </c>
      <c r="T34" s="3763">
        <f t="shared" si="25"/>
        <v>19630.919999999998</v>
      </c>
      <c r="U34" s="3761">
        <v>0</v>
      </c>
      <c r="V34" s="3764">
        <v>0.92</v>
      </c>
      <c r="W34" s="3765">
        <v>0</v>
      </c>
      <c r="X34" s="427">
        <v>19630</v>
      </c>
      <c r="Y34" s="3762">
        <v>0</v>
      </c>
      <c r="Z34" s="3182"/>
      <c r="AA34" s="39"/>
      <c r="AB34" s="3182"/>
      <c r="AC34" s="3182"/>
      <c r="AD34" s="3182"/>
      <c r="AE34" s="3182"/>
      <c r="AF34" s="3482"/>
    </row>
    <row r="35" spans="1:32" x14ac:dyDescent="0.25">
      <c r="A35" s="286" t="s">
        <v>28</v>
      </c>
      <c r="B35" s="159" t="s">
        <v>29</v>
      </c>
      <c r="C35" s="191">
        <f t="shared" si="17"/>
        <v>131429774.003006</v>
      </c>
      <c r="D35" s="427">
        <f t="shared" si="17"/>
        <v>125954585.1107</v>
      </c>
      <c r="E35" s="427">
        <f t="shared" si="17"/>
        <v>114819268.99200001</v>
      </c>
      <c r="F35" s="427">
        <f t="shared" si="17"/>
        <v>83841649.752399966</v>
      </c>
      <c r="G35" s="2689">
        <f t="shared" si="17"/>
        <v>456045277.85810596</v>
      </c>
      <c r="H35" s="191">
        <f t="shared" si="18"/>
        <v>131517349.003006</v>
      </c>
      <c r="I35" s="427">
        <f t="shared" si="18"/>
        <v>126044147.1107</v>
      </c>
      <c r="J35" s="427">
        <f t="shared" si="18"/>
        <v>114916208.99200001</v>
      </c>
      <c r="K35" s="427">
        <f t="shared" si="18"/>
        <v>83927643.752399966</v>
      </c>
      <c r="L35" s="2689">
        <f t="shared" si="18"/>
        <v>456405348.85810596</v>
      </c>
      <c r="M35" s="3756" t="s">
        <v>28</v>
      </c>
      <c r="N35" s="3798">
        <f t="shared" si="19"/>
        <v>433825451.96710598</v>
      </c>
      <c r="O35" s="3807">
        <f t="shared" si="20"/>
        <v>191820754.17000002</v>
      </c>
      <c r="P35" s="3798">
        <f t="shared" si="21"/>
        <v>158279139.13310599</v>
      </c>
      <c r="Q35" s="3798">
        <f t="shared" si="22"/>
        <v>40924969.119999997</v>
      </c>
      <c r="R35" s="3790">
        <f t="shared" si="23"/>
        <v>42468319.54399997</v>
      </c>
      <c r="S35" s="3799">
        <f t="shared" si="24"/>
        <v>332270</v>
      </c>
      <c r="T35" s="3763">
        <f t="shared" si="25"/>
        <v>22579896.891000003</v>
      </c>
      <c r="U35" s="3761">
        <v>8806767.5700000003</v>
      </c>
      <c r="V35" s="3765">
        <v>8758631.0409999993</v>
      </c>
      <c r="W35" s="3765">
        <v>2759291.28</v>
      </c>
      <c r="X35" s="427">
        <v>2227406</v>
      </c>
      <c r="Y35" s="427">
        <v>27801</v>
      </c>
      <c r="Z35" s="3182"/>
      <c r="AA35" s="39"/>
      <c r="AB35" s="3182"/>
      <c r="AC35" s="3182"/>
      <c r="AD35" s="3182"/>
      <c r="AE35" s="3182"/>
      <c r="AF35" s="3482"/>
    </row>
    <row r="36" spans="1:32" x14ac:dyDescent="0.25">
      <c r="A36" s="286" t="s">
        <v>226</v>
      </c>
      <c r="B36" s="159" t="s">
        <v>29</v>
      </c>
      <c r="C36" s="191">
        <f t="shared" si="17"/>
        <v>131465594.763006</v>
      </c>
      <c r="D36" s="427">
        <f t="shared" si="17"/>
        <v>126004534.8707</v>
      </c>
      <c r="E36" s="427">
        <f t="shared" si="17"/>
        <v>114921311.752</v>
      </c>
      <c r="F36" s="427">
        <f t="shared" si="17"/>
        <v>83862132.512399957</v>
      </c>
      <c r="G36" s="2689">
        <f t="shared" si="17"/>
        <v>456253573.89810592</v>
      </c>
      <c r="H36" s="191">
        <f t="shared" si="18"/>
        <v>131553169.763006</v>
      </c>
      <c r="I36" s="427">
        <f t="shared" si="18"/>
        <v>126094096.8707</v>
      </c>
      <c r="J36" s="427">
        <f t="shared" si="18"/>
        <v>115018251.752</v>
      </c>
      <c r="K36" s="427">
        <f t="shared" si="18"/>
        <v>83948126.512399957</v>
      </c>
      <c r="L36" s="2689">
        <f>G36+AK14</f>
        <v>456613644.89810592</v>
      </c>
      <c r="M36" s="3756" t="s">
        <v>226</v>
      </c>
      <c r="N36" s="3798">
        <f t="shared" si="19"/>
        <v>434014117.08710593</v>
      </c>
      <c r="O36" s="3807">
        <f t="shared" si="20"/>
        <v>191847174.17000002</v>
      </c>
      <c r="P36" s="3798">
        <f t="shared" si="21"/>
        <v>158279149.253106</v>
      </c>
      <c r="Q36" s="3798">
        <f t="shared" si="22"/>
        <v>40924969.119999997</v>
      </c>
      <c r="R36" s="3790">
        <f t="shared" si="23"/>
        <v>42630554.54399997</v>
      </c>
      <c r="S36" s="3799">
        <f t="shared" si="24"/>
        <v>332270</v>
      </c>
      <c r="T36" s="3763">
        <f t="shared" si="25"/>
        <v>22599527.811000001</v>
      </c>
      <c r="U36" s="3761">
        <v>8806767.5700000003</v>
      </c>
      <c r="V36" s="3765">
        <v>8758631.9609999992</v>
      </c>
      <c r="W36" s="3765">
        <v>2759291.28</v>
      </c>
      <c r="X36" s="427">
        <v>2247036</v>
      </c>
      <c r="Y36" s="3762">
        <v>27801</v>
      </c>
      <c r="Z36" s="3182"/>
      <c r="AA36" s="39"/>
      <c r="AB36" s="3182"/>
      <c r="AC36" s="3182"/>
      <c r="AD36" s="3182"/>
      <c r="AE36" s="3182"/>
      <c r="AF36" s="3482"/>
    </row>
    <row r="37" spans="1:32" x14ac:dyDescent="0.25">
      <c r="A37" s="286" t="s">
        <v>35</v>
      </c>
      <c r="B37" s="159" t="s">
        <v>27</v>
      </c>
      <c r="C37" s="191">
        <f t="shared" si="17"/>
        <v>15603.560000000001</v>
      </c>
      <c r="D37" s="427">
        <f t="shared" si="17"/>
        <v>15857.46</v>
      </c>
      <c r="E37" s="427">
        <f t="shared" si="17"/>
        <v>13976.22</v>
      </c>
      <c r="F37" s="427">
        <f t="shared" si="17"/>
        <v>9207.7200000000012</v>
      </c>
      <c r="G37" s="2689">
        <f t="shared" si="17"/>
        <v>54644.959999999999</v>
      </c>
      <c r="H37" s="191">
        <f t="shared" si="18"/>
        <v>18845.403696744488</v>
      </c>
      <c r="I37" s="427">
        <f t="shared" si="18"/>
        <v>18479.224523878103</v>
      </c>
      <c r="J37" s="427">
        <f t="shared" si="18"/>
        <v>16104.607743707656</v>
      </c>
      <c r="K37" s="427">
        <f t="shared" si="18"/>
        <v>11266.498361799222</v>
      </c>
      <c r="L37" s="2689">
        <f t="shared" si="18"/>
        <v>64695.734326129474</v>
      </c>
      <c r="M37" s="3756" t="s">
        <v>35</v>
      </c>
      <c r="N37" s="3798">
        <f t="shared" si="19"/>
        <v>60707.814994734123</v>
      </c>
      <c r="O37" s="3807">
        <f t="shared" si="20"/>
        <v>12910</v>
      </c>
      <c r="P37" s="3798">
        <f t="shared" si="21"/>
        <v>21697.29</v>
      </c>
      <c r="Q37" s="3798">
        <f t="shared" si="22"/>
        <v>2150.2199999999998</v>
      </c>
      <c r="R37" s="3790">
        <f t="shared" si="23"/>
        <v>14746.95</v>
      </c>
      <c r="S37" s="3799">
        <f t="shared" si="24"/>
        <v>9203.3549947341216</v>
      </c>
      <c r="T37" s="3763">
        <f t="shared" si="25"/>
        <v>3987.9193313953488</v>
      </c>
      <c r="U37" s="3761">
        <v>1400</v>
      </c>
      <c r="V37" s="3764">
        <v>424.16</v>
      </c>
      <c r="W37" s="3765">
        <v>0</v>
      </c>
      <c r="X37" s="427">
        <v>1316.34</v>
      </c>
      <c r="Y37" s="3762">
        <v>847.41933139534888</v>
      </c>
      <c r="Z37" s="3182"/>
      <c r="AA37" s="39"/>
      <c r="AB37" s="3182"/>
      <c r="AC37" s="3182"/>
      <c r="AD37" s="3182"/>
      <c r="AE37" s="3182"/>
      <c r="AF37" s="3482"/>
    </row>
    <row r="38" spans="1:32" s="9" customFormat="1" x14ac:dyDescent="0.25">
      <c r="A38" s="286" t="s">
        <v>31</v>
      </c>
      <c r="B38" s="158" t="s">
        <v>32</v>
      </c>
      <c r="C38" s="191">
        <f t="shared" si="17"/>
        <v>237</v>
      </c>
      <c r="D38" s="427">
        <f t="shared" si="17"/>
        <v>120</v>
      </c>
      <c r="E38" s="427">
        <f t="shared" si="17"/>
        <v>138</v>
      </c>
      <c r="F38" s="427">
        <f t="shared" si="17"/>
        <v>219</v>
      </c>
      <c r="G38" s="2689">
        <f t="shared" si="17"/>
        <v>714</v>
      </c>
      <c r="H38" s="191">
        <f t="shared" si="18"/>
        <v>237</v>
      </c>
      <c r="I38" s="427">
        <f t="shared" si="18"/>
        <v>120</v>
      </c>
      <c r="J38" s="427">
        <f t="shared" si="18"/>
        <v>138</v>
      </c>
      <c r="K38" s="427">
        <f t="shared" si="18"/>
        <v>219</v>
      </c>
      <c r="L38" s="2689">
        <f t="shared" si="18"/>
        <v>714</v>
      </c>
      <c r="M38" s="3756" t="s">
        <v>31</v>
      </c>
      <c r="N38" s="3798">
        <f t="shared" si="19"/>
        <v>669</v>
      </c>
      <c r="O38" s="3807">
        <f t="shared" si="20"/>
        <v>96</v>
      </c>
      <c r="P38" s="3798">
        <f t="shared" si="21"/>
        <v>240</v>
      </c>
      <c r="Q38" s="3798">
        <f t="shared" si="22"/>
        <v>48</v>
      </c>
      <c r="R38" s="3790">
        <f t="shared" si="23"/>
        <v>285</v>
      </c>
      <c r="S38" s="3799">
        <f t="shared" si="24"/>
        <v>0</v>
      </c>
      <c r="T38" s="3763">
        <f t="shared" si="25"/>
        <v>45</v>
      </c>
      <c r="U38" s="3761">
        <v>0</v>
      </c>
      <c r="V38" s="3764">
        <v>0</v>
      </c>
      <c r="W38" s="3765">
        <v>0</v>
      </c>
      <c r="X38" s="427">
        <v>45</v>
      </c>
      <c r="Y38" s="3762">
        <v>0</v>
      </c>
      <c r="Z38" s="3182"/>
      <c r="AA38" s="39"/>
      <c r="AB38" s="3182"/>
      <c r="AC38" s="3182"/>
      <c r="AD38" s="3182"/>
      <c r="AE38" s="3182"/>
      <c r="AF38" s="3482"/>
    </row>
    <row r="39" spans="1:32" s="184" customFormat="1" x14ac:dyDescent="0.25">
      <c r="A39" s="287" t="s">
        <v>34</v>
      </c>
      <c r="B39" s="72" t="s">
        <v>107</v>
      </c>
      <c r="C39" s="2635">
        <f>Production!C16</f>
        <v>3908071.2904800698</v>
      </c>
      <c r="D39" s="2656">
        <f>Production!D16</f>
        <v>3627561.52</v>
      </c>
      <c r="E39" s="2656">
        <f>Production!E16</f>
        <v>3372707</v>
      </c>
      <c r="F39" s="2656">
        <f>Production!F16</f>
        <v>1427529.4915110001</v>
      </c>
      <c r="G39" s="2664">
        <f>Production!G16</f>
        <v>12335870</v>
      </c>
      <c r="H39" s="2635">
        <f>Production!C16</f>
        <v>3908071.2904800698</v>
      </c>
      <c r="I39" s="2656">
        <f>Production!D16</f>
        <v>3627561.52</v>
      </c>
      <c r="J39" s="2656">
        <f>Production!E16</f>
        <v>3372707</v>
      </c>
      <c r="K39" s="2656">
        <f>Production!F16</f>
        <v>1427529.4915110001</v>
      </c>
      <c r="L39" s="2664">
        <f>Production!G16</f>
        <v>12335870</v>
      </c>
      <c r="M39" s="3756" t="s">
        <v>34</v>
      </c>
      <c r="N39" s="3798">
        <f>Production!AC7</f>
        <v>12026769.134772001</v>
      </c>
      <c r="O39" s="3798">
        <f>Production!Y7</f>
        <v>4102978.7186670001</v>
      </c>
      <c r="P39" s="3798">
        <f>Production!Z7</f>
        <v>2858250.21809607</v>
      </c>
      <c r="Q39" s="3798">
        <f>Production!AA7</f>
        <v>891705</v>
      </c>
      <c r="R39" s="3790">
        <f>Production!AB7</f>
        <v>4173834.5</v>
      </c>
      <c r="S39" s="3811"/>
      <c r="T39" s="3200">
        <f t="shared" ca="1" si="25"/>
        <v>3709210.3827360007</v>
      </c>
      <c r="U39" s="3181">
        <f>Production!AE7</f>
        <v>127251.965228</v>
      </c>
      <c r="V39" s="3182">
        <f>Production!AF7</f>
        <v>72678.900000000009</v>
      </c>
      <c r="W39" s="3182">
        <f>Production!AG7</f>
        <v>0</v>
      </c>
      <c r="X39" s="53">
        <f>Production!AH7</f>
        <v>109170</v>
      </c>
      <c r="Y39" s="3203">
        <f ca="1">T39</f>
        <v>3400109.5175080006</v>
      </c>
      <c r="Z39" s="3182"/>
      <c r="AA39" s="39"/>
      <c r="AB39" s="3182"/>
      <c r="AC39" s="3182"/>
      <c r="AD39" s="3182"/>
      <c r="AE39" s="3182"/>
      <c r="AF39" s="3482"/>
    </row>
    <row r="40" spans="1:32" ht="27.75" customHeight="1" x14ac:dyDescent="0.25">
      <c r="A40" s="2686" t="s">
        <v>33</v>
      </c>
      <c r="B40" s="158" t="s">
        <v>228</v>
      </c>
      <c r="C40" s="2646">
        <f>IF(ISERROR(C36/C39),0,(C36/C39))</f>
        <v>33.639507826597679</v>
      </c>
      <c r="D40" s="2647">
        <f t="shared" ref="D40:R40" si="26">IF(ISERROR(D36/D39),0,(D36/D39))</f>
        <v>34.735326796249623</v>
      </c>
      <c r="E40" s="2647">
        <f t="shared" si="26"/>
        <v>34.073909103874129</v>
      </c>
      <c r="F40" s="2647">
        <f t="shared" si="26"/>
        <v>58.746339750665491</v>
      </c>
      <c r="G40" s="2698">
        <f t="shared" si="26"/>
        <v>36.985925913462601</v>
      </c>
      <c r="H40" s="2646">
        <f t="shared" si="26"/>
        <v>33.661916578508972</v>
      </c>
      <c r="I40" s="2647">
        <f t="shared" si="26"/>
        <v>34.76001610875506</v>
      </c>
      <c r="J40" s="2647">
        <f t="shared" si="26"/>
        <v>34.102651594698266</v>
      </c>
      <c r="K40" s="2647">
        <f t="shared" si="26"/>
        <v>58.806579486875059</v>
      </c>
      <c r="L40" s="2698">
        <f t="shared" si="26"/>
        <v>37.01511485595308</v>
      </c>
      <c r="M40" s="3756" t="s">
        <v>33</v>
      </c>
      <c r="N40" s="3815">
        <f t="shared" si="26"/>
        <v>36.087340849694776</v>
      </c>
      <c r="O40" s="3815">
        <f t="shared" si="26"/>
        <v>46.758023213030086</v>
      </c>
      <c r="P40" s="3815">
        <f t="shared" si="26"/>
        <v>55.376239718627041</v>
      </c>
      <c r="Q40" s="3815">
        <f t="shared" si="26"/>
        <v>45.895188565725206</v>
      </c>
      <c r="R40" s="3815">
        <f t="shared" si="26"/>
        <v>10.213762559104817</v>
      </c>
      <c r="S40" s="3814"/>
      <c r="T40" s="3774"/>
      <c r="U40" s="3775"/>
      <c r="V40" s="3776"/>
      <c r="W40" s="3777"/>
      <c r="X40" s="3778"/>
      <c r="Y40" s="3779"/>
      <c r="Z40" s="3182"/>
      <c r="AA40" s="39"/>
      <c r="AB40" s="3182"/>
      <c r="AC40" s="3182"/>
      <c r="AD40" s="3182"/>
      <c r="AE40" s="3182"/>
      <c r="AF40" s="3482"/>
    </row>
    <row r="41" spans="1:32" s="9" customFormat="1" ht="34.5" x14ac:dyDescent="0.25">
      <c r="A41" s="2685" t="s">
        <v>995</v>
      </c>
      <c r="B41" s="2695" t="s">
        <v>228</v>
      </c>
      <c r="C41" s="2983">
        <v>33.188000000000002</v>
      </c>
      <c r="D41" s="2995">
        <v>33.188000000000002</v>
      </c>
      <c r="E41" s="2995">
        <v>33.188000000000002</v>
      </c>
      <c r="F41" s="2995">
        <v>33.188000000000002</v>
      </c>
      <c r="G41" s="2985">
        <v>33.188000000000002</v>
      </c>
      <c r="H41" s="2983">
        <v>33.21</v>
      </c>
      <c r="I41" s="2995">
        <v>33.21</v>
      </c>
      <c r="J41" s="2995">
        <v>33.21</v>
      </c>
      <c r="K41" s="2995">
        <v>33.21</v>
      </c>
      <c r="L41" s="2985">
        <v>33.21</v>
      </c>
      <c r="M41" s="3756" t="s">
        <v>995</v>
      </c>
      <c r="N41" s="3820">
        <v>33.21</v>
      </c>
      <c r="O41" s="3808">
        <v>51.238999999999997</v>
      </c>
      <c r="P41" s="3800">
        <v>56.112761587730624</v>
      </c>
      <c r="Q41" s="3800">
        <v>46.31</v>
      </c>
      <c r="R41" s="3792">
        <v>9.3000000000000007</v>
      </c>
      <c r="S41" s="3793"/>
      <c r="T41" s="3780"/>
      <c r="U41" s="3781"/>
      <c r="V41" s="3782"/>
      <c r="W41" s="3783"/>
      <c r="X41" s="3784"/>
      <c r="Y41" s="3785"/>
      <c r="Z41" s="3182"/>
      <c r="AA41" s="39"/>
      <c r="AB41" s="3182"/>
      <c r="AC41" s="3182"/>
      <c r="AD41" s="3182"/>
      <c r="AE41" s="3182"/>
      <c r="AF41" s="3482"/>
    </row>
    <row r="42" spans="1:32" s="9" customFormat="1" ht="57.75" thickBot="1" x14ac:dyDescent="0.3">
      <c r="A42" s="2692" t="s">
        <v>996</v>
      </c>
      <c r="B42" s="2696" t="s">
        <v>98</v>
      </c>
      <c r="C42" s="2701">
        <f>IF(ISERROR((C40-C41)/C41),0,((C40-C41)/C41))</f>
        <v>1.3604550638715102E-2</v>
      </c>
      <c r="D42" s="2691">
        <f t="shared" ref="D42:R42" si="27">IF(ISERROR((D40-D41)/D41),0,((D40-D41)/D41))</f>
        <v>4.6623080518549499E-2</v>
      </c>
      <c r="E42" s="2691">
        <f t="shared" si="27"/>
        <v>2.6693657462761446E-2</v>
      </c>
      <c r="F42" s="2691">
        <f t="shared" si="27"/>
        <v>0.77010786280178034</v>
      </c>
      <c r="G42" s="2702">
        <f t="shared" si="27"/>
        <v>0.11443672150966008</v>
      </c>
      <c r="H42" s="2701">
        <f t="shared" si="27"/>
        <v>1.3607846386900668E-2</v>
      </c>
      <c r="I42" s="2691">
        <f t="shared" si="27"/>
        <v>4.6673174006475741E-2</v>
      </c>
      <c r="J42" s="2691">
        <f t="shared" si="27"/>
        <v>2.6879000141471383E-2</v>
      </c>
      <c r="K42" s="2691">
        <f t="shared" si="27"/>
        <v>0.77074915648524711</v>
      </c>
      <c r="L42" s="2702">
        <f t="shared" si="27"/>
        <v>0.11457738199196262</v>
      </c>
      <c r="M42" s="3822" t="s">
        <v>996</v>
      </c>
      <c r="N42" s="3818">
        <f>IF(ISERROR((N40-N41)/N41),0,((N40-N41)/N41))</f>
        <v>8.6640796437662607E-2</v>
      </c>
      <c r="O42" s="3818">
        <f>IF(ISERROR((O40-O41)/O41),0,((O40-O41)/O41))</f>
        <v>-8.7452463689180346E-2</v>
      </c>
      <c r="P42" s="3818">
        <f t="shared" si="27"/>
        <v>-1.3125746234251074E-2</v>
      </c>
      <c r="Q42" s="3818">
        <f t="shared" si="27"/>
        <v>-8.9572756267500744E-3</v>
      </c>
      <c r="R42" s="3818">
        <f t="shared" si="27"/>
        <v>9.8254038613421066E-2</v>
      </c>
      <c r="S42" s="3794"/>
      <c r="T42" s="3780"/>
      <c r="U42" s="3781"/>
      <c r="V42" s="3782"/>
      <c r="W42" s="3783"/>
      <c r="X42" s="3784"/>
      <c r="Y42" s="3785"/>
      <c r="Z42" s="3182"/>
      <c r="AA42" s="39"/>
      <c r="AB42" s="3182"/>
      <c r="AC42" s="3182"/>
      <c r="AD42" s="3182"/>
      <c r="AE42" s="3182"/>
      <c r="AF42" s="3482"/>
    </row>
    <row r="43" spans="1:32" ht="39.75" customHeight="1" thickBot="1" x14ac:dyDescent="0.3">
      <c r="A43" s="2693" t="s">
        <v>678</v>
      </c>
      <c r="B43" s="2697" t="s">
        <v>98</v>
      </c>
      <c r="C43" s="2703" t="s">
        <v>676</v>
      </c>
      <c r="D43" s="2704" t="s">
        <v>676</v>
      </c>
      <c r="E43" s="2704" t="s">
        <v>676</v>
      </c>
      <c r="F43" s="2704" t="s">
        <v>676</v>
      </c>
      <c r="G43" s="2705" t="s">
        <v>676</v>
      </c>
      <c r="H43" s="2706" t="s">
        <v>676</v>
      </c>
      <c r="I43" s="2707" t="s">
        <v>676</v>
      </c>
      <c r="J43" s="2707" t="s">
        <v>676</v>
      </c>
      <c r="K43" s="2707" t="s">
        <v>676</v>
      </c>
      <c r="L43" s="2708" t="s">
        <v>676</v>
      </c>
      <c r="M43" s="3758" t="s">
        <v>678</v>
      </c>
      <c r="N43" s="3809"/>
      <c r="O43" s="3810"/>
      <c r="P43" s="3801"/>
      <c r="Q43" s="3801"/>
      <c r="R43" s="3802"/>
      <c r="S43" s="3803"/>
      <c r="T43" s="3770"/>
      <c r="U43" s="3771"/>
      <c r="V43" s="3768"/>
      <c r="W43" s="3768"/>
      <c r="X43" s="3772"/>
      <c r="Y43" s="3769"/>
      <c r="Z43" s="3182"/>
      <c r="AA43" s="39"/>
      <c r="AB43" s="3182"/>
      <c r="AC43" s="3182"/>
      <c r="AD43" s="3182"/>
      <c r="AE43" s="3182"/>
      <c r="AF43" s="3482"/>
    </row>
    <row r="44" spans="1:32" ht="15.75" thickBot="1" x14ac:dyDescent="0.3">
      <c r="M44" s="39"/>
      <c r="N44" s="3158"/>
      <c r="O44" s="427"/>
      <c r="P44" s="3182"/>
      <c r="Q44" s="3182"/>
      <c r="R44" s="3481"/>
      <c r="S44" s="3182"/>
      <c r="T44" s="3182"/>
      <c r="U44" s="3274"/>
      <c r="V44" s="3182"/>
      <c r="W44" s="3182"/>
      <c r="X44" s="3482"/>
      <c r="Y44" s="3182"/>
      <c r="Z44" s="3182"/>
      <c r="AA44" s="39"/>
      <c r="AB44" s="3182"/>
      <c r="AC44" s="3182"/>
      <c r="AD44" s="3182"/>
      <c r="AE44" s="3182"/>
      <c r="AF44" s="3482"/>
    </row>
    <row r="45" spans="1:32" ht="16.5" thickTop="1" thickBot="1" x14ac:dyDescent="0.3">
      <c r="C45" s="1"/>
      <c r="D45" s="1"/>
      <c r="E45" s="1"/>
      <c r="F45" s="1"/>
      <c r="G45" s="1"/>
      <c r="H45" s="1"/>
      <c r="M45" s="445"/>
      <c r="N45" s="3159"/>
      <c r="O45" s="126"/>
      <c r="P45" s="126"/>
      <c r="Q45" s="445"/>
    </row>
    <row r="46" spans="1:32" ht="15.75" thickBot="1" x14ac:dyDescent="0.3">
      <c r="A46" s="3405"/>
      <c r="B46" s="3406"/>
      <c r="C46" s="3406"/>
      <c r="D46" s="3406"/>
      <c r="E46" s="1684"/>
      <c r="F46" s="1685"/>
      <c r="G46" s="1"/>
      <c r="H46" s="1"/>
      <c r="N46" s="3160"/>
      <c r="O46" s="126"/>
      <c r="P46" s="126"/>
    </row>
    <row r="47" spans="1:32" ht="15.75" thickBot="1" x14ac:dyDescent="0.3">
      <c r="A47" s="21"/>
      <c r="B47" s="126"/>
      <c r="C47" s="126"/>
      <c r="D47" s="1"/>
      <c r="E47" s="1"/>
      <c r="F47" s="13"/>
      <c r="G47" s="1"/>
      <c r="H47" s="1"/>
      <c r="N47" s="427"/>
      <c r="O47" s="126"/>
      <c r="P47" s="126"/>
    </row>
    <row r="48" spans="1:32" ht="21" thickBot="1" x14ac:dyDescent="0.35">
      <c r="A48" s="21"/>
      <c r="B48" s="126"/>
      <c r="C48" s="126"/>
      <c r="D48" s="1"/>
      <c r="E48" s="1"/>
      <c r="F48" s="13"/>
      <c r="G48" s="1"/>
      <c r="H48" s="1"/>
      <c r="J48" s="4619" t="s">
        <v>1458</v>
      </c>
      <c r="M48" s="445"/>
      <c r="N48" s="3405" t="s">
        <v>1234</v>
      </c>
      <c r="O48" s="3406"/>
      <c r="P48" s="3406"/>
      <c r="Q48" s="3406"/>
      <c r="R48" s="1684"/>
      <c r="S48" s="1685"/>
    </row>
    <row r="49" spans="1:20" x14ac:dyDescent="0.25">
      <c r="A49" s="21"/>
      <c r="B49" s="126"/>
      <c r="C49" s="126"/>
      <c r="D49" s="126"/>
      <c r="E49" s="1"/>
      <c r="F49" s="13"/>
      <c r="G49" s="44"/>
      <c r="H49" s="1"/>
      <c r="J49" t="s">
        <v>1459</v>
      </c>
      <c r="N49" s="21" t="s">
        <v>1232</v>
      </c>
      <c r="O49" s="126">
        <f>C11+D11+H11+I11+M11+N11</f>
        <v>2707802.58</v>
      </c>
      <c r="P49" s="126">
        <f>O49/6 *7</f>
        <v>3159103.01</v>
      </c>
      <c r="Q49" s="1">
        <f>P49*0.08</f>
        <v>252728.2408</v>
      </c>
      <c r="R49" s="1"/>
      <c r="S49" s="13"/>
    </row>
    <row r="50" spans="1:20" ht="15.75" thickBot="1" x14ac:dyDescent="0.3">
      <c r="A50" s="14"/>
      <c r="B50" s="16"/>
      <c r="C50" s="16"/>
      <c r="D50" s="3404"/>
      <c r="E50" s="16"/>
      <c r="F50" s="812"/>
      <c r="G50" s="44"/>
      <c r="H50" s="1"/>
      <c r="N50" s="21" t="s">
        <v>1233</v>
      </c>
      <c r="O50" s="126">
        <f>C15+D15+H15+I15+M15+N15</f>
        <v>23214.019999999997</v>
      </c>
      <c r="P50" s="126">
        <f>O50/6 *7</f>
        <v>27083.023333333327</v>
      </c>
      <c r="Q50" s="1">
        <f>P50*0.07</f>
        <v>1895.811633333333</v>
      </c>
      <c r="R50" s="1"/>
      <c r="S50" s="13"/>
    </row>
    <row r="51" spans="1:20" x14ac:dyDescent="0.25">
      <c r="A51" s="9"/>
      <c r="B51" s="9"/>
      <c r="C51" s="9"/>
      <c r="D51" s="9"/>
      <c r="E51" s="9"/>
      <c r="F51" s="9"/>
      <c r="G51" s="253"/>
      <c r="H51" s="1"/>
      <c r="M51" s="445"/>
      <c r="N51" s="21" t="s">
        <v>1235</v>
      </c>
      <c r="O51" s="126"/>
      <c r="P51" s="126"/>
      <c r="Q51" s="126">
        <f>Q49+Q50</f>
        <v>254624.05243333333</v>
      </c>
      <c r="R51" s="1"/>
      <c r="S51" s="13"/>
    </row>
    <row r="52" spans="1:20" ht="15.75" thickBot="1" x14ac:dyDescent="0.3">
      <c r="C52" s="1"/>
      <c r="D52" s="1"/>
      <c r="E52" s="253"/>
      <c r="F52" s="253"/>
      <c r="G52" s="44"/>
      <c r="H52" s="1"/>
      <c r="M52" s="445"/>
      <c r="N52" s="14" t="s">
        <v>1236</v>
      </c>
      <c r="O52" s="16"/>
      <c r="P52" s="16"/>
      <c r="Q52" s="3404">
        <f>Q51/14.19</f>
        <v>17943.907852948087</v>
      </c>
      <c r="R52" s="16"/>
      <c r="S52" s="812"/>
    </row>
    <row r="53" spans="1:20" ht="15.75" thickBot="1" x14ac:dyDescent="0.3">
      <c r="C53" s="1"/>
      <c r="D53" s="1"/>
      <c r="E53" s="253"/>
      <c r="F53" s="1"/>
      <c r="G53" s="44"/>
      <c r="H53" s="1"/>
    </row>
    <row r="54" spans="1:20" ht="15.75" thickBot="1" x14ac:dyDescent="0.3">
      <c r="C54" s="3170" t="s">
        <v>1125</v>
      </c>
      <c r="D54" s="3171"/>
      <c r="E54" s="3172"/>
      <c r="F54" s="3173"/>
      <c r="G54" s="39"/>
      <c r="H54" s="39"/>
      <c r="I54" s="39"/>
      <c r="J54" s="1759"/>
      <c r="K54" s="1660"/>
      <c r="L54" s="1660"/>
      <c r="M54" s="1660"/>
      <c r="N54" s="1660"/>
      <c r="P54" s="1"/>
    </row>
    <row r="55" spans="1:20" ht="37.5" thickBot="1" x14ac:dyDescent="0.3">
      <c r="C55" s="3210" t="s">
        <v>29</v>
      </c>
      <c r="D55" s="3220" t="s">
        <v>1133</v>
      </c>
      <c r="E55" s="3174" t="s">
        <v>1134</v>
      </c>
      <c r="F55" s="3173" t="s">
        <v>1139</v>
      </c>
      <c r="G55" s="3194" t="s">
        <v>1131</v>
      </c>
      <c r="H55" s="3162" t="s">
        <v>1135</v>
      </c>
      <c r="I55" s="3186" t="s">
        <v>1139</v>
      </c>
      <c r="J55" s="3220" t="s">
        <v>1132</v>
      </c>
      <c r="K55" s="3174" t="s">
        <v>1136</v>
      </c>
      <c r="L55" s="3173" t="s">
        <v>1139</v>
      </c>
      <c r="M55" s="3194" t="s">
        <v>1126</v>
      </c>
      <c r="N55" s="3162" t="s">
        <v>1127</v>
      </c>
      <c r="O55" s="3186" t="s">
        <v>1139</v>
      </c>
      <c r="P55" s="3194" t="s">
        <v>1128</v>
      </c>
      <c r="Q55" s="3236" t="s">
        <v>1129</v>
      </c>
      <c r="R55" s="3237" t="s">
        <v>1137</v>
      </c>
      <c r="S55" s="3238" t="s">
        <v>1138</v>
      </c>
      <c r="T55" s="3163" t="s">
        <v>1130</v>
      </c>
    </row>
    <row r="56" spans="1:20" x14ac:dyDescent="0.25">
      <c r="C56" s="3164">
        <v>43647</v>
      </c>
      <c r="D56" s="3211">
        <v>19596575</v>
      </c>
      <c r="E56" s="3212">
        <v>19520200.100000001</v>
      </c>
      <c r="F56" s="3225">
        <f>((E56-D56)/D56) *100</f>
        <v>-0.38973596151367529</v>
      </c>
      <c r="G56" s="3187">
        <v>18122674</v>
      </c>
      <c r="H56" s="3206">
        <v>16847763</v>
      </c>
      <c r="I56" s="3230">
        <f>((H56-G56)/G56)*100</f>
        <v>-7.0348945194290868</v>
      </c>
      <c r="J56" s="3199">
        <v>4266910</v>
      </c>
      <c r="K56" s="3195">
        <v>4266910.08</v>
      </c>
      <c r="L56" s="3221">
        <f>((K56-J56)/J56)*100</f>
        <v>1.8748930742505891E-6</v>
      </c>
      <c r="M56" s="3195"/>
      <c r="N56" s="3195">
        <v>4242604</v>
      </c>
      <c r="O56" s="11"/>
      <c r="P56" s="3182"/>
      <c r="Q56" s="3182"/>
      <c r="R56" s="3189">
        <f t="shared" ref="R56:R72" si="28">D56+G56+J56</f>
        <v>41986159</v>
      </c>
      <c r="S56" s="3185"/>
      <c r="T56" s="3222"/>
    </row>
    <row r="57" spans="1:20" x14ac:dyDescent="0.25">
      <c r="C57" s="3165">
        <v>43678</v>
      </c>
      <c r="D57" s="3213">
        <v>19740003</v>
      </c>
      <c r="E57" s="3181">
        <v>19663860.239999998</v>
      </c>
      <c r="F57" s="3226">
        <f t="shared" ref="F57:F72" si="29">((E57-D57)/D57) *100</f>
        <v>-0.38572820885590359</v>
      </c>
      <c r="G57" s="3189">
        <v>16698540</v>
      </c>
      <c r="H57" s="3184">
        <v>15535588.643200001</v>
      </c>
      <c r="I57" s="3231">
        <f t="shared" ref="I57:I71" si="30">((H57-G57)/G57)*100</f>
        <v>-6.9643894424302921</v>
      </c>
      <c r="J57" s="3200">
        <v>4085599</v>
      </c>
      <c r="K57" s="3182">
        <v>4085598.56</v>
      </c>
      <c r="L57" s="3222">
        <f t="shared" ref="L57:L71" si="31">((K57-J57)/J57)*100</f>
        <v>-1.0769534649487643E-5</v>
      </c>
      <c r="M57" s="3182"/>
      <c r="N57" s="3182">
        <v>4434297</v>
      </c>
      <c r="O57" s="13"/>
      <c r="P57" s="3182"/>
      <c r="Q57" s="3182"/>
      <c r="R57" s="3189">
        <f t="shared" si="28"/>
        <v>40524142</v>
      </c>
      <c r="S57" s="3185"/>
      <c r="T57" s="3222"/>
    </row>
    <row r="58" spans="1:20" ht="15.75" thickBot="1" x14ac:dyDescent="0.3">
      <c r="C58" s="3166">
        <v>43709</v>
      </c>
      <c r="D58" s="3214">
        <v>18424246</v>
      </c>
      <c r="E58" s="3215">
        <v>18345398.739999998</v>
      </c>
      <c r="F58" s="3227">
        <f t="shared" si="29"/>
        <v>-0.42795379523266047</v>
      </c>
      <c r="G58" s="3190">
        <v>16211992</v>
      </c>
      <c r="H58" s="3207">
        <v>15202743.229806</v>
      </c>
      <c r="I58" s="3232">
        <f t="shared" si="30"/>
        <v>-6.2253224045138911</v>
      </c>
      <c r="J58" s="3201">
        <v>4502510</v>
      </c>
      <c r="K58" s="3196">
        <v>4502510.08</v>
      </c>
      <c r="L58" s="3223">
        <f t="shared" si="31"/>
        <v>1.7767867272811344E-6</v>
      </c>
      <c r="M58" s="3182"/>
      <c r="N58" s="3182">
        <v>4781975</v>
      </c>
      <c r="O58" s="13"/>
      <c r="P58" s="3182"/>
      <c r="Q58" s="3182"/>
      <c r="R58" s="3190">
        <f t="shared" si="28"/>
        <v>39138748</v>
      </c>
      <c r="S58" s="3191"/>
      <c r="T58" s="3223"/>
    </row>
    <row r="59" spans="1:20" ht="15.75" thickBot="1" x14ac:dyDescent="0.3">
      <c r="C59" s="3167" t="s">
        <v>92</v>
      </c>
      <c r="D59" s="3197">
        <f>SUM(D56:D58)</f>
        <v>57760824</v>
      </c>
      <c r="E59" s="3168">
        <f>SUM(E56:E58)</f>
        <v>57529459.079999998</v>
      </c>
      <c r="F59" s="3228">
        <f t="shared" si="29"/>
        <v>-0.40055682031129225</v>
      </c>
      <c r="G59" s="3197">
        <f>SUM(G56:G58)</f>
        <v>51033206</v>
      </c>
      <c r="H59" s="3168">
        <f>SUM(H56:H58)</f>
        <v>47586094.873006001</v>
      </c>
      <c r="I59" s="3233">
        <f t="shared" si="30"/>
        <v>-6.7546434903462638</v>
      </c>
      <c r="J59" s="3197">
        <f>SUM(J56:J58)</f>
        <v>12855019</v>
      </c>
      <c r="K59" s="3168">
        <f>SUM(K56:K58)</f>
        <v>12855018.720000001</v>
      </c>
      <c r="L59" s="3224">
        <f t="shared" si="31"/>
        <v>-2.1781375766885119E-6</v>
      </c>
      <c r="M59" s="3168">
        <f>SUM(M56:M58)</f>
        <v>0</v>
      </c>
      <c r="N59" s="3168">
        <v>13458876</v>
      </c>
      <c r="O59" s="3218"/>
      <c r="P59" s="3197">
        <f>SUM(P56:P58)</f>
        <v>0</v>
      </c>
      <c r="Q59" s="3169">
        <v>87575</v>
      </c>
      <c r="R59" s="3175">
        <f t="shared" si="28"/>
        <v>121649049</v>
      </c>
      <c r="S59" s="3239">
        <f>E59+H59+K59</f>
        <v>117970572.673006</v>
      </c>
      <c r="T59" s="3240">
        <f>((S59-R59)/R59)*100</f>
        <v>-3.023843061028781</v>
      </c>
    </row>
    <row r="60" spans="1:20" x14ac:dyDescent="0.25">
      <c r="C60" s="3177">
        <v>43739</v>
      </c>
      <c r="D60" s="3187">
        <v>19294167</v>
      </c>
      <c r="E60" s="3195">
        <v>19196765.530000001</v>
      </c>
      <c r="F60" s="3225">
        <f t="shared" si="29"/>
        <v>-0.50482340077184362</v>
      </c>
      <c r="G60" s="3199">
        <v>15733615</v>
      </c>
      <c r="H60" s="3206">
        <v>14772985.4142</v>
      </c>
      <c r="I60" s="3230">
        <f t="shared" si="30"/>
        <v>-6.1055872143814343</v>
      </c>
      <c r="J60" s="3199">
        <v>3927955</v>
      </c>
      <c r="K60" s="3195">
        <v>3927954.88</v>
      </c>
      <c r="L60" s="3221">
        <f t="shared" si="31"/>
        <v>-3.0550248185572058E-6</v>
      </c>
      <c r="M60" s="3182"/>
      <c r="N60" s="3182">
        <v>4530438</v>
      </c>
      <c r="O60" s="13"/>
      <c r="P60" s="3182"/>
      <c r="Q60" s="3182"/>
      <c r="R60" s="3187">
        <f t="shared" si="28"/>
        <v>38955737</v>
      </c>
      <c r="S60" s="3188"/>
      <c r="T60" s="3221"/>
    </row>
    <row r="61" spans="1:20" x14ac:dyDescent="0.25">
      <c r="C61" s="3165">
        <v>43770</v>
      </c>
      <c r="D61" s="3189">
        <v>19243943</v>
      </c>
      <c r="E61" s="3182">
        <v>19137283.899999999</v>
      </c>
      <c r="F61" s="3226">
        <f t="shared" si="29"/>
        <v>-0.55424764041340957</v>
      </c>
      <c r="G61" s="3200">
        <v>15945085</v>
      </c>
      <c r="H61" s="3184">
        <v>15012046</v>
      </c>
      <c r="I61" s="3231">
        <f t="shared" si="30"/>
        <v>-5.8515774610169844</v>
      </c>
      <c r="J61" s="3200">
        <v>4470717</v>
      </c>
      <c r="K61" s="3182">
        <v>4470717.12</v>
      </c>
      <c r="L61" s="3222">
        <f t="shared" si="31"/>
        <v>2.6841332187154479E-6</v>
      </c>
      <c r="M61" s="3182"/>
      <c r="N61" s="3182">
        <v>4444783</v>
      </c>
      <c r="O61" s="13"/>
      <c r="P61" s="3182"/>
      <c r="Q61" s="3182"/>
      <c r="R61" s="3189">
        <f t="shared" si="28"/>
        <v>39659745</v>
      </c>
      <c r="S61" s="3185"/>
      <c r="T61" s="3222"/>
    </row>
    <row r="62" spans="1:20" ht="15.75" thickBot="1" x14ac:dyDescent="0.3">
      <c r="C62" s="3166">
        <v>43800</v>
      </c>
      <c r="D62" s="3190">
        <v>17793113</v>
      </c>
      <c r="E62" s="3196">
        <v>17719631.66</v>
      </c>
      <c r="F62" s="3227">
        <f t="shared" si="29"/>
        <v>-0.4129763015611706</v>
      </c>
      <c r="G62" s="3201">
        <v>14947523</v>
      </c>
      <c r="H62" s="3207">
        <v>14105221.216499999</v>
      </c>
      <c r="I62" s="3232">
        <f t="shared" si="30"/>
        <v>-5.6350592904255832</v>
      </c>
      <c r="J62" s="3201">
        <v>3180770</v>
      </c>
      <c r="K62" s="3196">
        <v>4113356.64</v>
      </c>
      <c r="L62" s="3223">
        <f t="shared" si="31"/>
        <v>29.319524517648247</v>
      </c>
      <c r="M62" s="3196"/>
      <c r="N62" s="3196">
        <v>4526604</v>
      </c>
      <c r="O62" s="812"/>
      <c r="P62" s="3182"/>
      <c r="Q62" s="3182"/>
      <c r="R62" s="3190">
        <f t="shared" si="28"/>
        <v>35921406</v>
      </c>
      <c r="S62" s="3191"/>
      <c r="T62" s="3223"/>
    </row>
    <row r="63" spans="1:20" ht="15.75" thickBot="1" x14ac:dyDescent="0.3">
      <c r="C63" s="3178" t="s">
        <v>93</v>
      </c>
      <c r="D63" s="3175">
        <f>SUM(D60:D62)</f>
        <v>56331223</v>
      </c>
      <c r="E63" s="3192">
        <f>SUM(E60:E62)</f>
        <v>56053681.090000004</v>
      </c>
      <c r="F63" s="3228">
        <f t="shared" si="29"/>
        <v>-0.49269640391084074</v>
      </c>
      <c r="G63" s="3175">
        <f>SUM(G60:G62)</f>
        <v>46626223</v>
      </c>
      <c r="H63" s="3192">
        <f>SUM(H60:H62)</f>
        <v>43890252.6307</v>
      </c>
      <c r="I63" s="3233">
        <f t="shared" si="30"/>
        <v>-5.8678790458751084</v>
      </c>
      <c r="J63" s="3175">
        <f>SUM(J60:J62)</f>
        <v>11579442</v>
      </c>
      <c r="K63" s="3192">
        <f>SUM(K60:K62)</f>
        <v>12512028.640000001</v>
      </c>
      <c r="L63" s="3224">
        <f t="shared" si="31"/>
        <v>8.0538133011936193</v>
      </c>
      <c r="M63" s="3192">
        <f>SUM(M60:M62)</f>
        <v>0</v>
      </c>
      <c r="N63" s="3192">
        <v>13501825</v>
      </c>
      <c r="O63" s="3218"/>
      <c r="P63" s="3175">
        <f>SUM(P60:P62)</f>
        <v>0</v>
      </c>
      <c r="Q63" s="3198">
        <v>89562</v>
      </c>
      <c r="R63" s="3175">
        <f t="shared" si="28"/>
        <v>114536888</v>
      </c>
      <c r="S63" s="3175">
        <f>E63+H63+K63</f>
        <v>112455962.3607</v>
      </c>
      <c r="T63" s="3224">
        <f>((S63-R63)/R63)*100</f>
        <v>-1.8168169885146555</v>
      </c>
    </row>
    <row r="64" spans="1:20" x14ac:dyDescent="0.25">
      <c r="C64" s="3177">
        <v>43831</v>
      </c>
      <c r="D64" s="3187">
        <v>16753517</v>
      </c>
      <c r="E64" s="3195">
        <v>16684415.57</v>
      </c>
      <c r="F64" s="3225">
        <f t="shared" si="29"/>
        <v>-0.41245924661669364</v>
      </c>
      <c r="G64" s="3187">
        <v>14992111</v>
      </c>
      <c r="H64" s="3195">
        <v>14066028.5974</v>
      </c>
      <c r="I64" s="3230">
        <f t="shared" si="30"/>
        <v>-6.1771314433304267</v>
      </c>
      <c r="J64" s="3187">
        <v>3060618</v>
      </c>
      <c r="K64" s="3195">
        <v>3060617.92</v>
      </c>
      <c r="L64" s="3221">
        <f t="shared" si="31"/>
        <v>-2.613851191965342E-6</v>
      </c>
      <c r="M64" s="3182"/>
      <c r="N64" s="3182">
        <v>4690968</v>
      </c>
      <c r="O64" s="1"/>
      <c r="P64" s="3187"/>
      <c r="Q64" s="3202"/>
      <c r="R64" s="3187">
        <f t="shared" si="28"/>
        <v>34806246</v>
      </c>
      <c r="S64" s="3188"/>
      <c r="T64" s="3221"/>
    </row>
    <row r="65" spans="1:20" x14ac:dyDescent="0.25">
      <c r="C65" s="3165">
        <v>43862</v>
      </c>
      <c r="D65" s="3189">
        <v>17285593</v>
      </c>
      <c r="E65" s="3182">
        <v>17218613.100000001</v>
      </c>
      <c r="F65" s="3226">
        <f t="shared" si="29"/>
        <v>-0.38748974362637434</v>
      </c>
      <c r="G65" s="3200">
        <v>14372081</v>
      </c>
      <c r="H65" s="3184">
        <v>13608200.5141</v>
      </c>
      <c r="I65" s="3231">
        <f t="shared" si="30"/>
        <v>-5.3150304809720996</v>
      </c>
      <c r="J65" s="3200">
        <v>4046422</v>
      </c>
      <c r="K65" s="3182">
        <v>4046422.08</v>
      </c>
      <c r="L65" s="3222">
        <f t="shared" si="31"/>
        <v>1.9770552867324716E-6</v>
      </c>
      <c r="M65" s="3182"/>
      <c r="N65" s="3182">
        <v>4460544</v>
      </c>
      <c r="O65" s="1"/>
      <c r="P65" s="3189"/>
      <c r="Q65" s="3203"/>
      <c r="R65" s="3189">
        <f t="shared" si="28"/>
        <v>35704096</v>
      </c>
      <c r="S65" s="3185"/>
      <c r="T65" s="3222"/>
    </row>
    <row r="66" spans="1:20" ht="15.75" thickBot="1" x14ac:dyDescent="0.3">
      <c r="C66" s="3166">
        <v>43891</v>
      </c>
      <c r="D66" s="3201"/>
      <c r="E66" s="3196"/>
      <c r="F66" s="3227" t="e">
        <f t="shared" si="29"/>
        <v>#DIV/0!</v>
      </c>
      <c r="G66" s="3201"/>
      <c r="H66" s="3207"/>
      <c r="I66" s="3232" t="e">
        <f t="shared" si="30"/>
        <v>#DIV/0!</v>
      </c>
      <c r="J66" s="3201"/>
      <c r="K66" s="3196"/>
      <c r="L66" s="3223" t="e">
        <f t="shared" si="31"/>
        <v>#DIV/0!</v>
      </c>
      <c r="M66" s="3182"/>
      <c r="N66" s="3182"/>
      <c r="O66" s="1"/>
      <c r="P66" s="3190"/>
      <c r="Q66" s="3204"/>
      <c r="R66" s="3190">
        <f t="shared" si="28"/>
        <v>0</v>
      </c>
      <c r="S66" s="3191"/>
      <c r="T66" s="3223"/>
    </row>
    <row r="67" spans="1:20" ht="15.75" thickBot="1" x14ac:dyDescent="0.3">
      <c r="C67" s="3178" t="s">
        <v>94</v>
      </c>
      <c r="D67" s="3175">
        <f>SUM(D64:D66)</f>
        <v>34039110</v>
      </c>
      <c r="E67" s="3192">
        <f>SUM(E64:E66)</f>
        <v>33903028.670000002</v>
      </c>
      <c r="F67" s="3228">
        <f t="shared" si="29"/>
        <v>-0.39977934205682292</v>
      </c>
      <c r="G67" s="3175">
        <f>SUM(G64:G66)</f>
        <v>29364192</v>
      </c>
      <c r="H67" s="3192">
        <f>SUM(H64:H66)</f>
        <v>27674229.111500002</v>
      </c>
      <c r="I67" s="3233">
        <f t="shared" si="30"/>
        <v>-5.7551826677199136</v>
      </c>
      <c r="J67" s="3175">
        <f>SUM(J64:J66)</f>
        <v>7107040</v>
      </c>
      <c r="K67" s="3192">
        <f>SUM(K64:K66)</f>
        <v>7107040</v>
      </c>
      <c r="L67" s="3224">
        <f t="shared" si="31"/>
        <v>0</v>
      </c>
      <c r="M67" s="3192">
        <f>SUM(M64:M66)</f>
        <v>0</v>
      </c>
      <c r="N67" s="3192">
        <f>SUM(N64:N66)</f>
        <v>9151512</v>
      </c>
      <c r="O67" s="3218"/>
      <c r="P67" s="3183">
        <f>SUM(P64:P66)</f>
        <v>0</v>
      </c>
      <c r="Q67" s="3183">
        <f>SUM(Q64:Q66)</f>
        <v>0</v>
      </c>
      <c r="R67" s="3175">
        <f t="shared" si="28"/>
        <v>70510342</v>
      </c>
      <c r="S67" s="3175">
        <f>E67+H67+K67</f>
        <v>68684297.781500012</v>
      </c>
      <c r="T67" s="3224"/>
    </row>
    <row r="68" spans="1:20" x14ac:dyDescent="0.25">
      <c r="A68" s="39"/>
      <c r="B68" s="39"/>
      <c r="C68" s="3177">
        <v>43922</v>
      </c>
      <c r="D68" s="3187"/>
      <c r="E68" s="3195"/>
      <c r="F68" s="3225" t="e">
        <f t="shared" si="29"/>
        <v>#DIV/0!</v>
      </c>
      <c r="G68" s="3199"/>
      <c r="H68" s="3206"/>
      <c r="I68" s="3230" t="e">
        <f t="shared" si="30"/>
        <v>#DIV/0!</v>
      </c>
      <c r="J68" s="3199"/>
      <c r="K68" s="3195"/>
      <c r="L68" s="3221" t="e">
        <f t="shared" si="31"/>
        <v>#DIV/0!</v>
      </c>
      <c r="M68" s="3195"/>
      <c r="N68" s="3195"/>
      <c r="O68" s="11"/>
      <c r="P68" s="3187"/>
      <c r="Q68" s="3202"/>
      <c r="R68" s="3187">
        <f t="shared" si="28"/>
        <v>0</v>
      </c>
      <c r="S68" s="3188"/>
      <c r="T68" s="3221"/>
    </row>
    <row r="69" spans="1:20" x14ac:dyDescent="0.25">
      <c r="A69" s="39"/>
      <c r="B69" s="39"/>
      <c r="C69" s="3165">
        <v>43952</v>
      </c>
      <c r="D69" s="3189"/>
      <c r="E69" s="3182"/>
      <c r="F69" s="3226" t="e">
        <f t="shared" si="29"/>
        <v>#DIV/0!</v>
      </c>
      <c r="G69" s="3208"/>
      <c r="H69" s="3185"/>
      <c r="I69" s="3231" t="e">
        <f t="shared" si="30"/>
        <v>#DIV/0!</v>
      </c>
      <c r="J69" s="3200"/>
      <c r="K69" s="3182"/>
      <c r="L69" s="3222" t="e">
        <f t="shared" si="31"/>
        <v>#DIV/0!</v>
      </c>
      <c r="M69" s="3182"/>
      <c r="N69" s="3182"/>
      <c r="O69" s="13"/>
      <c r="P69" s="3189"/>
      <c r="Q69" s="3203"/>
      <c r="R69" s="3189">
        <f t="shared" si="28"/>
        <v>0</v>
      </c>
      <c r="S69" s="3185"/>
      <c r="T69" s="3222"/>
    </row>
    <row r="70" spans="1:20" ht="15.75" thickBot="1" x14ac:dyDescent="0.3">
      <c r="A70" s="4993"/>
      <c r="B70" s="394"/>
      <c r="C70" s="3166">
        <v>43983</v>
      </c>
      <c r="D70" s="3190"/>
      <c r="E70" s="3196"/>
      <c r="F70" s="3227" t="e">
        <f t="shared" si="29"/>
        <v>#DIV/0!</v>
      </c>
      <c r="G70" s="3209"/>
      <c r="H70" s="3191"/>
      <c r="I70" s="3232" t="e">
        <f t="shared" si="30"/>
        <v>#DIV/0!</v>
      </c>
      <c r="J70" s="3201"/>
      <c r="K70" s="3196"/>
      <c r="L70" s="3223" t="e">
        <f t="shared" si="31"/>
        <v>#DIV/0!</v>
      </c>
      <c r="M70" s="3196"/>
      <c r="N70" s="3196"/>
      <c r="O70" s="812"/>
      <c r="P70" s="3190"/>
      <c r="Q70" s="3204"/>
      <c r="R70" s="3190">
        <f t="shared" si="28"/>
        <v>0</v>
      </c>
      <c r="S70" s="3191"/>
      <c r="T70" s="3223"/>
    </row>
    <row r="71" spans="1:20" ht="15.75" thickBot="1" x14ac:dyDescent="0.3">
      <c r="A71" s="4993"/>
      <c r="B71" s="2373"/>
      <c r="C71" s="3179" t="s">
        <v>95</v>
      </c>
      <c r="D71" s="3175">
        <f>SUM(D68:D70)</f>
        <v>0</v>
      </c>
      <c r="E71" s="3192">
        <f>SUM(E68:E70)</f>
        <v>0</v>
      </c>
      <c r="F71" s="3228" t="e">
        <f t="shared" si="29"/>
        <v>#DIV/0!</v>
      </c>
      <c r="G71" s="3175">
        <f>SUM(G68:G70)</f>
        <v>0</v>
      </c>
      <c r="H71" s="3192">
        <f>SUM(H68:H70)</f>
        <v>0</v>
      </c>
      <c r="I71" s="3233" t="e">
        <f t="shared" si="30"/>
        <v>#DIV/0!</v>
      </c>
      <c r="J71" s="3175">
        <f>SUM(J68:J70)</f>
        <v>0</v>
      </c>
      <c r="K71" s="3192">
        <f>SUM(K68:K70)</f>
        <v>0</v>
      </c>
      <c r="L71" s="3224" t="e">
        <f t="shared" si="31"/>
        <v>#DIV/0!</v>
      </c>
      <c r="M71" s="3192">
        <f>SUM(M68:M70)</f>
        <v>0</v>
      </c>
      <c r="N71" s="3192">
        <f>SUM(N68:N70)</f>
        <v>0</v>
      </c>
      <c r="O71" s="3218"/>
      <c r="P71" s="3175">
        <f>SUM(P68:P70)</f>
        <v>0</v>
      </c>
      <c r="Q71" s="3198">
        <f>SUM(Q68:Q70)</f>
        <v>0</v>
      </c>
      <c r="R71" s="3175">
        <f t="shared" si="28"/>
        <v>0</v>
      </c>
      <c r="S71" s="3192">
        <f>SUM(S68:S70)</f>
        <v>0</v>
      </c>
      <c r="T71" s="3224"/>
    </row>
    <row r="72" spans="1:20" ht="15.75" thickBot="1" x14ac:dyDescent="0.3">
      <c r="A72" s="4993"/>
      <c r="B72" s="394"/>
      <c r="C72" s="3180" t="s">
        <v>1045</v>
      </c>
      <c r="D72" s="3193">
        <f>D59+D63+D67+D71</f>
        <v>148131157</v>
      </c>
      <c r="E72" s="3176">
        <f>E59+E63+E67+E71</f>
        <v>147486168.84</v>
      </c>
      <c r="F72" s="3229">
        <f t="shared" si="29"/>
        <v>-0.43541694607839759</v>
      </c>
      <c r="G72" s="3217">
        <f>G59+G63+G67+G71</f>
        <v>127023621</v>
      </c>
      <c r="H72" s="3217">
        <f>H59+H63+H67+H71</f>
        <v>119150576.615206</v>
      </c>
      <c r="I72" s="3234"/>
      <c r="J72" s="3216">
        <f>J59+J63+J67+J71</f>
        <v>31541501</v>
      </c>
      <c r="K72" s="3217">
        <f>K59+K63+K67+K71</f>
        <v>32474087.359999999</v>
      </c>
      <c r="L72" s="3235"/>
      <c r="M72" s="3193">
        <f>M59+M63+M67+M71</f>
        <v>0</v>
      </c>
      <c r="N72" s="3176">
        <f>N59+N63+N67+N71</f>
        <v>36112213</v>
      </c>
      <c r="O72" s="3219"/>
      <c r="P72" s="3193">
        <f>P59+P63+P67+P71</f>
        <v>0</v>
      </c>
      <c r="Q72" s="3205">
        <f>Q59+Q63+Q67+Q71</f>
        <v>177137</v>
      </c>
      <c r="R72" s="3193">
        <f t="shared" si="28"/>
        <v>306696279</v>
      </c>
      <c r="S72" s="3176">
        <f>S59+S63+S67+S71</f>
        <v>299110832.81520605</v>
      </c>
      <c r="T72" s="3241"/>
    </row>
    <row r="73" spans="1:20" x14ac:dyDescent="0.25">
      <c r="A73" s="4993"/>
      <c r="B73" s="394"/>
      <c r="C73" s="39"/>
      <c r="D73" s="39"/>
      <c r="E73" s="39"/>
      <c r="F73" s="39"/>
      <c r="G73" s="39"/>
      <c r="H73" s="39"/>
      <c r="I73" s="39"/>
      <c r="J73" s="39"/>
      <c r="K73" s="39"/>
      <c r="L73" s="39"/>
      <c r="M73" s="39"/>
      <c r="N73" s="39"/>
      <c r="O73" s="39"/>
    </row>
    <row r="74" spans="1:20" x14ac:dyDescent="0.25">
      <c r="A74" s="4993"/>
      <c r="B74" s="394"/>
      <c r="C74" s="53"/>
      <c r="D74" s="53"/>
      <c r="E74" s="53"/>
      <c r="F74" s="53"/>
      <c r="G74" s="39"/>
      <c r="H74" s="39"/>
      <c r="I74" s="39"/>
      <c r="J74" s="39"/>
      <c r="K74" s="39"/>
      <c r="L74" s="39"/>
      <c r="M74" s="39"/>
      <c r="N74" s="39"/>
      <c r="O74" s="39"/>
    </row>
    <row r="75" spans="1:20" x14ac:dyDescent="0.25">
      <c r="A75" s="4993"/>
      <c r="B75" s="2373"/>
      <c r="C75" s="1660"/>
      <c r="D75" s="1660"/>
      <c r="E75" s="1660"/>
      <c r="F75" s="39"/>
      <c r="G75" s="39"/>
      <c r="H75" s="39"/>
      <c r="I75" s="39"/>
      <c r="J75" s="39"/>
      <c r="K75" s="39"/>
      <c r="L75" s="39"/>
      <c r="M75" s="39"/>
      <c r="N75" s="39"/>
      <c r="O75" s="39"/>
    </row>
    <row r="76" spans="1:20" x14ac:dyDescent="0.25">
      <c r="A76" s="4993"/>
      <c r="B76" s="394"/>
      <c r="C76" s="1660"/>
      <c r="D76" s="1660"/>
      <c r="E76" s="1660"/>
      <c r="F76" s="1660"/>
      <c r="G76" s="39"/>
      <c r="H76" s="39"/>
      <c r="I76" s="39"/>
      <c r="J76" s="39"/>
      <c r="K76" s="39"/>
      <c r="L76" s="39"/>
      <c r="M76" s="39"/>
      <c r="N76" s="39"/>
      <c r="O76" s="39"/>
    </row>
    <row r="77" spans="1:20" x14ac:dyDescent="0.25">
      <c r="A77" s="4993"/>
      <c r="B77" s="394"/>
      <c r="C77" s="39"/>
      <c r="D77" s="39"/>
      <c r="E77" s="39"/>
      <c r="F77" s="39"/>
      <c r="G77" s="39"/>
      <c r="H77" s="39"/>
      <c r="I77" s="39"/>
      <c r="J77" s="39"/>
      <c r="K77" s="39"/>
      <c r="L77" s="39"/>
      <c r="M77" s="39"/>
      <c r="N77" s="39"/>
      <c r="O77" s="39"/>
    </row>
    <row r="78" spans="1:20" x14ac:dyDescent="0.25">
      <c r="A78" s="4993"/>
      <c r="B78" s="394"/>
      <c r="C78" s="53"/>
      <c r="D78" s="53"/>
      <c r="E78" s="53"/>
      <c r="F78" s="53"/>
      <c r="G78" s="39"/>
      <c r="H78" s="39"/>
      <c r="I78" s="39"/>
      <c r="J78" s="39"/>
      <c r="K78" s="39"/>
      <c r="L78" s="39"/>
      <c r="M78" s="39"/>
      <c r="N78" s="39"/>
      <c r="O78" s="39"/>
    </row>
    <row r="79" spans="1:20" x14ac:dyDescent="0.25">
      <c r="A79" s="4993"/>
      <c r="B79" s="2373"/>
      <c r="C79" s="1660"/>
      <c r="D79" s="1660"/>
      <c r="E79" s="1660"/>
      <c r="F79" s="39"/>
      <c r="G79" s="39"/>
      <c r="H79" s="39"/>
      <c r="I79" s="39"/>
      <c r="J79" s="39"/>
      <c r="K79" s="39"/>
      <c r="L79" s="39"/>
      <c r="M79" s="39"/>
      <c r="N79" s="39"/>
      <c r="O79" s="39"/>
    </row>
    <row r="80" spans="1:20" x14ac:dyDescent="0.25">
      <c r="A80" s="4993"/>
      <c r="B80" s="394"/>
      <c r="C80" s="1660"/>
      <c r="D80" s="1660"/>
      <c r="E80" s="1660"/>
      <c r="F80" s="1660"/>
      <c r="G80" s="39"/>
      <c r="H80" s="39"/>
      <c r="I80" s="39"/>
      <c r="J80" s="39"/>
      <c r="K80" s="39"/>
      <c r="L80" s="39"/>
      <c r="M80" s="39"/>
      <c r="N80" s="39"/>
      <c r="O80" s="39"/>
    </row>
    <row r="81" spans="1:15" x14ac:dyDescent="0.25">
      <c r="A81" s="4993"/>
      <c r="B81" s="394"/>
      <c r="C81" s="39"/>
      <c r="D81" s="39"/>
      <c r="E81" s="39"/>
      <c r="F81" s="39"/>
      <c r="G81" s="39"/>
      <c r="H81" s="39"/>
      <c r="I81" s="39"/>
      <c r="J81" s="39"/>
      <c r="K81" s="39"/>
      <c r="L81" s="39"/>
      <c r="M81" s="39"/>
      <c r="N81" s="39"/>
      <c r="O81" s="39"/>
    </row>
    <row r="82" spans="1:15" x14ac:dyDescent="0.25">
      <c r="A82" s="4993"/>
      <c r="B82" s="394"/>
      <c r="C82" s="53"/>
      <c r="D82" s="53"/>
      <c r="E82" s="53"/>
      <c r="F82" s="53"/>
      <c r="G82" s="39"/>
      <c r="H82" s="39"/>
      <c r="I82" s="39"/>
      <c r="J82" s="39"/>
      <c r="K82" s="39"/>
      <c r="L82" s="39"/>
      <c r="M82" s="39"/>
      <c r="N82" s="39"/>
      <c r="O82" s="39"/>
    </row>
    <row r="83" spans="1:15" x14ac:dyDescent="0.25">
      <c r="A83" s="4993"/>
      <c r="B83" s="2373"/>
      <c r="C83" s="1660"/>
      <c r="D83" s="1660"/>
      <c r="E83" s="1660"/>
      <c r="F83" s="39"/>
      <c r="G83" s="39"/>
      <c r="H83" s="39"/>
      <c r="I83" s="39"/>
      <c r="J83" s="39"/>
      <c r="K83" s="39"/>
      <c r="L83" s="39"/>
      <c r="M83" s="39"/>
      <c r="N83" s="39"/>
      <c r="O83" s="39"/>
    </row>
    <row r="84" spans="1:15" x14ac:dyDescent="0.25">
      <c r="A84" s="4993"/>
      <c r="B84" s="394"/>
      <c r="C84" s="1660"/>
      <c r="D84" s="1660"/>
      <c r="E84" s="1660"/>
      <c r="F84" s="1660"/>
      <c r="G84" s="1660"/>
      <c r="H84" s="1660"/>
      <c r="I84" s="1660"/>
      <c r="J84" s="1660"/>
      <c r="K84" s="1660"/>
      <c r="L84" s="1660"/>
      <c r="M84" s="1660"/>
      <c r="N84" s="1660"/>
      <c r="O84" s="39"/>
    </row>
    <row r="85" spans="1:15" x14ac:dyDescent="0.25">
      <c r="A85" s="4993"/>
      <c r="B85" s="394"/>
      <c r="C85" s="39"/>
      <c r="D85" s="39"/>
      <c r="E85" s="39"/>
      <c r="F85" s="39"/>
      <c r="G85" s="39"/>
      <c r="H85" s="39"/>
      <c r="I85" s="39"/>
      <c r="J85" s="39"/>
      <c r="K85" s="39"/>
      <c r="L85" s="39"/>
      <c r="M85" s="39"/>
      <c r="N85" s="39"/>
      <c r="O85" s="39"/>
    </row>
    <row r="86" spans="1:15" x14ac:dyDescent="0.25">
      <c r="A86" s="4993"/>
      <c r="B86" s="394"/>
      <c r="C86" s="53"/>
      <c r="D86" s="53"/>
      <c r="E86" s="39"/>
      <c r="F86" s="39"/>
      <c r="G86" s="39"/>
      <c r="H86" s="39"/>
      <c r="I86" s="39"/>
      <c r="J86" s="39"/>
      <c r="K86" s="39"/>
      <c r="L86" s="39"/>
      <c r="M86" s="39"/>
      <c r="N86" s="39"/>
      <c r="O86" s="39"/>
    </row>
    <row r="87" spans="1:15" x14ac:dyDescent="0.25">
      <c r="A87" s="4993"/>
      <c r="B87" s="2373"/>
      <c r="C87" s="1660"/>
      <c r="D87" s="1660"/>
      <c r="E87" s="1660"/>
      <c r="F87" s="39"/>
      <c r="G87" s="39"/>
      <c r="H87" s="39"/>
      <c r="I87" s="39"/>
      <c r="J87" s="39"/>
      <c r="K87" s="39"/>
      <c r="L87" s="39"/>
      <c r="M87" s="39"/>
      <c r="N87" s="39"/>
      <c r="O87" s="39"/>
    </row>
    <row r="88" spans="1:15" x14ac:dyDescent="0.25">
      <c r="A88" s="4993"/>
      <c r="B88" s="394"/>
      <c r="C88" s="1660"/>
      <c r="D88" s="1660"/>
      <c r="E88" s="1660"/>
      <c r="F88" s="39"/>
      <c r="G88" s="39"/>
      <c r="H88" s="39"/>
      <c r="I88" s="39"/>
      <c r="J88" s="39"/>
      <c r="K88" s="39"/>
      <c r="L88" s="39"/>
      <c r="M88" s="39"/>
      <c r="N88" s="39"/>
      <c r="O88" s="39"/>
    </row>
    <row r="89" spans="1:15" x14ac:dyDescent="0.25">
      <c r="A89" s="4993"/>
      <c r="B89" s="394"/>
      <c r="C89" s="39"/>
      <c r="D89" s="39"/>
      <c r="E89" s="39"/>
      <c r="F89" s="39"/>
      <c r="G89" s="39"/>
      <c r="H89" s="39"/>
      <c r="I89" s="39"/>
      <c r="J89" s="39"/>
      <c r="K89" s="39"/>
      <c r="L89" s="39"/>
      <c r="M89" s="39"/>
      <c r="N89" s="39"/>
      <c r="O89" s="39"/>
    </row>
    <row r="90" spans="1:15" x14ac:dyDescent="0.25">
      <c r="A90" s="39"/>
      <c r="B90" s="39"/>
      <c r="C90" s="39"/>
      <c r="D90" s="39"/>
      <c r="E90" s="39"/>
      <c r="F90" s="39"/>
      <c r="G90" s="39"/>
      <c r="H90" s="39"/>
      <c r="I90" s="39"/>
      <c r="J90" s="39"/>
      <c r="K90" s="39"/>
      <c r="L90" s="39"/>
      <c r="M90" s="39"/>
      <c r="N90" s="39"/>
      <c r="O90" s="39"/>
    </row>
    <row r="91" spans="1:15" x14ac:dyDescent="0.25">
      <c r="A91" s="39"/>
      <c r="B91" s="39"/>
      <c r="C91" s="39"/>
      <c r="D91" s="39"/>
      <c r="E91" s="39"/>
      <c r="F91" s="39"/>
      <c r="G91" s="39"/>
      <c r="H91" s="39"/>
      <c r="I91" s="39"/>
      <c r="J91" s="39"/>
      <c r="K91" s="39"/>
      <c r="L91" s="39"/>
      <c r="M91" s="39"/>
      <c r="N91" s="39"/>
      <c r="O91" s="39"/>
    </row>
    <row r="92" spans="1:15" x14ac:dyDescent="0.25">
      <c r="A92" s="39"/>
      <c r="B92" s="39"/>
      <c r="C92" s="39"/>
      <c r="D92" s="39"/>
      <c r="E92" s="39"/>
      <c r="F92" s="39"/>
      <c r="G92" s="39"/>
      <c r="H92" s="39"/>
      <c r="I92" s="39"/>
      <c r="J92" s="39"/>
      <c r="K92" s="39"/>
      <c r="L92" s="39"/>
      <c r="M92" s="39"/>
      <c r="N92" s="39"/>
      <c r="O92" s="39"/>
    </row>
    <row r="93" spans="1:15" x14ac:dyDescent="0.25">
      <c r="A93" s="39"/>
      <c r="B93" s="39"/>
      <c r="C93" s="39"/>
      <c r="D93" s="39"/>
      <c r="E93" s="39"/>
      <c r="F93" s="39"/>
      <c r="G93" s="39"/>
      <c r="H93" s="39"/>
      <c r="I93" s="39"/>
      <c r="J93" s="39"/>
      <c r="K93" s="39"/>
      <c r="L93" s="39"/>
      <c r="M93" s="39"/>
      <c r="N93" s="39"/>
      <c r="O93" s="39"/>
    </row>
    <row r="94" spans="1:15" x14ac:dyDescent="0.25">
      <c r="A94" s="39"/>
      <c r="B94" s="39"/>
      <c r="C94" s="39"/>
      <c r="D94" s="39"/>
      <c r="E94" s="39"/>
      <c r="F94" s="39"/>
      <c r="G94" s="39"/>
      <c r="H94" s="39"/>
      <c r="I94" s="39"/>
      <c r="J94" s="39"/>
      <c r="K94" s="39"/>
      <c r="L94" s="39"/>
      <c r="M94" s="39"/>
      <c r="N94" s="39"/>
      <c r="O94" s="39"/>
    </row>
  </sheetData>
  <sortState ref="A6:B11">
    <sortCondition ref="A6"/>
  </sortState>
  <mergeCells count="17">
    <mergeCell ref="T25:Y25"/>
    <mergeCell ref="N25:S25"/>
    <mergeCell ref="AL3:AP3"/>
    <mergeCell ref="A86:A89"/>
    <mergeCell ref="A70:A73"/>
    <mergeCell ref="A74:A77"/>
    <mergeCell ref="A78:A81"/>
    <mergeCell ref="C25:G25"/>
    <mergeCell ref="C3:G3"/>
    <mergeCell ref="H3:L3"/>
    <mergeCell ref="A82:A85"/>
    <mergeCell ref="AB3:AF3"/>
    <mergeCell ref="AG3:AK3"/>
    <mergeCell ref="H25:L25"/>
    <mergeCell ref="W3:AA3"/>
    <mergeCell ref="M3:Q3"/>
    <mergeCell ref="R3:V3"/>
  </mergeCells>
  <pageMargins left="0.7" right="0.7" top="0.75" bottom="0.75" header="0.3" footer="0.3"/>
  <pageSetup paperSize="9" fitToHeight="0" orientation="landscape"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rgb="FF97F961"/>
  </sheetPr>
  <dimension ref="A1:AF42"/>
  <sheetViews>
    <sheetView workbookViewId="0">
      <pane xSplit="1" topLeftCell="B1" activePane="topRight" state="frozen"/>
      <selection pane="topRight" activeCell="R11" sqref="R11"/>
    </sheetView>
  </sheetViews>
  <sheetFormatPr defaultRowHeight="15" x14ac:dyDescent="0.25"/>
  <cols>
    <col min="1" max="1" width="26.42578125" customWidth="1"/>
    <col min="2" max="2" width="10.85546875" bestFit="1" customWidth="1"/>
    <col min="3" max="3" width="16.28515625" customWidth="1"/>
    <col min="4" max="6" width="13.5703125" bestFit="1" customWidth="1"/>
    <col min="7" max="7" width="17.28515625" customWidth="1"/>
    <col min="8" max="8" width="14.85546875" bestFit="1" customWidth="1"/>
    <col min="9" max="11" width="13.5703125" bestFit="1" customWidth="1"/>
    <col min="12" max="12" width="13.7109375" bestFit="1" customWidth="1"/>
    <col min="13" max="22" width="13.5703125" style="9" customWidth="1"/>
    <col min="23" max="26" width="12" bestFit="1" customWidth="1"/>
    <col min="27" max="27" width="13.7109375" customWidth="1"/>
    <col min="28" max="28" width="13.5703125" bestFit="1" customWidth="1"/>
    <col min="29" max="29" width="15" customWidth="1"/>
    <col min="30" max="30" width="15.42578125" customWidth="1"/>
    <col min="31" max="32" width="13.5703125" bestFit="1" customWidth="1"/>
  </cols>
  <sheetData>
    <row r="1" spans="1:32" x14ac:dyDescent="0.25">
      <c r="A1" s="5" t="s">
        <v>47</v>
      </c>
    </row>
    <row r="2" spans="1:32" ht="15.75" thickBot="1" x14ac:dyDescent="0.3">
      <c r="W2" s="1"/>
      <c r="X2" s="1"/>
      <c r="Y2" s="1"/>
      <c r="Z2" s="1"/>
      <c r="AA2" s="1"/>
      <c r="AB2" s="1"/>
      <c r="AC2" s="1"/>
      <c r="AD2" s="1"/>
      <c r="AE2" s="1"/>
      <c r="AF2" s="1"/>
    </row>
    <row r="3" spans="1:32" ht="15.75" thickBot="1" x14ac:dyDescent="0.3">
      <c r="C3" s="4981" t="s">
        <v>2</v>
      </c>
      <c r="D3" s="4982"/>
      <c r="E3" s="4982"/>
      <c r="F3" s="4982"/>
      <c r="G3" s="4983"/>
      <c r="H3" s="4984" t="s">
        <v>8</v>
      </c>
      <c r="I3" s="4985"/>
      <c r="J3" s="4985"/>
      <c r="K3" s="4985"/>
      <c r="L3" s="4986"/>
      <c r="M3" s="4984" t="s">
        <v>9</v>
      </c>
      <c r="N3" s="4985"/>
      <c r="O3" s="4985"/>
      <c r="P3" s="4985"/>
      <c r="Q3" s="4986"/>
      <c r="R3" s="4984" t="s">
        <v>223</v>
      </c>
      <c r="S3" s="4985"/>
      <c r="T3" s="4985"/>
      <c r="U3" s="4985"/>
      <c r="V3" s="4986"/>
      <c r="W3" s="3329" t="s">
        <v>619</v>
      </c>
      <c r="X3" s="3330"/>
      <c r="Y3" s="3330"/>
      <c r="Z3" s="3330"/>
      <c r="AA3" s="3331"/>
      <c r="AB3" s="260"/>
      <c r="AC3" s="260"/>
      <c r="AD3" s="260"/>
      <c r="AE3" s="260"/>
      <c r="AF3" s="260"/>
    </row>
    <row r="4" spans="1:32" ht="15.75" thickBot="1" x14ac:dyDescent="0.3">
      <c r="A4" s="17" t="s">
        <v>0</v>
      </c>
      <c r="B4" s="19" t="s">
        <v>1</v>
      </c>
      <c r="C4" s="10" t="s">
        <v>3</v>
      </c>
      <c r="D4" s="15" t="s">
        <v>4</v>
      </c>
      <c r="E4" s="15" t="s">
        <v>5</v>
      </c>
      <c r="F4" s="15" t="s">
        <v>6</v>
      </c>
      <c r="G4" s="11" t="s">
        <v>7</v>
      </c>
      <c r="H4" s="10" t="s">
        <v>3</v>
      </c>
      <c r="I4" s="15" t="s">
        <v>4</v>
      </c>
      <c r="J4" s="15" t="s">
        <v>5</v>
      </c>
      <c r="K4" s="15" t="s">
        <v>6</v>
      </c>
      <c r="L4" s="11" t="s">
        <v>7</v>
      </c>
      <c r="M4" s="10" t="s">
        <v>3</v>
      </c>
      <c r="N4" s="156" t="s">
        <v>4</v>
      </c>
      <c r="O4" s="15" t="s">
        <v>5</v>
      </c>
      <c r="P4" s="15" t="s">
        <v>6</v>
      </c>
      <c r="Q4" s="11" t="s">
        <v>7</v>
      </c>
      <c r="R4" s="17" t="s">
        <v>3</v>
      </c>
      <c r="S4" s="144" t="s">
        <v>4</v>
      </c>
      <c r="T4" s="18" t="s">
        <v>5</v>
      </c>
      <c r="U4" s="18" t="s">
        <v>6</v>
      </c>
      <c r="V4" s="19" t="s">
        <v>7</v>
      </c>
      <c r="W4" s="1683" t="s">
        <v>3</v>
      </c>
      <c r="X4" s="3342" t="s">
        <v>4</v>
      </c>
      <c r="Y4" s="3342" t="s">
        <v>5</v>
      </c>
      <c r="Z4" s="3342" t="s">
        <v>6</v>
      </c>
      <c r="AA4" s="3343" t="s">
        <v>7</v>
      </c>
      <c r="AB4" s="39"/>
      <c r="AC4" s="39"/>
      <c r="AD4" s="39"/>
      <c r="AE4" s="39"/>
      <c r="AF4" s="39"/>
    </row>
    <row r="5" spans="1:32" x14ac:dyDescent="0.25">
      <c r="A5" s="10" t="s">
        <v>42</v>
      </c>
      <c r="B5" s="15" t="s">
        <v>48</v>
      </c>
      <c r="C5" s="1783">
        <v>0</v>
      </c>
      <c r="D5" s="1784">
        <v>0</v>
      </c>
      <c r="E5" s="1784">
        <v>0</v>
      </c>
      <c r="F5" s="1784">
        <v>0</v>
      </c>
      <c r="G5" s="1785">
        <f>SUM(C5:F5)</f>
        <v>0</v>
      </c>
      <c r="H5" s="1784">
        <v>0</v>
      </c>
      <c r="I5" s="1784">
        <v>0</v>
      </c>
      <c r="J5" s="1784">
        <v>0</v>
      </c>
      <c r="K5" s="1784">
        <v>0</v>
      </c>
      <c r="L5" s="1785">
        <f>SUM(H5:K5)</f>
        <v>0</v>
      </c>
      <c r="M5" s="1783">
        <v>0</v>
      </c>
      <c r="N5" s="1784">
        <v>0</v>
      </c>
      <c r="O5" s="1784">
        <v>0</v>
      </c>
      <c r="P5" s="1784">
        <v>0</v>
      </c>
      <c r="Q5" s="1785">
        <f t="shared" ref="Q5:Q17" si="0">SUM(M5:P5)</f>
        <v>0</v>
      </c>
      <c r="R5" s="1783">
        <v>25525</v>
      </c>
      <c r="S5" s="1784">
        <v>19475</v>
      </c>
      <c r="T5" s="1784">
        <v>19500</v>
      </c>
      <c r="U5" s="1784">
        <v>450</v>
      </c>
      <c r="V5" s="4584">
        <f t="shared" ref="V5:V17" si="1">SUM(R5:U5)</f>
        <v>64950</v>
      </c>
      <c r="W5" s="3333"/>
      <c r="X5" s="3334"/>
      <c r="Y5" s="3334"/>
      <c r="Z5" s="3334"/>
      <c r="AA5" s="3335"/>
      <c r="AB5" s="34"/>
      <c r="AC5" s="52"/>
      <c r="AD5" s="34"/>
      <c r="AE5" s="34"/>
      <c r="AF5" s="34"/>
    </row>
    <row r="6" spans="1:32" x14ac:dyDescent="0.25">
      <c r="A6" s="25" t="s">
        <v>43</v>
      </c>
      <c r="B6" s="39" t="s">
        <v>48</v>
      </c>
      <c r="C6" s="824">
        <v>43000</v>
      </c>
      <c r="D6" s="95">
        <v>27000</v>
      </c>
      <c r="E6" s="95">
        <v>2500</v>
      </c>
      <c r="F6" s="95">
        <v>5250</v>
      </c>
      <c r="G6" s="1786">
        <f t="shared" ref="G6:G17" si="2">SUM(C6:F6)</f>
        <v>77750</v>
      </c>
      <c r="H6" s="95">
        <v>0</v>
      </c>
      <c r="I6" s="95">
        <v>0</v>
      </c>
      <c r="J6" s="95">
        <v>0</v>
      </c>
      <c r="K6" s="95">
        <v>0</v>
      </c>
      <c r="L6" s="1786">
        <f t="shared" ref="L6:L17" si="3">SUM(H6:K6)</f>
        <v>0</v>
      </c>
      <c r="M6" s="191">
        <v>0</v>
      </c>
      <c r="N6" s="95">
        <v>2000</v>
      </c>
      <c r="O6" s="95">
        <v>150</v>
      </c>
      <c r="P6" s="95">
        <v>1350</v>
      </c>
      <c r="Q6" s="1786">
        <f t="shared" si="0"/>
        <v>3500</v>
      </c>
      <c r="R6" s="824">
        <v>0</v>
      </c>
      <c r="S6" s="95">
        <v>0</v>
      </c>
      <c r="T6" s="95">
        <v>0</v>
      </c>
      <c r="U6" s="95">
        <v>0</v>
      </c>
      <c r="V6" s="4585">
        <f t="shared" si="1"/>
        <v>0</v>
      </c>
      <c r="W6" s="3336"/>
      <c r="X6" s="289"/>
      <c r="Y6" s="289"/>
      <c r="Z6" s="289"/>
      <c r="AA6" s="3337"/>
      <c r="AB6" s="34"/>
      <c r="AC6" s="34"/>
      <c r="AD6" s="34"/>
      <c r="AE6" s="34"/>
      <c r="AF6" s="34"/>
    </row>
    <row r="7" spans="1:32" x14ac:dyDescent="0.25">
      <c r="A7" s="12" t="s">
        <v>36</v>
      </c>
      <c r="B7" s="1" t="s">
        <v>107</v>
      </c>
      <c r="C7" s="824">
        <v>168</v>
      </c>
      <c r="D7" s="95">
        <v>145</v>
      </c>
      <c r="E7" s="95">
        <v>60</v>
      </c>
      <c r="F7" s="95">
        <v>66</v>
      </c>
      <c r="G7" s="1786">
        <f t="shared" si="2"/>
        <v>439</v>
      </c>
      <c r="H7" s="95">
        <v>146</v>
      </c>
      <c r="I7" s="95">
        <v>105</v>
      </c>
      <c r="J7" s="95">
        <v>80</v>
      </c>
      <c r="K7" s="95">
        <v>40</v>
      </c>
      <c r="L7" s="1786">
        <f t="shared" si="3"/>
        <v>371</v>
      </c>
      <c r="M7" s="824">
        <v>95</v>
      </c>
      <c r="N7" s="95">
        <v>87</v>
      </c>
      <c r="O7" s="95">
        <v>110</v>
      </c>
      <c r="P7" s="95">
        <v>41</v>
      </c>
      <c r="Q7" s="1786">
        <f t="shared" si="0"/>
        <v>333</v>
      </c>
      <c r="R7" s="824">
        <v>79.199999999999989</v>
      </c>
      <c r="S7" s="95">
        <v>87.6</v>
      </c>
      <c r="T7" s="95">
        <v>85.8</v>
      </c>
      <c r="U7" s="95">
        <v>8.4</v>
      </c>
      <c r="V7" s="4585">
        <f t="shared" si="1"/>
        <v>260.99999999999994</v>
      </c>
      <c r="W7" s="3336"/>
      <c r="X7" s="3332"/>
      <c r="Y7" s="289"/>
      <c r="Z7" s="289"/>
      <c r="AA7" s="3337"/>
      <c r="AB7" s="34"/>
      <c r="AC7" s="34"/>
      <c r="AD7" s="34"/>
      <c r="AE7" s="34"/>
      <c r="AF7" s="34"/>
    </row>
    <row r="8" spans="1:32" s="9" customFormat="1" x14ac:dyDescent="0.25">
      <c r="A8" s="12" t="s">
        <v>131</v>
      </c>
      <c r="B8" s="39" t="s">
        <v>32</v>
      </c>
      <c r="C8" s="824">
        <v>0</v>
      </c>
      <c r="D8" s="95">
        <v>0</v>
      </c>
      <c r="E8" s="95">
        <v>0</v>
      </c>
      <c r="F8" s="95">
        <v>0</v>
      </c>
      <c r="G8" s="1786">
        <f t="shared" si="2"/>
        <v>0</v>
      </c>
      <c r="H8" s="95">
        <v>9600</v>
      </c>
      <c r="I8" s="95">
        <v>5600</v>
      </c>
      <c r="J8" s="95">
        <v>10400</v>
      </c>
      <c r="K8" s="95">
        <v>7200</v>
      </c>
      <c r="L8" s="1786">
        <f t="shared" si="3"/>
        <v>32800</v>
      </c>
      <c r="M8" s="181">
        <v>3075</v>
      </c>
      <c r="N8" s="95">
        <v>1800</v>
      </c>
      <c r="O8" s="95">
        <v>2175</v>
      </c>
      <c r="P8" s="95">
        <v>725</v>
      </c>
      <c r="Q8" s="1786">
        <f>SUM(M8:P8)</f>
        <v>7775</v>
      </c>
      <c r="R8" s="824">
        <v>99600</v>
      </c>
      <c r="S8" s="95">
        <v>98200</v>
      </c>
      <c r="T8" s="95">
        <v>95500</v>
      </c>
      <c r="U8" s="95">
        <v>7200</v>
      </c>
      <c r="V8" s="4585">
        <f t="shared" si="1"/>
        <v>300500</v>
      </c>
      <c r="W8" s="3336"/>
      <c r="X8" s="3332"/>
      <c r="Y8" s="289"/>
      <c r="Z8" s="289"/>
      <c r="AA8" s="3337"/>
      <c r="AB8" s="52"/>
      <c r="AC8" s="52"/>
      <c r="AD8" s="34"/>
      <c r="AE8" s="34"/>
      <c r="AF8" s="34"/>
    </row>
    <row r="9" spans="1:32" x14ac:dyDescent="0.25">
      <c r="A9" s="12" t="s">
        <v>38</v>
      </c>
      <c r="B9" s="1" t="s">
        <v>32</v>
      </c>
      <c r="C9" s="824">
        <v>4029.2840000000001</v>
      </c>
      <c r="D9" s="1787">
        <v>3487</v>
      </c>
      <c r="E9" s="95">
        <v>1898.856</v>
      </c>
      <c r="F9" s="95">
        <v>1350</v>
      </c>
      <c r="G9" s="1786">
        <f t="shared" si="2"/>
        <v>10765.14</v>
      </c>
      <c r="H9" s="95">
        <v>895</v>
      </c>
      <c r="I9" s="95">
        <v>1532</v>
      </c>
      <c r="J9" s="95">
        <v>1026</v>
      </c>
      <c r="K9" s="95">
        <v>680</v>
      </c>
      <c r="L9" s="1786">
        <f t="shared" si="3"/>
        <v>4133</v>
      </c>
      <c r="M9" s="181">
        <v>1080</v>
      </c>
      <c r="N9" s="95">
        <v>1670</v>
      </c>
      <c r="O9" s="95">
        <v>36</v>
      </c>
      <c r="P9" s="95">
        <v>36</v>
      </c>
      <c r="Q9" s="1786">
        <f t="shared" si="0"/>
        <v>2822</v>
      </c>
      <c r="R9" s="824">
        <v>1260</v>
      </c>
      <c r="S9" s="95">
        <v>900</v>
      </c>
      <c r="T9" s="95">
        <v>1440</v>
      </c>
      <c r="U9" s="95">
        <v>740</v>
      </c>
      <c r="V9" s="4585">
        <f t="shared" si="1"/>
        <v>4340</v>
      </c>
      <c r="W9" s="3336"/>
      <c r="X9" s="289"/>
      <c r="Y9" s="289"/>
      <c r="Z9" s="289"/>
      <c r="AA9" s="3337"/>
      <c r="AB9" s="52"/>
      <c r="AC9" s="52"/>
      <c r="AD9" s="34"/>
      <c r="AE9" s="34"/>
      <c r="AF9" s="34"/>
    </row>
    <row r="10" spans="1:32" x14ac:dyDescent="0.25">
      <c r="A10" s="12" t="s">
        <v>37</v>
      </c>
      <c r="B10" s="1" t="s">
        <v>27</v>
      </c>
      <c r="C10" s="824">
        <v>49406</v>
      </c>
      <c r="D10" s="95">
        <v>4804</v>
      </c>
      <c r="E10" s="95">
        <v>42012</v>
      </c>
      <c r="F10" s="95">
        <v>59475</v>
      </c>
      <c r="G10" s="1786">
        <f t="shared" si="2"/>
        <v>155697</v>
      </c>
      <c r="H10" s="95">
        <v>61901</v>
      </c>
      <c r="I10" s="95">
        <v>54604</v>
      </c>
      <c r="J10" s="95">
        <v>47561</v>
      </c>
      <c r="K10" s="95">
        <v>20124</v>
      </c>
      <c r="L10" s="1786">
        <f t="shared" si="3"/>
        <v>184190</v>
      </c>
      <c r="M10" s="181">
        <v>38010</v>
      </c>
      <c r="N10" s="95">
        <v>52710</v>
      </c>
      <c r="O10" s="95">
        <v>40120</v>
      </c>
      <c r="P10" s="95">
        <v>32130</v>
      </c>
      <c r="Q10" s="1786">
        <f t="shared" si="0"/>
        <v>162970</v>
      </c>
      <c r="R10" s="824">
        <v>6969</v>
      </c>
      <c r="S10" s="95">
        <v>5244</v>
      </c>
      <c r="T10" s="95">
        <v>6749</v>
      </c>
      <c r="U10" s="95">
        <v>1985</v>
      </c>
      <c r="V10" s="4585">
        <f t="shared" si="1"/>
        <v>20947</v>
      </c>
      <c r="W10" s="3336"/>
      <c r="X10" s="289"/>
      <c r="Y10" s="289"/>
      <c r="Z10" s="289"/>
      <c r="AA10" s="3337"/>
      <c r="AB10" s="52"/>
      <c r="AC10" s="52"/>
      <c r="AD10" s="34"/>
      <c r="AE10" s="34"/>
      <c r="AF10" s="34"/>
    </row>
    <row r="11" spans="1:32" s="849" customFormat="1" x14ac:dyDescent="0.25">
      <c r="A11" s="3344" t="s">
        <v>69</v>
      </c>
      <c r="B11" s="850" t="s">
        <v>32</v>
      </c>
      <c r="C11" s="3345">
        <v>2773.0160000000001</v>
      </c>
      <c r="D11" s="3346">
        <v>2587.6559999999999</v>
      </c>
      <c r="E11" s="3346">
        <v>3629.7439999999997</v>
      </c>
      <c r="F11" s="4893">
        <v>2548.44</v>
      </c>
      <c r="G11" s="1786">
        <f t="shared" si="2"/>
        <v>11538.856000000002</v>
      </c>
      <c r="H11" s="3346">
        <v>2400</v>
      </c>
      <c r="I11" s="3346">
        <v>1822.5</v>
      </c>
      <c r="J11" s="3346">
        <v>1987.5</v>
      </c>
      <c r="K11" s="3346">
        <v>832.5</v>
      </c>
      <c r="L11" s="1786">
        <f t="shared" si="3"/>
        <v>7042.5</v>
      </c>
      <c r="M11" s="3347">
        <v>1862.5</v>
      </c>
      <c r="N11" s="3346">
        <v>1425</v>
      </c>
      <c r="O11" s="3346">
        <v>1125</v>
      </c>
      <c r="P11" s="3346">
        <v>687</v>
      </c>
      <c r="Q11" s="1786">
        <f t="shared" si="0"/>
        <v>5099.5</v>
      </c>
      <c r="R11" s="4901">
        <v>1225</v>
      </c>
      <c r="S11" s="4893">
        <v>1000</v>
      </c>
      <c r="T11" s="3346">
        <v>1000</v>
      </c>
      <c r="U11" s="3346">
        <v>0</v>
      </c>
      <c r="V11" s="4585">
        <f t="shared" si="1"/>
        <v>3225</v>
      </c>
      <c r="W11" s="3348">
        <v>190</v>
      </c>
      <c r="X11" s="3349">
        <v>187.5</v>
      </c>
      <c r="Y11" s="3349">
        <v>777.5</v>
      </c>
      <c r="Z11" s="3349">
        <f>bryanstonLondon!Z14</f>
        <v>0</v>
      </c>
      <c r="AA11" s="3350">
        <f>W11+X11+Y11+Z11</f>
        <v>1155</v>
      </c>
      <c r="AB11" s="1738"/>
      <c r="AC11" s="1738"/>
      <c r="AD11" s="1738"/>
      <c r="AE11" s="1738"/>
      <c r="AF11" s="1738"/>
    </row>
    <row r="12" spans="1:32" x14ac:dyDescent="0.25">
      <c r="A12" s="12" t="s">
        <v>44</v>
      </c>
      <c r="B12" s="39" t="s">
        <v>48</v>
      </c>
      <c r="C12" s="824">
        <v>0</v>
      </c>
      <c r="D12" s="95">
        <v>0</v>
      </c>
      <c r="E12" s="95">
        <v>0</v>
      </c>
      <c r="F12" s="95">
        <v>0</v>
      </c>
      <c r="G12" s="1786">
        <f t="shared" si="2"/>
        <v>0</v>
      </c>
      <c r="H12" s="95">
        <v>0</v>
      </c>
      <c r="I12" s="95">
        <v>0</v>
      </c>
      <c r="J12" s="95">
        <v>0</v>
      </c>
      <c r="K12" s="95">
        <v>0</v>
      </c>
      <c r="L12" s="1786">
        <f t="shared" si="3"/>
        <v>0</v>
      </c>
      <c r="M12" s="181">
        <v>0</v>
      </c>
      <c r="N12" s="95">
        <v>0</v>
      </c>
      <c r="O12" s="95">
        <v>0</v>
      </c>
      <c r="P12" s="95">
        <v>0</v>
      </c>
      <c r="Q12" s="1786">
        <f t="shared" si="0"/>
        <v>0</v>
      </c>
      <c r="R12" s="824">
        <v>0</v>
      </c>
      <c r="S12" s="95">
        <v>0</v>
      </c>
      <c r="T12" s="95">
        <v>0</v>
      </c>
      <c r="U12" s="95">
        <v>0</v>
      </c>
      <c r="V12" s="4585">
        <f t="shared" si="1"/>
        <v>0</v>
      </c>
      <c r="W12" s="3336"/>
      <c r="X12" s="289"/>
      <c r="Y12" s="289"/>
      <c r="Z12" s="289"/>
      <c r="AA12" s="3337"/>
      <c r="AB12" s="34"/>
      <c r="AC12" s="34"/>
      <c r="AD12" s="34"/>
      <c r="AE12" s="34"/>
      <c r="AF12" s="34"/>
    </row>
    <row r="13" spans="1:32" s="9" customFormat="1" x14ac:dyDescent="0.25">
      <c r="A13" s="12" t="s">
        <v>148</v>
      </c>
      <c r="B13" s="39" t="s">
        <v>48</v>
      </c>
      <c r="C13" s="824">
        <v>0</v>
      </c>
      <c r="D13" s="95">
        <v>0</v>
      </c>
      <c r="E13" s="95">
        <v>0</v>
      </c>
      <c r="F13" s="95">
        <v>0</v>
      </c>
      <c r="G13" s="1786">
        <f t="shared" si="2"/>
        <v>0</v>
      </c>
      <c r="H13" s="95">
        <v>0</v>
      </c>
      <c r="I13" s="95">
        <v>0</v>
      </c>
      <c r="J13" s="95">
        <v>0</v>
      </c>
      <c r="K13" s="95">
        <v>0</v>
      </c>
      <c r="L13" s="1786">
        <f t="shared" si="3"/>
        <v>0</v>
      </c>
      <c r="M13" s="181">
        <v>80.5</v>
      </c>
      <c r="N13" s="95">
        <v>62</v>
      </c>
      <c r="O13" s="95">
        <v>70.08</v>
      </c>
      <c r="P13" s="95">
        <v>0</v>
      </c>
      <c r="Q13" s="1786">
        <f t="shared" si="0"/>
        <v>212.57999999999998</v>
      </c>
      <c r="R13" s="824">
        <v>0</v>
      </c>
      <c r="S13" s="95">
        <v>0</v>
      </c>
      <c r="T13" s="95">
        <v>0</v>
      </c>
      <c r="U13" s="95">
        <v>0</v>
      </c>
      <c r="V13" s="4585">
        <f t="shared" si="1"/>
        <v>0</v>
      </c>
      <c r="W13" s="3336"/>
      <c r="X13" s="289"/>
      <c r="Y13" s="289"/>
      <c r="Z13" s="289"/>
      <c r="AA13" s="3337"/>
      <c r="AB13" s="34"/>
      <c r="AC13" s="34"/>
      <c r="AD13" s="34"/>
      <c r="AE13" s="34"/>
      <c r="AF13" s="34"/>
    </row>
    <row r="14" spans="1:32" x14ac:dyDescent="0.25">
      <c r="A14" s="12" t="s">
        <v>39</v>
      </c>
      <c r="B14" s="1" t="s">
        <v>107</v>
      </c>
      <c r="C14" s="824">
        <v>0</v>
      </c>
      <c r="D14" s="95">
        <v>0</v>
      </c>
      <c r="E14" s="95">
        <v>0</v>
      </c>
      <c r="F14" s="95">
        <v>0</v>
      </c>
      <c r="G14" s="1786">
        <f t="shared" si="2"/>
        <v>0</v>
      </c>
      <c r="H14" s="95">
        <v>0</v>
      </c>
      <c r="I14" s="95">
        <v>0</v>
      </c>
      <c r="J14" s="95">
        <v>0</v>
      </c>
      <c r="K14" s="95">
        <v>0</v>
      </c>
      <c r="L14" s="1786">
        <f t="shared" si="3"/>
        <v>0</v>
      </c>
      <c r="M14" s="181">
        <v>10</v>
      </c>
      <c r="N14" s="95">
        <v>13.139999999999999</v>
      </c>
      <c r="O14" s="95">
        <v>0</v>
      </c>
      <c r="P14" s="95">
        <v>0</v>
      </c>
      <c r="Q14" s="1786">
        <f t="shared" si="0"/>
        <v>23.14</v>
      </c>
      <c r="R14" s="824">
        <v>139</v>
      </c>
      <c r="S14" s="95">
        <v>102</v>
      </c>
      <c r="T14" s="95">
        <v>109</v>
      </c>
      <c r="U14" s="95">
        <v>20</v>
      </c>
      <c r="V14" s="4585">
        <f t="shared" si="1"/>
        <v>370</v>
      </c>
      <c r="W14" s="3338"/>
      <c r="X14" s="3332"/>
      <c r="Y14" s="289"/>
      <c r="Z14" s="289"/>
      <c r="AA14" s="3337"/>
      <c r="AB14" s="34"/>
      <c r="AC14" s="34"/>
      <c r="AD14" s="34"/>
      <c r="AE14" s="34"/>
      <c r="AF14" s="34"/>
    </row>
    <row r="15" spans="1:32" x14ac:dyDescent="0.25">
      <c r="A15" s="12" t="s">
        <v>40</v>
      </c>
      <c r="B15" s="1" t="s">
        <v>107</v>
      </c>
      <c r="C15" s="824">
        <v>2.9359999999999999</v>
      </c>
      <c r="D15" s="95">
        <v>3.6</v>
      </c>
      <c r="E15" s="95">
        <v>1.6</v>
      </c>
      <c r="F15" s="95">
        <v>0</v>
      </c>
      <c r="G15" s="1786">
        <f t="shared" si="2"/>
        <v>8.1359999999999992</v>
      </c>
      <c r="H15" s="95">
        <v>0</v>
      </c>
      <c r="I15" s="95">
        <v>0</v>
      </c>
      <c r="J15" s="95">
        <v>0</v>
      </c>
      <c r="K15" s="95">
        <v>0</v>
      </c>
      <c r="L15" s="1786">
        <f t="shared" si="3"/>
        <v>0</v>
      </c>
      <c r="M15" s="181">
        <v>0</v>
      </c>
      <c r="N15" s="95">
        <v>0</v>
      </c>
      <c r="O15" s="95">
        <v>0</v>
      </c>
      <c r="P15" s="95">
        <v>0</v>
      </c>
      <c r="Q15" s="1786">
        <f t="shared" si="0"/>
        <v>0</v>
      </c>
      <c r="R15" s="824">
        <v>0</v>
      </c>
      <c r="S15" s="95">
        <v>0</v>
      </c>
      <c r="T15" s="95">
        <v>0</v>
      </c>
      <c r="U15" s="95">
        <v>0</v>
      </c>
      <c r="V15" s="4585">
        <f t="shared" si="1"/>
        <v>0</v>
      </c>
      <c r="W15" s="3336"/>
      <c r="X15" s="289"/>
      <c r="Y15" s="289"/>
      <c r="Z15" s="289"/>
      <c r="AA15" s="3337"/>
      <c r="AB15" s="34"/>
      <c r="AC15" s="34"/>
      <c r="AD15" s="34"/>
      <c r="AE15" s="34"/>
      <c r="AF15" s="34"/>
    </row>
    <row r="16" spans="1:32" s="9" customFormat="1" x14ac:dyDescent="0.25">
      <c r="A16" s="12" t="s">
        <v>132</v>
      </c>
      <c r="B16" s="39" t="s">
        <v>32</v>
      </c>
      <c r="C16" s="824">
        <v>2014.5800000000002</v>
      </c>
      <c r="D16" s="95">
        <v>1708.33</v>
      </c>
      <c r="E16" s="95">
        <v>1591.52</v>
      </c>
      <c r="F16" s="95">
        <v>1737.66</v>
      </c>
      <c r="G16" s="1786">
        <f t="shared" si="2"/>
        <v>7052.09</v>
      </c>
      <c r="H16" s="95">
        <v>449</v>
      </c>
      <c r="I16" s="95">
        <v>307.60000000000002</v>
      </c>
      <c r="J16" s="95">
        <v>167.5</v>
      </c>
      <c r="K16" s="95">
        <v>33.9</v>
      </c>
      <c r="L16" s="1786">
        <f t="shared" si="3"/>
        <v>958</v>
      </c>
      <c r="M16" s="181">
        <v>144</v>
      </c>
      <c r="N16" s="95">
        <v>208</v>
      </c>
      <c r="O16" s="95">
        <v>152</v>
      </c>
      <c r="P16" s="95">
        <v>0</v>
      </c>
      <c r="Q16" s="1786">
        <f t="shared" si="0"/>
        <v>504</v>
      </c>
      <c r="R16" s="824">
        <v>2532.4</v>
      </c>
      <c r="S16" s="95">
        <v>3474</v>
      </c>
      <c r="T16" s="95">
        <v>2918</v>
      </c>
      <c r="U16" s="95">
        <v>1453.8</v>
      </c>
      <c r="V16" s="4585">
        <f t="shared" si="1"/>
        <v>10378.199999999999</v>
      </c>
      <c r="W16" s="3336"/>
      <c r="X16" s="289"/>
      <c r="Y16" s="289"/>
      <c r="Z16" s="289"/>
      <c r="AA16" s="3337"/>
      <c r="AB16" s="34"/>
      <c r="AC16" s="34"/>
      <c r="AD16" s="34"/>
      <c r="AE16" s="34"/>
      <c r="AF16" s="34"/>
    </row>
    <row r="17" spans="1:32" s="9" customFormat="1" x14ac:dyDescent="0.25">
      <c r="A17" s="12" t="s">
        <v>41</v>
      </c>
      <c r="B17" s="39" t="s">
        <v>27</v>
      </c>
      <c r="C17" s="824">
        <v>25</v>
      </c>
      <c r="D17" s="95">
        <v>70</v>
      </c>
      <c r="E17" s="95">
        <v>50</v>
      </c>
      <c r="F17" s="95">
        <v>55</v>
      </c>
      <c r="G17" s="1786">
        <f t="shared" si="2"/>
        <v>200</v>
      </c>
      <c r="H17" s="95">
        <v>221.36</v>
      </c>
      <c r="I17" s="95">
        <v>216.1</v>
      </c>
      <c r="J17" s="95">
        <v>207.5</v>
      </c>
      <c r="K17" s="95">
        <v>320.71000000000004</v>
      </c>
      <c r="L17" s="1786">
        <f t="shared" si="3"/>
        <v>965.67000000000007</v>
      </c>
      <c r="M17" s="181">
        <v>0</v>
      </c>
      <c r="N17" s="95">
        <v>75.900000000000006</v>
      </c>
      <c r="O17" s="95">
        <v>41.400000000000006</v>
      </c>
      <c r="P17" s="95">
        <v>13.8</v>
      </c>
      <c r="Q17" s="1786">
        <f t="shared" si="0"/>
        <v>131.10000000000002</v>
      </c>
      <c r="R17" s="824">
        <v>197.23</v>
      </c>
      <c r="S17" s="95">
        <v>262.2</v>
      </c>
      <c r="T17" s="95">
        <v>246.37</v>
      </c>
      <c r="U17" s="95">
        <v>187.2</v>
      </c>
      <c r="V17" s="4585">
        <f t="shared" si="1"/>
        <v>893</v>
      </c>
      <c r="W17" s="3336"/>
      <c r="X17" s="289"/>
      <c r="Y17" s="289"/>
      <c r="Z17" s="289"/>
      <c r="AA17" s="3337"/>
      <c r="AB17" s="34"/>
      <c r="AC17" s="34"/>
      <c r="AD17" s="34"/>
      <c r="AE17" s="34"/>
      <c r="AF17" s="34"/>
    </row>
    <row r="18" spans="1:32" s="184" customFormat="1" x14ac:dyDescent="0.25">
      <c r="A18" s="183" t="s">
        <v>19</v>
      </c>
      <c r="B18" s="186" t="s">
        <v>107</v>
      </c>
      <c r="C18" s="1755">
        <f>Production!C7</f>
        <v>1273287.6723840002</v>
      </c>
      <c r="D18" s="1756">
        <f>Production!D7</f>
        <v>1139021.52</v>
      </c>
      <c r="E18" s="1756">
        <f>Production!E7</f>
        <v>1054064</v>
      </c>
      <c r="F18" s="1756">
        <f>Production!F7</f>
        <v>763857.49151100009</v>
      </c>
      <c r="G18" s="1786">
        <f>Production!G7</f>
        <v>4230230.6838950003</v>
      </c>
      <c r="H18" s="1756">
        <f>Production!H7</f>
        <v>902158.1180960699</v>
      </c>
      <c r="I18" s="1756">
        <f>Production!I7</f>
        <v>806266</v>
      </c>
      <c r="J18" s="1756">
        <f>Production!J7</f>
        <v>762062</v>
      </c>
      <c r="K18" s="1756">
        <f>Production!K7</f>
        <v>460443</v>
      </c>
      <c r="L18" s="1786">
        <f>Production!L7</f>
        <v>2930929.1180960699</v>
      </c>
      <c r="M18" s="1755">
        <f>Production!M7</f>
        <v>314302</v>
      </c>
      <c r="N18" s="1756">
        <f>Production!N7</f>
        <v>246994</v>
      </c>
      <c r="O18" s="1756">
        <f>Production!O7</f>
        <v>236350</v>
      </c>
      <c r="P18" s="1756">
        <f>Production!P7</f>
        <v>94059</v>
      </c>
      <c r="Q18" s="1786">
        <f>Production!Q7</f>
        <v>891705</v>
      </c>
      <c r="R18" s="1755">
        <f>Production!R7</f>
        <v>1418323.5</v>
      </c>
      <c r="S18" s="1756">
        <f>Production!S7</f>
        <v>1435280</v>
      </c>
      <c r="T18" s="1756">
        <f>Production!T7</f>
        <v>1320231</v>
      </c>
      <c r="U18" s="1756">
        <f>Production!U7</f>
        <v>109170</v>
      </c>
      <c r="V18" s="1786">
        <f>Production!V7</f>
        <v>4283004.5</v>
      </c>
      <c r="W18" s="3336"/>
      <c r="X18" s="289"/>
      <c r="Y18" s="289"/>
      <c r="Z18" s="289"/>
      <c r="AA18" s="3337"/>
      <c r="AB18" s="34"/>
      <c r="AC18" s="34"/>
      <c r="AD18" s="34"/>
      <c r="AE18" s="34"/>
      <c r="AF18" s="34"/>
    </row>
    <row r="19" spans="1:32" x14ac:dyDescent="0.25">
      <c r="A19" s="21" t="s">
        <v>231</v>
      </c>
      <c r="B19" s="39" t="s">
        <v>229</v>
      </c>
      <c r="C19" s="2655">
        <f>IF(ISERROR(C10/C18),0,(C10/C18))</f>
        <v>3.8801914972989751E-2</v>
      </c>
      <c r="D19" s="3010">
        <f t="shared" ref="D19:V19" si="4">IF(ISERROR(D10/D18),0,(D10/D18))</f>
        <v>4.2176551677443287E-3</v>
      </c>
      <c r="E19" s="1757">
        <f t="shared" si="4"/>
        <v>3.9857162373442223E-2</v>
      </c>
      <c r="F19" s="1757">
        <f t="shared" si="4"/>
        <v>7.7861382078418112E-2</v>
      </c>
      <c r="G19" s="2653">
        <f t="shared" si="4"/>
        <v>3.6805794207100173E-2</v>
      </c>
      <c r="H19" s="1757">
        <f t="shared" si="4"/>
        <v>6.8614357902844064E-2</v>
      </c>
      <c r="I19" s="1757">
        <f t="shared" si="4"/>
        <v>6.7724547481848418E-2</v>
      </c>
      <c r="J19" s="1757">
        <f t="shared" si="4"/>
        <v>6.2410932443816909E-2</v>
      </c>
      <c r="K19" s="1757">
        <f t="shared" si="4"/>
        <v>4.3705735563359632E-2</v>
      </c>
      <c r="L19" s="2653">
        <f t="shared" si="4"/>
        <v>6.284355321415952E-2</v>
      </c>
      <c r="M19" s="2655">
        <f t="shared" si="4"/>
        <v>0.12093464247761707</v>
      </c>
      <c r="N19" s="1757">
        <f t="shared" si="4"/>
        <v>0.21340599366786236</v>
      </c>
      <c r="O19" s="1757">
        <f t="shared" si="4"/>
        <v>0.16974825470700233</v>
      </c>
      <c r="P19" s="1757">
        <f t="shared" si="4"/>
        <v>0.34159410582719357</v>
      </c>
      <c r="Q19" s="2653">
        <f t="shared" si="4"/>
        <v>0.18276223638983743</v>
      </c>
      <c r="R19" s="3009">
        <f t="shared" si="4"/>
        <v>4.9135475792370358E-3</v>
      </c>
      <c r="S19" s="3010">
        <f t="shared" si="4"/>
        <v>3.6536424948442115E-3</v>
      </c>
      <c r="T19" s="3010">
        <f t="shared" si="4"/>
        <v>5.1119841906454248E-3</v>
      </c>
      <c r="U19" s="3010">
        <f t="shared" si="4"/>
        <v>1.8182650911422554E-2</v>
      </c>
      <c r="V19" s="3011">
        <f t="shared" si="4"/>
        <v>4.8907256576545743E-3</v>
      </c>
      <c r="W19" s="3336"/>
      <c r="X19" s="289"/>
      <c r="Y19" s="289"/>
      <c r="Z19" s="289"/>
      <c r="AA19" s="3337"/>
      <c r="AB19" s="34"/>
      <c r="AC19" s="34"/>
      <c r="AD19" s="34"/>
      <c r="AE19" s="34"/>
      <c r="AF19" s="34"/>
    </row>
    <row r="20" spans="1:32" ht="15.75" thickBot="1" x14ac:dyDescent="0.3">
      <c r="A20" s="23" t="s">
        <v>232</v>
      </c>
      <c r="B20" s="45" t="s">
        <v>230</v>
      </c>
      <c r="C20" s="2709">
        <f>IF(ISERROR((C7*1000000)/C18),0,((C7*1000000)/C18))</f>
        <v>131.94190413031367</v>
      </c>
      <c r="D20" s="2710">
        <f t="shared" ref="D20:V20" si="5">IF(ISERROR((D7*1000000)/D18),0,((D7*1000000)/D18))</f>
        <v>127.3022479856219</v>
      </c>
      <c r="E20" s="2710">
        <f t="shared" si="5"/>
        <v>56.922539807829509</v>
      </c>
      <c r="F20" s="2710">
        <f t="shared" si="5"/>
        <v>86.403551360665759</v>
      </c>
      <c r="G20" s="2711">
        <f t="shared" si="5"/>
        <v>103.77684641911517</v>
      </c>
      <c r="H20" s="2710">
        <f t="shared" si="5"/>
        <v>161.83415863742482</v>
      </c>
      <c r="I20" s="2710">
        <f t="shared" si="5"/>
        <v>130.22997373075387</v>
      </c>
      <c r="J20" s="2710">
        <f t="shared" si="5"/>
        <v>104.97833509609454</v>
      </c>
      <c r="K20" s="2710">
        <f t="shared" si="5"/>
        <v>86.872859398448881</v>
      </c>
      <c r="L20" s="2711">
        <f t="shared" si="5"/>
        <v>126.58102091564787</v>
      </c>
      <c r="M20" s="2709">
        <f t="shared" si="5"/>
        <v>302.25706486118446</v>
      </c>
      <c r="N20" s="2710">
        <f t="shared" si="5"/>
        <v>352.23527697029078</v>
      </c>
      <c r="O20" s="2710">
        <f t="shared" si="5"/>
        <v>465.41146604611805</v>
      </c>
      <c r="P20" s="2710">
        <f t="shared" si="5"/>
        <v>435.8966180801412</v>
      </c>
      <c r="Q20" s="2711">
        <f t="shared" si="5"/>
        <v>373.44188941409993</v>
      </c>
      <c r="R20" s="2709">
        <f>IF(ISERROR((R7*1000000)/R18),0,((R7*1000000)/R18))</f>
        <v>55.840575157924114</v>
      </c>
      <c r="S20" s="2710">
        <f t="shared" si="5"/>
        <v>61.033387213644723</v>
      </c>
      <c r="T20" s="2710">
        <f t="shared" si="5"/>
        <v>64.9886269902767</v>
      </c>
      <c r="U20" s="2710">
        <f t="shared" si="5"/>
        <v>76.944215443803245</v>
      </c>
      <c r="V20" s="2711">
        <f t="shared" si="5"/>
        <v>60.938530417140569</v>
      </c>
      <c r="W20" s="3339"/>
      <c r="X20" s="3340"/>
      <c r="Y20" s="3340"/>
      <c r="Z20" s="3340"/>
      <c r="AA20" s="3341"/>
      <c r="AB20" s="34"/>
      <c r="AC20" s="34"/>
      <c r="AD20" s="34"/>
      <c r="AE20" s="34"/>
      <c r="AF20" s="34"/>
    </row>
    <row r="21" spans="1:32" x14ac:dyDescent="0.25">
      <c r="A21" s="70" t="s">
        <v>1450</v>
      </c>
      <c r="B21" s="15"/>
      <c r="C21" s="147"/>
      <c r="D21" s="147"/>
      <c r="E21" s="147"/>
      <c r="F21" s="147"/>
      <c r="G21" s="148">
        <v>116.24607857637456</v>
      </c>
      <c r="H21" s="15"/>
      <c r="I21" s="15"/>
      <c r="J21" s="15"/>
      <c r="K21" s="15"/>
      <c r="L21" s="15">
        <v>161.92673790352131</v>
      </c>
      <c r="M21" s="15"/>
      <c r="N21" s="15"/>
      <c r="O21" s="15"/>
      <c r="P21" s="15"/>
      <c r="Q21" s="15">
        <v>405.70545783760991</v>
      </c>
      <c r="R21" s="15"/>
      <c r="S21" s="15"/>
      <c r="T21" s="15"/>
      <c r="U21" s="15"/>
      <c r="V21" s="11">
        <v>47.602841024897032</v>
      </c>
      <c r="W21" s="1"/>
      <c r="X21" s="1"/>
      <c r="Y21" s="1"/>
      <c r="Z21" s="1"/>
      <c r="AA21" s="1"/>
      <c r="AB21" s="1"/>
      <c r="AC21" s="1"/>
      <c r="AD21" s="1"/>
      <c r="AE21" s="1"/>
      <c r="AF21" s="1"/>
    </row>
    <row r="22" spans="1:32" ht="15.75" thickBot="1" x14ac:dyDescent="0.3">
      <c r="A22" s="23" t="s">
        <v>1401</v>
      </c>
      <c r="B22" s="16"/>
      <c r="C22" s="1933"/>
      <c r="D22" s="1933"/>
      <c r="E22" s="1933"/>
      <c r="F22" s="1933"/>
      <c r="G22" s="4604">
        <f>(G20-G21)/G21</f>
        <v>-0.10726583046899947</v>
      </c>
      <c r="H22" s="4604"/>
      <c r="I22" s="4604"/>
      <c r="J22" s="4604"/>
      <c r="K22" s="4604"/>
      <c r="L22" s="4604">
        <f t="shared" ref="L22:V22" si="6">(L20-L21)/L21</f>
        <v>-0.21828215306191753</v>
      </c>
      <c r="M22" s="4604"/>
      <c r="N22" s="4604"/>
      <c r="O22" s="4604"/>
      <c r="P22" s="4604"/>
      <c r="Q22" s="4604">
        <f t="shared" si="6"/>
        <v>-7.952461028124494E-2</v>
      </c>
      <c r="R22" s="4604"/>
      <c r="S22" s="4604"/>
      <c r="T22" s="4604"/>
      <c r="U22" s="4604"/>
      <c r="V22" s="4605">
        <f t="shared" si="6"/>
        <v>0.28014482129898011</v>
      </c>
    </row>
    <row r="23" spans="1:32" ht="15.75" thickBot="1" x14ac:dyDescent="0.3">
      <c r="A23" s="9"/>
      <c r="B23" s="9"/>
      <c r="C23" s="5031" t="s">
        <v>91</v>
      </c>
      <c r="D23" s="5032"/>
      <c r="E23" s="5032"/>
      <c r="F23" s="5032"/>
      <c r="G23" s="5033"/>
      <c r="H23" s="5030"/>
      <c r="I23" s="5030"/>
      <c r="J23" s="5030"/>
      <c r="K23" s="39"/>
      <c r="L23" s="116"/>
      <c r="M23" s="225"/>
      <c r="N23" s="225"/>
      <c r="O23" s="225"/>
      <c r="P23" s="225"/>
      <c r="Q23" s="225"/>
      <c r="R23" s="39"/>
      <c r="S23" s="39"/>
      <c r="T23" s="39"/>
      <c r="U23" s="39"/>
      <c r="V23" s="39"/>
    </row>
    <row r="24" spans="1:32" ht="15.75" thickBot="1" x14ac:dyDescent="0.3">
      <c r="A24" s="17" t="s">
        <v>0</v>
      </c>
      <c r="B24" s="11" t="s">
        <v>1</v>
      </c>
      <c r="C24" s="825" t="s">
        <v>3</v>
      </c>
      <c r="D24" s="826" t="s">
        <v>4</v>
      </c>
      <c r="E24" s="826" t="s">
        <v>5</v>
      </c>
      <c r="F24" s="826" t="s">
        <v>6</v>
      </c>
      <c r="G24" s="827" t="s">
        <v>7</v>
      </c>
      <c r="H24" s="39"/>
      <c r="I24" s="5030"/>
      <c r="J24" s="5030"/>
      <c r="K24" s="39"/>
      <c r="L24" s="116"/>
      <c r="M24" s="39"/>
      <c r="N24" s="39"/>
      <c r="O24" s="39"/>
      <c r="P24" s="39"/>
      <c r="Q24" s="39"/>
      <c r="R24" s="39"/>
      <c r="S24" s="39"/>
      <c r="T24" s="39"/>
      <c r="U24" s="39"/>
      <c r="V24" s="39"/>
    </row>
    <row r="25" spans="1:32" x14ac:dyDescent="0.25">
      <c r="A25" s="10" t="s">
        <v>42</v>
      </c>
      <c r="B25" s="71" t="s">
        <v>32</v>
      </c>
      <c r="C25" s="191">
        <f t="shared" ref="C25:G30" si="7">C5+H5+M5+R5</f>
        <v>25525</v>
      </c>
      <c r="D25" s="427">
        <f t="shared" si="7"/>
        <v>19475</v>
      </c>
      <c r="E25" s="427">
        <f t="shared" si="7"/>
        <v>19500</v>
      </c>
      <c r="F25" s="427">
        <f t="shared" si="7"/>
        <v>450</v>
      </c>
      <c r="G25" s="4586">
        <f t="shared" si="7"/>
        <v>64950</v>
      </c>
      <c r="H25" s="138"/>
      <c r="I25" s="853"/>
      <c r="J25" s="2712"/>
      <c r="K25" s="39"/>
      <c r="L25" s="116"/>
      <c r="M25" s="34"/>
      <c r="N25" s="34"/>
      <c r="O25" s="34"/>
      <c r="P25" s="34"/>
      <c r="Q25" s="34"/>
      <c r="R25" s="39"/>
      <c r="S25" s="39"/>
      <c r="T25" s="39"/>
      <c r="U25" s="39"/>
      <c r="V25" s="39"/>
    </row>
    <row r="26" spans="1:32" x14ac:dyDescent="0.25">
      <c r="A26" s="25" t="s">
        <v>43</v>
      </c>
      <c r="B26" s="158" t="s">
        <v>32</v>
      </c>
      <c r="C26" s="191">
        <f t="shared" si="7"/>
        <v>43000</v>
      </c>
      <c r="D26" s="427">
        <f t="shared" si="7"/>
        <v>29000</v>
      </c>
      <c r="E26" s="427">
        <f t="shared" si="7"/>
        <v>2650</v>
      </c>
      <c r="F26" s="427">
        <f t="shared" si="7"/>
        <v>6600</v>
      </c>
      <c r="G26" s="4586">
        <f t="shared" si="7"/>
        <v>81250</v>
      </c>
      <c r="H26" s="138"/>
      <c r="I26" s="853"/>
      <c r="J26" s="2713"/>
      <c r="K26" s="39"/>
      <c r="L26" s="116"/>
      <c r="M26" s="39"/>
      <c r="N26" s="34"/>
      <c r="O26" s="34"/>
      <c r="P26" s="34"/>
      <c r="Q26" s="34"/>
      <c r="R26" s="39"/>
      <c r="S26" s="39"/>
      <c r="T26" s="39"/>
      <c r="U26" s="39"/>
      <c r="V26" s="39"/>
    </row>
    <row r="27" spans="1:32" x14ac:dyDescent="0.25">
      <c r="A27" s="12" t="s">
        <v>36</v>
      </c>
      <c r="B27" s="159" t="s">
        <v>107</v>
      </c>
      <c r="C27" s="191">
        <f t="shared" si="7"/>
        <v>488.2</v>
      </c>
      <c r="D27" s="427">
        <f t="shared" si="7"/>
        <v>424.6</v>
      </c>
      <c r="E27" s="427">
        <f t="shared" si="7"/>
        <v>335.8</v>
      </c>
      <c r="F27" s="427">
        <f t="shared" si="7"/>
        <v>155.4</v>
      </c>
      <c r="G27" s="4586">
        <f t="shared" si="7"/>
        <v>1404</v>
      </c>
      <c r="H27" s="138"/>
      <c r="I27" s="853"/>
      <c r="J27" s="1701"/>
      <c r="K27" s="39"/>
      <c r="L27" s="116"/>
      <c r="M27" s="34"/>
      <c r="N27" s="34"/>
      <c r="O27" s="34"/>
      <c r="P27" s="34"/>
      <c r="Q27" s="34"/>
      <c r="R27" s="39"/>
      <c r="S27" s="39"/>
      <c r="T27" s="39"/>
      <c r="U27" s="39"/>
      <c r="V27" s="39"/>
    </row>
    <row r="28" spans="1:32" s="9" customFormat="1" x14ac:dyDescent="0.25">
      <c r="A28" s="12" t="s">
        <v>131</v>
      </c>
      <c r="B28" s="159" t="s">
        <v>32</v>
      </c>
      <c r="C28" s="191">
        <f>C8+H8+M8+R8</f>
        <v>112275</v>
      </c>
      <c r="D28" s="427">
        <f t="shared" si="7"/>
        <v>105600</v>
      </c>
      <c r="E28" s="427">
        <f t="shared" si="7"/>
        <v>108075</v>
      </c>
      <c r="F28" s="427">
        <f t="shared" si="7"/>
        <v>15125</v>
      </c>
      <c r="G28" s="4586">
        <f t="shared" si="7"/>
        <v>341075</v>
      </c>
      <c r="H28" s="138"/>
      <c r="I28" s="853"/>
      <c r="J28" s="1701"/>
      <c r="K28" s="39"/>
      <c r="L28" s="116"/>
      <c r="M28" s="34"/>
      <c r="N28" s="34"/>
      <c r="O28" s="34"/>
      <c r="P28" s="34"/>
      <c r="Q28" s="34"/>
      <c r="R28" s="39"/>
      <c r="S28" s="39"/>
      <c r="T28" s="39"/>
      <c r="U28" s="39"/>
      <c r="V28" s="39"/>
    </row>
    <row r="29" spans="1:32" x14ac:dyDescent="0.25">
      <c r="A29" s="12" t="s">
        <v>38</v>
      </c>
      <c r="B29" s="159" t="s">
        <v>32</v>
      </c>
      <c r="C29" s="191">
        <f t="shared" si="7"/>
        <v>7264.2839999999997</v>
      </c>
      <c r="D29" s="427">
        <f t="shared" si="7"/>
        <v>7589</v>
      </c>
      <c r="E29" s="427">
        <f t="shared" si="7"/>
        <v>4400.8559999999998</v>
      </c>
      <c r="F29" s="427">
        <f t="shared" si="7"/>
        <v>2806</v>
      </c>
      <c r="G29" s="4586">
        <f t="shared" si="7"/>
        <v>22060.14</v>
      </c>
      <c r="H29" s="138"/>
      <c r="I29" s="853"/>
      <c r="J29" s="1701"/>
      <c r="K29" s="39"/>
      <c r="L29" s="116"/>
      <c r="M29" s="34"/>
      <c r="N29" s="34"/>
      <c r="O29" s="34"/>
      <c r="P29" s="34"/>
      <c r="Q29" s="34"/>
      <c r="R29" s="39"/>
      <c r="S29" s="39"/>
      <c r="T29" s="39"/>
      <c r="U29" s="39"/>
      <c r="V29" s="39"/>
    </row>
    <row r="30" spans="1:32" x14ac:dyDescent="0.25">
      <c r="A30" s="12" t="s">
        <v>37</v>
      </c>
      <c r="B30" s="159" t="s">
        <v>27</v>
      </c>
      <c r="C30" s="191">
        <f t="shared" si="7"/>
        <v>156286</v>
      </c>
      <c r="D30" s="427">
        <f t="shared" si="7"/>
        <v>117362</v>
      </c>
      <c r="E30" s="427">
        <f t="shared" si="7"/>
        <v>136442</v>
      </c>
      <c r="F30" s="427">
        <f t="shared" si="7"/>
        <v>113714</v>
      </c>
      <c r="G30" s="4586">
        <f t="shared" si="7"/>
        <v>523804</v>
      </c>
      <c r="H30" s="138"/>
      <c r="I30" s="853"/>
      <c r="J30" s="2712"/>
      <c r="K30" s="39"/>
      <c r="L30" s="116"/>
      <c r="M30" s="34"/>
      <c r="N30" s="34"/>
      <c r="O30" s="34"/>
      <c r="P30" s="34"/>
      <c r="Q30" s="34"/>
      <c r="R30" s="39"/>
      <c r="S30" s="39"/>
      <c r="T30" s="39"/>
      <c r="U30" s="39"/>
      <c r="V30" s="39"/>
    </row>
    <row r="31" spans="1:32" x14ac:dyDescent="0.25">
      <c r="A31" s="21" t="s">
        <v>69</v>
      </c>
      <c r="B31" s="158" t="s">
        <v>107</v>
      </c>
      <c r="C31" s="191">
        <f>C11+H11+M11+R11+W11</f>
        <v>8450.5159999999996</v>
      </c>
      <c r="D31" s="427">
        <f>D11+I11+N11+S11+X11</f>
        <v>7022.6559999999999</v>
      </c>
      <c r="E31" s="427">
        <f>E11+J11+O11+T11+Y11</f>
        <v>8519.7439999999988</v>
      </c>
      <c r="F31" s="427">
        <f>F11+K11++P11+U11+Z11</f>
        <v>4067.94</v>
      </c>
      <c r="G31" s="4586">
        <f>G11+L11+Q11+V11+AA11</f>
        <v>28060.856</v>
      </c>
      <c r="H31" s="138"/>
      <c r="I31" s="853"/>
      <c r="J31" s="2712"/>
      <c r="K31" s="39"/>
      <c r="L31" s="116"/>
      <c r="M31" s="34"/>
      <c r="N31" s="34"/>
      <c r="O31" s="34"/>
      <c r="P31" s="34"/>
      <c r="Q31" s="34"/>
      <c r="R31" s="39"/>
      <c r="S31" s="39"/>
      <c r="T31" s="39"/>
      <c r="U31" s="39"/>
      <c r="V31" s="39"/>
    </row>
    <row r="32" spans="1:32" x14ac:dyDescent="0.25">
      <c r="A32" s="12" t="s">
        <v>44</v>
      </c>
      <c r="B32" s="158" t="s">
        <v>32</v>
      </c>
      <c r="C32" s="191">
        <f t="shared" ref="C32:E37" si="8">C12+H12+M12+R12</f>
        <v>0</v>
      </c>
      <c r="D32" s="427">
        <f t="shared" si="8"/>
        <v>0</v>
      </c>
      <c r="E32" s="427">
        <f t="shared" si="8"/>
        <v>0</v>
      </c>
      <c r="F32" s="427">
        <f t="shared" ref="F32:G37" si="9">F12+K12+P12+U12</f>
        <v>0</v>
      </c>
      <c r="G32" s="4586">
        <f t="shared" si="9"/>
        <v>0</v>
      </c>
      <c r="H32" s="138"/>
      <c r="I32" s="853"/>
      <c r="J32" s="39"/>
      <c r="K32" s="39"/>
      <c r="L32" s="116"/>
      <c r="M32" s="34"/>
      <c r="N32" s="34"/>
      <c r="O32" s="34"/>
      <c r="P32" s="34"/>
      <c r="Q32" s="34"/>
      <c r="R32" s="39"/>
      <c r="S32" s="39"/>
      <c r="T32" s="39"/>
      <c r="U32" s="39"/>
      <c r="V32" s="39"/>
    </row>
    <row r="33" spans="1:22" s="9" customFormat="1" x14ac:dyDescent="0.25">
      <c r="A33" s="12" t="s">
        <v>148</v>
      </c>
      <c r="B33" s="158" t="s">
        <v>32</v>
      </c>
      <c r="C33" s="191">
        <f t="shared" si="8"/>
        <v>80.5</v>
      </c>
      <c r="D33" s="427">
        <f t="shared" si="8"/>
        <v>62</v>
      </c>
      <c r="E33" s="427">
        <f t="shared" si="8"/>
        <v>70.08</v>
      </c>
      <c r="F33" s="427">
        <f t="shared" si="9"/>
        <v>0</v>
      </c>
      <c r="G33" s="4586">
        <f t="shared" si="9"/>
        <v>212.57999999999998</v>
      </c>
      <c r="H33" s="138"/>
      <c r="I33" s="853"/>
      <c r="J33" s="39"/>
      <c r="K33" s="39"/>
      <c r="L33" s="116"/>
      <c r="M33" s="34"/>
      <c r="N33" s="34"/>
      <c r="O33" s="34"/>
      <c r="P33" s="34"/>
      <c r="Q33" s="34"/>
      <c r="R33" s="39"/>
      <c r="S33" s="39"/>
      <c r="T33" s="39"/>
      <c r="U33" s="39"/>
      <c r="V33" s="39"/>
    </row>
    <row r="34" spans="1:22" x14ac:dyDescent="0.25">
      <c r="A34" s="12" t="s">
        <v>39</v>
      </c>
      <c r="B34" s="159" t="s">
        <v>107</v>
      </c>
      <c r="C34" s="191">
        <f t="shared" si="8"/>
        <v>149</v>
      </c>
      <c r="D34" s="427">
        <f t="shared" si="8"/>
        <v>115.14</v>
      </c>
      <c r="E34" s="427">
        <f t="shared" si="8"/>
        <v>109</v>
      </c>
      <c r="F34" s="427">
        <f t="shared" si="9"/>
        <v>20</v>
      </c>
      <c r="G34" s="4586">
        <f t="shared" si="9"/>
        <v>393.14</v>
      </c>
      <c r="H34" s="138"/>
      <c r="I34" s="853"/>
      <c r="J34" s="2712"/>
      <c r="K34" s="39"/>
      <c r="L34" s="116"/>
      <c r="M34" s="34"/>
      <c r="N34" s="34"/>
      <c r="O34" s="34"/>
      <c r="P34" s="34"/>
      <c r="Q34" s="34"/>
      <c r="R34" s="39"/>
      <c r="S34" s="39"/>
      <c r="T34" s="39"/>
      <c r="U34" s="39"/>
      <c r="V34" s="39"/>
    </row>
    <row r="35" spans="1:22" x14ac:dyDescent="0.25">
      <c r="A35" s="12" t="s">
        <v>40</v>
      </c>
      <c r="B35" s="159" t="s">
        <v>107</v>
      </c>
      <c r="C35" s="191">
        <f t="shared" si="8"/>
        <v>2.9359999999999999</v>
      </c>
      <c r="D35" s="427">
        <f t="shared" si="8"/>
        <v>3.6</v>
      </c>
      <c r="E35" s="427">
        <f t="shared" si="8"/>
        <v>1.6</v>
      </c>
      <c r="F35" s="427">
        <f t="shared" si="9"/>
        <v>0</v>
      </c>
      <c r="G35" s="4586">
        <f t="shared" si="9"/>
        <v>8.1359999999999992</v>
      </c>
      <c r="H35" s="138"/>
      <c r="I35" s="853"/>
      <c r="J35" s="1701"/>
      <c r="K35" s="39"/>
      <c r="L35" s="116"/>
      <c r="M35" s="34"/>
      <c r="N35" s="34"/>
      <c r="O35" s="34"/>
      <c r="P35" s="34"/>
      <c r="Q35" s="34"/>
      <c r="R35" s="39"/>
      <c r="S35" s="39"/>
      <c r="T35" s="39"/>
      <c r="U35" s="39"/>
      <c r="V35" s="39"/>
    </row>
    <row r="36" spans="1:22" s="9" customFormat="1" x14ac:dyDescent="0.25">
      <c r="A36" s="12" t="s">
        <v>133</v>
      </c>
      <c r="B36" s="159" t="s">
        <v>32</v>
      </c>
      <c r="C36" s="191">
        <f t="shared" si="8"/>
        <v>5139.9799999999996</v>
      </c>
      <c r="D36" s="427">
        <f t="shared" si="8"/>
        <v>5697.93</v>
      </c>
      <c r="E36" s="427">
        <f t="shared" si="8"/>
        <v>4829.0200000000004</v>
      </c>
      <c r="F36" s="427">
        <f t="shared" si="9"/>
        <v>3225.36</v>
      </c>
      <c r="G36" s="4586">
        <f t="shared" si="9"/>
        <v>18892.29</v>
      </c>
      <c r="H36" s="138"/>
      <c r="I36" s="853"/>
      <c r="J36" s="1701"/>
      <c r="K36" s="39"/>
      <c r="L36" s="116"/>
      <c r="M36" s="34"/>
      <c r="N36" s="34"/>
      <c r="O36" s="34"/>
      <c r="P36" s="34"/>
      <c r="Q36" s="34"/>
      <c r="R36" s="39"/>
      <c r="S36" s="39"/>
      <c r="T36" s="39"/>
      <c r="U36" s="39"/>
      <c r="V36" s="39"/>
    </row>
    <row r="37" spans="1:22" s="9" customFormat="1" x14ac:dyDescent="0.25">
      <c r="A37" s="12" t="s">
        <v>41</v>
      </c>
      <c r="B37" s="159" t="s">
        <v>27</v>
      </c>
      <c r="C37" s="191">
        <f t="shared" si="8"/>
        <v>443.59000000000003</v>
      </c>
      <c r="D37" s="427">
        <f t="shared" si="8"/>
        <v>624.20000000000005</v>
      </c>
      <c r="E37" s="427">
        <f t="shared" si="8"/>
        <v>545.27</v>
      </c>
      <c r="F37" s="427">
        <f t="shared" si="9"/>
        <v>576.71</v>
      </c>
      <c r="G37" s="4586">
        <f t="shared" si="9"/>
        <v>2189.77</v>
      </c>
      <c r="H37" s="138"/>
      <c r="I37" s="853"/>
      <c r="J37" s="1701"/>
      <c r="K37" s="39"/>
      <c r="L37" s="116"/>
      <c r="M37" s="34"/>
      <c r="N37" s="34"/>
      <c r="O37" s="34"/>
      <c r="P37" s="34"/>
      <c r="Q37" s="34"/>
      <c r="R37" s="39"/>
      <c r="S37" s="39"/>
      <c r="T37" s="39"/>
      <c r="U37" s="39"/>
      <c r="V37" s="39"/>
    </row>
    <row r="38" spans="1:22" s="184" customFormat="1" x14ac:dyDescent="0.25">
      <c r="A38" s="183" t="s">
        <v>19</v>
      </c>
      <c r="B38" s="72" t="s">
        <v>107</v>
      </c>
      <c r="C38" s="2635">
        <f>Production!C16</f>
        <v>3908071.2904800698</v>
      </c>
      <c r="D38" s="2656">
        <f>Production!D16</f>
        <v>3627561.52</v>
      </c>
      <c r="E38" s="2656">
        <f>Production!E16</f>
        <v>3372707</v>
      </c>
      <c r="F38" s="2656">
        <f>Production!F16</f>
        <v>1427529.4915110001</v>
      </c>
      <c r="G38" s="2664">
        <f>Production!G16</f>
        <v>12335870</v>
      </c>
      <c r="H38" s="138"/>
      <c r="I38" s="853"/>
      <c r="J38" s="2712"/>
      <c r="K38" s="39"/>
      <c r="L38" s="116"/>
      <c r="M38" s="34"/>
      <c r="N38" s="34"/>
      <c r="O38" s="34"/>
      <c r="P38" s="34"/>
      <c r="Q38" s="34"/>
      <c r="R38" s="39"/>
      <c r="S38" s="39"/>
      <c r="T38" s="39"/>
      <c r="U38" s="39"/>
      <c r="V38" s="39"/>
    </row>
    <row r="39" spans="1:22" x14ac:dyDescent="0.25">
      <c r="A39" s="21" t="s">
        <v>45</v>
      </c>
      <c r="B39" s="158" t="s">
        <v>229</v>
      </c>
      <c r="C39" s="2646">
        <f>IF(ISERROR(C30/C38),0,(C30/C38))</f>
        <v>3.9990570382046876E-2</v>
      </c>
      <c r="D39" s="2647">
        <f>IF(ISERROR(D30/D38),0,(D30/D38))</f>
        <v>3.2352862757238643E-2</v>
      </c>
      <c r="E39" s="2647">
        <f>IF(ISERROR(E30/E38),0,(E30/E38))</f>
        <v>4.0454744512345722E-2</v>
      </c>
      <c r="F39" s="2647">
        <f>IF(ISERROR(F30/F38),0,(F30/F38))</f>
        <v>7.9657898961959031E-2</v>
      </c>
      <c r="G39" s="2698">
        <f>IF(ISERROR(G30/G38),0,(G30/G38))</f>
        <v>4.2461861222597187E-2</v>
      </c>
      <c r="H39" s="138"/>
      <c r="I39" s="853"/>
      <c r="J39" s="2712"/>
      <c r="K39" s="39"/>
      <c r="L39" s="116"/>
      <c r="M39" s="34"/>
      <c r="N39" s="34"/>
      <c r="O39" s="34"/>
      <c r="P39" s="34"/>
      <c r="Q39" s="34"/>
      <c r="R39" s="39"/>
      <c r="S39" s="39"/>
      <c r="T39" s="39"/>
      <c r="U39" s="39"/>
      <c r="V39" s="39"/>
    </row>
    <row r="40" spans="1:22" ht="15.75" thickBot="1" x14ac:dyDescent="0.3">
      <c r="A40" s="23" t="s">
        <v>46</v>
      </c>
      <c r="B40" s="160" t="s">
        <v>230</v>
      </c>
      <c r="C40" s="2714">
        <f>IF(ISERROR((C27*1000000)/C38),0,((C27*1000000)/C38))</f>
        <v>124.920955559137</v>
      </c>
      <c r="D40" s="2715">
        <f>IF(ISERROR((D27*1000000)/D38),0,((D27*1000000)/D38))</f>
        <v>117.04832506879167</v>
      </c>
      <c r="E40" s="2715">
        <f>IF(ISERROR((E27*1000000)/E38),0,((E27*1000000)/E38))</f>
        <v>99.563940775169613</v>
      </c>
      <c r="F40" s="2715">
        <f>IF(ISERROR((F27*1000000)/F38),0,((F27*1000000)/F38))</f>
        <v>108.8593972482582</v>
      </c>
      <c r="G40" s="2716">
        <f>IF(ISERROR((G27*1000000)/G38),0,((G27*1000000)/G38))</f>
        <v>113.81442897825609</v>
      </c>
      <c r="H40" s="138"/>
      <c r="I40" s="853"/>
      <c r="J40" s="1701"/>
      <c r="K40" s="39"/>
      <c r="L40" s="116"/>
      <c r="M40" s="34"/>
      <c r="N40" s="34"/>
      <c r="O40" s="34"/>
      <c r="P40" s="34"/>
      <c r="Q40" s="34"/>
      <c r="R40" s="39"/>
      <c r="S40" s="39"/>
      <c r="T40" s="39"/>
      <c r="U40" s="39"/>
      <c r="V40" s="39"/>
    </row>
    <row r="41" spans="1:22" x14ac:dyDescent="0.25">
      <c r="A41" s="10" t="s">
        <v>1450</v>
      </c>
      <c r="B41" s="15"/>
      <c r="C41" s="15"/>
      <c r="D41" s="15"/>
      <c r="E41" s="15"/>
      <c r="F41" s="15"/>
      <c r="G41" s="11">
        <v>120.48679812916457</v>
      </c>
      <c r="H41" s="39"/>
      <c r="I41" s="39"/>
      <c r="J41" s="39"/>
      <c r="K41" s="39"/>
      <c r="L41" s="116"/>
      <c r="M41" s="39"/>
      <c r="N41" s="39"/>
      <c r="O41" s="39"/>
      <c r="P41" s="39"/>
      <c r="Q41" s="39"/>
      <c r="R41" s="39"/>
      <c r="S41" s="39"/>
      <c r="T41" s="39"/>
      <c r="U41" s="39"/>
      <c r="V41" s="39"/>
    </row>
    <row r="42" spans="1:22" ht="15.75" thickBot="1" x14ac:dyDescent="0.3">
      <c r="A42" s="14" t="s">
        <v>1401</v>
      </c>
      <c r="B42" s="16"/>
      <c r="C42" s="16"/>
      <c r="D42" s="16"/>
      <c r="E42" s="16"/>
      <c r="F42" s="16"/>
      <c r="G42" s="2470">
        <f>(G40-G41)/G41</f>
        <v>-5.5378425308933429E-2</v>
      </c>
      <c r="H42" s="39"/>
      <c r="I42" s="39"/>
      <c r="J42" s="39"/>
      <c r="K42" s="39"/>
      <c r="L42" s="116"/>
    </row>
  </sheetData>
  <sortState ref="A6:B14">
    <sortCondition ref="A6"/>
  </sortState>
  <mergeCells count="7">
    <mergeCell ref="R3:V3"/>
    <mergeCell ref="H23:J23"/>
    <mergeCell ref="I24:J24"/>
    <mergeCell ref="C23:G23"/>
    <mergeCell ref="C3:G3"/>
    <mergeCell ref="H3:L3"/>
    <mergeCell ref="M3:Q3"/>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rgb="FF97F961"/>
  </sheetPr>
  <dimension ref="A1:AX174"/>
  <sheetViews>
    <sheetView zoomScale="75" zoomScaleNormal="75" workbookViewId="0">
      <pane xSplit="1" topLeftCell="B1" activePane="topRight" state="frozen"/>
      <selection pane="topRight" activeCell="H32" sqref="H32"/>
    </sheetView>
  </sheetViews>
  <sheetFormatPr defaultRowHeight="15" x14ac:dyDescent="0.25"/>
  <cols>
    <col min="1" max="1" width="48.42578125" customWidth="1"/>
    <col min="3" max="3" width="13.28515625" customWidth="1"/>
    <col min="4" max="4" width="13.5703125" customWidth="1"/>
    <col min="5" max="5" width="13.42578125" customWidth="1"/>
    <col min="6" max="6" width="14.5703125" customWidth="1"/>
    <col min="7" max="7" width="15.28515625" customWidth="1"/>
    <col min="8" max="8" width="13.140625" customWidth="1"/>
    <col min="9" max="9" width="12" bestFit="1" customWidth="1"/>
    <col min="10" max="10" width="12.85546875" customWidth="1"/>
    <col min="11" max="11" width="12.42578125" bestFit="1" customWidth="1"/>
    <col min="12" max="12" width="13.28515625" customWidth="1"/>
    <col min="13" max="13" width="12.42578125" style="9" customWidth="1"/>
    <col min="14" max="15" width="12.28515625" style="9" customWidth="1"/>
    <col min="16" max="16" width="10.85546875" style="9" customWidth="1"/>
    <col min="17" max="17" width="12.28515625" style="9" customWidth="1"/>
    <col min="18" max="18" width="12.42578125" style="9" customWidth="1"/>
    <col min="19" max="19" width="16.42578125" style="9" customWidth="1"/>
    <col min="20" max="20" width="13" style="9" customWidth="1"/>
    <col min="21" max="21" width="10.85546875" style="9" customWidth="1"/>
    <col min="22" max="22" width="13.42578125" style="9" customWidth="1"/>
    <col min="23" max="23" width="13.42578125" bestFit="1" customWidth="1"/>
    <col min="24" max="24" width="12.28515625" bestFit="1" customWidth="1"/>
    <col min="25" max="26" width="10.85546875" bestFit="1" customWidth="1"/>
    <col min="27" max="27" width="16.42578125" customWidth="1"/>
    <col min="28" max="29" width="10.85546875" bestFit="1" customWidth="1"/>
    <col min="30" max="30" width="10.140625" bestFit="1" customWidth="1"/>
    <col min="31" max="31" width="13.5703125" bestFit="1" customWidth="1"/>
    <col min="32" max="32" width="14.85546875" customWidth="1"/>
  </cols>
  <sheetData>
    <row r="1" spans="1:50" x14ac:dyDescent="0.25">
      <c r="A1" s="6" t="s">
        <v>49</v>
      </c>
      <c r="P1" s="3005">
        <f>SUM(M1:O1)</f>
        <v>0</v>
      </c>
    </row>
    <row r="2" spans="1:50" ht="15.75" thickBot="1" x14ac:dyDescent="0.3"/>
    <row r="3" spans="1:50" ht="15.75" thickBot="1" x14ac:dyDescent="0.3">
      <c r="C3" s="4962" t="s">
        <v>2</v>
      </c>
      <c r="D3" s="4963"/>
      <c r="E3" s="4963"/>
      <c r="F3" s="4963"/>
      <c r="G3" s="4964"/>
      <c r="H3" s="5034" t="s">
        <v>8</v>
      </c>
      <c r="I3" s="5034"/>
      <c r="J3" s="5034"/>
      <c r="K3" s="5034"/>
      <c r="L3" s="5035"/>
      <c r="M3" s="4984" t="s">
        <v>9</v>
      </c>
      <c r="N3" s="4985"/>
      <c r="O3" s="4985"/>
      <c r="P3" s="4985"/>
      <c r="Q3" s="4986"/>
      <c r="R3" s="4984" t="s">
        <v>223</v>
      </c>
      <c r="S3" s="4985"/>
      <c r="T3" s="4985"/>
      <c r="U3" s="4985"/>
      <c r="V3" s="4986"/>
      <c r="W3" s="5030"/>
      <c r="X3" s="5030"/>
      <c r="Y3" s="5030"/>
      <c r="Z3" s="5030"/>
      <c r="AA3" s="5030"/>
      <c r="AB3" s="5030"/>
      <c r="AC3" s="5030"/>
      <c r="AD3" s="5030"/>
      <c r="AE3" s="5030"/>
      <c r="AF3" s="5030"/>
      <c r="AG3" s="116"/>
      <c r="AH3" s="116"/>
      <c r="AI3" s="116"/>
      <c r="AJ3" s="116"/>
      <c r="AK3" s="116"/>
      <c r="AL3" s="116"/>
      <c r="AM3" s="116"/>
      <c r="AN3" s="116"/>
      <c r="AO3" s="116"/>
      <c r="AP3" s="116"/>
      <c r="AQ3" s="116"/>
      <c r="AR3" s="116"/>
      <c r="AS3" s="116"/>
      <c r="AT3" s="116"/>
      <c r="AU3" s="116"/>
      <c r="AV3" s="116"/>
      <c r="AW3" s="116"/>
      <c r="AX3" s="116"/>
    </row>
    <row r="4" spans="1:50" ht="15.75" thickBot="1" x14ac:dyDescent="0.3">
      <c r="A4" s="149" t="s">
        <v>0</v>
      </c>
      <c r="B4" s="18" t="s">
        <v>1</v>
      </c>
      <c r="C4" s="17" t="s">
        <v>3</v>
      </c>
      <c r="D4" s="18" t="s">
        <v>4</v>
      </c>
      <c r="E4" s="18" t="s">
        <v>5</v>
      </c>
      <c r="F4" s="18" t="s">
        <v>6</v>
      </c>
      <c r="G4" s="19" t="s">
        <v>7</v>
      </c>
      <c r="H4" s="18" t="s">
        <v>3</v>
      </c>
      <c r="I4" s="18" t="s">
        <v>4</v>
      </c>
      <c r="J4" s="18" t="s">
        <v>5</v>
      </c>
      <c r="K4" s="18" t="s">
        <v>6</v>
      </c>
      <c r="L4" s="19" t="s">
        <v>7</v>
      </c>
      <c r="M4" s="17" t="s">
        <v>3</v>
      </c>
      <c r="N4" s="18" t="s">
        <v>4</v>
      </c>
      <c r="O4" s="18" t="s">
        <v>5</v>
      </c>
      <c r="P4" s="18" t="s">
        <v>6</v>
      </c>
      <c r="Q4" s="19" t="s">
        <v>7</v>
      </c>
      <c r="R4" s="17" t="s">
        <v>3</v>
      </c>
      <c r="S4" s="18" t="s">
        <v>4</v>
      </c>
      <c r="T4" s="18" t="s">
        <v>5</v>
      </c>
      <c r="U4" s="18" t="s">
        <v>6</v>
      </c>
      <c r="V4" s="19" t="s">
        <v>7</v>
      </c>
      <c r="W4" s="39"/>
      <c r="X4" s="39"/>
      <c r="Y4" s="39"/>
      <c r="Z4" s="39"/>
      <c r="AA4" s="39"/>
      <c r="AB4" s="39"/>
      <c r="AC4" s="39"/>
      <c r="AD4" s="39"/>
      <c r="AE4" s="39"/>
      <c r="AF4" s="39"/>
      <c r="AG4" s="116"/>
      <c r="AH4" s="116"/>
      <c r="AI4" s="116"/>
      <c r="AJ4" s="116"/>
      <c r="AK4" s="116"/>
      <c r="AL4" s="116"/>
      <c r="AM4" s="116"/>
      <c r="AN4" s="116"/>
      <c r="AO4" s="116"/>
      <c r="AP4" s="116"/>
      <c r="AQ4" s="116"/>
      <c r="AR4" s="116"/>
      <c r="AS4" s="116"/>
      <c r="AT4" s="116"/>
      <c r="AU4" s="116"/>
      <c r="AV4" s="116"/>
      <c r="AW4" s="116"/>
      <c r="AX4" s="116"/>
    </row>
    <row r="5" spans="1:50" s="182" customFormat="1" x14ac:dyDescent="0.25">
      <c r="A5" s="2719" t="s">
        <v>50</v>
      </c>
      <c r="B5" s="2742"/>
      <c r="C5" s="2325"/>
      <c r="D5" s="2721"/>
      <c r="E5" s="2721"/>
      <c r="F5" s="2721"/>
      <c r="G5" s="2323"/>
      <c r="H5" s="2325"/>
      <c r="I5" s="2721"/>
      <c r="J5" s="2721"/>
      <c r="K5" s="2721"/>
      <c r="L5" s="2323"/>
      <c r="M5" s="2333"/>
      <c r="N5" s="2683"/>
      <c r="O5" s="2683"/>
      <c r="P5" s="2683"/>
      <c r="Q5" s="2720"/>
      <c r="R5" s="2333"/>
      <c r="S5" s="2683"/>
      <c r="T5" s="2683"/>
      <c r="U5" s="2683"/>
      <c r="V5" s="2720"/>
      <c r="W5" s="39"/>
      <c r="X5" s="39"/>
      <c r="Y5" s="39"/>
      <c r="Z5" s="39"/>
      <c r="AA5" s="39"/>
      <c r="AB5" s="39"/>
      <c r="AC5" s="39"/>
      <c r="AD5" s="39"/>
      <c r="AE5" s="39"/>
      <c r="AF5" s="39"/>
      <c r="AG5" s="116"/>
      <c r="AH5" s="116"/>
      <c r="AI5" s="116"/>
      <c r="AJ5" s="116"/>
      <c r="AK5" s="116"/>
      <c r="AL5" s="116"/>
      <c r="AM5" s="116"/>
      <c r="AN5" s="116"/>
      <c r="AO5" s="116"/>
      <c r="AP5" s="116"/>
      <c r="AQ5" s="116"/>
      <c r="AR5" s="116"/>
      <c r="AS5" s="116"/>
      <c r="AT5" s="116"/>
      <c r="AU5" s="116"/>
      <c r="AV5" s="116"/>
      <c r="AW5" s="116"/>
      <c r="AX5" s="116"/>
    </row>
    <row r="6" spans="1:50" x14ac:dyDescent="0.25">
      <c r="A6" s="291" t="s">
        <v>51</v>
      </c>
      <c r="B6" s="158" t="s">
        <v>107</v>
      </c>
      <c r="C6" s="251">
        <v>15.96</v>
      </c>
      <c r="D6" s="126">
        <v>10.16</v>
      </c>
      <c r="E6" s="126">
        <v>5.4399999999999995</v>
      </c>
      <c r="F6" s="427">
        <v>3.08</v>
      </c>
      <c r="G6" s="2638">
        <f>SUM(C6:F6)</f>
        <v>34.64</v>
      </c>
      <c r="H6" s="2778">
        <v>40</v>
      </c>
      <c r="I6" s="95">
        <v>15.31</v>
      </c>
      <c r="J6" s="150">
        <v>20.059999999999999</v>
      </c>
      <c r="K6" s="150">
        <v>0</v>
      </c>
      <c r="L6" s="2731">
        <f>SUM(H6:K6)</f>
        <v>75.37</v>
      </c>
      <c r="M6" s="824">
        <v>0</v>
      </c>
      <c r="N6" s="126">
        <v>5.18</v>
      </c>
      <c r="O6" s="150">
        <v>25.12</v>
      </c>
      <c r="P6" s="95">
        <v>0</v>
      </c>
      <c r="Q6" s="2638">
        <f>SUM(M6:P6)</f>
        <v>30.3</v>
      </c>
      <c r="R6" s="824">
        <v>0</v>
      </c>
      <c r="S6" s="95">
        <v>0</v>
      </c>
      <c r="T6" s="95">
        <v>0</v>
      </c>
      <c r="U6" s="95">
        <v>0</v>
      </c>
      <c r="V6" s="2638">
        <f>SUM(R6:U6)</f>
        <v>0</v>
      </c>
      <c r="W6" s="34"/>
      <c r="X6" s="34"/>
      <c r="Y6" s="34"/>
      <c r="Z6" s="34"/>
      <c r="AA6" s="34"/>
      <c r="AB6" s="34"/>
      <c r="AC6" s="34"/>
      <c r="AD6" s="34"/>
      <c r="AE6" s="34"/>
      <c r="AF6" s="77"/>
      <c r="AG6" s="116"/>
      <c r="AH6" s="116"/>
      <c r="AI6" s="116"/>
      <c r="AJ6" s="116"/>
      <c r="AK6" s="116"/>
      <c r="AL6" s="116"/>
      <c r="AM6" s="116"/>
      <c r="AN6" s="116"/>
      <c r="AO6" s="116"/>
      <c r="AP6" s="116"/>
      <c r="AQ6" s="116"/>
      <c r="AR6" s="116"/>
      <c r="AS6" s="116"/>
      <c r="AT6" s="116"/>
      <c r="AU6" s="116"/>
      <c r="AV6" s="116"/>
      <c r="AW6" s="116"/>
      <c r="AX6" s="116"/>
    </row>
    <row r="7" spans="1:50" x14ac:dyDescent="0.25">
      <c r="A7" s="286" t="s">
        <v>110</v>
      </c>
      <c r="B7" s="158" t="s">
        <v>107</v>
      </c>
      <c r="C7" s="824">
        <v>85.359999999999985</v>
      </c>
      <c r="D7" s="95">
        <v>82.16</v>
      </c>
      <c r="E7" s="95">
        <v>85.66</v>
      </c>
      <c r="F7" s="95">
        <v>40.98</v>
      </c>
      <c r="G7" s="2638">
        <f>SUM(C7:F7)</f>
        <v>294.15999999999997</v>
      </c>
      <c r="H7" s="824">
        <v>52.603000000000002</v>
      </c>
      <c r="I7" s="95">
        <v>57.27</v>
      </c>
      <c r="J7" s="95">
        <v>22.19</v>
      </c>
      <c r="K7" s="95">
        <v>12</v>
      </c>
      <c r="L7" s="2731">
        <f>SUM(H7:K7)</f>
        <v>144.06300000000002</v>
      </c>
      <c r="M7" s="2732">
        <v>26.48</v>
      </c>
      <c r="N7" s="4892">
        <v>54.92</v>
      </c>
      <c r="O7" s="95">
        <v>65.460000000000008</v>
      </c>
      <c r="P7" s="95">
        <v>17.54</v>
      </c>
      <c r="Q7" s="2638">
        <f>SUM(M7:P7)</f>
        <v>164.4</v>
      </c>
      <c r="R7" s="824">
        <v>589.22499999999991</v>
      </c>
      <c r="S7" s="95">
        <v>582.01</v>
      </c>
      <c r="T7" s="95">
        <v>557.95999999999992</v>
      </c>
      <c r="U7" s="95">
        <v>550.75</v>
      </c>
      <c r="V7" s="2638">
        <f>SUM(R7:U7)</f>
        <v>2279.9449999999997</v>
      </c>
      <c r="W7" s="34"/>
      <c r="X7" s="98"/>
      <c r="Y7" s="34"/>
      <c r="Z7" s="98"/>
      <c r="AA7" s="34"/>
      <c r="AB7" s="34"/>
      <c r="AC7" s="288"/>
      <c r="AD7" s="34"/>
      <c r="AE7" s="34"/>
      <c r="AF7" s="77"/>
      <c r="AG7" s="116"/>
      <c r="AH7" s="116"/>
      <c r="AI7" s="116"/>
      <c r="AJ7" s="116"/>
      <c r="AK7" s="116"/>
      <c r="AL7" s="116"/>
      <c r="AM7" s="116"/>
      <c r="AN7" s="116"/>
      <c r="AO7" s="116"/>
      <c r="AP7" s="116"/>
      <c r="AQ7" s="116"/>
      <c r="AR7" s="116"/>
      <c r="AS7" s="116"/>
      <c r="AT7" s="116"/>
      <c r="AU7" s="116"/>
      <c r="AV7" s="116"/>
      <c r="AW7" s="116"/>
      <c r="AX7" s="116"/>
    </row>
    <row r="8" spans="1:50" s="40" customFormat="1" x14ac:dyDescent="0.25">
      <c r="A8" s="1760" t="s">
        <v>147</v>
      </c>
      <c r="B8" s="2756" t="s">
        <v>107</v>
      </c>
      <c r="C8" s="2733">
        <f>SUM(C6:C7)</f>
        <v>101.32</v>
      </c>
      <c r="D8" s="2730">
        <f>SUM(D6:D7)</f>
        <v>92.32</v>
      </c>
      <c r="E8" s="2730">
        <f>SUM(E6:E7)</f>
        <v>91.1</v>
      </c>
      <c r="F8" s="2730">
        <f>SUM(F6:F7)</f>
        <v>44.059999999999995</v>
      </c>
      <c r="G8" s="3500">
        <f>SUM(C8:F8)</f>
        <v>328.8</v>
      </c>
      <c r="H8" s="2733">
        <f>SUM(H6:H7)</f>
        <v>92.603000000000009</v>
      </c>
      <c r="I8" s="2730">
        <f>SUM(I6:I7)</f>
        <v>72.58</v>
      </c>
      <c r="J8" s="2730">
        <f>SUM(J6:J7)</f>
        <v>42.25</v>
      </c>
      <c r="K8" s="2730">
        <f>SUM(K6:K7)</f>
        <v>12</v>
      </c>
      <c r="L8" s="3500">
        <f>SUM(H8:K8)</f>
        <v>219.43299999999999</v>
      </c>
      <c r="M8" s="2733">
        <f>SUM(M6:M7)</f>
        <v>26.48</v>
      </c>
      <c r="N8" s="2730">
        <f>SUM(N6:N7)</f>
        <v>60.1</v>
      </c>
      <c r="O8" s="2730">
        <f>SUM(O6:O7)</f>
        <v>90.580000000000013</v>
      </c>
      <c r="P8" s="2730">
        <f>SUM(P6:P7)</f>
        <v>17.54</v>
      </c>
      <c r="Q8" s="3522">
        <f>SUM(M8:P8)</f>
        <v>194.70000000000002</v>
      </c>
      <c r="R8" s="2733">
        <f>SUM(R6:R7)</f>
        <v>589.22499999999991</v>
      </c>
      <c r="S8" s="2730">
        <f>SUM(S6:S7)</f>
        <v>582.01</v>
      </c>
      <c r="T8" s="2730">
        <f>SUM(T6:T7)</f>
        <v>557.95999999999992</v>
      </c>
      <c r="U8" s="2730">
        <f>SUM(U6:U7)</f>
        <v>550.75</v>
      </c>
      <c r="V8" s="3522">
        <f>SUM(R8:U8)</f>
        <v>2279.9449999999997</v>
      </c>
      <c r="W8" s="289"/>
      <c r="X8" s="289"/>
      <c r="Y8" s="289"/>
      <c r="Z8" s="289"/>
      <c r="AA8" s="289"/>
      <c r="AB8" s="289"/>
      <c r="AC8" s="289"/>
      <c r="AD8" s="289"/>
      <c r="AE8" s="289"/>
      <c r="AF8" s="289"/>
      <c r="AG8" s="227"/>
      <c r="AH8" s="227"/>
      <c r="AI8" s="227"/>
      <c r="AJ8" s="227"/>
      <c r="AK8" s="227"/>
      <c r="AL8" s="227"/>
      <c r="AM8" s="227"/>
      <c r="AN8" s="227"/>
      <c r="AO8" s="227"/>
      <c r="AP8" s="227"/>
      <c r="AQ8" s="227"/>
      <c r="AR8" s="227"/>
      <c r="AS8" s="227"/>
      <c r="AT8" s="227"/>
      <c r="AU8" s="227"/>
      <c r="AV8" s="227"/>
      <c r="AW8" s="227"/>
      <c r="AX8" s="227"/>
    </row>
    <row r="9" spans="1:50" s="40" customFormat="1" x14ac:dyDescent="0.25">
      <c r="A9" s="2749" t="s">
        <v>998</v>
      </c>
      <c r="B9" s="2740" t="s">
        <v>107</v>
      </c>
      <c r="C9" s="2996">
        <v>125.945325</v>
      </c>
      <c r="D9" s="2997">
        <v>125.945325</v>
      </c>
      <c r="E9" s="2998">
        <v>125.945325</v>
      </c>
      <c r="F9" s="2998">
        <v>125.945325</v>
      </c>
      <c r="G9" s="2999">
        <v>503.78129999999999</v>
      </c>
      <c r="H9" s="3000">
        <v>255.93</v>
      </c>
      <c r="I9" s="2998">
        <v>255.93</v>
      </c>
      <c r="J9" s="2998">
        <v>255.93</v>
      </c>
      <c r="K9" s="2998">
        <v>255.93</v>
      </c>
      <c r="L9" s="2999">
        <v>1023.7184099999999</v>
      </c>
      <c r="M9" s="3000">
        <v>40.535550000000001</v>
      </c>
      <c r="N9" s="2998">
        <v>40.535550000000001</v>
      </c>
      <c r="O9" s="2998">
        <v>40.535550000000001</v>
      </c>
      <c r="P9" s="2998">
        <v>40.535550000000001</v>
      </c>
      <c r="Q9" s="2999">
        <f>SUM(M9:P9)</f>
        <v>162.1422</v>
      </c>
      <c r="R9" s="3000">
        <v>557.49944249999999</v>
      </c>
      <c r="S9" s="2998">
        <v>557.49944249999999</v>
      </c>
      <c r="T9" s="2998">
        <v>557.49944249999999</v>
      </c>
      <c r="U9" s="2998">
        <v>557.49944249999999</v>
      </c>
      <c r="V9" s="2999">
        <v>2229.9977699999999</v>
      </c>
      <c r="W9" s="289"/>
      <c r="X9" s="289"/>
      <c r="Y9" s="289"/>
      <c r="Z9" s="289"/>
      <c r="AA9" s="289"/>
      <c r="AB9" s="289"/>
      <c r="AC9" s="289"/>
      <c r="AD9" s="289"/>
      <c r="AE9" s="289"/>
      <c r="AF9" s="289"/>
      <c r="AG9" s="227"/>
      <c r="AH9" s="227"/>
      <c r="AI9" s="227"/>
      <c r="AJ9" s="227"/>
      <c r="AK9" s="227"/>
      <c r="AL9" s="227"/>
      <c r="AM9" s="227"/>
      <c r="AN9" s="227"/>
      <c r="AO9" s="227"/>
      <c r="AP9" s="227"/>
      <c r="AQ9" s="227"/>
      <c r="AR9" s="227"/>
      <c r="AS9" s="227"/>
      <c r="AT9" s="227"/>
      <c r="AU9" s="227"/>
      <c r="AV9" s="227"/>
      <c r="AW9" s="227"/>
      <c r="AX9" s="227"/>
    </row>
    <row r="10" spans="1:50" s="40" customFormat="1" ht="33" customHeight="1" x14ac:dyDescent="0.25">
      <c r="A10" s="2750" t="s">
        <v>999</v>
      </c>
      <c r="B10" s="2757" t="s">
        <v>98</v>
      </c>
      <c r="C10" s="2765">
        <f>IF(ISERROR((C8-C9)/C9),0,((C8-C9)/C9))</f>
        <v>-0.19552393072152544</v>
      </c>
      <c r="D10" s="2734">
        <f t="shared" ref="D10:V10" si="0">IF(ISERROR((D8-D9)/D9),0,((D8-D9)/D9))</f>
        <v>-0.26698351050346653</v>
      </c>
      <c r="E10" s="2734">
        <f t="shared" si="0"/>
        <v>-0.27667025354057406</v>
      </c>
      <c r="F10" s="2734">
        <f t="shared" si="0"/>
        <v>-0.65016565720085284</v>
      </c>
      <c r="G10" s="2766">
        <f>IF(ISERROR((G8-G9)/G9),0,((G8-G9)/G9))</f>
        <v>-0.34733583799160467</v>
      </c>
      <c r="H10" s="2765">
        <f t="shared" si="0"/>
        <v>-0.63817059352166605</v>
      </c>
      <c r="I10" s="2734">
        <f t="shared" si="0"/>
        <v>-0.71640682999257621</v>
      </c>
      <c r="J10" s="2734">
        <f t="shared" si="0"/>
        <v>-0.83491579728832099</v>
      </c>
      <c r="K10" s="2734">
        <f t="shared" si="0"/>
        <v>-0.95311217911147583</v>
      </c>
      <c r="L10" s="3506">
        <f t="shared" si="0"/>
        <v>-0.78565101706044338</v>
      </c>
      <c r="M10" s="2765">
        <f t="shared" si="0"/>
        <v>-0.34674625113018082</v>
      </c>
      <c r="N10" s="2734">
        <f t="shared" si="0"/>
        <v>0.48264918078082081</v>
      </c>
      <c r="O10" s="2734">
        <f t="shared" si="0"/>
        <v>1.2345817436793138</v>
      </c>
      <c r="P10" s="2734">
        <f t="shared" si="0"/>
        <v>-0.56729340048426635</v>
      </c>
      <c r="Q10" s="3523">
        <f t="shared" si="0"/>
        <v>0.20079781821142192</v>
      </c>
      <c r="R10" s="2765">
        <f t="shared" si="0"/>
        <v>5.690688650329892E-2</v>
      </c>
      <c r="S10" s="2734">
        <f t="shared" si="0"/>
        <v>4.3965169525707649E-2</v>
      </c>
      <c r="T10" s="2734">
        <f t="shared" si="0"/>
        <v>8.2611293373613772E-4</v>
      </c>
      <c r="U10" s="2734">
        <f t="shared" si="0"/>
        <v>-1.2106635425021051E-2</v>
      </c>
      <c r="V10" s="3523">
        <f t="shared" si="0"/>
        <v>2.2397883384430363E-2</v>
      </c>
      <c r="W10" s="289"/>
      <c r="X10" s="289"/>
      <c r="Y10" s="289"/>
      <c r="Z10" s="289"/>
      <c r="AA10" s="289"/>
      <c r="AB10" s="289"/>
      <c r="AC10" s="289"/>
      <c r="AD10" s="289"/>
      <c r="AE10" s="289"/>
      <c r="AF10" s="289"/>
      <c r="AG10" s="227"/>
      <c r="AH10" s="227"/>
      <c r="AI10" s="227"/>
      <c r="AJ10" s="227"/>
      <c r="AK10" s="227"/>
      <c r="AL10" s="227"/>
      <c r="AM10" s="227"/>
      <c r="AN10" s="227"/>
      <c r="AO10" s="227"/>
      <c r="AP10" s="227"/>
      <c r="AQ10" s="227"/>
      <c r="AR10" s="227"/>
      <c r="AS10" s="227"/>
      <c r="AT10" s="227"/>
      <c r="AU10" s="227"/>
      <c r="AV10" s="227"/>
      <c r="AW10" s="227"/>
      <c r="AX10" s="227"/>
    </row>
    <row r="11" spans="1:50" s="40" customFormat="1" ht="30" customHeight="1" x14ac:dyDescent="0.25">
      <c r="A11" s="2735" t="s">
        <v>1000</v>
      </c>
      <c r="B11" s="2758" t="s">
        <v>98</v>
      </c>
      <c r="C11" s="2767" t="s">
        <v>679</v>
      </c>
      <c r="D11" s="2717" t="s">
        <v>679</v>
      </c>
      <c r="E11" s="2718" t="s">
        <v>679</v>
      </c>
      <c r="F11" s="2718" t="s">
        <v>679</v>
      </c>
      <c r="G11" s="2768" t="s">
        <v>679</v>
      </c>
      <c r="H11" s="2779" t="s">
        <v>679</v>
      </c>
      <c r="I11" s="2718" t="s">
        <v>679</v>
      </c>
      <c r="J11" s="2718" t="s">
        <v>679</v>
      </c>
      <c r="K11" s="2718" t="s">
        <v>679</v>
      </c>
      <c r="L11" s="2768" t="s">
        <v>679</v>
      </c>
      <c r="M11" s="2779" t="s">
        <v>679</v>
      </c>
      <c r="N11" s="2718" t="s">
        <v>679</v>
      </c>
      <c r="O11" s="2718" t="s">
        <v>679</v>
      </c>
      <c r="P11" s="2718" t="s">
        <v>679</v>
      </c>
      <c r="Q11" s="2768" t="s">
        <v>679</v>
      </c>
      <c r="R11" s="2779" t="s">
        <v>679</v>
      </c>
      <c r="S11" s="2718" t="s">
        <v>679</v>
      </c>
      <c r="T11" s="2718" t="s">
        <v>679</v>
      </c>
      <c r="U11" s="2718" t="s">
        <v>679</v>
      </c>
      <c r="V11" s="2768" t="s">
        <v>679</v>
      </c>
      <c r="W11" s="289"/>
      <c r="X11" s="289"/>
      <c r="Y11" s="289"/>
      <c r="Z11" s="289"/>
      <c r="AA11" s="289"/>
      <c r="AB11" s="289"/>
      <c r="AC11" s="289"/>
      <c r="AD11" s="289"/>
      <c r="AE11" s="289"/>
      <c r="AF11" s="289"/>
      <c r="AG11" s="227"/>
      <c r="AH11" s="227"/>
      <c r="AI11" s="227"/>
      <c r="AJ11" s="227"/>
      <c r="AK11" s="227"/>
      <c r="AL11" s="227"/>
      <c r="AM11" s="227"/>
      <c r="AN11" s="227"/>
      <c r="AO11" s="227"/>
      <c r="AP11" s="227"/>
      <c r="AQ11" s="227"/>
      <c r="AR11" s="227"/>
      <c r="AS11" s="227"/>
      <c r="AT11" s="227"/>
      <c r="AU11" s="227"/>
      <c r="AV11" s="227"/>
      <c r="AW11" s="227"/>
      <c r="AX11" s="227"/>
    </row>
    <row r="12" spans="1:50" s="182" customFormat="1" x14ac:dyDescent="0.25">
      <c r="A12" s="2722" t="s">
        <v>52</v>
      </c>
      <c r="B12" s="2759"/>
      <c r="C12" s="2723"/>
      <c r="D12" s="2724"/>
      <c r="E12" s="2724"/>
      <c r="F12" s="2724"/>
      <c r="G12" s="2725"/>
      <c r="H12" s="2723"/>
      <c r="I12" s="2724"/>
      <c r="J12" s="2724"/>
      <c r="K12" s="2724"/>
      <c r="L12" s="2725"/>
      <c r="M12" s="2723"/>
      <c r="N12" s="2724"/>
      <c r="O12" s="2724"/>
      <c r="P12" s="2724"/>
      <c r="Q12" s="2725"/>
      <c r="R12" s="2723"/>
      <c r="S12" s="2724"/>
      <c r="T12" s="2724"/>
      <c r="U12" s="2724"/>
      <c r="V12" s="2725"/>
      <c r="W12" s="34"/>
      <c r="X12" s="34"/>
      <c r="Y12" s="34"/>
      <c r="Z12" s="34"/>
      <c r="AA12" s="34"/>
      <c r="AB12" s="34"/>
      <c r="AC12" s="34"/>
      <c r="AD12" s="34"/>
      <c r="AE12" s="34"/>
      <c r="AF12" s="34"/>
      <c r="AG12" s="116"/>
      <c r="AH12" s="116"/>
      <c r="AI12" s="116"/>
      <c r="AJ12" s="116"/>
      <c r="AK12" s="116"/>
      <c r="AL12" s="116"/>
      <c r="AM12" s="116"/>
      <c r="AN12" s="116"/>
      <c r="AO12" s="116"/>
      <c r="AP12" s="116"/>
      <c r="AQ12" s="116"/>
      <c r="AR12" s="116"/>
      <c r="AS12" s="116"/>
      <c r="AT12" s="116"/>
      <c r="AU12" s="116"/>
      <c r="AV12" s="116"/>
      <c r="AW12" s="116"/>
      <c r="AX12" s="116"/>
    </row>
    <row r="13" spans="1:50" s="182" customFormat="1" x14ac:dyDescent="0.25">
      <c r="A13" s="2728" t="s">
        <v>233</v>
      </c>
      <c r="B13" s="2760" t="s">
        <v>107</v>
      </c>
      <c r="C13" s="824">
        <v>1.91</v>
      </c>
      <c r="D13" s="95">
        <v>1.472</v>
      </c>
      <c r="E13" s="95">
        <v>2.871</v>
      </c>
      <c r="F13" s="95">
        <v>0</v>
      </c>
      <c r="G13" s="2638">
        <f t="shared" ref="G13:G24" si="1">SUM(C13:F13)</f>
        <v>6.2530000000000001</v>
      </c>
      <c r="H13" s="824">
        <v>0</v>
      </c>
      <c r="I13" s="95">
        <v>0</v>
      </c>
      <c r="J13" s="95">
        <v>0</v>
      </c>
      <c r="K13" s="95">
        <v>0</v>
      </c>
      <c r="L13" s="2638">
        <f t="shared" ref="L13:L19" si="2">SUM(H13:K13)</f>
        <v>0</v>
      </c>
      <c r="M13" s="824">
        <v>0</v>
      </c>
      <c r="N13" s="95">
        <v>0</v>
      </c>
      <c r="O13" s="95">
        <v>0</v>
      </c>
      <c r="P13" s="95">
        <v>0</v>
      </c>
      <c r="Q13" s="2638">
        <f>SUM(M13:P13)</f>
        <v>0</v>
      </c>
      <c r="R13" s="824">
        <v>0</v>
      </c>
      <c r="S13" s="95">
        <v>0</v>
      </c>
      <c r="T13" s="95">
        <v>0</v>
      </c>
      <c r="U13" s="95">
        <v>0</v>
      </c>
      <c r="V13" s="2638">
        <f t="shared" ref="V13:V24" si="3">SUM(R13:U13)</f>
        <v>0</v>
      </c>
      <c r="W13" s="34"/>
      <c r="X13" s="34"/>
      <c r="Y13" s="34"/>
      <c r="Z13" s="34"/>
      <c r="AA13" s="34"/>
      <c r="AB13" s="34"/>
      <c r="AC13" s="34"/>
      <c r="AD13" s="34"/>
      <c r="AE13" s="34"/>
      <c r="AF13" s="34"/>
      <c r="AG13" s="116"/>
      <c r="AH13" s="116"/>
      <c r="AI13" s="116"/>
      <c r="AJ13" s="116"/>
      <c r="AK13" s="116"/>
      <c r="AL13" s="116"/>
      <c r="AM13" s="116"/>
      <c r="AN13" s="116"/>
      <c r="AO13" s="116"/>
      <c r="AP13" s="116"/>
      <c r="AQ13" s="116"/>
      <c r="AR13" s="116"/>
      <c r="AS13" s="116"/>
      <c r="AT13" s="116"/>
      <c r="AU13" s="116"/>
      <c r="AV13" s="116"/>
      <c r="AW13" s="116"/>
      <c r="AX13" s="116"/>
    </row>
    <row r="14" spans="1:50" x14ac:dyDescent="0.25">
      <c r="A14" s="286" t="s">
        <v>234</v>
      </c>
      <c r="B14" s="2760" t="s">
        <v>107</v>
      </c>
      <c r="C14" s="824">
        <v>36.32</v>
      </c>
      <c r="D14" s="95">
        <v>8.5200000000000014</v>
      </c>
      <c r="E14" s="95">
        <v>22.520000000000003</v>
      </c>
      <c r="F14" s="95">
        <v>2.2599999999999998</v>
      </c>
      <c r="G14" s="2638">
        <f t="shared" si="1"/>
        <v>69.620000000000019</v>
      </c>
      <c r="H14" s="824">
        <v>0</v>
      </c>
      <c r="I14" s="95">
        <v>0</v>
      </c>
      <c r="J14" s="95">
        <v>14.05</v>
      </c>
      <c r="K14" s="95">
        <v>0</v>
      </c>
      <c r="L14" s="2638">
        <f t="shared" si="2"/>
        <v>14.05</v>
      </c>
      <c r="M14" s="824">
        <v>0.31</v>
      </c>
      <c r="N14" s="95">
        <v>6.94</v>
      </c>
      <c r="O14" s="95">
        <v>3.65</v>
      </c>
      <c r="P14" s="95">
        <v>1.86</v>
      </c>
      <c r="Q14" s="2638">
        <f>SUM(M14:P14)</f>
        <v>12.76</v>
      </c>
      <c r="R14" s="2560">
        <v>0</v>
      </c>
      <c r="S14" s="2559">
        <v>0</v>
      </c>
      <c r="T14" s="2559">
        <v>0</v>
      </c>
      <c r="U14" s="2559">
        <v>0</v>
      </c>
      <c r="V14" s="2638">
        <f t="shared" si="3"/>
        <v>0</v>
      </c>
      <c r="W14" s="34"/>
      <c r="X14" s="34"/>
      <c r="Y14" s="98"/>
      <c r="Z14" s="74"/>
      <c r="AA14" s="34"/>
      <c r="AB14" s="34"/>
      <c r="AC14" s="34"/>
      <c r="AD14" s="34"/>
      <c r="AE14" s="34"/>
      <c r="AF14" s="77"/>
      <c r="AG14" s="116"/>
      <c r="AH14" s="116"/>
      <c r="AI14" s="116"/>
      <c r="AJ14" s="116"/>
      <c r="AK14" s="116"/>
      <c r="AL14" s="116"/>
      <c r="AM14" s="116"/>
      <c r="AN14" s="116"/>
      <c r="AO14" s="116"/>
      <c r="AP14" s="116"/>
      <c r="AQ14" s="116"/>
      <c r="AR14" s="116"/>
      <c r="AS14" s="116"/>
      <c r="AT14" s="116"/>
      <c r="AU14" s="116"/>
      <c r="AV14" s="116"/>
      <c r="AW14" s="116"/>
      <c r="AX14" s="116"/>
    </row>
    <row r="15" spans="1:50" s="9" customFormat="1" x14ac:dyDescent="0.25">
      <c r="A15" s="286" t="s">
        <v>1261</v>
      </c>
      <c r="B15" s="2760" t="s">
        <v>107</v>
      </c>
      <c r="C15" s="824">
        <v>0</v>
      </c>
      <c r="D15" s="95">
        <v>0</v>
      </c>
      <c r="E15" s="95">
        <v>0</v>
      </c>
      <c r="F15" s="95">
        <v>0</v>
      </c>
      <c r="G15" s="2638">
        <f t="shared" si="1"/>
        <v>0</v>
      </c>
      <c r="H15" s="824">
        <v>0</v>
      </c>
      <c r="I15" s="95">
        <v>0</v>
      </c>
      <c r="J15" s="95">
        <v>0</v>
      </c>
      <c r="K15" s="95">
        <v>0</v>
      </c>
      <c r="L15" s="2638">
        <f t="shared" si="2"/>
        <v>0</v>
      </c>
      <c r="M15" s="824">
        <v>0</v>
      </c>
      <c r="N15" s="95">
        <v>4.9000000000000004</v>
      </c>
      <c r="O15" s="95">
        <v>0</v>
      </c>
      <c r="P15" s="95">
        <v>0</v>
      </c>
      <c r="Q15" s="2638">
        <f>SUM(M15:P15)</f>
        <v>4.9000000000000004</v>
      </c>
      <c r="R15" s="2560">
        <v>0</v>
      </c>
      <c r="S15" s="2559">
        <v>0</v>
      </c>
      <c r="T15" s="2559">
        <v>0</v>
      </c>
      <c r="U15" s="2559">
        <v>0</v>
      </c>
      <c r="V15" s="2638">
        <f t="shared" si="3"/>
        <v>0</v>
      </c>
      <c r="W15" s="34"/>
      <c r="X15" s="34"/>
      <c r="Y15" s="98"/>
      <c r="Z15" s="74"/>
      <c r="AA15" s="34"/>
      <c r="AB15" s="34"/>
      <c r="AC15" s="34"/>
      <c r="AD15" s="34"/>
      <c r="AE15" s="34"/>
      <c r="AF15" s="77"/>
      <c r="AG15" s="116"/>
      <c r="AH15" s="116"/>
      <c r="AI15" s="116"/>
      <c r="AJ15" s="116"/>
      <c r="AK15" s="116"/>
      <c r="AL15" s="116"/>
      <c r="AM15" s="116"/>
      <c r="AN15" s="116"/>
      <c r="AO15" s="116"/>
      <c r="AP15" s="116"/>
      <c r="AQ15" s="116"/>
      <c r="AR15" s="116"/>
      <c r="AS15" s="116"/>
      <c r="AT15" s="116"/>
      <c r="AU15" s="116"/>
      <c r="AV15" s="116"/>
      <c r="AW15" s="116"/>
      <c r="AX15" s="116"/>
    </row>
    <row r="16" spans="1:50" s="9" customFormat="1" x14ac:dyDescent="0.25">
      <c r="A16" s="286" t="s">
        <v>136</v>
      </c>
      <c r="B16" s="158" t="s">
        <v>107</v>
      </c>
      <c r="C16" s="824">
        <v>2.2400000000000002</v>
      </c>
      <c r="D16" s="95">
        <v>1.5</v>
      </c>
      <c r="E16" s="95">
        <v>2.54</v>
      </c>
      <c r="F16" s="95">
        <v>0</v>
      </c>
      <c r="G16" s="2638">
        <f t="shared" si="1"/>
        <v>6.28</v>
      </c>
      <c r="H16" s="824">
        <v>0</v>
      </c>
      <c r="I16" s="95">
        <v>0</v>
      </c>
      <c r="J16" s="95">
        <v>7.6</v>
      </c>
      <c r="K16" s="95">
        <v>0</v>
      </c>
      <c r="L16" s="2638">
        <f t="shared" si="2"/>
        <v>7.6</v>
      </c>
      <c r="M16" s="824">
        <v>0</v>
      </c>
      <c r="N16" s="95">
        <v>0</v>
      </c>
      <c r="O16" s="95">
        <v>0</v>
      </c>
      <c r="P16" s="95">
        <v>0</v>
      </c>
      <c r="Q16" s="2638">
        <f>SUM(M16:P16)</f>
        <v>0</v>
      </c>
      <c r="R16" s="2560">
        <v>0</v>
      </c>
      <c r="S16" s="2559">
        <v>0</v>
      </c>
      <c r="T16" s="2559">
        <v>0</v>
      </c>
      <c r="U16" s="2559">
        <v>0</v>
      </c>
      <c r="V16" s="2638">
        <f t="shared" si="3"/>
        <v>0</v>
      </c>
      <c r="W16" s="34"/>
      <c r="X16" s="34"/>
      <c r="Y16" s="34"/>
      <c r="Z16" s="34"/>
      <c r="AA16" s="34"/>
      <c r="AB16" s="34"/>
      <c r="AC16" s="34"/>
      <c r="AD16" s="34"/>
      <c r="AE16" s="34"/>
      <c r="AF16" s="77"/>
      <c r="AG16" s="116"/>
      <c r="AH16" s="116"/>
      <c r="AI16" s="116"/>
      <c r="AJ16" s="116"/>
      <c r="AK16" s="116"/>
      <c r="AL16" s="116"/>
      <c r="AM16" s="116"/>
      <c r="AN16" s="116"/>
      <c r="AO16" s="116"/>
      <c r="AP16" s="116"/>
      <c r="AQ16" s="116"/>
      <c r="AR16" s="116"/>
      <c r="AS16" s="116"/>
      <c r="AT16" s="116"/>
      <c r="AU16" s="116"/>
      <c r="AV16" s="116"/>
      <c r="AW16" s="116"/>
      <c r="AX16" s="116"/>
    </row>
    <row r="17" spans="1:50" x14ac:dyDescent="0.25">
      <c r="A17" s="286" t="s">
        <v>55</v>
      </c>
      <c r="B17" s="158" t="s">
        <v>107</v>
      </c>
      <c r="C17" s="824">
        <v>1.1280000000000001</v>
      </c>
      <c r="D17" s="95">
        <v>1.1400000000000001</v>
      </c>
      <c r="E17" s="95">
        <v>1.5960000000000001</v>
      </c>
      <c r="F17" s="95">
        <v>0</v>
      </c>
      <c r="G17" s="2638">
        <f t="shared" si="1"/>
        <v>3.8640000000000003</v>
      </c>
      <c r="H17" s="824">
        <v>0</v>
      </c>
      <c r="I17" s="95">
        <v>4.5599999999999996</v>
      </c>
      <c r="J17" s="95">
        <v>0</v>
      </c>
      <c r="K17" s="95">
        <v>0</v>
      </c>
      <c r="L17" s="2638">
        <f t="shared" si="2"/>
        <v>4.5599999999999996</v>
      </c>
      <c r="M17" s="824">
        <v>0</v>
      </c>
      <c r="N17" s="95">
        <v>0</v>
      </c>
      <c r="O17" s="95">
        <v>0</v>
      </c>
      <c r="P17" s="95">
        <v>0</v>
      </c>
      <c r="Q17" s="2638">
        <f>SUM(M17:P17)</f>
        <v>0</v>
      </c>
      <c r="R17" s="2560">
        <v>0</v>
      </c>
      <c r="S17" s="2559">
        <v>8.3999999999999991E-2</v>
      </c>
      <c r="T17" s="2559">
        <v>3.6000000000000004E-2</v>
      </c>
      <c r="U17" s="2559">
        <v>2.4E-2</v>
      </c>
      <c r="V17" s="2638">
        <f t="shared" si="3"/>
        <v>0.14399999999999999</v>
      </c>
      <c r="W17" s="34"/>
      <c r="X17" s="2174"/>
      <c r="Y17" s="34"/>
      <c r="Z17" s="34"/>
      <c r="AA17" s="34"/>
      <c r="AB17" s="34"/>
      <c r="AC17" s="34"/>
      <c r="AD17" s="34"/>
      <c r="AE17" s="34"/>
      <c r="AF17" s="77"/>
      <c r="AG17" s="116"/>
      <c r="AH17" s="116"/>
      <c r="AI17" s="116"/>
      <c r="AJ17" s="116"/>
      <c r="AK17" s="116"/>
      <c r="AL17" s="116"/>
      <c r="AM17" s="116"/>
      <c r="AN17" s="116"/>
      <c r="AO17" s="116"/>
      <c r="AP17" s="116"/>
      <c r="AQ17" s="116"/>
      <c r="AR17" s="116"/>
      <c r="AS17" s="116"/>
      <c r="AT17" s="116"/>
      <c r="AU17" s="116"/>
      <c r="AV17" s="116"/>
      <c r="AW17" s="116"/>
      <c r="AX17" s="116"/>
    </row>
    <row r="18" spans="1:50" x14ac:dyDescent="0.25">
      <c r="A18" s="286" t="s">
        <v>56</v>
      </c>
      <c r="B18" s="158" t="s">
        <v>107</v>
      </c>
      <c r="C18" s="824">
        <v>4.4979999999999993</v>
      </c>
      <c r="D18" s="95">
        <v>3.492</v>
      </c>
      <c r="E18" s="95">
        <v>7.2370000000000001</v>
      </c>
      <c r="F18" s="95">
        <v>0</v>
      </c>
      <c r="G18" s="2638">
        <f t="shared" si="1"/>
        <v>15.227</v>
      </c>
      <c r="H18" s="824">
        <v>5</v>
      </c>
      <c r="I18" s="95">
        <v>25.36</v>
      </c>
      <c r="J18" s="95">
        <v>11.8</v>
      </c>
      <c r="K18" s="95">
        <v>0</v>
      </c>
      <c r="L18" s="2638">
        <f t="shared" si="2"/>
        <v>42.16</v>
      </c>
      <c r="M18" s="824">
        <v>0</v>
      </c>
      <c r="N18" s="95">
        <v>0</v>
      </c>
      <c r="O18" s="95">
        <v>0</v>
      </c>
      <c r="P18" s="95">
        <v>0</v>
      </c>
      <c r="Q18" s="2638">
        <f t="shared" ref="Q18:Q24" si="4">SUM(M18:P18)</f>
        <v>0</v>
      </c>
      <c r="R18" s="2560">
        <v>0</v>
      </c>
      <c r="S18" s="2559">
        <v>0</v>
      </c>
      <c r="T18" s="2559">
        <v>0</v>
      </c>
      <c r="U18" s="2559">
        <v>0</v>
      </c>
      <c r="V18" s="2638">
        <f t="shared" si="3"/>
        <v>0</v>
      </c>
      <c r="W18" s="34"/>
      <c r="X18" s="34"/>
      <c r="Y18" s="34"/>
      <c r="Z18" s="34"/>
      <c r="AA18" s="34"/>
      <c r="AB18" s="34"/>
      <c r="AC18" s="34"/>
      <c r="AD18" s="34"/>
      <c r="AE18" s="34"/>
      <c r="AF18" s="77"/>
      <c r="AG18" s="116"/>
      <c r="AH18" s="116"/>
      <c r="AI18" s="116"/>
      <c r="AJ18" s="116"/>
      <c r="AK18" s="116"/>
      <c r="AL18" s="116"/>
      <c r="AM18" s="116"/>
      <c r="AN18" s="116"/>
      <c r="AO18" s="116"/>
      <c r="AP18" s="116"/>
      <c r="AQ18" s="116"/>
      <c r="AR18" s="116"/>
      <c r="AS18" s="116"/>
      <c r="AT18" s="116"/>
      <c r="AU18" s="116"/>
      <c r="AV18" s="116"/>
      <c r="AW18" s="116"/>
      <c r="AX18" s="116"/>
    </row>
    <row r="19" spans="1:50" x14ac:dyDescent="0.25">
      <c r="A19" s="286" t="s">
        <v>57</v>
      </c>
      <c r="B19" s="158" t="s">
        <v>107</v>
      </c>
      <c r="C19" s="824">
        <v>308.52</v>
      </c>
      <c r="D19" s="95">
        <v>226.84699999999998</v>
      </c>
      <c r="E19" s="95">
        <v>379.43499999999995</v>
      </c>
      <c r="F19" s="95">
        <v>79.339999999999989</v>
      </c>
      <c r="G19" s="2638">
        <f t="shared" si="1"/>
        <v>994.14199999999994</v>
      </c>
      <c r="H19" s="824">
        <v>271.05</v>
      </c>
      <c r="I19" s="95">
        <v>260.13</v>
      </c>
      <c r="J19" s="1787">
        <v>103.75</v>
      </c>
      <c r="K19" s="150">
        <v>16.25</v>
      </c>
      <c r="L19" s="2638">
        <f t="shared" si="2"/>
        <v>651.18000000000006</v>
      </c>
      <c r="M19" s="4901">
        <v>72.040000000000006</v>
      </c>
      <c r="N19" s="95">
        <v>69.42</v>
      </c>
      <c r="O19" s="4893">
        <v>166.52</v>
      </c>
      <c r="P19" s="95">
        <v>56.78</v>
      </c>
      <c r="Q19" s="2638">
        <f t="shared" si="4"/>
        <v>364.76</v>
      </c>
      <c r="R19" s="2560">
        <v>113.16</v>
      </c>
      <c r="S19" s="2559">
        <v>0</v>
      </c>
      <c r="T19" s="2559">
        <v>0</v>
      </c>
      <c r="U19" s="2559">
        <v>0</v>
      </c>
      <c r="V19" s="2638">
        <f t="shared" si="3"/>
        <v>113.16</v>
      </c>
      <c r="W19" s="34"/>
      <c r="X19" s="34"/>
      <c r="Y19" s="34"/>
      <c r="Z19" s="34"/>
      <c r="AA19" s="34"/>
      <c r="AB19" s="34"/>
      <c r="AC19" s="34"/>
      <c r="AD19" s="34"/>
      <c r="AE19" s="34"/>
      <c r="AF19" s="77"/>
      <c r="AG19" s="116"/>
      <c r="AH19" s="116"/>
      <c r="AI19" s="116"/>
      <c r="AJ19" s="116"/>
      <c r="AK19" s="116"/>
      <c r="AL19" s="116"/>
      <c r="AM19" s="116"/>
      <c r="AN19" s="116"/>
      <c r="AO19" s="116"/>
      <c r="AP19" s="116"/>
      <c r="AQ19" s="116"/>
      <c r="AR19" s="116"/>
      <c r="AS19" s="116"/>
      <c r="AT19" s="116"/>
      <c r="AU19" s="116"/>
      <c r="AV19" s="116"/>
      <c r="AW19" s="116"/>
      <c r="AX19" s="116"/>
    </row>
    <row r="20" spans="1:50" s="9" customFormat="1" x14ac:dyDescent="0.25">
      <c r="A20" s="286" t="s">
        <v>40</v>
      </c>
      <c r="B20" s="158" t="s">
        <v>107</v>
      </c>
      <c r="C20" s="824">
        <v>26.8</v>
      </c>
      <c r="D20" s="95">
        <v>12.719999999999999</v>
      </c>
      <c r="E20" s="95">
        <v>4.46</v>
      </c>
      <c r="F20" s="95">
        <v>3.58</v>
      </c>
      <c r="G20" s="2638">
        <f t="shared" si="1"/>
        <v>47.559999999999995</v>
      </c>
      <c r="H20" s="824">
        <v>0</v>
      </c>
      <c r="I20" s="95">
        <v>0</v>
      </c>
      <c r="J20" s="1787">
        <v>13.899999999999999</v>
      </c>
      <c r="K20" s="150">
        <v>0</v>
      </c>
      <c r="L20" s="2638">
        <f>SUM(H20:K20)</f>
        <v>13.899999999999999</v>
      </c>
      <c r="M20" s="824">
        <v>0</v>
      </c>
      <c r="N20" s="95">
        <v>1.06</v>
      </c>
      <c r="O20" s="95">
        <v>0.9</v>
      </c>
      <c r="P20" s="95">
        <v>0</v>
      </c>
      <c r="Q20" s="2638">
        <f t="shared" si="4"/>
        <v>1.96</v>
      </c>
      <c r="R20" s="2560">
        <v>0</v>
      </c>
      <c r="S20" s="2559">
        <v>0</v>
      </c>
      <c r="T20" s="2559">
        <v>0</v>
      </c>
      <c r="U20" s="2559">
        <v>0</v>
      </c>
      <c r="V20" s="2638">
        <f t="shared" si="3"/>
        <v>0</v>
      </c>
      <c r="W20" s="34"/>
      <c r="X20" s="34"/>
      <c r="Y20" s="34"/>
      <c r="Z20" s="39"/>
      <c r="AA20" s="34"/>
      <c r="AB20" s="34"/>
      <c r="AC20" s="34"/>
      <c r="AD20" s="34"/>
      <c r="AE20" s="34"/>
      <c r="AF20" s="77"/>
      <c r="AG20" s="116"/>
      <c r="AH20" s="116"/>
      <c r="AI20" s="116"/>
      <c r="AJ20" s="116"/>
      <c r="AK20" s="116"/>
      <c r="AL20" s="116"/>
      <c r="AM20" s="116"/>
      <c r="AN20" s="116"/>
      <c r="AO20" s="116"/>
      <c r="AP20" s="116"/>
      <c r="AQ20" s="116"/>
      <c r="AR20" s="116"/>
      <c r="AS20" s="116"/>
      <c r="AT20" s="116"/>
      <c r="AU20" s="116"/>
      <c r="AV20" s="116"/>
      <c r="AW20" s="116"/>
      <c r="AX20" s="116"/>
    </row>
    <row r="21" spans="1:50" x14ac:dyDescent="0.25">
      <c r="A21" s="286" t="s">
        <v>58</v>
      </c>
      <c r="B21" s="158" t="s">
        <v>107</v>
      </c>
      <c r="C21" s="824">
        <v>0</v>
      </c>
      <c r="D21" s="95">
        <v>0</v>
      </c>
      <c r="E21" s="95">
        <v>0</v>
      </c>
      <c r="F21" s="95">
        <v>0</v>
      </c>
      <c r="G21" s="2638">
        <f t="shared" si="1"/>
        <v>0</v>
      </c>
      <c r="H21" s="824">
        <v>4.0000000000000002E-4</v>
      </c>
      <c r="I21" s="95">
        <v>0</v>
      </c>
      <c r="J21" s="95">
        <v>0</v>
      </c>
      <c r="K21" s="95">
        <v>0</v>
      </c>
      <c r="L21" s="2638">
        <f>SUM(H21:K21)</f>
        <v>4.0000000000000002E-4</v>
      </c>
      <c r="M21" s="824">
        <v>0</v>
      </c>
      <c r="N21" s="95">
        <v>0</v>
      </c>
      <c r="O21" s="95">
        <v>0</v>
      </c>
      <c r="P21" s="95">
        <v>0</v>
      </c>
      <c r="Q21" s="2638">
        <f t="shared" si="4"/>
        <v>0</v>
      </c>
      <c r="R21" s="824">
        <v>2.6000000000000003E-3</v>
      </c>
      <c r="S21" s="95">
        <v>0.8</v>
      </c>
      <c r="T21" s="95">
        <v>1.25</v>
      </c>
      <c r="U21" s="2559">
        <v>0</v>
      </c>
      <c r="V21" s="2638">
        <f t="shared" si="3"/>
        <v>2.0526</v>
      </c>
      <c r="W21" s="34"/>
      <c r="X21" s="34"/>
      <c r="Y21" s="34"/>
      <c r="Z21" s="39"/>
      <c r="AA21" s="34"/>
      <c r="AB21" s="34"/>
      <c r="AC21" s="34"/>
      <c r="AD21" s="34"/>
      <c r="AE21" s="34"/>
      <c r="AF21" s="77"/>
      <c r="AG21" s="116"/>
      <c r="AH21" s="116"/>
      <c r="AI21" s="116"/>
      <c r="AJ21" s="116"/>
      <c r="AK21" s="116"/>
      <c r="AL21" s="116"/>
      <c r="AM21" s="116"/>
      <c r="AN21" s="116"/>
      <c r="AO21" s="116"/>
      <c r="AP21" s="116"/>
      <c r="AQ21" s="116"/>
      <c r="AR21" s="116"/>
      <c r="AS21" s="116"/>
      <c r="AT21" s="116"/>
      <c r="AU21" s="116"/>
      <c r="AV21" s="116"/>
      <c r="AW21" s="116"/>
      <c r="AX21" s="116"/>
    </row>
    <row r="22" spans="1:50" x14ac:dyDescent="0.25">
      <c r="A22" s="286" t="s">
        <v>59</v>
      </c>
      <c r="B22" s="158" t="s">
        <v>107</v>
      </c>
      <c r="C22" s="824">
        <v>8.82</v>
      </c>
      <c r="D22" s="95">
        <v>10.220000000000001</v>
      </c>
      <c r="E22" s="95">
        <v>10.219999999999999</v>
      </c>
      <c r="F22" s="95">
        <v>2.1</v>
      </c>
      <c r="G22" s="2638">
        <f t="shared" si="1"/>
        <v>31.36</v>
      </c>
      <c r="H22" s="824">
        <v>0</v>
      </c>
      <c r="I22" s="95">
        <v>0</v>
      </c>
      <c r="J22" s="95">
        <v>0</v>
      </c>
      <c r="K22" s="95">
        <v>0</v>
      </c>
      <c r="L22" s="2638">
        <f>SUM(H22:K22)</f>
        <v>0</v>
      </c>
      <c r="M22" s="824">
        <v>0</v>
      </c>
      <c r="N22" s="95">
        <v>0</v>
      </c>
      <c r="O22" s="95">
        <v>0</v>
      </c>
      <c r="P22" s="95">
        <v>0</v>
      </c>
      <c r="Q22" s="2638">
        <f t="shared" si="4"/>
        <v>0</v>
      </c>
      <c r="R22" s="2560">
        <v>3.4299999999999997</v>
      </c>
      <c r="S22" s="2559">
        <v>0.84000000000000008</v>
      </c>
      <c r="T22" s="2559">
        <v>1.26</v>
      </c>
      <c r="U22" s="2559">
        <v>0.56000000000000005</v>
      </c>
      <c r="V22" s="2638">
        <f t="shared" si="3"/>
        <v>6.09</v>
      </c>
      <c r="W22" s="34"/>
      <c r="X22" s="34"/>
      <c r="Y22" s="34"/>
      <c r="Z22" s="44"/>
      <c r="AA22" s="34"/>
      <c r="AB22" s="34"/>
      <c r="AC22" s="34"/>
      <c r="AD22" s="34"/>
      <c r="AE22" s="34"/>
      <c r="AF22" s="77"/>
      <c r="AG22" s="116"/>
      <c r="AH22" s="116"/>
      <c r="AI22" s="116"/>
      <c r="AJ22" s="116"/>
      <c r="AK22" s="116"/>
      <c r="AL22" s="116"/>
      <c r="AM22" s="116"/>
      <c r="AN22" s="116"/>
      <c r="AO22" s="116"/>
      <c r="AP22" s="116"/>
      <c r="AQ22" s="116"/>
      <c r="AR22" s="116"/>
      <c r="AS22" s="116"/>
      <c r="AT22" s="116"/>
      <c r="AU22" s="116"/>
      <c r="AV22" s="116"/>
      <c r="AW22" s="116"/>
      <c r="AX22" s="116"/>
    </row>
    <row r="23" spans="1:50" x14ac:dyDescent="0.25">
      <c r="A23" s="286" t="s">
        <v>60</v>
      </c>
      <c r="B23" s="158" t="s">
        <v>107</v>
      </c>
      <c r="C23" s="191">
        <v>5.915</v>
      </c>
      <c r="D23" s="95">
        <v>12.193999999999999</v>
      </c>
      <c r="E23" s="95">
        <v>9.282</v>
      </c>
      <c r="F23" s="95">
        <v>0</v>
      </c>
      <c r="G23" s="2638">
        <f t="shared" si="1"/>
        <v>27.390999999999998</v>
      </c>
      <c r="H23" s="824">
        <v>11.22</v>
      </c>
      <c r="I23" s="95">
        <v>9.7199999999999989</v>
      </c>
      <c r="J23" s="95">
        <v>5.66</v>
      </c>
      <c r="K23" s="150">
        <v>3.04</v>
      </c>
      <c r="L23" s="2638">
        <f>SUM(H23:K23)</f>
        <v>29.639999999999997</v>
      </c>
      <c r="M23" s="824">
        <v>0</v>
      </c>
      <c r="N23" s="95">
        <v>0</v>
      </c>
      <c r="O23" s="95">
        <v>0</v>
      </c>
      <c r="P23" s="95">
        <v>0</v>
      </c>
      <c r="Q23" s="2638">
        <f t="shared" si="4"/>
        <v>0</v>
      </c>
      <c r="R23" s="2560">
        <v>3.6580599999999999</v>
      </c>
      <c r="S23" s="2559">
        <v>1.7620149999999999</v>
      </c>
      <c r="T23" s="2559">
        <v>2.474745</v>
      </c>
      <c r="U23" s="2559">
        <v>0.63171500000000003</v>
      </c>
      <c r="V23" s="2638">
        <f t="shared" si="3"/>
        <v>8.5265349999999991</v>
      </c>
      <c r="W23" s="34"/>
      <c r="X23" s="2174"/>
      <c r="Y23" s="34"/>
      <c r="Z23" s="1"/>
      <c r="AA23" s="34"/>
      <c r="AB23" s="34"/>
      <c r="AC23" s="34"/>
      <c r="AD23" s="34"/>
      <c r="AE23" s="34"/>
      <c r="AF23" s="77"/>
      <c r="AG23" s="116"/>
      <c r="AH23" s="116"/>
      <c r="AI23" s="116"/>
      <c r="AJ23" s="116"/>
      <c r="AK23" s="116"/>
      <c r="AL23" s="116"/>
      <c r="AM23" s="116"/>
      <c r="AN23" s="116"/>
      <c r="AO23" s="116"/>
      <c r="AP23" s="116"/>
      <c r="AQ23" s="116"/>
      <c r="AR23" s="116"/>
      <c r="AS23" s="116"/>
      <c r="AT23" s="116"/>
      <c r="AU23" s="116"/>
      <c r="AV23" s="116"/>
      <c r="AW23" s="116"/>
      <c r="AX23" s="116"/>
    </row>
    <row r="24" spans="1:50" s="40" customFormat="1" x14ac:dyDescent="0.25">
      <c r="A24" s="1761" t="s">
        <v>111</v>
      </c>
      <c r="B24" s="2761" t="s">
        <v>107</v>
      </c>
      <c r="C24" s="2769">
        <f>SUM(C13:C23)</f>
        <v>396.15100000000001</v>
      </c>
      <c r="D24" s="2729">
        <f>SUM(D13:D23)</f>
        <v>278.10500000000002</v>
      </c>
      <c r="E24" s="2729">
        <f>SUM(E13:E23)</f>
        <v>440.16099999999989</v>
      </c>
      <c r="F24" s="2729">
        <f>SUM(F13:F23)</f>
        <v>87.279999999999987</v>
      </c>
      <c r="G24" s="2638">
        <f t="shared" si="1"/>
        <v>1201.6969999999999</v>
      </c>
      <c r="H24" s="2780">
        <f>SUM(H13:H23)</f>
        <v>287.27040000000005</v>
      </c>
      <c r="I24" s="2730">
        <f>SUM(I13:I23)</f>
        <v>299.77</v>
      </c>
      <c r="J24" s="2730">
        <f>SUM(J13:J23)</f>
        <v>156.76</v>
      </c>
      <c r="K24" s="2730">
        <f>SUM(K13:K23)</f>
        <v>19.29</v>
      </c>
      <c r="L24" s="2638">
        <f>SUM(H24:K24)</f>
        <v>763.09040000000005</v>
      </c>
      <c r="M24" s="2733">
        <f>SUM(M13:M23)</f>
        <v>72.350000000000009</v>
      </c>
      <c r="N24" s="2733">
        <v>82.32</v>
      </c>
      <c r="O24" s="2730">
        <f>SUM(O13:O23)</f>
        <v>171.07000000000002</v>
      </c>
      <c r="P24" s="2730">
        <f>SUM(P13:P23)</f>
        <v>58.64</v>
      </c>
      <c r="Q24" s="2638">
        <f t="shared" si="4"/>
        <v>384.38</v>
      </c>
      <c r="R24" s="2733">
        <f>SUM(R13:R23)</f>
        <v>120.25066000000001</v>
      </c>
      <c r="S24" s="2730">
        <f>SUM(S13:S23)</f>
        <v>3.4860150000000001</v>
      </c>
      <c r="T24" s="2730">
        <f>SUM(T13:T23)</f>
        <v>5.0207449999999998</v>
      </c>
      <c r="U24" s="2730">
        <f>SUM(U13:U23)</f>
        <v>1.2157150000000001</v>
      </c>
      <c r="V24" s="2638">
        <f t="shared" si="3"/>
        <v>129.97313499999998</v>
      </c>
      <c r="W24" s="290"/>
      <c r="X24" s="290"/>
      <c r="Y24" s="34"/>
      <c r="Z24" s="1"/>
      <c r="AA24" s="290"/>
      <c r="AB24" s="290"/>
      <c r="AC24" s="290"/>
      <c r="AD24" s="290"/>
      <c r="AE24" s="290"/>
      <c r="AF24" s="290"/>
      <c r="AG24" s="227"/>
      <c r="AH24" s="227"/>
      <c r="AI24" s="227"/>
      <c r="AJ24" s="227"/>
      <c r="AK24" s="227"/>
      <c r="AL24" s="227"/>
      <c r="AM24" s="227"/>
      <c r="AN24" s="227"/>
      <c r="AO24" s="227"/>
      <c r="AP24" s="227"/>
      <c r="AQ24" s="227"/>
      <c r="AR24" s="227"/>
      <c r="AS24" s="227"/>
      <c r="AT24" s="227"/>
      <c r="AU24" s="227"/>
      <c r="AV24" s="227"/>
      <c r="AW24" s="227"/>
      <c r="AX24" s="227"/>
    </row>
    <row r="25" spans="1:50" s="182" customFormat="1" x14ac:dyDescent="0.25">
      <c r="A25" s="2726" t="s">
        <v>61</v>
      </c>
      <c r="B25" s="2727"/>
      <c r="C25" s="2723"/>
      <c r="D25" s="2724"/>
      <c r="E25" s="2724"/>
      <c r="F25" s="2724"/>
      <c r="G25" s="2725"/>
      <c r="H25" s="2723"/>
      <c r="I25" s="2724"/>
      <c r="J25" s="2724"/>
      <c r="K25" s="2724"/>
      <c r="L25" s="2725"/>
      <c r="M25" s="2723"/>
      <c r="N25" s="2724"/>
      <c r="O25" s="2724"/>
      <c r="P25" s="2724"/>
      <c r="Q25" s="2725"/>
      <c r="R25" s="2723"/>
      <c r="S25" s="2724"/>
      <c r="T25" s="2724"/>
      <c r="U25" s="2724"/>
      <c r="V25" s="2725"/>
      <c r="W25" s="34"/>
      <c r="X25" s="34"/>
      <c r="Y25" s="34"/>
      <c r="Z25" s="44"/>
      <c r="AA25" s="34"/>
      <c r="AB25" s="34"/>
      <c r="AC25" s="34"/>
      <c r="AD25" s="34"/>
      <c r="AE25" s="34"/>
      <c r="AF25" s="52"/>
      <c r="AG25" s="116"/>
      <c r="AH25" s="116"/>
      <c r="AI25" s="116"/>
      <c r="AJ25" s="116"/>
      <c r="AK25" s="116"/>
      <c r="AL25" s="116"/>
      <c r="AM25" s="116"/>
      <c r="AN25" s="116"/>
      <c r="AO25" s="116"/>
      <c r="AP25" s="116"/>
      <c r="AQ25" s="116"/>
      <c r="AR25" s="116"/>
      <c r="AS25" s="116"/>
      <c r="AT25" s="116"/>
      <c r="AU25" s="116"/>
      <c r="AV25" s="116"/>
      <c r="AW25" s="116"/>
      <c r="AX25" s="116"/>
    </row>
    <row r="26" spans="1:50" s="9" customFormat="1" x14ac:dyDescent="0.25">
      <c r="A26" s="292" t="s">
        <v>137</v>
      </c>
      <c r="B26" s="2762" t="s">
        <v>107</v>
      </c>
      <c r="C26" s="2805">
        <v>3.6400000000000002E-2</v>
      </c>
      <c r="D26" s="2806">
        <v>4.6800000000000001E-2</v>
      </c>
      <c r="E26" s="2806">
        <v>3.6900000000000002E-2</v>
      </c>
      <c r="F26" s="2806">
        <v>0.04</v>
      </c>
      <c r="G26" s="2807">
        <f>SUM(C26:F26)</f>
        <v>0.16009999999999999</v>
      </c>
      <c r="H26" s="2805">
        <v>6.2899999999999998E-2</v>
      </c>
      <c r="I26" s="2806">
        <v>0.09</v>
      </c>
      <c r="J26" s="2806">
        <v>0.08</v>
      </c>
      <c r="K26" s="2806">
        <v>3.5000000000000003E-2</v>
      </c>
      <c r="L26" s="2807">
        <f>SUM(H26:K26)</f>
        <v>0.26790000000000003</v>
      </c>
      <c r="M26" s="2805">
        <v>0</v>
      </c>
      <c r="N26" s="2806">
        <v>0</v>
      </c>
      <c r="O26" s="2806">
        <v>0</v>
      </c>
      <c r="P26" s="2806">
        <v>0</v>
      </c>
      <c r="Q26" s="2807">
        <f>SUM(M26:P26)</f>
        <v>0</v>
      </c>
      <c r="R26" s="2805">
        <v>2.3709899999999999</v>
      </c>
      <c r="S26" s="2806">
        <v>2.4179900000000001</v>
      </c>
      <c r="T26" s="2806">
        <v>2.2640000000000002</v>
      </c>
      <c r="U26" s="2806">
        <v>2.2480000000000002</v>
      </c>
      <c r="V26" s="2807">
        <f>SUM(R26:U26)</f>
        <v>9.3009800000000009</v>
      </c>
      <c r="W26" s="34"/>
      <c r="X26" s="34"/>
      <c r="Y26" s="34"/>
      <c r="Z26" s="1"/>
      <c r="AA26" s="34"/>
      <c r="AB26" s="34"/>
      <c r="AC26" s="34"/>
      <c r="AD26" s="34"/>
      <c r="AE26" s="34"/>
      <c r="AF26" s="113"/>
    </row>
    <row r="27" spans="1:50" s="9" customFormat="1" x14ac:dyDescent="0.25">
      <c r="A27" s="292" t="s">
        <v>138</v>
      </c>
      <c r="B27" s="2762" t="s">
        <v>107</v>
      </c>
      <c r="C27" s="2805">
        <v>0</v>
      </c>
      <c r="D27" s="2806">
        <v>0.62</v>
      </c>
      <c r="E27" s="2806">
        <v>0</v>
      </c>
      <c r="F27" s="2806">
        <v>0</v>
      </c>
      <c r="G27" s="2807">
        <f>SUM(C27:F27)</f>
        <v>0.62</v>
      </c>
      <c r="H27" s="2805">
        <v>0.47</v>
      </c>
      <c r="I27" s="2806">
        <v>0.52299999999999991</v>
      </c>
      <c r="J27" s="2806">
        <v>0.48399999999999999</v>
      </c>
      <c r="K27" s="2806">
        <v>0.505</v>
      </c>
      <c r="L27" s="2807">
        <f>SUM(H27:K27)</f>
        <v>1.9819999999999998</v>
      </c>
      <c r="M27" s="2805">
        <v>0</v>
      </c>
      <c r="N27" s="2806">
        <v>0</v>
      </c>
      <c r="O27" s="2806">
        <v>0</v>
      </c>
      <c r="P27" s="2806">
        <v>0</v>
      </c>
      <c r="Q27" s="2807">
        <f>SUM(M27:P27)</f>
        <v>0</v>
      </c>
      <c r="R27" s="2805">
        <v>0.16190000000000002</v>
      </c>
      <c r="S27" s="2806">
        <v>0.17500000000000002</v>
      </c>
      <c r="T27" s="2806">
        <v>0.15299000000000001</v>
      </c>
      <c r="U27" s="2806">
        <v>0.127</v>
      </c>
      <c r="V27" s="2807">
        <f>SUM(R27:U27)</f>
        <v>0.61689000000000005</v>
      </c>
      <c r="W27" s="34"/>
      <c r="X27" s="34"/>
      <c r="Y27" s="34"/>
      <c r="Z27" s="1"/>
      <c r="AA27" s="34"/>
      <c r="AB27" s="34"/>
      <c r="AC27" s="34"/>
      <c r="AD27" s="34"/>
      <c r="AE27" s="34"/>
      <c r="AF27" s="113"/>
    </row>
    <row r="28" spans="1:50" x14ac:dyDescent="0.25">
      <c r="A28" s="1762" t="s">
        <v>62</v>
      </c>
      <c r="B28" s="2763" t="s">
        <v>107</v>
      </c>
      <c r="C28" s="2808">
        <f t="shared" ref="C28:K28" si="5">SUM(C26:C27)</f>
        <v>3.6400000000000002E-2</v>
      </c>
      <c r="D28" s="2809">
        <f t="shared" si="5"/>
        <v>0.66679999999999995</v>
      </c>
      <c r="E28" s="2809">
        <f t="shared" si="5"/>
        <v>3.6900000000000002E-2</v>
      </c>
      <c r="F28" s="2809">
        <f t="shared" si="5"/>
        <v>0.04</v>
      </c>
      <c r="G28" s="2807">
        <f>SUM(C28:F28)</f>
        <v>0.78010000000000002</v>
      </c>
      <c r="H28" s="2808">
        <f t="shared" si="5"/>
        <v>0.53289999999999993</v>
      </c>
      <c r="I28" s="2809">
        <f t="shared" si="5"/>
        <v>0.61299999999999988</v>
      </c>
      <c r="J28" s="2809">
        <f t="shared" si="5"/>
        <v>0.56399999999999995</v>
      </c>
      <c r="K28" s="2809">
        <f t="shared" si="5"/>
        <v>0.54</v>
      </c>
      <c r="L28" s="2807">
        <f>SUM(H28:K28)</f>
        <v>2.2498999999999998</v>
      </c>
      <c r="M28" s="2808">
        <f>SUM(M26:M27)</f>
        <v>0</v>
      </c>
      <c r="N28" s="2809">
        <f>SUM(N26:N27)</f>
        <v>0</v>
      </c>
      <c r="O28" s="2809">
        <f>SUM(O26:O27)</f>
        <v>0</v>
      </c>
      <c r="P28" s="2809">
        <f>SUM(P26:P27)</f>
        <v>0</v>
      </c>
      <c r="Q28" s="2807">
        <f>SUM(M28:P28)</f>
        <v>0</v>
      </c>
      <c r="R28" s="2808">
        <f>SUM(R26:R27)</f>
        <v>2.5328900000000001</v>
      </c>
      <c r="S28" s="2809">
        <f>SUM(S26:S27)</f>
        <v>2.5929899999999999</v>
      </c>
      <c r="T28" s="2809">
        <f>SUM(T26:T27)</f>
        <v>2.4169900000000002</v>
      </c>
      <c r="U28" s="2809">
        <f>SUM(U26:U27)</f>
        <v>2.375</v>
      </c>
      <c r="V28" s="2807">
        <f>SUM(R28:U28)</f>
        <v>9.9178700000000006</v>
      </c>
      <c r="W28" s="34"/>
      <c r="X28" s="2175"/>
      <c r="Y28" s="34"/>
      <c r="Z28" s="44"/>
      <c r="AA28" s="34"/>
      <c r="AB28" s="34"/>
      <c r="AC28" s="34"/>
      <c r="AD28" s="34"/>
      <c r="AE28" s="34"/>
      <c r="AF28" s="113"/>
    </row>
    <row r="29" spans="1:50" s="9" customFormat="1" x14ac:dyDescent="0.25">
      <c r="A29" s="2727" t="s">
        <v>112</v>
      </c>
      <c r="B29" s="2764" t="s">
        <v>107</v>
      </c>
      <c r="C29" s="3524">
        <f t="shared" ref="C29:V29" si="6">C6+C7+C24+C28</f>
        <v>497.50740000000002</v>
      </c>
      <c r="D29" s="3525">
        <f t="shared" si="6"/>
        <v>371.09180000000003</v>
      </c>
      <c r="E29" s="3525">
        <f t="shared" si="6"/>
        <v>531.2978999999998</v>
      </c>
      <c r="F29" s="3525">
        <f t="shared" si="6"/>
        <v>131.37999999999997</v>
      </c>
      <c r="G29" s="3526">
        <f t="shared" si="6"/>
        <v>1531.2770999999998</v>
      </c>
      <c r="H29" s="3524">
        <f t="shared" si="6"/>
        <v>380.40630000000004</v>
      </c>
      <c r="I29" s="3525">
        <f t="shared" si="6"/>
        <v>372.96299999999997</v>
      </c>
      <c r="J29" s="3525">
        <f t="shared" si="6"/>
        <v>199.57399999999998</v>
      </c>
      <c r="K29" s="3525">
        <f t="shared" si="6"/>
        <v>31.83</v>
      </c>
      <c r="L29" s="3526">
        <f t="shared" si="6"/>
        <v>984.77330000000006</v>
      </c>
      <c r="M29" s="3524">
        <f t="shared" si="6"/>
        <v>98.830000000000013</v>
      </c>
      <c r="N29" s="3525">
        <f t="shared" si="6"/>
        <v>142.41999999999999</v>
      </c>
      <c r="O29" s="3525">
        <f t="shared" si="6"/>
        <v>261.65000000000003</v>
      </c>
      <c r="P29" s="3525">
        <f t="shared" si="6"/>
        <v>76.180000000000007</v>
      </c>
      <c r="Q29" s="3526">
        <f t="shared" si="6"/>
        <v>579.08000000000004</v>
      </c>
      <c r="R29" s="3524">
        <f t="shared" si="6"/>
        <v>712.0085499999999</v>
      </c>
      <c r="S29" s="3525">
        <f t="shared" si="6"/>
        <v>588.08900499999993</v>
      </c>
      <c r="T29" s="3525">
        <f t="shared" si="6"/>
        <v>565.39773500000001</v>
      </c>
      <c r="U29" s="3525">
        <f t="shared" si="6"/>
        <v>554.34071500000005</v>
      </c>
      <c r="V29" s="3526">
        <f t="shared" si="6"/>
        <v>2419.8360050000001</v>
      </c>
      <c r="W29" s="34"/>
      <c r="X29" s="34"/>
      <c r="Y29" s="44"/>
      <c r="Z29" s="44"/>
      <c r="AA29" s="34"/>
      <c r="AB29" s="34"/>
      <c r="AC29" s="34"/>
      <c r="AD29" s="34"/>
      <c r="AE29" s="34"/>
      <c r="AF29" s="34"/>
    </row>
    <row r="30" spans="1:50" s="9" customFormat="1" ht="30.75" customHeight="1" x14ac:dyDescent="0.25">
      <c r="A30" s="2751" t="s">
        <v>235</v>
      </c>
      <c r="B30" s="72" t="s">
        <v>98</v>
      </c>
      <c r="C30" s="2770">
        <f>IF(ISERROR(C24/C29),0,(C24/C29))</f>
        <v>0.79627157304594864</v>
      </c>
      <c r="D30" s="2736">
        <f t="shared" ref="D30:V30" si="7">IF(ISERROR(D24/D29),0,(D24/D29))</f>
        <v>0.74942372749815545</v>
      </c>
      <c r="E30" s="2736">
        <f t="shared" si="7"/>
        <v>0.82846365475941097</v>
      </c>
      <c r="F30" s="2736">
        <f t="shared" si="7"/>
        <v>0.6643324706956919</v>
      </c>
      <c r="G30" s="2771">
        <f t="shared" si="7"/>
        <v>0.78476782549677004</v>
      </c>
      <c r="H30" s="2770">
        <f t="shared" si="7"/>
        <v>0.75516730401152665</v>
      </c>
      <c r="I30" s="2736">
        <f t="shared" si="7"/>
        <v>0.80375265106726412</v>
      </c>
      <c r="J30" s="2736">
        <f t="shared" si="7"/>
        <v>0.78547305761271513</v>
      </c>
      <c r="K30" s="2736">
        <f t="shared" si="7"/>
        <v>0.60603204524033927</v>
      </c>
      <c r="L30" s="2771">
        <f t="shared" si="7"/>
        <v>0.77488940855727917</v>
      </c>
      <c r="M30" s="2770">
        <f t="shared" si="7"/>
        <v>0.7320651624000809</v>
      </c>
      <c r="N30" s="2736">
        <f t="shared" si="7"/>
        <v>0.57800870664232551</v>
      </c>
      <c r="O30" s="2736">
        <f t="shared" si="7"/>
        <v>0.65381234473533345</v>
      </c>
      <c r="P30" s="2736">
        <f t="shared" si="7"/>
        <v>0.76975584142819631</v>
      </c>
      <c r="Q30" s="2771">
        <f t="shared" si="7"/>
        <v>0.66377702562685637</v>
      </c>
      <c r="R30" s="2770">
        <f t="shared" si="7"/>
        <v>0.16888934830908986</v>
      </c>
      <c r="S30" s="3084">
        <f t="shared" si="7"/>
        <v>5.9276996685221151E-3</v>
      </c>
      <c r="T30" s="2736">
        <f t="shared" si="7"/>
        <v>8.8800231928767796E-3</v>
      </c>
      <c r="U30" s="2736">
        <f t="shared" si="7"/>
        <v>2.1930826423240445E-3</v>
      </c>
      <c r="V30" s="2771">
        <f t="shared" si="7"/>
        <v>5.371154686988798E-2</v>
      </c>
      <c r="W30" s="34"/>
      <c r="X30" s="34"/>
      <c r="Y30" s="1"/>
      <c r="Z30" s="1"/>
      <c r="AA30" s="34"/>
      <c r="AB30" s="34"/>
      <c r="AC30" s="34"/>
      <c r="AD30" s="34"/>
      <c r="AE30" s="34"/>
      <c r="AF30" s="34"/>
    </row>
    <row r="31" spans="1:50" x14ac:dyDescent="0.25">
      <c r="A31" s="2752" t="s">
        <v>1001</v>
      </c>
      <c r="B31" s="2764"/>
      <c r="C31" s="2772"/>
      <c r="D31" s="2737"/>
      <c r="E31" s="2737"/>
      <c r="F31" s="2737"/>
      <c r="G31" s="2773"/>
      <c r="H31" s="2772"/>
      <c r="I31" s="2737"/>
      <c r="J31" s="2737"/>
      <c r="K31" s="2737"/>
      <c r="L31" s="2773"/>
      <c r="M31" s="2772"/>
      <c r="N31" s="2737"/>
      <c r="O31" s="2737"/>
      <c r="P31" s="2737"/>
      <c r="Q31" s="2773"/>
      <c r="R31" s="2772"/>
      <c r="S31" s="2737"/>
      <c r="T31" s="2737"/>
      <c r="U31" s="2737"/>
      <c r="V31" s="2773"/>
      <c r="W31" s="1758"/>
      <c r="AG31" s="1"/>
    </row>
    <row r="32" spans="1:50" s="9" customFormat="1" x14ac:dyDescent="0.25">
      <c r="A32" s="2753" t="s">
        <v>1002</v>
      </c>
      <c r="B32" s="158" t="s">
        <v>107</v>
      </c>
      <c r="C32" s="2813">
        <v>896242.2</v>
      </c>
      <c r="D32" s="2814">
        <v>774864.3</v>
      </c>
      <c r="E32" s="2814">
        <v>740826.4</v>
      </c>
      <c r="F32" s="2814">
        <v>537131.69999999995</v>
      </c>
      <c r="G32" s="2815">
        <f>SUM(C32:F32)</f>
        <v>2949064.5999999996</v>
      </c>
      <c r="H32" s="2813">
        <v>414666.19</v>
      </c>
      <c r="I32" s="2814">
        <v>344132.00142210169</v>
      </c>
      <c r="J32" s="2814">
        <v>316348.41928112204</v>
      </c>
      <c r="K32" s="3507">
        <v>177863.7151555375</v>
      </c>
      <c r="L32" s="2815">
        <f>SUM(H32:K32)</f>
        <v>1253010.3258587613</v>
      </c>
      <c r="M32" s="2813">
        <v>141358</v>
      </c>
      <c r="N32" s="2814">
        <v>105335</v>
      </c>
      <c r="O32" s="2814">
        <v>86125</v>
      </c>
      <c r="P32" s="2814">
        <v>0</v>
      </c>
      <c r="Q32" s="2815">
        <f>SUM(M32:P32)</f>
        <v>332818</v>
      </c>
      <c r="R32" s="2813">
        <v>732452</v>
      </c>
      <c r="S32" s="3085">
        <v>697770</v>
      </c>
      <c r="T32" s="2814">
        <v>585146</v>
      </c>
      <c r="U32" s="2814">
        <v>16705</v>
      </c>
      <c r="V32" s="2815">
        <f>SUM(R32:U32)</f>
        <v>2032073</v>
      </c>
      <c r="W32" s="1758"/>
      <c r="AG32" s="1"/>
    </row>
    <row r="33" spans="1:33" s="9" customFormat="1" x14ac:dyDescent="0.25">
      <c r="A33" s="2753" t="s">
        <v>1003</v>
      </c>
      <c r="B33" s="158" t="s">
        <v>107</v>
      </c>
      <c r="C33" s="2813">
        <v>384103.8</v>
      </c>
      <c r="D33" s="2814">
        <v>332084.7</v>
      </c>
      <c r="E33" s="2814">
        <v>317496.59999999998</v>
      </c>
      <c r="F33" s="2814">
        <v>230199.3</v>
      </c>
      <c r="G33" s="2815">
        <f>SUM(C33:F33)</f>
        <v>1263884.3999999999</v>
      </c>
      <c r="H33" s="2813">
        <v>437116</v>
      </c>
      <c r="I33" s="2814">
        <v>433033.77589818923</v>
      </c>
      <c r="J33" s="2814">
        <v>408219.09548813652</v>
      </c>
      <c r="K33" s="3507">
        <v>259557.28684446248</v>
      </c>
      <c r="L33" s="2815">
        <f>SUM(H33:K33)</f>
        <v>1537926.1582307883</v>
      </c>
      <c r="M33" s="2813">
        <v>189257</v>
      </c>
      <c r="N33" s="2814">
        <v>143386</v>
      </c>
      <c r="O33" s="2814">
        <v>154247</v>
      </c>
      <c r="P33" s="2814">
        <v>0</v>
      </c>
      <c r="Q33" s="2815">
        <f>SUM(M33:P33)</f>
        <v>486890</v>
      </c>
      <c r="R33" s="2813">
        <v>505554</v>
      </c>
      <c r="S33" s="3085">
        <v>568736</v>
      </c>
      <c r="T33" s="2814">
        <v>570822</v>
      </c>
      <c r="U33" s="2814">
        <v>77731</v>
      </c>
      <c r="V33" s="2815">
        <f>SUM(R33:U33)</f>
        <v>1722843</v>
      </c>
      <c r="W33" s="1758"/>
      <c r="AG33" s="1"/>
    </row>
    <row r="34" spans="1:33" s="9" customFormat="1" x14ac:dyDescent="0.25">
      <c r="A34" s="2754" t="s">
        <v>1005</v>
      </c>
      <c r="B34" s="2764"/>
      <c r="C34" s="2772"/>
      <c r="D34" s="2737"/>
      <c r="E34" s="2737"/>
      <c r="F34" s="2737"/>
      <c r="G34" s="2773"/>
      <c r="H34" s="2772"/>
      <c r="I34" s="2737"/>
      <c r="J34" s="2737"/>
      <c r="K34" s="2737"/>
      <c r="L34" s="2773"/>
      <c r="M34" s="2772"/>
      <c r="N34" s="2737"/>
      <c r="O34" s="2737"/>
      <c r="P34" s="2737"/>
      <c r="Q34" s="2773"/>
      <c r="R34" s="2772"/>
      <c r="S34" s="2737"/>
      <c r="T34" s="2737"/>
      <c r="U34" s="2737"/>
      <c r="V34" s="2773"/>
      <c r="W34" s="1758"/>
      <c r="AG34" s="1"/>
    </row>
    <row r="35" spans="1:33" s="9" customFormat="1" x14ac:dyDescent="0.25">
      <c r="A35" s="2753" t="s">
        <v>375</v>
      </c>
      <c r="B35" s="158" t="s">
        <v>1006</v>
      </c>
      <c r="C35" s="2774"/>
      <c r="D35" s="2738"/>
      <c r="E35" s="2738"/>
      <c r="F35" s="2738"/>
      <c r="G35" s="2632">
        <v>107465.26</v>
      </c>
      <c r="H35" s="2781"/>
      <c r="I35" s="2745"/>
      <c r="J35" s="2745"/>
      <c r="K35" s="2745"/>
      <c r="L35" s="2632">
        <v>603460.18999999994</v>
      </c>
      <c r="M35" s="2781"/>
      <c r="N35" s="2745"/>
      <c r="O35" s="2745"/>
      <c r="P35" s="2745"/>
      <c r="Q35" s="2632">
        <v>283832</v>
      </c>
      <c r="R35" s="2781"/>
      <c r="S35" s="2745"/>
      <c r="T35" s="2745"/>
      <c r="U35" s="2745"/>
      <c r="V35" s="3639">
        <v>0</v>
      </c>
      <c r="W35" s="1758"/>
      <c r="AG35" s="1"/>
    </row>
    <row r="36" spans="1:33" s="9" customFormat="1" x14ac:dyDescent="0.25">
      <c r="A36" s="2753" t="s">
        <v>236</v>
      </c>
      <c r="B36" s="158" t="s">
        <v>1006</v>
      </c>
      <c r="C36" s="2774"/>
      <c r="D36" s="2738"/>
      <c r="E36" s="2738"/>
      <c r="F36" s="2738"/>
      <c r="G36" s="9">
        <v>196707.33</v>
      </c>
      <c r="H36" s="2781"/>
      <c r="I36" s="2745"/>
      <c r="J36" s="2745"/>
      <c r="K36" s="2745"/>
      <c r="L36" s="2632">
        <v>2824516.28</v>
      </c>
      <c r="M36" s="2781"/>
      <c r="N36" s="2745"/>
      <c r="O36" s="2745"/>
      <c r="P36" s="2745"/>
      <c r="Q36" s="445">
        <v>320772.33</v>
      </c>
      <c r="R36" s="2781"/>
      <c r="S36" s="2745"/>
      <c r="T36" s="2745"/>
      <c r="U36" s="2745"/>
      <c r="V36" s="3640">
        <v>149271961.07999998</v>
      </c>
      <c r="W36" s="1758"/>
      <c r="AG36" s="1"/>
    </row>
    <row r="37" spans="1:33" s="40" customFormat="1" ht="15.75" thickBot="1" x14ac:dyDescent="0.3">
      <c r="A37" s="2755" t="s">
        <v>1004</v>
      </c>
      <c r="B37" s="2755" t="s">
        <v>1006</v>
      </c>
      <c r="C37" s="2775"/>
      <c r="D37" s="2776"/>
      <c r="E37" s="2776"/>
      <c r="F37" s="2776"/>
      <c r="G37" s="2777">
        <v>219349.18</v>
      </c>
      <c r="H37" s="2782"/>
      <c r="I37" s="2783"/>
      <c r="J37" s="2783"/>
      <c r="K37" s="2783"/>
      <c r="L37" s="2777">
        <v>3427976.4699999997</v>
      </c>
      <c r="M37" s="2782"/>
      <c r="N37" s="2783"/>
      <c r="O37" s="2783"/>
      <c r="P37" s="2783"/>
      <c r="Q37" s="3815">
        <f>SUM(Q35:Q36)</f>
        <v>604604.33000000007</v>
      </c>
      <c r="R37" s="2782"/>
      <c r="S37" s="2783"/>
      <c r="T37" s="2783"/>
      <c r="U37" s="2783"/>
      <c r="V37" s="3641">
        <f>V35+V36</f>
        <v>149271961.07999998</v>
      </c>
      <c r="AG37" s="75"/>
    </row>
    <row r="38" spans="1:33" s="9" customFormat="1" x14ac:dyDescent="0.25">
      <c r="A38" s="226" t="s">
        <v>1054</v>
      </c>
      <c r="B38" s="39"/>
      <c r="C38" s="427"/>
      <c r="D38" s="427"/>
      <c r="E38" s="427"/>
      <c r="F38" s="427"/>
      <c r="G38" s="445">
        <f>G35+G36</f>
        <v>304172.58999999997</v>
      </c>
      <c r="H38" s="427"/>
      <c r="I38" s="427"/>
      <c r="J38" s="427"/>
      <c r="K38" s="427"/>
      <c r="L38" s="427"/>
      <c r="M38" s="427">
        <v>107057.79000000001</v>
      </c>
      <c r="N38" s="427"/>
      <c r="P38" s="427"/>
      <c r="R38" s="2003">
        <v>37317990.269999996</v>
      </c>
      <c r="S38" s="2003">
        <v>37317990.269999996</v>
      </c>
      <c r="T38" s="427"/>
      <c r="U38" s="427"/>
      <c r="V38" s="427"/>
      <c r="AG38" s="1"/>
    </row>
    <row r="39" spans="1:33" s="9" customFormat="1" ht="15.75" thickBot="1" x14ac:dyDescent="0.3">
      <c r="A39" s="226"/>
      <c r="B39" s="39"/>
      <c r="C39" s="427"/>
      <c r="D39" s="427"/>
      <c r="E39" s="427"/>
      <c r="F39" s="427"/>
      <c r="G39" s="2632"/>
      <c r="H39" s="427"/>
      <c r="I39" s="427"/>
      <c r="J39" s="427"/>
      <c r="K39" s="427"/>
      <c r="L39" s="427"/>
      <c r="M39" s="427"/>
      <c r="N39" s="427"/>
      <c r="O39" s="427">
        <v>2302.8000000000002</v>
      </c>
      <c r="P39" s="427"/>
      <c r="Q39" s="427"/>
      <c r="R39" s="2003"/>
      <c r="S39" s="2003"/>
      <c r="T39" s="427"/>
      <c r="U39" s="427"/>
      <c r="V39" s="427"/>
      <c r="AG39" s="1"/>
    </row>
    <row r="40" spans="1:33" s="9" customFormat="1" ht="15.75" thickBot="1" x14ac:dyDescent="0.3">
      <c r="A40" s="226"/>
      <c r="B40" s="39"/>
      <c r="C40" s="427"/>
      <c r="D40" s="4577" t="s">
        <v>1439</v>
      </c>
      <c r="E40" s="4589">
        <v>1922101</v>
      </c>
      <c r="F40" s="4589">
        <v>1728446</v>
      </c>
      <c r="G40" s="4590">
        <v>731700</v>
      </c>
      <c r="H40" s="427">
        <f>SUM(D40:G40)</f>
        <v>4382247</v>
      </c>
      <c r="I40" s="427"/>
      <c r="J40" s="427"/>
      <c r="K40" s="427"/>
      <c r="L40" s="427"/>
      <c r="M40" s="427"/>
      <c r="N40" s="427"/>
      <c r="O40" s="427">
        <f>SUM(O38:O39)</f>
        <v>2302.8000000000002</v>
      </c>
      <c r="P40" s="427"/>
      <c r="Q40" s="427"/>
      <c r="R40" s="2003"/>
      <c r="S40" s="2003"/>
      <c r="T40" s="427"/>
      <c r="U40" s="427"/>
      <c r="V40" s="427"/>
      <c r="AG40" s="1"/>
    </row>
    <row r="41" spans="1:33" s="9" customFormat="1" ht="17.25" customHeight="1" x14ac:dyDescent="0.25">
      <c r="A41" s="226"/>
      <c r="B41" s="39"/>
      <c r="C41" s="427"/>
      <c r="D41" s="427"/>
      <c r="E41" s="427"/>
      <c r="F41" s="427"/>
      <c r="G41" s="427"/>
      <c r="H41" s="427"/>
      <c r="I41" s="427"/>
      <c r="J41" s="427"/>
      <c r="K41" s="427"/>
      <c r="L41" s="427"/>
      <c r="M41" s="427"/>
      <c r="N41" s="427"/>
      <c r="O41" s="427"/>
      <c r="P41" s="427"/>
      <c r="Q41" s="427"/>
      <c r="R41" s="2003"/>
      <c r="S41" s="2003"/>
      <c r="T41" s="427"/>
      <c r="U41" s="427"/>
      <c r="V41" s="427"/>
      <c r="AG41" s="1"/>
    </row>
    <row r="42" spans="1:33" s="9" customFormat="1" x14ac:dyDescent="0.25">
      <c r="A42" s="226"/>
      <c r="B42" s="39"/>
      <c r="C42" s="427"/>
      <c r="D42" s="427"/>
      <c r="E42" s="427"/>
      <c r="F42" s="427"/>
      <c r="G42" s="427"/>
      <c r="H42" s="427"/>
      <c r="I42" s="427"/>
      <c r="J42" s="427"/>
      <c r="K42" s="427"/>
      <c r="L42" s="427"/>
      <c r="M42" s="427"/>
      <c r="N42" s="427"/>
      <c r="O42" s="427"/>
      <c r="P42" s="427"/>
      <c r="Q42" s="427"/>
      <c r="R42" s="2003"/>
      <c r="S42" s="2003"/>
      <c r="T42" s="427"/>
      <c r="U42" s="427"/>
      <c r="V42" s="427"/>
      <c r="AG42" s="1"/>
    </row>
    <row r="43" spans="1:33" s="9" customFormat="1" ht="15.75" thickBot="1" x14ac:dyDescent="0.3">
      <c r="AG43" s="1"/>
    </row>
    <row r="44" spans="1:33" ht="19.5" thickBot="1" x14ac:dyDescent="0.35">
      <c r="A44" s="1"/>
      <c r="B44" s="1"/>
      <c r="C44" s="4978" t="s">
        <v>91</v>
      </c>
      <c r="D44" s="4979"/>
      <c r="E44" s="4979"/>
      <c r="F44" s="4979"/>
      <c r="G44" s="4980"/>
      <c r="I44" s="5013" t="s">
        <v>1289</v>
      </c>
      <c r="J44" s="5014"/>
      <c r="K44" s="5014"/>
      <c r="L44" s="5014"/>
      <c r="M44" s="5029"/>
      <c r="N44" s="5013" t="s">
        <v>1288</v>
      </c>
      <c r="O44" s="5014"/>
      <c r="P44" s="5014"/>
      <c r="Q44" s="5014"/>
      <c r="R44" s="5029"/>
      <c r="S44" s="3825"/>
      <c r="T44" s="3825"/>
    </row>
    <row r="45" spans="1:33" ht="15.75" thickBot="1" x14ac:dyDescent="0.3">
      <c r="A45" s="149" t="s">
        <v>0</v>
      </c>
      <c r="B45" s="149" t="s">
        <v>1</v>
      </c>
      <c r="C45" s="17" t="s">
        <v>3</v>
      </c>
      <c r="D45" s="18" t="s">
        <v>4</v>
      </c>
      <c r="E45" s="18" t="s">
        <v>5</v>
      </c>
      <c r="F45" s="18" t="s">
        <v>6</v>
      </c>
      <c r="G45" s="19" t="s">
        <v>7</v>
      </c>
      <c r="I45" s="3759" t="s">
        <v>1286</v>
      </c>
      <c r="J45" s="3823" t="s">
        <v>99</v>
      </c>
      <c r="K45" s="3760" t="s">
        <v>100</v>
      </c>
      <c r="L45" s="891" t="s">
        <v>101</v>
      </c>
      <c r="M45" s="3360" t="s">
        <v>103</v>
      </c>
      <c r="N45" s="3826" t="s">
        <v>1287</v>
      </c>
      <c r="O45" s="3823" t="s">
        <v>99</v>
      </c>
      <c r="P45" s="3760" t="s">
        <v>100</v>
      </c>
      <c r="Q45" s="891" t="s">
        <v>101</v>
      </c>
      <c r="R45" s="3360" t="s">
        <v>103</v>
      </c>
      <c r="T45" s="39"/>
      <c r="AA45" s="1"/>
    </row>
    <row r="46" spans="1:33" x14ac:dyDescent="0.25">
      <c r="A46" s="2741" t="s">
        <v>50</v>
      </c>
      <c r="B46" s="2742"/>
      <c r="C46" s="2325"/>
      <c r="D46" s="2721"/>
      <c r="E46" s="2721"/>
      <c r="F46" s="2721"/>
      <c r="G46" s="2323"/>
      <c r="H46" s="3824" t="s">
        <v>50</v>
      </c>
      <c r="I46" s="5041" t="s">
        <v>50</v>
      </c>
      <c r="J46" s="5042"/>
      <c r="K46" s="5042"/>
      <c r="L46" s="5042"/>
      <c r="M46" s="5043"/>
      <c r="N46" s="5041" t="s">
        <v>50</v>
      </c>
      <c r="O46" s="5042"/>
      <c r="P46" s="5042"/>
      <c r="Q46" s="5042"/>
      <c r="R46" s="5043"/>
      <c r="S46" s="1"/>
      <c r="T46" s="1"/>
    </row>
    <row r="47" spans="1:33" ht="22.5" x14ac:dyDescent="0.25">
      <c r="A47" s="291" t="s">
        <v>51</v>
      </c>
      <c r="B47" s="159" t="s">
        <v>107</v>
      </c>
      <c r="C47" s="33">
        <f t="shared" ref="C47:G49" si="8">C6+H6+M6+R6</f>
        <v>55.96</v>
      </c>
      <c r="D47" s="34">
        <f t="shared" si="8"/>
        <v>30.65</v>
      </c>
      <c r="E47" s="34">
        <f t="shared" si="8"/>
        <v>50.620000000000005</v>
      </c>
      <c r="F47" s="2806">
        <f t="shared" si="8"/>
        <v>3.08</v>
      </c>
      <c r="G47" s="3644">
        <f t="shared" si="8"/>
        <v>140.31</v>
      </c>
      <c r="H47" s="236" t="s">
        <v>51</v>
      </c>
      <c r="I47" s="46">
        <f>G47-N47</f>
        <v>140.31</v>
      </c>
      <c r="J47" s="44">
        <f>G6-O47</f>
        <v>34.64</v>
      </c>
      <c r="K47" s="44">
        <f>L6-P47</f>
        <v>75.37</v>
      </c>
      <c r="L47" s="44">
        <f>Q6-Q47</f>
        <v>30.3</v>
      </c>
      <c r="M47" s="3884">
        <f>V6-R47</f>
        <v>0</v>
      </c>
      <c r="N47" s="33">
        <f>SUM(O47:R47)</f>
        <v>0</v>
      </c>
      <c r="O47" s="888">
        <v>0</v>
      </c>
      <c r="P47" s="34">
        <v>0</v>
      </c>
      <c r="Q47" s="34">
        <v>0</v>
      </c>
      <c r="R47" s="22">
        <v>0</v>
      </c>
      <c r="S47" s="887"/>
      <c r="T47" s="1"/>
      <c r="U47" s="1"/>
      <c r="V47" s="1"/>
      <c r="W47" s="1"/>
      <c r="X47" s="1"/>
      <c r="Y47" s="1"/>
    </row>
    <row r="48" spans="1:33" x14ac:dyDescent="0.25">
      <c r="A48" s="286" t="s">
        <v>236</v>
      </c>
      <c r="B48" s="159" t="s">
        <v>107</v>
      </c>
      <c r="C48" s="33">
        <f t="shared" si="8"/>
        <v>753.66799999999989</v>
      </c>
      <c r="D48" s="34">
        <f t="shared" si="8"/>
        <v>776.36</v>
      </c>
      <c r="E48" s="34">
        <f t="shared" si="8"/>
        <v>731.27</v>
      </c>
      <c r="F48" s="2806">
        <f t="shared" si="8"/>
        <v>621.27</v>
      </c>
      <c r="G48" s="3644">
        <f t="shared" si="8"/>
        <v>2882.5679999999998</v>
      </c>
      <c r="H48" s="237" t="s">
        <v>236</v>
      </c>
      <c r="I48" s="46">
        <f>G48-N48</f>
        <v>2714.2179999999998</v>
      </c>
      <c r="J48" s="44">
        <f>G7-O48</f>
        <v>294.15999999999997</v>
      </c>
      <c r="K48" s="44">
        <f>L7-P48</f>
        <v>144.06300000000002</v>
      </c>
      <c r="L48" s="44">
        <f>Q7-Q48</f>
        <v>164.4</v>
      </c>
      <c r="M48" s="3884">
        <f>V7-R48</f>
        <v>2111.5949999999998</v>
      </c>
      <c r="N48" s="33">
        <f>SUM(O48:R48)</f>
        <v>168.35</v>
      </c>
      <c r="O48" s="888">
        <v>0</v>
      </c>
      <c r="P48" s="34">
        <v>0</v>
      </c>
      <c r="Q48" s="34">
        <v>0</v>
      </c>
      <c r="R48" s="22">
        <v>168.35</v>
      </c>
      <c r="S48" s="887"/>
      <c r="T48" s="1"/>
      <c r="U48" s="1"/>
      <c r="V48" s="1"/>
      <c r="W48" s="44"/>
      <c r="X48" s="34"/>
      <c r="Y48" s="44"/>
    </row>
    <row r="49" spans="1:33" s="9" customFormat="1" ht="23.25" x14ac:dyDescent="0.25">
      <c r="A49" s="2739" t="s">
        <v>147</v>
      </c>
      <c r="B49" s="2763" t="s">
        <v>107</v>
      </c>
      <c r="C49" s="1763">
        <f t="shared" si="8"/>
        <v>809.62799999999993</v>
      </c>
      <c r="D49" s="1764">
        <f t="shared" si="8"/>
        <v>807.01</v>
      </c>
      <c r="E49" s="1764">
        <f t="shared" si="8"/>
        <v>781.88999999999987</v>
      </c>
      <c r="F49" s="2809">
        <f t="shared" si="8"/>
        <v>624.35</v>
      </c>
      <c r="G49" s="2807">
        <f t="shared" si="8"/>
        <v>3022.8779999999997</v>
      </c>
      <c r="H49" s="3827" t="s">
        <v>147</v>
      </c>
      <c r="I49" s="46">
        <f>G49-N49</f>
        <v>2854.5279999999998</v>
      </c>
      <c r="J49" s="44">
        <f>G8-O49</f>
        <v>328.8</v>
      </c>
      <c r="K49" s="44">
        <f>L8-P49</f>
        <v>219.43299999999999</v>
      </c>
      <c r="L49" s="44">
        <f>Q8-Q49</f>
        <v>194.70000000000002</v>
      </c>
      <c r="M49" s="3884">
        <f>V8-R49</f>
        <v>2111.5949999999998</v>
      </c>
      <c r="N49" s="33">
        <f>SUM(O49:R49)</f>
        <v>168.35</v>
      </c>
      <c r="O49" s="888">
        <v>0</v>
      </c>
      <c r="P49" s="34">
        <v>0</v>
      </c>
      <c r="Q49" s="34">
        <v>0</v>
      </c>
      <c r="R49" s="22">
        <v>168.35</v>
      </c>
      <c r="S49" s="887"/>
      <c r="T49" s="1"/>
      <c r="U49" s="1"/>
      <c r="V49" s="1"/>
      <c r="W49" s="44"/>
      <c r="X49" s="34"/>
      <c r="Y49" s="44"/>
    </row>
    <row r="50" spans="1:33" s="9" customFormat="1" ht="34.5" x14ac:dyDescent="0.25">
      <c r="A50" s="2740" t="s">
        <v>998</v>
      </c>
      <c r="B50" s="2695" t="s">
        <v>107</v>
      </c>
      <c r="C50" s="2981">
        <v>979.91</v>
      </c>
      <c r="D50" s="2978">
        <v>979.91</v>
      </c>
      <c r="E50" s="2978">
        <v>979.91</v>
      </c>
      <c r="F50" s="2978">
        <v>979.91</v>
      </c>
      <c r="G50" s="3018">
        <f>G9+L9+Q9+V9</f>
        <v>3919.6396800000002</v>
      </c>
      <c r="H50" s="3828" t="s">
        <v>998</v>
      </c>
      <c r="I50" s="3870">
        <v>3919.64</v>
      </c>
      <c r="J50" s="3871">
        <v>503.76</v>
      </c>
      <c r="K50" s="3872">
        <v>1023.72</v>
      </c>
      <c r="L50" s="3872">
        <v>162</v>
      </c>
      <c r="M50" s="3869">
        <v>2229.96</v>
      </c>
      <c r="N50" s="3839"/>
      <c r="O50" s="3840"/>
      <c r="P50" s="3841"/>
      <c r="Q50" s="3841"/>
      <c r="R50" s="3842"/>
      <c r="S50" s="887"/>
      <c r="T50" s="1"/>
      <c r="U50" s="1"/>
      <c r="V50" s="1"/>
      <c r="W50" s="44"/>
      <c r="X50" s="34"/>
      <c r="Y50" s="44"/>
    </row>
    <row r="51" spans="1:33" s="9" customFormat="1" ht="67.5" x14ac:dyDescent="0.25">
      <c r="A51" s="2739" t="s">
        <v>999</v>
      </c>
      <c r="B51" s="2763" t="s">
        <v>98</v>
      </c>
      <c r="C51" s="3001">
        <f>IF(ISERROR((C49-C50)/C50),0,((C49-C50)/C50))</f>
        <v>-0.17377310161137252</v>
      </c>
      <c r="D51" s="3002">
        <f>IF(ISERROR((D49-D50)/D50),0,((D49-D50)/D50))</f>
        <v>-0.17644477554061086</v>
      </c>
      <c r="E51" s="3002">
        <f>IF(ISERROR((E49-E50)/E50),0,((E49-E50)/E50))</f>
        <v>-0.20207978283719943</v>
      </c>
      <c r="F51" s="3002">
        <f>IF(ISERROR((F49-F50)/F50),0,((F49-F50)/F50))</f>
        <v>-0.36284964945760323</v>
      </c>
      <c r="G51" s="3003">
        <f>IF(ISERROR((G49-G50)/G50),0,((G49-G50)/G50))</f>
        <v>-0.22878676439973189</v>
      </c>
      <c r="H51" s="3879" t="s">
        <v>999</v>
      </c>
      <c r="I51" s="3002">
        <f>IF(ISERROR((I49-I50)/I50),0,((I49-I50)/I50))</f>
        <v>-0.27173720035513471</v>
      </c>
      <c r="J51" s="3002">
        <f>IF(ISERROR((J49-J50)/J50),0,((J49-J50)/J50))</f>
        <v>-0.34730824202000948</v>
      </c>
      <c r="K51" s="3002">
        <f>IF(ISERROR((K49-K50)/K50),0,((K49-K50)/K50))</f>
        <v>-0.78565134997850972</v>
      </c>
      <c r="L51" s="3002">
        <f>IF(ISERROR((L49-L50)/L50),0,((L49-L50)/L50))</f>
        <v>0.20185185185185195</v>
      </c>
      <c r="M51" s="3003">
        <f>IF(ISERROR((M49-M50)/M50),0,((M49-M50)/M50))</f>
        <v>-5.3079427433676045E-2</v>
      </c>
      <c r="N51" s="3851"/>
      <c r="O51" s="3852"/>
      <c r="P51" s="3853"/>
      <c r="Q51" s="3853"/>
      <c r="R51" s="3854"/>
      <c r="S51" s="887"/>
      <c r="T51" s="1"/>
      <c r="U51" s="1"/>
      <c r="V51" s="1"/>
      <c r="W51" s="44"/>
      <c r="X51" s="34"/>
      <c r="Y51" s="44"/>
    </row>
    <row r="52" spans="1:33" s="9" customFormat="1" ht="68.25" x14ac:dyDescent="0.25">
      <c r="A52" s="828" t="s">
        <v>1000</v>
      </c>
      <c r="B52" s="293"/>
      <c r="C52" s="268" t="s">
        <v>679</v>
      </c>
      <c r="D52" s="263" t="s">
        <v>679</v>
      </c>
      <c r="E52" s="263" t="s">
        <v>679</v>
      </c>
      <c r="F52" s="263" t="s">
        <v>679</v>
      </c>
      <c r="G52" s="267" t="s">
        <v>679</v>
      </c>
      <c r="H52" s="1794" t="s">
        <v>1000</v>
      </c>
      <c r="I52" s="3843"/>
      <c r="J52" s="3844"/>
      <c r="K52" s="3845"/>
      <c r="L52" s="3845"/>
      <c r="M52" s="3846"/>
      <c r="N52" s="3847"/>
      <c r="O52" s="3848"/>
      <c r="P52" s="3849"/>
      <c r="Q52" s="3849"/>
      <c r="R52" s="3850"/>
      <c r="S52" s="887"/>
      <c r="T52" s="1"/>
      <c r="U52" s="1"/>
      <c r="V52" s="1"/>
      <c r="W52" s="44"/>
      <c r="X52" s="34"/>
      <c r="Y52" s="44"/>
    </row>
    <row r="53" spans="1:33" x14ac:dyDescent="0.25">
      <c r="A53" s="2785" t="s">
        <v>52</v>
      </c>
      <c r="B53" s="2759"/>
      <c r="C53" s="2723"/>
      <c r="D53" s="2724">
        <f t="shared" ref="D53:D65" si="9">D12+I12+N12+S12</f>
        <v>0</v>
      </c>
      <c r="E53" s="2724">
        <f t="shared" ref="E53:E65" si="10">E12+J12+O12+T12</f>
        <v>0</v>
      </c>
      <c r="F53" s="2724">
        <f t="shared" ref="F53:F65" si="11">F12+K12+P12+U12</f>
        <v>0</v>
      </c>
      <c r="G53" s="2725"/>
      <c r="H53" s="3829" t="s">
        <v>52</v>
      </c>
      <c r="I53" s="5044" t="s">
        <v>52</v>
      </c>
      <c r="J53" s="5045"/>
      <c r="K53" s="5045"/>
      <c r="L53" s="5045"/>
      <c r="M53" s="5046"/>
      <c r="N53" s="5044" t="s">
        <v>52</v>
      </c>
      <c r="O53" s="5045"/>
      <c r="P53" s="5045"/>
      <c r="Q53" s="5045"/>
      <c r="R53" s="5046"/>
      <c r="S53" s="887"/>
      <c r="T53" s="1"/>
      <c r="U53" s="1"/>
      <c r="V53" s="1"/>
      <c r="W53" s="44"/>
      <c r="X53" s="126"/>
      <c r="Y53" s="44"/>
    </row>
    <row r="54" spans="1:33" ht="23.25" x14ac:dyDescent="0.25">
      <c r="A54" s="286" t="s">
        <v>53</v>
      </c>
      <c r="B54" s="159" t="s">
        <v>107</v>
      </c>
      <c r="C54" s="2805">
        <f t="shared" ref="C54:C65" si="12">C13+H13+M13+R13</f>
        <v>1.91</v>
      </c>
      <c r="D54" s="2806">
        <f t="shared" si="9"/>
        <v>1.472</v>
      </c>
      <c r="E54" s="2806">
        <f t="shared" si="10"/>
        <v>2.871</v>
      </c>
      <c r="F54" s="2806">
        <f t="shared" si="11"/>
        <v>0</v>
      </c>
      <c r="G54" s="2807">
        <f t="shared" ref="G54:G65" si="13">G13+L13+Q13+V13</f>
        <v>6.2530000000000001</v>
      </c>
      <c r="H54" s="237" t="s">
        <v>53</v>
      </c>
      <c r="I54" s="251">
        <f>G54-N54</f>
        <v>6.2530000000000001</v>
      </c>
      <c r="J54" s="126">
        <f>G13-O54</f>
        <v>6.2530000000000001</v>
      </c>
      <c r="K54" s="445">
        <f>L13-P54</f>
        <v>0</v>
      </c>
      <c r="L54" s="126">
        <f>Q13-Q54</f>
        <v>0</v>
      </c>
      <c r="M54" s="3855">
        <f>V13-R54</f>
        <v>0</v>
      </c>
      <c r="N54" s="445">
        <f>SUM(O54:R54)</f>
        <v>0</v>
      </c>
      <c r="O54" s="95">
        <v>0</v>
      </c>
      <c r="P54" s="95">
        <v>0</v>
      </c>
      <c r="Q54" s="95">
        <v>0</v>
      </c>
      <c r="R54" s="2689">
        <v>0</v>
      </c>
      <c r="S54" s="887"/>
      <c r="T54" s="1"/>
      <c r="U54" s="1"/>
      <c r="V54" s="1"/>
      <c r="W54" s="44"/>
      <c r="X54" s="1"/>
      <c r="Y54" s="44"/>
    </row>
    <row r="55" spans="1:33" x14ac:dyDescent="0.25">
      <c r="A55" s="286" t="s">
        <v>54</v>
      </c>
      <c r="B55" s="159" t="s">
        <v>107</v>
      </c>
      <c r="C55" s="2805">
        <f t="shared" si="12"/>
        <v>36.630000000000003</v>
      </c>
      <c r="D55" s="2806">
        <f t="shared" si="9"/>
        <v>15.46</v>
      </c>
      <c r="E55" s="2806">
        <f t="shared" si="10"/>
        <v>40.220000000000006</v>
      </c>
      <c r="F55" s="2806">
        <f t="shared" si="11"/>
        <v>4.12</v>
      </c>
      <c r="G55" s="2807">
        <f t="shared" si="13"/>
        <v>96.430000000000021</v>
      </c>
      <c r="H55" s="237" t="s">
        <v>54</v>
      </c>
      <c r="I55" s="251">
        <f t="shared" ref="I55:I65" si="14">G55-N55</f>
        <v>96.430000000000021</v>
      </c>
      <c r="J55" s="126">
        <f>G14-O55</f>
        <v>69.620000000000019</v>
      </c>
      <c r="K55" s="445">
        <f t="shared" ref="K55:K65" si="15">L14-P55</f>
        <v>14.05</v>
      </c>
      <c r="L55" s="126">
        <f t="shared" ref="L55:L65" si="16">Q14-Q55</f>
        <v>12.76</v>
      </c>
      <c r="M55" s="3855">
        <f t="shared" ref="M55:M65" si="17">V14-R55</f>
        <v>0</v>
      </c>
      <c r="N55" s="445">
        <f t="shared" ref="N55:N65" si="18">SUM(O55:R55)</f>
        <v>0</v>
      </c>
      <c r="O55" s="95">
        <v>0</v>
      </c>
      <c r="P55" s="95">
        <v>0</v>
      </c>
      <c r="Q55" s="95">
        <v>0</v>
      </c>
      <c r="R55" s="2689">
        <v>0</v>
      </c>
      <c r="S55" s="887"/>
      <c r="T55" s="1"/>
      <c r="U55" s="1"/>
      <c r="V55" s="1"/>
      <c r="W55" s="1"/>
      <c r="X55" s="1"/>
      <c r="Y55" s="44"/>
      <c r="Z55" s="1"/>
      <c r="AA55" s="1"/>
      <c r="AB55" s="1"/>
      <c r="AC55" s="1"/>
      <c r="AD55" s="1"/>
      <c r="AE55" s="1"/>
      <c r="AF55" s="1"/>
      <c r="AG55" s="1"/>
    </row>
    <row r="56" spans="1:33" s="9" customFormat="1" ht="23.25" x14ac:dyDescent="0.25">
      <c r="A56" s="286" t="s">
        <v>1261</v>
      </c>
      <c r="B56" s="159" t="s">
        <v>107</v>
      </c>
      <c r="C56" s="2805">
        <f t="shared" si="12"/>
        <v>0</v>
      </c>
      <c r="D56" s="2806">
        <f t="shared" si="9"/>
        <v>4.9000000000000004</v>
      </c>
      <c r="E56" s="2806">
        <f t="shared" si="10"/>
        <v>0</v>
      </c>
      <c r="F56" s="2806">
        <f t="shared" si="11"/>
        <v>0</v>
      </c>
      <c r="G56" s="2807">
        <f t="shared" si="13"/>
        <v>4.9000000000000004</v>
      </c>
      <c r="H56" s="237" t="s">
        <v>1261</v>
      </c>
      <c r="I56" s="251">
        <f t="shared" si="14"/>
        <v>4.9000000000000004</v>
      </c>
      <c r="J56" s="126">
        <v>0</v>
      </c>
      <c r="K56" s="445">
        <f t="shared" si="15"/>
        <v>0</v>
      </c>
      <c r="L56" s="126">
        <f t="shared" si="16"/>
        <v>4.9000000000000004</v>
      </c>
      <c r="M56" s="3855">
        <f t="shared" si="17"/>
        <v>0</v>
      </c>
      <c r="N56" s="445">
        <f t="shared" si="18"/>
        <v>0</v>
      </c>
      <c r="O56" s="95">
        <v>0</v>
      </c>
      <c r="P56" s="95">
        <v>0</v>
      </c>
      <c r="Q56" s="95">
        <v>0</v>
      </c>
      <c r="R56" s="2689">
        <v>0</v>
      </c>
      <c r="S56" s="887"/>
      <c r="T56" s="1"/>
      <c r="U56" s="1"/>
      <c r="V56" s="1"/>
      <c r="W56" s="1"/>
      <c r="X56" s="1"/>
      <c r="Y56" s="44"/>
      <c r="Z56" s="1"/>
      <c r="AA56" s="1"/>
      <c r="AB56" s="1"/>
      <c r="AC56" s="1"/>
      <c r="AD56" s="1"/>
      <c r="AE56" s="1"/>
      <c r="AF56" s="1"/>
      <c r="AG56" s="1"/>
    </row>
    <row r="57" spans="1:33" s="9" customFormat="1" x14ac:dyDescent="0.25">
      <c r="A57" s="286" t="s">
        <v>136</v>
      </c>
      <c r="B57" s="159" t="s">
        <v>107</v>
      </c>
      <c r="C57" s="2805">
        <f t="shared" si="12"/>
        <v>2.2400000000000002</v>
      </c>
      <c r="D57" s="2806">
        <f t="shared" si="9"/>
        <v>1.5</v>
      </c>
      <c r="E57" s="2806">
        <f t="shared" si="10"/>
        <v>10.14</v>
      </c>
      <c r="F57" s="2806">
        <f t="shared" si="11"/>
        <v>0</v>
      </c>
      <c r="G57" s="2807">
        <f t="shared" si="13"/>
        <v>13.879999999999999</v>
      </c>
      <c r="H57" s="237" t="s">
        <v>136</v>
      </c>
      <c r="I57" s="251">
        <f t="shared" si="14"/>
        <v>13.879999999999999</v>
      </c>
      <c r="J57" s="126">
        <f t="shared" ref="J57:J65" si="19">G16-O57</f>
        <v>6.28</v>
      </c>
      <c r="K57" s="445">
        <f t="shared" si="15"/>
        <v>7.6</v>
      </c>
      <c r="L57" s="126">
        <f t="shared" si="16"/>
        <v>0</v>
      </c>
      <c r="M57" s="3855">
        <f t="shared" si="17"/>
        <v>0</v>
      </c>
      <c r="N57" s="445">
        <f t="shared" si="18"/>
        <v>0</v>
      </c>
      <c r="O57" s="95">
        <v>0</v>
      </c>
      <c r="P57" s="95">
        <v>0</v>
      </c>
      <c r="Q57" s="95">
        <v>0</v>
      </c>
      <c r="R57" s="2689">
        <v>0</v>
      </c>
      <c r="S57" s="887"/>
      <c r="T57" s="44"/>
      <c r="U57" s="44"/>
      <c r="V57" s="44"/>
      <c r="W57" s="1"/>
      <c r="X57" s="44"/>
      <c r="Y57" s="44"/>
      <c r="Z57" s="1"/>
      <c r="AA57" s="1"/>
      <c r="AB57" s="1"/>
      <c r="AC57" s="1"/>
      <c r="AD57" s="1"/>
      <c r="AE57" s="1"/>
      <c r="AF57" s="1"/>
      <c r="AG57" s="1"/>
    </row>
    <row r="58" spans="1:33" ht="23.25" x14ac:dyDescent="0.25">
      <c r="A58" s="286" t="s">
        <v>55</v>
      </c>
      <c r="B58" s="159" t="s">
        <v>107</v>
      </c>
      <c r="C58" s="2805">
        <f t="shared" si="12"/>
        <v>1.1280000000000001</v>
      </c>
      <c r="D58" s="2806">
        <f t="shared" si="9"/>
        <v>5.7839999999999989</v>
      </c>
      <c r="E58" s="2806">
        <f t="shared" si="10"/>
        <v>1.6320000000000001</v>
      </c>
      <c r="F58" s="2806">
        <f t="shared" si="11"/>
        <v>2.4E-2</v>
      </c>
      <c r="G58" s="2807">
        <f t="shared" si="13"/>
        <v>8.5679999999999996</v>
      </c>
      <c r="H58" s="237" t="s">
        <v>55</v>
      </c>
      <c r="I58" s="251">
        <f t="shared" si="14"/>
        <v>8.5440000000000005</v>
      </c>
      <c r="J58" s="126">
        <f t="shared" si="19"/>
        <v>3.8640000000000003</v>
      </c>
      <c r="K58" s="445">
        <f t="shared" si="15"/>
        <v>4.5599999999999996</v>
      </c>
      <c r="L58" s="126">
        <f t="shared" si="16"/>
        <v>0</v>
      </c>
      <c r="M58" s="3855">
        <f t="shared" si="17"/>
        <v>0.12</v>
      </c>
      <c r="N58" s="445">
        <f t="shared" si="18"/>
        <v>2.4E-2</v>
      </c>
      <c r="O58" s="95">
        <v>0</v>
      </c>
      <c r="P58" s="95">
        <v>0</v>
      </c>
      <c r="Q58" s="95">
        <v>0</v>
      </c>
      <c r="R58" s="2689">
        <v>2.4E-2</v>
      </c>
      <c r="S58" s="887"/>
      <c r="T58" s="1"/>
      <c r="U58" s="1"/>
      <c r="V58" s="1"/>
      <c r="W58" s="1"/>
      <c r="X58" s="1"/>
      <c r="Y58" s="1"/>
      <c r="Z58" s="1"/>
      <c r="AA58" s="1"/>
      <c r="AB58" s="1"/>
      <c r="AC58" s="1"/>
      <c r="AD58" s="1"/>
      <c r="AE58" s="1"/>
      <c r="AF58" s="1"/>
      <c r="AG58" s="1"/>
    </row>
    <row r="59" spans="1:33" x14ac:dyDescent="0.25">
      <c r="A59" s="286" t="s">
        <v>56</v>
      </c>
      <c r="B59" s="159" t="s">
        <v>107</v>
      </c>
      <c r="C59" s="2805">
        <f t="shared" si="12"/>
        <v>9.4979999999999993</v>
      </c>
      <c r="D59" s="2806">
        <f t="shared" si="9"/>
        <v>28.852</v>
      </c>
      <c r="E59" s="2806">
        <f t="shared" si="10"/>
        <v>19.036999999999999</v>
      </c>
      <c r="F59" s="2806">
        <f t="shared" si="11"/>
        <v>0</v>
      </c>
      <c r="G59" s="2807">
        <f t="shared" si="13"/>
        <v>57.387</v>
      </c>
      <c r="H59" s="237" t="s">
        <v>56</v>
      </c>
      <c r="I59" s="251">
        <f t="shared" si="14"/>
        <v>57.387</v>
      </c>
      <c r="J59" s="126">
        <f t="shared" si="19"/>
        <v>15.227</v>
      </c>
      <c r="K59" s="445">
        <f t="shared" si="15"/>
        <v>42.16</v>
      </c>
      <c r="L59" s="126">
        <f t="shared" si="16"/>
        <v>0</v>
      </c>
      <c r="M59" s="3855">
        <f t="shared" si="17"/>
        <v>0</v>
      </c>
      <c r="N59" s="445">
        <f t="shared" si="18"/>
        <v>0</v>
      </c>
      <c r="O59" s="95">
        <v>0</v>
      </c>
      <c r="P59" s="95">
        <v>0</v>
      </c>
      <c r="Q59" s="95">
        <v>0</v>
      </c>
      <c r="R59" s="2689">
        <v>0</v>
      </c>
      <c r="S59" s="887"/>
      <c r="T59" s="1"/>
      <c r="U59" s="1"/>
      <c r="V59" s="1"/>
      <c r="W59" s="1"/>
      <c r="X59" s="1"/>
      <c r="Y59" s="1"/>
      <c r="Z59" s="1"/>
      <c r="AA59" s="1"/>
      <c r="AB59" s="1"/>
      <c r="AC59" s="1"/>
      <c r="AD59" s="1"/>
      <c r="AE59" s="1"/>
      <c r="AF59" s="1"/>
      <c r="AG59" s="1"/>
    </row>
    <row r="60" spans="1:33" x14ac:dyDescent="0.25">
      <c r="A60" s="286" t="s">
        <v>57</v>
      </c>
      <c r="B60" s="159" t="s">
        <v>107</v>
      </c>
      <c r="C60" s="2805">
        <f t="shared" si="12"/>
        <v>764.76999999999987</v>
      </c>
      <c r="D60" s="2806">
        <f t="shared" si="9"/>
        <v>556.39699999999993</v>
      </c>
      <c r="E60" s="2806">
        <f t="shared" si="10"/>
        <v>649.70499999999993</v>
      </c>
      <c r="F60" s="2806">
        <f t="shared" si="11"/>
        <v>152.37</v>
      </c>
      <c r="G60" s="2807">
        <f t="shared" si="13"/>
        <v>2123.2420000000002</v>
      </c>
      <c r="H60" s="237" t="s">
        <v>57</v>
      </c>
      <c r="I60" s="251">
        <f t="shared" si="14"/>
        <v>2099.7420000000002</v>
      </c>
      <c r="J60" s="126">
        <f t="shared" si="19"/>
        <v>970.64199999999994</v>
      </c>
      <c r="K60" s="445">
        <f t="shared" si="15"/>
        <v>651.18000000000006</v>
      </c>
      <c r="L60" s="126">
        <f t="shared" si="16"/>
        <v>364.76</v>
      </c>
      <c r="M60" s="3855">
        <f t="shared" si="17"/>
        <v>113.16</v>
      </c>
      <c r="N60" s="445">
        <f t="shared" si="18"/>
        <v>23.5</v>
      </c>
      <c r="O60" s="95">
        <v>23.5</v>
      </c>
      <c r="P60" s="95">
        <v>0</v>
      </c>
      <c r="Q60" s="95">
        <v>0</v>
      </c>
      <c r="R60" s="2689">
        <v>0</v>
      </c>
      <c r="S60" s="887"/>
      <c r="T60" s="1"/>
      <c r="U60" s="1"/>
      <c r="V60" s="1"/>
      <c r="W60" s="1"/>
      <c r="X60" s="1"/>
      <c r="Y60" s="1"/>
      <c r="Z60" s="1"/>
      <c r="AA60" s="1"/>
      <c r="AB60" s="1"/>
      <c r="AC60" s="1"/>
      <c r="AD60" s="1"/>
      <c r="AE60" s="1"/>
      <c r="AF60" s="1"/>
      <c r="AG60" s="1"/>
    </row>
    <row r="61" spans="1:33" s="9" customFormat="1" x14ac:dyDescent="0.25">
      <c r="A61" s="286" t="s">
        <v>40</v>
      </c>
      <c r="B61" s="159" t="s">
        <v>107</v>
      </c>
      <c r="C61" s="2805">
        <f t="shared" si="12"/>
        <v>26.8</v>
      </c>
      <c r="D61" s="2806">
        <f t="shared" si="9"/>
        <v>13.78</v>
      </c>
      <c r="E61" s="2806">
        <f t="shared" si="10"/>
        <v>19.259999999999998</v>
      </c>
      <c r="F61" s="2806">
        <f t="shared" si="11"/>
        <v>3.58</v>
      </c>
      <c r="G61" s="2807">
        <f t="shared" si="13"/>
        <v>63.419999999999995</v>
      </c>
      <c r="H61" s="237" t="s">
        <v>40</v>
      </c>
      <c r="I61" s="251">
        <f t="shared" si="14"/>
        <v>63.419999999999995</v>
      </c>
      <c r="J61" s="126">
        <f t="shared" si="19"/>
        <v>47.559999999999995</v>
      </c>
      <c r="K61" s="445">
        <f t="shared" si="15"/>
        <v>13.899999999999999</v>
      </c>
      <c r="L61" s="126">
        <f t="shared" si="16"/>
        <v>1.96</v>
      </c>
      <c r="M61" s="3855">
        <f t="shared" si="17"/>
        <v>0</v>
      </c>
      <c r="N61" s="445">
        <f t="shared" si="18"/>
        <v>0</v>
      </c>
      <c r="O61" s="95">
        <v>0</v>
      </c>
      <c r="P61" s="95">
        <v>0</v>
      </c>
      <c r="Q61" s="95">
        <v>0</v>
      </c>
      <c r="R61" s="2689">
        <v>0</v>
      </c>
      <c r="S61" s="1"/>
      <c r="T61" s="1"/>
      <c r="U61" s="1"/>
      <c r="V61" s="1"/>
      <c r="W61" s="1"/>
      <c r="X61" s="1"/>
      <c r="Y61" s="1"/>
      <c r="Z61" s="1"/>
      <c r="AA61" s="1"/>
      <c r="AB61" s="1"/>
      <c r="AC61" s="1"/>
      <c r="AD61" s="1"/>
      <c r="AE61" s="1"/>
      <c r="AF61" s="1"/>
      <c r="AG61" s="1"/>
    </row>
    <row r="62" spans="1:33" ht="23.25" x14ac:dyDescent="0.25">
      <c r="A62" s="286" t="s">
        <v>58</v>
      </c>
      <c r="B62" s="159" t="s">
        <v>107</v>
      </c>
      <c r="C62" s="2805">
        <f t="shared" si="12"/>
        <v>3.0000000000000005E-3</v>
      </c>
      <c r="D62" s="2806">
        <f t="shared" si="9"/>
        <v>0.8</v>
      </c>
      <c r="E62" s="2806">
        <f t="shared" si="10"/>
        <v>1.25</v>
      </c>
      <c r="F62" s="2806">
        <f t="shared" si="11"/>
        <v>0</v>
      </c>
      <c r="G62" s="2807">
        <f t="shared" si="13"/>
        <v>2.0529999999999999</v>
      </c>
      <c r="H62" s="237" t="s">
        <v>58</v>
      </c>
      <c r="I62" s="251">
        <f t="shared" si="14"/>
        <v>2.0529999999999999</v>
      </c>
      <c r="J62" s="126">
        <f t="shared" si="19"/>
        <v>0</v>
      </c>
      <c r="K62" s="445">
        <f t="shared" si="15"/>
        <v>4.0000000000000002E-4</v>
      </c>
      <c r="L62" s="126">
        <f t="shared" si="16"/>
        <v>0</v>
      </c>
      <c r="M62" s="3855">
        <f t="shared" si="17"/>
        <v>2.0526</v>
      </c>
      <c r="N62" s="445">
        <f t="shared" si="18"/>
        <v>0</v>
      </c>
      <c r="O62" s="95">
        <v>0</v>
      </c>
      <c r="P62" s="95">
        <v>0</v>
      </c>
      <c r="Q62" s="95">
        <v>0</v>
      </c>
      <c r="R62" s="2689">
        <v>0</v>
      </c>
      <c r="S62" s="1"/>
      <c r="T62" s="1"/>
      <c r="U62" s="193"/>
      <c r="V62" s="1"/>
      <c r="W62" s="1"/>
      <c r="X62" s="1"/>
      <c r="Y62" s="1"/>
      <c r="Z62" s="1"/>
      <c r="AA62" s="1"/>
      <c r="AB62" s="1"/>
      <c r="AC62" s="1"/>
      <c r="AD62" s="1"/>
      <c r="AE62" s="1"/>
      <c r="AF62" s="1"/>
      <c r="AG62" s="1"/>
    </row>
    <row r="63" spans="1:33" x14ac:dyDescent="0.25">
      <c r="A63" s="286" t="s">
        <v>59</v>
      </c>
      <c r="B63" s="159" t="s">
        <v>107</v>
      </c>
      <c r="C63" s="2805">
        <f t="shared" si="12"/>
        <v>12.25</v>
      </c>
      <c r="D63" s="2806">
        <f t="shared" si="9"/>
        <v>11.06</v>
      </c>
      <c r="E63" s="2806">
        <f t="shared" si="10"/>
        <v>11.479999999999999</v>
      </c>
      <c r="F63" s="2806">
        <f t="shared" si="11"/>
        <v>2.66</v>
      </c>
      <c r="G63" s="2807">
        <f t="shared" si="13"/>
        <v>37.450000000000003</v>
      </c>
      <c r="H63" s="237" t="s">
        <v>59</v>
      </c>
      <c r="I63" s="251">
        <f t="shared" si="14"/>
        <v>37.450000000000003</v>
      </c>
      <c r="J63" s="126">
        <f t="shared" si="19"/>
        <v>31.36</v>
      </c>
      <c r="K63" s="445">
        <f t="shared" si="15"/>
        <v>0</v>
      </c>
      <c r="L63" s="126">
        <f t="shared" si="16"/>
        <v>0</v>
      </c>
      <c r="M63" s="3855">
        <f t="shared" si="17"/>
        <v>6.09</v>
      </c>
      <c r="N63" s="445">
        <f t="shared" si="18"/>
        <v>0</v>
      </c>
      <c r="O63" s="95">
        <v>0</v>
      </c>
      <c r="P63" s="95">
        <v>0</v>
      </c>
      <c r="Q63" s="95">
        <v>0</v>
      </c>
      <c r="R63" s="2689">
        <v>0</v>
      </c>
      <c r="S63" s="1"/>
      <c r="T63" s="1"/>
      <c r="U63" s="195"/>
      <c r="V63" s="1"/>
      <c r="W63" s="1"/>
      <c r="X63" s="1"/>
      <c r="Y63" s="1"/>
      <c r="Z63" s="1"/>
      <c r="AA63" s="1"/>
      <c r="AB63" s="1"/>
      <c r="AC63" s="1"/>
      <c r="AD63" s="1"/>
      <c r="AE63" s="1"/>
      <c r="AF63" s="1"/>
      <c r="AG63" s="1"/>
    </row>
    <row r="64" spans="1:33" x14ac:dyDescent="0.25">
      <c r="A64" s="286" t="s">
        <v>60</v>
      </c>
      <c r="B64" s="159" t="s">
        <v>107</v>
      </c>
      <c r="C64" s="2805">
        <f t="shared" si="12"/>
        <v>20.793060000000001</v>
      </c>
      <c r="D64" s="2806">
        <f t="shared" si="9"/>
        <v>23.676015</v>
      </c>
      <c r="E64" s="2806">
        <f t="shared" si="10"/>
        <v>17.416744999999999</v>
      </c>
      <c r="F64" s="2806">
        <f t="shared" si="11"/>
        <v>3.6717149999999998</v>
      </c>
      <c r="G64" s="2807">
        <f t="shared" si="13"/>
        <v>65.557534999999987</v>
      </c>
      <c r="H64" s="237" t="s">
        <v>60</v>
      </c>
      <c r="I64" s="251">
        <f t="shared" si="14"/>
        <v>65.316164999999984</v>
      </c>
      <c r="J64" s="126">
        <f t="shared" si="19"/>
        <v>27.390999999999998</v>
      </c>
      <c r="K64" s="445">
        <f t="shared" si="15"/>
        <v>29.639999999999997</v>
      </c>
      <c r="L64" s="126">
        <f t="shared" si="16"/>
        <v>0</v>
      </c>
      <c r="M64" s="3855">
        <f t="shared" si="17"/>
        <v>8.2851649999999992</v>
      </c>
      <c r="N64" s="445">
        <f t="shared" si="18"/>
        <v>0.24137</v>
      </c>
      <c r="O64" s="95">
        <v>0</v>
      </c>
      <c r="P64" s="95">
        <v>0</v>
      </c>
      <c r="Q64" s="95">
        <v>0</v>
      </c>
      <c r="R64" s="2689">
        <v>0.24137</v>
      </c>
      <c r="S64" s="1"/>
      <c r="T64" s="1"/>
      <c r="U64" s="194"/>
      <c r="V64" s="1"/>
      <c r="W64" s="1"/>
      <c r="X64" s="1"/>
      <c r="Y64" s="1"/>
      <c r="Z64" s="1"/>
      <c r="AA64" s="1"/>
      <c r="AB64" s="1"/>
      <c r="AC64" s="1"/>
      <c r="AD64" s="1"/>
      <c r="AE64" s="1"/>
      <c r="AF64" s="1"/>
      <c r="AG64" s="1"/>
    </row>
    <row r="65" spans="1:33" s="9" customFormat="1" ht="23.25" x14ac:dyDescent="0.25">
      <c r="A65" s="1761" t="s">
        <v>114</v>
      </c>
      <c r="B65" s="2763" t="s">
        <v>107</v>
      </c>
      <c r="C65" s="2805">
        <f t="shared" si="12"/>
        <v>876.02206000000012</v>
      </c>
      <c r="D65" s="2806">
        <f t="shared" si="9"/>
        <v>663.68101499999989</v>
      </c>
      <c r="E65" s="2806">
        <f t="shared" si="10"/>
        <v>773.01174499999991</v>
      </c>
      <c r="F65" s="2806">
        <f t="shared" si="11"/>
        <v>166.42571499999997</v>
      </c>
      <c r="G65" s="2807">
        <f t="shared" si="13"/>
        <v>2479.140535</v>
      </c>
      <c r="H65" s="3830" t="s">
        <v>114</v>
      </c>
      <c r="I65" s="251">
        <f t="shared" si="14"/>
        <v>2455.3751649999999</v>
      </c>
      <c r="J65" s="3856">
        <f t="shared" si="19"/>
        <v>1178.1969999999999</v>
      </c>
      <c r="K65" s="3880">
        <f t="shared" si="15"/>
        <v>763.09040000000005</v>
      </c>
      <c r="L65" s="3856">
        <f t="shared" si="16"/>
        <v>384.38</v>
      </c>
      <c r="M65" s="3885">
        <f t="shared" si="17"/>
        <v>129.70776499999999</v>
      </c>
      <c r="N65" s="3880">
        <f t="shared" si="18"/>
        <v>23.765370000000001</v>
      </c>
      <c r="O65" s="3857">
        <v>23.5</v>
      </c>
      <c r="P65" s="3857">
        <v>0</v>
      </c>
      <c r="Q65" s="3857">
        <v>0</v>
      </c>
      <c r="R65" s="3858">
        <v>0.26536999999999999</v>
      </c>
      <c r="S65" s="1"/>
      <c r="T65" s="1"/>
      <c r="U65" s="1"/>
      <c r="V65" s="192"/>
      <c r="W65" s="1"/>
      <c r="X65" s="1"/>
      <c r="Y65" s="1"/>
      <c r="Z65" s="1"/>
      <c r="AA65" s="1"/>
      <c r="AB65" s="1"/>
      <c r="AC65" s="1"/>
      <c r="AD65" s="1"/>
      <c r="AE65" s="1"/>
      <c r="AF65" s="1"/>
      <c r="AG65" s="1"/>
    </row>
    <row r="66" spans="1:33" x14ac:dyDescent="0.25">
      <c r="A66" s="2786" t="s">
        <v>61</v>
      </c>
      <c r="B66" s="2727"/>
      <c r="C66" s="2723"/>
      <c r="D66" s="2724"/>
      <c r="E66" s="2724"/>
      <c r="F66" s="2724"/>
      <c r="G66" s="2725"/>
      <c r="H66" s="3831" t="s">
        <v>61</v>
      </c>
      <c r="I66" s="5047"/>
      <c r="J66" s="5048"/>
      <c r="K66" s="5048"/>
      <c r="L66" s="5048"/>
      <c r="M66" s="5049"/>
      <c r="N66" s="5050"/>
      <c r="O66" s="5051"/>
      <c r="P66" s="5051"/>
      <c r="Q66" s="5051"/>
      <c r="R66" s="5052"/>
      <c r="S66" s="1"/>
      <c r="T66" s="1"/>
      <c r="U66" s="1"/>
      <c r="V66" s="1"/>
      <c r="W66" s="1"/>
      <c r="X66" s="1"/>
      <c r="Y66" s="1"/>
      <c r="Z66" s="1"/>
      <c r="AA66" s="1"/>
      <c r="AB66" s="1"/>
      <c r="AC66" s="1"/>
      <c r="AD66" s="1"/>
      <c r="AE66" s="1"/>
      <c r="AF66" s="1"/>
      <c r="AG66" s="1"/>
    </row>
    <row r="67" spans="1:33" s="9" customFormat="1" x14ac:dyDescent="0.25">
      <c r="A67" s="292" t="s">
        <v>139</v>
      </c>
      <c r="B67" s="159" t="s">
        <v>107</v>
      </c>
      <c r="C67" s="2805">
        <f t="shared" ref="C67:G70" si="20">C26+H26+M26+R26</f>
        <v>2.4702899999999999</v>
      </c>
      <c r="D67" s="2806">
        <f t="shared" si="20"/>
        <v>2.5547900000000001</v>
      </c>
      <c r="E67" s="2806">
        <f t="shared" si="20"/>
        <v>2.3809000000000005</v>
      </c>
      <c r="F67" s="2806">
        <f t="shared" si="20"/>
        <v>2.3230000000000004</v>
      </c>
      <c r="G67" s="2807">
        <f t="shared" si="20"/>
        <v>9.7289800000000017</v>
      </c>
      <c r="H67" s="3832" t="s">
        <v>139</v>
      </c>
      <c r="I67" s="3873">
        <f>G67-N67</f>
        <v>8.9599800000000016</v>
      </c>
      <c r="J67" s="3874">
        <f>G26-O67</f>
        <v>0.16009999999999999</v>
      </c>
      <c r="K67" s="3881">
        <f>L26-P67</f>
        <v>0.24540000000000003</v>
      </c>
      <c r="L67" s="3874">
        <f>Q26-Q67</f>
        <v>0</v>
      </c>
      <c r="M67" s="3859">
        <f>V26-R67</f>
        <v>8.5544800000000016</v>
      </c>
      <c r="N67" s="445">
        <f>SUM(O67:R67)</f>
        <v>0.76900000000000002</v>
      </c>
      <c r="O67" s="3875">
        <v>0</v>
      </c>
      <c r="P67" s="3875">
        <v>2.2499999999999999E-2</v>
      </c>
      <c r="Q67" s="3875">
        <v>0</v>
      </c>
      <c r="R67" s="2632">
        <v>0.74650000000000005</v>
      </c>
      <c r="S67" s="1"/>
      <c r="T67" s="1"/>
      <c r="U67" s="1"/>
      <c r="V67" s="1"/>
      <c r="W67" s="1"/>
      <c r="X67" s="1"/>
      <c r="Y67" s="1"/>
      <c r="Z67" s="1"/>
      <c r="AA67" s="1"/>
      <c r="AB67" s="1"/>
      <c r="AC67" s="1"/>
      <c r="AD67" s="1"/>
      <c r="AE67" s="1"/>
      <c r="AF67" s="1"/>
      <c r="AG67" s="1"/>
    </row>
    <row r="68" spans="1:33" s="9" customFormat="1" x14ac:dyDescent="0.25">
      <c r="A68" s="292" t="s">
        <v>138</v>
      </c>
      <c r="B68" s="159" t="s">
        <v>107</v>
      </c>
      <c r="C68" s="2805">
        <f t="shared" si="20"/>
        <v>0.63190000000000002</v>
      </c>
      <c r="D68" s="2806">
        <f t="shared" si="20"/>
        <v>1.3179999999999998</v>
      </c>
      <c r="E68" s="2806">
        <f t="shared" si="20"/>
        <v>0.63698999999999995</v>
      </c>
      <c r="F68" s="2806">
        <f t="shared" si="20"/>
        <v>0.63200000000000001</v>
      </c>
      <c r="G68" s="2807">
        <f t="shared" si="20"/>
        <v>3.21889</v>
      </c>
      <c r="H68" s="3832" t="s">
        <v>138</v>
      </c>
      <c r="I68" s="3873">
        <f>G68-N68</f>
        <v>3.0118900000000002</v>
      </c>
      <c r="J68" s="3874">
        <f>G27-O68</f>
        <v>0.62</v>
      </c>
      <c r="K68" s="3881">
        <f>L27-P68</f>
        <v>1.8149999999999997</v>
      </c>
      <c r="L68" s="3874">
        <f>Q27-Q68</f>
        <v>0</v>
      </c>
      <c r="M68" s="3859">
        <f>V27-R68</f>
        <v>0.57689000000000001</v>
      </c>
      <c r="N68" s="445">
        <f>SUM(O68:R68)</f>
        <v>0.20700000000000002</v>
      </c>
      <c r="O68" s="150">
        <v>0</v>
      </c>
      <c r="P68" s="150">
        <v>0.16700000000000001</v>
      </c>
      <c r="Q68" s="150">
        <v>0</v>
      </c>
      <c r="R68" s="2632">
        <v>0.04</v>
      </c>
      <c r="S68" s="1"/>
      <c r="T68" s="1"/>
      <c r="U68" s="1"/>
      <c r="V68" s="1"/>
      <c r="W68" s="1"/>
      <c r="X68" s="1"/>
      <c r="Y68" s="1"/>
      <c r="Z68" s="1"/>
      <c r="AA68" s="1"/>
      <c r="AB68" s="1"/>
      <c r="AC68" s="1"/>
      <c r="AD68" s="1"/>
      <c r="AE68" s="1"/>
      <c r="AF68" s="1"/>
      <c r="AG68" s="1"/>
    </row>
    <row r="69" spans="1:33" ht="23.25" x14ac:dyDescent="0.25">
      <c r="A69" s="1761" t="s">
        <v>62</v>
      </c>
      <c r="B69" s="2763" t="s">
        <v>107</v>
      </c>
      <c r="C69" s="2808">
        <f t="shared" si="20"/>
        <v>3.1021900000000002</v>
      </c>
      <c r="D69" s="2809">
        <f t="shared" si="20"/>
        <v>3.8727899999999997</v>
      </c>
      <c r="E69" s="2809">
        <f t="shared" si="20"/>
        <v>3.0178900000000004</v>
      </c>
      <c r="F69" s="2809">
        <f t="shared" si="20"/>
        <v>2.9550000000000001</v>
      </c>
      <c r="G69" s="2807">
        <f t="shared" si="20"/>
        <v>12.94787</v>
      </c>
      <c r="H69" s="3830" t="s">
        <v>62</v>
      </c>
      <c r="I69" s="3873">
        <f>G69-N69</f>
        <v>11.96837</v>
      </c>
      <c r="J69" s="3874">
        <f>G28-O69</f>
        <v>0.78010000000000002</v>
      </c>
      <c r="K69" s="3881">
        <f>L28-P69</f>
        <v>2.0603999999999996</v>
      </c>
      <c r="L69" s="3874">
        <f>Q28-Q69</f>
        <v>0</v>
      </c>
      <c r="M69" s="3859">
        <f>V28-R69</f>
        <v>9.1278700000000015</v>
      </c>
      <c r="N69" s="445">
        <f>SUM(O69:R69)</f>
        <v>0.97950000000000004</v>
      </c>
      <c r="O69" s="150">
        <v>0</v>
      </c>
      <c r="P69" s="150">
        <v>0.1895</v>
      </c>
      <c r="Q69" s="150">
        <v>0</v>
      </c>
      <c r="R69" s="2632">
        <v>0.79</v>
      </c>
      <c r="S69" s="1"/>
      <c r="T69" s="1"/>
      <c r="U69" s="1"/>
      <c r="V69" s="1"/>
      <c r="W69" s="1"/>
      <c r="X69" s="1"/>
      <c r="Y69" s="1"/>
      <c r="Z69" s="1"/>
      <c r="AA69" s="1"/>
      <c r="AB69" s="1"/>
      <c r="AC69" s="1"/>
      <c r="AD69" s="1"/>
      <c r="AE69" s="1"/>
      <c r="AF69" s="1"/>
      <c r="AG69" s="1"/>
    </row>
    <row r="70" spans="1:33" ht="23.25" x14ac:dyDescent="0.25">
      <c r="A70" s="2727" t="s">
        <v>112</v>
      </c>
      <c r="B70" s="2764" t="s">
        <v>107</v>
      </c>
      <c r="C70" s="2810">
        <f t="shared" si="20"/>
        <v>1688.75225</v>
      </c>
      <c r="D70" s="2811">
        <f t="shared" si="20"/>
        <v>1474.5638049999998</v>
      </c>
      <c r="E70" s="2811">
        <f t="shared" si="20"/>
        <v>1557.9196349999997</v>
      </c>
      <c r="F70" s="2811">
        <f t="shared" si="20"/>
        <v>793.73071500000003</v>
      </c>
      <c r="G70" s="2812">
        <f t="shared" si="20"/>
        <v>5514.9664050000001</v>
      </c>
      <c r="H70" s="3833" t="s">
        <v>112</v>
      </c>
      <c r="I70" s="3890">
        <f>G70-N70</f>
        <v>5321.875035</v>
      </c>
      <c r="J70" s="3886">
        <f>G29-O70</f>
        <v>1507.7770999999998</v>
      </c>
      <c r="K70" s="3887">
        <f>L29-P70</f>
        <v>984.58380000000011</v>
      </c>
      <c r="L70" s="3886">
        <f>Q29-Q70</f>
        <v>579.08000000000004</v>
      </c>
      <c r="M70" s="3888">
        <f>V29-R70</f>
        <v>2250.434135</v>
      </c>
      <c r="N70" s="3889">
        <f>SUM(O70:R70)</f>
        <v>193.09136999999998</v>
      </c>
      <c r="O70" s="3878">
        <v>23.5</v>
      </c>
      <c r="P70" s="3878">
        <v>0.1895</v>
      </c>
      <c r="Q70" s="3876">
        <v>0</v>
      </c>
      <c r="R70" s="3877">
        <v>169.40186999999997</v>
      </c>
      <c r="S70" s="1"/>
      <c r="T70" s="1"/>
      <c r="U70" s="1"/>
      <c r="V70" s="1"/>
      <c r="W70" s="1"/>
      <c r="X70" s="1"/>
      <c r="Y70" s="1"/>
      <c r="Z70" s="1"/>
      <c r="AA70" s="1"/>
      <c r="AB70" s="1"/>
      <c r="AC70" s="1"/>
      <c r="AD70" s="1"/>
      <c r="AE70" s="1"/>
      <c r="AF70" s="1"/>
      <c r="AG70" s="1"/>
    </row>
    <row r="71" spans="1:33" s="9" customFormat="1" ht="50.25" customHeight="1" x14ac:dyDescent="0.25">
      <c r="A71" s="2751" t="s">
        <v>235</v>
      </c>
      <c r="B71" s="72" t="s">
        <v>98</v>
      </c>
      <c r="C71" s="2794">
        <f>IF(ISERROR(C65/C70),0,(C65/C70))</f>
        <v>0.51873924076192945</v>
      </c>
      <c r="D71" s="2784">
        <f>IF(ISERROR(D65/D70),0,(D65/D70))</f>
        <v>0.45008633247986174</v>
      </c>
      <c r="E71" s="2784">
        <f>IF(ISERROR(E65/E70),0,(E65/E70))</f>
        <v>0.49618204150819373</v>
      </c>
      <c r="F71" s="2784">
        <f>IF(ISERROR(F65/F70),0,(F65/F70))</f>
        <v>0.2096752864099507</v>
      </c>
      <c r="G71" s="2795">
        <f>IF(ISERROR(G65/G70),0,(G65/G70))</f>
        <v>0.44952958058862375</v>
      </c>
      <c r="H71" s="3861" t="s">
        <v>235</v>
      </c>
      <c r="I71" s="3860">
        <f>IF(ISERROR(I65/I70),0,(I65/I70))</f>
        <v>0.46137407377135076</v>
      </c>
      <c r="J71" s="3860">
        <f>IF(ISERROR(#REF!/#REF!),0,(#REF!/#REF!))</f>
        <v>0</v>
      </c>
      <c r="K71" s="3860">
        <f>IF(ISERROR(J65/J70),0,(J65/J70))</f>
        <v>0.78141324735599182</v>
      </c>
      <c r="L71" s="3860">
        <f>IF(ISERROR(L65/L70),0,(L65/L70))</f>
        <v>0.66377702562685637</v>
      </c>
      <c r="M71" s="3860">
        <f>IF(ISERROR(M65/M70),0,(M65/M70))</f>
        <v>5.7636774603936583E-2</v>
      </c>
      <c r="N71" s="3862"/>
      <c r="O71" s="3862"/>
      <c r="P71" s="3862"/>
      <c r="Q71" s="3862"/>
      <c r="R71" s="3854"/>
      <c r="S71" s="1"/>
      <c r="T71" s="1"/>
      <c r="U71" s="1"/>
      <c r="V71" s="1"/>
      <c r="W71" s="1"/>
      <c r="X71" s="1"/>
      <c r="Y71" s="1"/>
      <c r="Z71" s="1"/>
      <c r="AA71" s="1"/>
      <c r="AB71" s="1"/>
      <c r="AC71" s="1"/>
      <c r="AD71" s="1"/>
      <c r="AE71" s="1"/>
      <c r="AF71" s="1"/>
      <c r="AG71" s="1"/>
    </row>
    <row r="72" spans="1:33" s="9" customFormat="1" ht="15" customHeight="1" x14ac:dyDescent="0.25">
      <c r="A72" s="2787" t="s">
        <v>1001</v>
      </c>
      <c r="B72" s="2791"/>
      <c r="C72" s="2796"/>
      <c r="D72" s="2743"/>
      <c r="E72" s="2743"/>
      <c r="F72" s="2743"/>
      <c r="G72" s="2797"/>
      <c r="H72" s="3834" t="s">
        <v>1001</v>
      </c>
      <c r="I72" s="5053" t="s">
        <v>1001</v>
      </c>
      <c r="J72" s="5054"/>
      <c r="K72" s="5054"/>
      <c r="L72" s="5054"/>
      <c r="M72" s="5055"/>
      <c r="N72" s="5053" t="s">
        <v>1001</v>
      </c>
      <c r="O72" s="5054"/>
      <c r="P72" s="5054"/>
      <c r="Q72" s="5054"/>
      <c r="R72" s="5055"/>
      <c r="W72" s="1"/>
      <c r="X72" s="1"/>
      <c r="Y72" s="1"/>
      <c r="Z72" s="1"/>
      <c r="AA72" s="1"/>
      <c r="AB72" s="1"/>
      <c r="AC72" s="1"/>
      <c r="AD72" s="1"/>
      <c r="AE72" s="1"/>
      <c r="AF72" s="1"/>
      <c r="AG72" s="1"/>
    </row>
    <row r="73" spans="1:33" s="9" customFormat="1" ht="14.25" customHeight="1" x14ac:dyDescent="0.25">
      <c r="A73" s="2788" t="s">
        <v>1002</v>
      </c>
      <c r="B73" s="2792" t="s">
        <v>107</v>
      </c>
      <c r="C73" s="3355">
        <f>C32+H32+M32+R32</f>
        <v>2184718.3899999997</v>
      </c>
      <c r="D73" s="3356">
        <f>D32+I32+N32+S32</f>
        <v>1922101.3014221017</v>
      </c>
      <c r="E73" s="3356">
        <f>E32+J32+O32+T32</f>
        <v>1728445.8192811222</v>
      </c>
      <c r="F73" s="3356">
        <f>F32+K32+P32+U32</f>
        <v>731700.41515553743</v>
      </c>
      <c r="G73" s="3022">
        <f>G32+L32+Q32+V32</f>
        <v>6566965.9258587612</v>
      </c>
      <c r="H73" s="3835" t="s">
        <v>1002</v>
      </c>
      <c r="I73" s="390"/>
      <c r="J73" s="389">
        <f>G32-O73</f>
        <v>2859988.1999999997</v>
      </c>
      <c r="K73" s="3882">
        <f>L32-P73</f>
        <v>1205872.1651329612</v>
      </c>
      <c r="L73" s="3883"/>
      <c r="M73" s="1625">
        <f>V32-R73</f>
        <v>2015368</v>
      </c>
      <c r="N73" s="191">
        <f>SUM(O73:R73)</f>
        <v>197126.56072579999</v>
      </c>
      <c r="O73" s="427">
        <v>89076.4</v>
      </c>
      <c r="P73" s="427">
        <v>47138.1607258</v>
      </c>
      <c r="Q73" s="427">
        <v>44207</v>
      </c>
      <c r="R73" s="2689">
        <v>16705</v>
      </c>
      <c r="W73" s="1"/>
      <c r="X73" s="1"/>
      <c r="Y73" s="1"/>
      <c r="Z73" s="1"/>
      <c r="AA73" s="1"/>
      <c r="AB73" s="1"/>
      <c r="AC73" s="1"/>
      <c r="AD73" s="1"/>
      <c r="AE73" s="1"/>
      <c r="AF73" s="1"/>
      <c r="AG73" s="1"/>
    </row>
    <row r="74" spans="1:33" s="9" customFormat="1" ht="15" customHeight="1" thickBot="1" x14ac:dyDescent="0.3">
      <c r="A74" s="2788" t="s">
        <v>1003</v>
      </c>
      <c r="B74" s="2792" t="s">
        <v>107</v>
      </c>
      <c r="C74" s="3355">
        <f t="shared" ref="C74:F74" si="21">C33+H33+M33+R33</f>
        <v>1516030.8</v>
      </c>
      <c r="D74" s="3356">
        <f t="shared" si="21"/>
        <v>1477240.4758981892</v>
      </c>
      <c r="E74" s="3356">
        <f t="shared" si="21"/>
        <v>1450784.6954881365</v>
      </c>
      <c r="F74" s="3356">
        <f t="shared" si="21"/>
        <v>567487.58684446244</v>
      </c>
      <c r="G74" s="3022">
        <f>G33+L33+Q33+V33</f>
        <v>5011543.5582307884</v>
      </c>
      <c r="H74" s="3835" t="s">
        <v>1003</v>
      </c>
      <c r="I74" s="390"/>
      <c r="J74" s="389">
        <f>G33-O74</f>
        <v>1225708.7999999998</v>
      </c>
      <c r="K74" s="3882">
        <f>L33-P74</f>
        <v>1516019.3639565883</v>
      </c>
      <c r="L74" s="3883"/>
      <c r="M74" s="1625">
        <f>V33-R74</f>
        <v>1645112</v>
      </c>
      <c r="N74" s="191">
        <f>SUM(O74:R74)</f>
        <v>187665.39427419999</v>
      </c>
      <c r="O74" s="427">
        <v>38175.599999999999</v>
      </c>
      <c r="P74" s="427">
        <v>21906.794274199998</v>
      </c>
      <c r="Q74" s="427">
        <v>49852</v>
      </c>
      <c r="R74" s="2689">
        <v>77731</v>
      </c>
      <c r="W74" s="1"/>
      <c r="X74" s="1"/>
      <c r="Y74" s="1"/>
      <c r="Z74" s="1"/>
      <c r="AA74" s="1"/>
      <c r="AB74" s="1"/>
      <c r="AC74" s="1"/>
      <c r="AD74" s="1"/>
      <c r="AE74" s="1"/>
      <c r="AF74" s="1"/>
      <c r="AG74" s="1"/>
    </row>
    <row r="75" spans="1:33" s="9" customFormat="1" ht="15" customHeight="1" x14ac:dyDescent="0.25">
      <c r="A75" s="2787" t="s">
        <v>1007</v>
      </c>
      <c r="B75" s="2791"/>
      <c r="C75" s="2798"/>
      <c r="D75" s="2744"/>
      <c r="E75" s="2744"/>
      <c r="F75" s="2744"/>
      <c r="G75" s="2799" t="s">
        <v>1008</v>
      </c>
      <c r="H75" s="3836" t="s">
        <v>1009</v>
      </c>
      <c r="I75" s="3863"/>
      <c r="J75" s="3864"/>
      <c r="K75" s="3865"/>
      <c r="L75" s="3865"/>
      <c r="M75" s="3854"/>
      <c r="N75" s="3863"/>
      <c r="O75" s="3865"/>
      <c r="P75" s="3865"/>
      <c r="Q75" s="3865"/>
      <c r="R75" s="3854"/>
      <c r="W75" s="1"/>
      <c r="X75" s="1"/>
      <c r="Y75" s="1"/>
      <c r="Z75" s="1"/>
      <c r="AA75" s="1"/>
      <c r="AB75" s="1"/>
      <c r="AC75" s="1"/>
      <c r="AD75" s="1"/>
      <c r="AE75" s="1"/>
      <c r="AF75" s="1"/>
      <c r="AG75" s="1"/>
    </row>
    <row r="76" spans="1:33" s="9" customFormat="1" ht="16.5" customHeight="1" x14ac:dyDescent="0.25">
      <c r="A76" s="2789" t="s">
        <v>375</v>
      </c>
      <c r="B76" s="2686" t="s">
        <v>1006</v>
      </c>
      <c r="C76" s="2800"/>
      <c r="D76" s="2746"/>
      <c r="E76" s="2747"/>
      <c r="F76" s="2747"/>
      <c r="G76" s="2816" t="e">
        <f>G39+L35+#REF!</f>
        <v>#REF!</v>
      </c>
      <c r="H76" s="3837">
        <f>V35</f>
        <v>0</v>
      </c>
      <c r="I76" s="3863"/>
      <c r="J76" s="3864"/>
      <c r="K76" s="3865"/>
      <c r="L76" s="3865"/>
      <c r="M76" s="3854"/>
      <c r="N76" s="3863"/>
      <c r="O76" s="3865"/>
      <c r="P76" s="3865"/>
      <c r="Q76" s="3865"/>
      <c r="R76" s="3854"/>
      <c r="W76" s="1"/>
      <c r="X76" s="1"/>
      <c r="Y76" s="1"/>
      <c r="Z76" s="1"/>
      <c r="AA76" s="1"/>
      <c r="AB76" s="1"/>
      <c r="AC76" s="1"/>
      <c r="AD76" s="1"/>
      <c r="AE76" s="1"/>
      <c r="AF76" s="1"/>
      <c r="AG76" s="1"/>
    </row>
    <row r="77" spans="1:33" s="9" customFormat="1" ht="16.5" customHeight="1" x14ac:dyDescent="0.25">
      <c r="A77" s="2789" t="s">
        <v>236</v>
      </c>
      <c r="B77" s="158" t="s">
        <v>1006</v>
      </c>
      <c r="C77" s="2801"/>
      <c r="D77" s="2748"/>
      <c r="E77" s="2747"/>
      <c r="F77" s="2747"/>
      <c r="G77" s="2816">
        <f>G35+L36+Q35</f>
        <v>3215813.5399999996</v>
      </c>
      <c r="H77" s="3837">
        <f>V36</f>
        <v>149271961.07999998</v>
      </c>
      <c r="I77" s="3863"/>
      <c r="J77" s="3864"/>
      <c r="K77" s="3865"/>
      <c r="L77" s="3865"/>
      <c r="M77" s="3854"/>
      <c r="N77" s="3863"/>
      <c r="O77" s="3865"/>
      <c r="P77" s="3865"/>
      <c r="Q77" s="3865"/>
      <c r="R77" s="3854"/>
      <c r="W77" s="1"/>
      <c r="X77" s="1"/>
      <c r="Y77" s="1"/>
      <c r="Z77" s="1"/>
      <c r="AA77" s="1"/>
      <c r="AB77" s="1"/>
      <c r="AC77" s="1"/>
      <c r="AD77" s="1"/>
      <c r="AE77" s="1"/>
      <c r="AF77" s="1"/>
      <c r="AG77" s="1"/>
    </row>
    <row r="78" spans="1:33" ht="15.75" thickBot="1" x14ac:dyDescent="0.3">
      <c r="A78" s="2790" t="s">
        <v>1004</v>
      </c>
      <c r="B78" s="2755" t="s">
        <v>1006</v>
      </c>
      <c r="C78" s="2802"/>
      <c r="D78" s="2803"/>
      <c r="E78" s="2804"/>
      <c r="F78" s="2804"/>
      <c r="G78" s="2817" t="e">
        <f>G37+L37+#REF!</f>
        <v>#REF!</v>
      </c>
      <c r="H78" s="3838">
        <f>V37</f>
        <v>149271961.07999998</v>
      </c>
      <c r="I78" s="3866"/>
      <c r="J78" s="3867"/>
      <c r="K78" s="3867"/>
      <c r="L78" s="3867"/>
      <c r="M78" s="3868"/>
      <c r="N78" s="3866"/>
      <c r="O78" s="3867"/>
      <c r="P78" s="3867"/>
      <c r="Q78" s="3867"/>
      <c r="R78" s="3868"/>
    </row>
    <row r="79" spans="1:33" x14ac:dyDescent="0.25">
      <c r="A79" s="121"/>
      <c r="B79" s="39"/>
      <c r="C79" s="138"/>
      <c r="D79" s="1898"/>
      <c r="E79" s="138"/>
      <c r="F79" s="138"/>
      <c r="G79" s="138"/>
      <c r="M79" s="39"/>
      <c r="N79" s="39"/>
      <c r="O79" s="39"/>
      <c r="P79" s="39"/>
      <c r="Q79" s="39"/>
      <c r="R79" s="39"/>
    </row>
    <row r="80" spans="1:33" x14ac:dyDescent="0.25">
      <c r="A80" s="830"/>
      <c r="B80" s="39"/>
      <c r="C80" s="138"/>
      <c r="D80" s="1897"/>
      <c r="E80" s="138"/>
      <c r="F80" s="138"/>
      <c r="G80" s="138"/>
      <c r="H80" s="39"/>
      <c r="M80" s="39"/>
      <c r="N80" s="39"/>
      <c r="O80" s="39"/>
      <c r="P80" s="39"/>
      <c r="Q80" s="39"/>
      <c r="R80" s="39"/>
    </row>
    <row r="81" spans="1:18" x14ac:dyDescent="0.25">
      <c r="A81" s="830"/>
      <c r="B81" s="39"/>
      <c r="C81" s="4591"/>
      <c r="D81" s="4591"/>
      <c r="E81" s="4591"/>
      <c r="F81" s="4591"/>
      <c r="G81" s="4591"/>
      <c r="H81" s="427"/>
      <c r="M81" s="39"/>
      <c r="N81" s="39"/>
      <c r="O81" s="39"/>
      <c r="P81" s="39"/>
      <c r="Q81" s="39"/>
      <c r="R81" s="39"/>
    </row>
    <row r="82" spans="1:18" s="9" customFormat="1" x14ac:dyDescent="0.25">
      <c r="A82" s="830"/>
      <c r="B82" s="39"/>
      <c r="C82" s="2187"/>
      <c r="D82" s="2187"/>
      <c r="E82" s="2187"/>
      <c r="F82" s="4593"/>
      <c r="G82" s="138"/>
      <c r="H82" s="39"/>
    </row>
    <row r="83" spans="1:18" x14ac:dyDescent="0.25">
      <c r="A83" s="830"/>
      <c r="B83" s="39"/>
      <c r="C83" s="138"/>
      <c r="D83" s="138"/>
      <c r="E83" s="138"/>
      <c r="F83" s="138"/>
      <c r="G83" s="138"/>
      <c r="H83" s="39"/>
    </row>
    <row r="84" spans="1:18" x14ac:dyDescent="0.25">
      <c r="A84" s="830"/>
      <c r="B84" s="39"/>
      <c r="C84" s="2187"/>
      <c r="D84" s="2187"/>
      <c r="E84" s="2187"/>
      <c r="F84" s="4593"/>
      <c r="G84" s="138"/>
      <c r="H84" s="39"/>
    </row>
    <row r="85" spans="1:18" x14ac:dyDescent="0.25">
      <c r="A85" s="39"/>
      <c r="B85" s="39"/>
      <c r="C85" s="2187"/>
      <c r="D85" s="2187"/>
      <c r="E85" s="2187"/>
      <c r="F85" s="4593"/>
      <c r="G85" s="138"/>
      <c r="H85" s="39"/>
    </row>
    <row r="86" spans="1:18" x14ac:dyDescent="0.25">
      <c r="A86" s="39"/>
      <c r="B86" s="39"/>
      <c r="C86" s="2187"/>
      <c r="D86" s="2187"/>
      <c r="E86" s="2187"/>
      <c r="F86" s="2187"/>
      <c r="G86" s="138"/>
      <c r="H86" s="39"/>
    </row>
    <row r="87" spans="1:18" x14ac:dyDescent="0.25">
      <c r="A87" s="1"/>
      <c r="B87" s="1"/>
      <c r="C87" s="2187"/>
      <c r="D87" s="2187"/>
      <c r="E87" s="2187"/>
      <c r="F87" s="4593"/>
      <c r="G87" s="138"/>
      <c r="H87" s="39"/>
    </row>
    <row r="88" spans="1:18" x14ac:dyDescent="0.25">
      <c r="C88" s="2187"/>
      <c r="D88" s="2187"/>
      <c r="E88" s="2187"/>
      <c r="F88" s="4593"/>
      <c r="G88" s="138"/>
      <c r="H88" s="39"/>
    </row>
    <row r="89" spans="1:18" x14ac:dyDescent="0.25">
      <c r="C89" s="2187"/>
      <c r="D89" s="2187"/>
      <c r="E89" s="2187"/>
      <c r="F89" s="4593"/>
      <c r="G89" s="138"/>
      <c r="H89" s="39"/>
    </row>
    <row r="90" spans="1:18" x14ac:dyDescent="0.25">
      <c r="C90" s="2187"/>
      <c r="D90" s="2187"/>
      <c r="E90" s="2187"/>
      <c r="F90" s="4593"/>
      <c r="G90" s="138"/>
      <c r="H90" s="39"/>
    </row>
    <row r="91" spans="1:18" x14ac:dyDescent="0.25">
      <c r="C91" s="2187"/>
      <c r="D91" s="2187"/>
      <c r="E91" s="2187"/>
      <c r="F91" s="4593"/>
      <c r="G91" s="138"/>
      <c r="H91" s="39"/>
    </row>
    <row r="92" spans="1:18" x14ac:dyDescent="0.25">
      <c r="C92" s="2187"/>
      <c r="D92" s="2187"/>
      <c r="E92" s="2187"/>
      <c r="F92" s="4593"/>
      <c r="G92" s="138"/>
      <c r="H92" s="39"/>
    </row>
    <row r="93" spans="1:18" x14ac:dyDescent="0.25">
      <c r="C93" s="2187"/>
      <c r="D93" s="2187"/>
      <c r="E93" s="2187"/>
      <c r="F93" s="4593"/>
      <c r="G93" s="138"/>
      <c r="H93" s="39"/>
    </row>
    <row r="94" spans="1:18" x14ac:dyDescent="0.25">
      <c r="C94" s="2187"/>
      <c r="D94" s="2187"/>
      <c r="E94" s="2187"/>
      <c r="F94" s="4593"/>
      <c r="G94" s="138"/>
      <c r="H94" s="39"/>
    </row>
    <row r="95" spans="1:18" x14ac:dyDescent="0.25">
      <c r="C95" s="39"/>
      <c r="D95" s="39"/>
      <c r="E95" s="39"/>
      <c r="F95" s="39"/>
      <c r="G95" s="138"/>
      <c r="H95" s="39"/>
    </row>
    <row r="96" spans="1:18" x14ac:dyDescent="0.25">
      <c r="C96" s="39"/>
      <c r="D96" s="39"/>
      <c r="E96" s="39"/>
      <c r="F96" s="39"/>
      <c r="G96" s="138"/>
      <c r="H96" s="39"/>
    </row>
    <row r="97" spans="3:8" x14ac:dyDescent="0.25">
      <c r="C97" s="2187"/>
      <c r="D97" s="2187"/>
      <c r="E97" s="2187"/>
      <c r="F97" s="4593"/>
      <c r="G97" s="138"/>
      <c r="H97" s="39"/>
    </row>
    <row r="98" spans="3:8" x14ac:dyDescent="0.25">
      <c r="C98" s="2187"/>
      <c r="D98" s="2187"/>
      <c r="E98" s="2187"/>
      <c r="F98" s="4593"/>
      <c r="G98" s="138"/>
      <c r="H98" s="39"/>
    </row>
    <row r="99" spans="3:8" x14ac:dyDescent="0.25">
      <c r="C99" s="4592"/>
      <c r="D99" s="4592"/>
      <c r="E99" s="4592"/>
      <c r="F99" s="4592"/>
      <c r="G99" s="138"/>
      <c r="H99" s="39"/>
    </row>
    <row r="100" spans="3:8" x14ac:dyDescent="0.25">
      <c r="C100" s="39"/>
      <c r="D100" s="39"/>
      <c r="E100" s="39"/>
      <c r="F100" s="39"/>
      <c r="G100" s="39"/>
      <c r="H100" s="39"/>
    </row>
    <row r="101" spans="3:8" x14ac:dyDescent="0.25">
      <c r="C101" s="39"/>
      <c r="D101" s="39"/>
      <c r="E101" s="39"/>
      <c r="F101" s="39"/>
      <c r="G101" s="39"/>
      <c r="H101" s="39"/>
    </row>
    <row r="102" spans="3:8" x14ac:dyDescent="0.25">
      <c r="C102" s="39"/>
      <c r="D102" s="39"/>
      <c r="E102" s="39"/>
      <c r="F102" s="39"/>
      <c r="G102" s="39"/>
      <c r="H102" s="39"/>
    </row>
    <row r="103" spans="3:8" x14ac:dyDescent="0.25">
      <c r="C103" s="39"/>
      <c r="D103" s="39"/>
      <c r="E103" s="39"/>
      <c r="F103" s="39"/>
      <c r="G103" s="39"/>
      <c r="H103" s="39"/>
    </row>
    <row r="108" spans="3:8" x14ac:dyDescent="0.25">
      <c r="C108" s="5036" t="s">
        <v>165</v>
      </c>
      <c r="D108" s="5036"/>
    </row>
    <row r="127" spans="2:7" ht="30" customHeight="1" x14ac:dyDescent="0.25">
      <c r="C127" s="5039" t="s">
        <v>156</v>
      </c>
      <c r="D127" s="5040"/>
    </row>
    <row r="128" spans="2:7" x14ac:dyDescent="0.25">
      <c r="B128" s="105"/>
      <c r="C128" s="105" t="s">
        <v>92</v>
      </c>
      <c r="D128" s="76" t="s">
        <v>93</v>
      </c>
      <c r="E128" s="76" t="s">
        <v>94</v>
      </c>
      <c r="F128" s="79" t="s">
        <v>95</v>
      </c>
      <c r="G128" s="76" t="s">
        <v>146</v>
      </c>
    </row>
    <row r="129" spans="1:7" x14ac:dyDescent="0.25">
      <c r="B129" s="76" t="s">
        <v>99</v>
      </c>
      <c r="C129" s="32">
        <f>$C$29</f>
        <v>497.50740000000002</v>
      </c>
      <c r="D129" s="76">
        <v>541.51</v>
      </c>
      <c r="E129" s="124">
        <f>$E$29</f>
        <v>531.2978999999998</v>
      </c>
      <c r="F129" s="102">
        <v>653.12</v>
      </c>
      <c r="G129" s="110">
        <f t="shared" ref="G129:G134" si="22">SUM(C129:F129)</f>
        <v>2223.4352999999996</v>
      </c>
    </row>
    <row r="130" spans="1:7" x14ac:dyDescent="0.25">
      <c r="B130" s="76" t="s">
        <v>100</v>
      </c>
      <c r="C130" s="110">
        <f>$H$29</f>
        <v>380.40630000000004</v>
      </c>
      <c r="D130" s="76">
        <v>4225.6000000000004</v>
      </c>
      <c r="E130" s="110">
        <f>$J$29</f>
        <v>199.57399999999998</v>
      </c>
      <c r="F130" s="125">
        <v>6822.65</v>
      </c>
      <c r="G130" s="110">
        <f t="shared" si="22"/>
        <v>11628.230299999999</v>
      </c>
    </row>
    <row r="131" spans="1:7" x14ac:dyDescent="0.25">
      <c r="B131" s="76" t="s">
        <v>101</v>
      </c>
      <c r="C131" s="110">
        <f>$W$29</f>
        <v>0</v>
      </c>
      <c r="D131" s="76">
        <v>254.2</v>
      </c>
      <c r="E131" s="110" t="e">
        <f>#REF!</f>
        <v>#REF!</v>
      </c>
      <c r="F131" s="125">
        <v>252.86</v>
      </c>
      <c r="G131" s="110" t="e">
        <f t="shared" si="22"/>
        <v>#REF!</v>
      </c>
    </row>
    <row r="132" spans="1:7" x14ac:dyDescent="0.25">
      <c r="B132" s="76" t="s">
        <v>102</v>
      </c>
      <c r="C132" s="110" t="e">
        <f>#REF!</f>
        <v>#REF!</v>
      </c>
      <c r="D132" s="76">
        <v>92.85</v>
      </c>
      <c r="E132" s="110" t="e">
        <f>#REF!</f>
        <v>#REF!</v>
      </c>
      <c r="F132" s="76">
        <v>230.32</v>
      </c>
      <c r="G132" s="110" t="e">
        <f t="shared" si="22"/>
        <v>#REF!</v>
      </c>
    </row>
    <row r="133" spans="1:7" x14ac:dyDescent="0.25">
      <c r="B133" s="76" t="s">
        <v>103</v>
      </c>
      <c r="C133" s="110">
        <f>$AB$29</f>
        <v>0</v>
      </c>
      <c r="D133" s="76">
        <v>115.15</v>
      </c>
      <c r="E133" s="76">
        <v>99.85</v>
      </c>
      <c r="F133" s="76">
        <v>102.68</v>
      </c>
      <c r="G133" s="110">
        <f t="shared" si="22"/>
        <v>317.68</v>
      </c>
    </row>
    <row r="134" spans="1:7" x14ac:dyDescent="0.25">
      <c r="B134" s="76" t="s">
        <v>120</v>
      </c>
      <c r="C134" s="110">
        <f>$C$70</f>
        <v>1688.75225</v>
      </c>
      <c r="D134" s="110">
        <f>$D$70</f>
        <v>1474.5638049999998</v>
      </c>
      <c r="E134" s="9">
        <v>5698.25</v>
      </c>
      <c r="F134" s="110">
        <f>SUM(F129:F133)</f>
        <v>8061.6299999999992</v>
      </c>
      <c r="G134" s="110">
        <f t="shared" si="22"/>
        <v>16923.196055</v>
      </c>
    </row>
    <row r="136" spans="1:7" ht="15" customHeight="1" thickBot="1" x14ac:dyDescent="0.3">
      <c r="B136" s="79" t="s">
        <v>158</v>
      </c>
      <c r="C136" s="5037" t="s">
        <v>157</v>
      </c>
      <c r="D136" s="5038"/>
      <c r="E136" s="5038"/>
      <c r="F136" s="5038"/>
      <c r="G136" s="5038"/>
    </row>
    <row r="137" spans="1:7" x14ac:dyDescent="0.25">
      <c r="B137" s="172" t="s">
        <v>94</v>
      </c>
      <c r="C137" s="173" t="s">
        <v>92</v>
      </c>
      <c r="D137" s="108" t="s">
        <v>93</v>
      </c>
      <c r="E137" s="76" t="s">
        <v>94</v>
      </c>
      <c r="F137" s="76" t="s">
        <v>95</v>
      </c>
      <c r="G137" s="76" t="s">
        <v>155</v>
      </c>
    </row>
    <row r="138" spans="1:7" x14ac:dyDescent="0.25">
      <c r="A138" s="28" t="s">
        <v>99</v>
      </c>
      <c r="B138">
        <v>705.59</v>
      </c>
      <c r="C138" s="175">
        <f>C29</f>
        <v>497.50740000000002</v>
      </c>
      <c r="D138" s="175">
        <f>D29</f>
        <v>371.09180000000003</v>
      </c>
      <c r="E138" s="175">
        <f>E29</f>
        <v>531.2978999999998</v>
      </c>
      <c r="F138" s="175">
        <f>F29</f>
        <v>131.37999999999997</v>
      </c>
      <c r="G138" s="175">
        <f>G29</f>
        <v>1531.2770999999998</v>
      </c>
    </row>
    <row r="139" spans="1:7" x14ac:dyDescent="0.25">
      <c r="A139" s="28" t="s">
        <v>100</v>
      </c>
      <c r="B139">
        <v>917.89099999999996</v>
      </c>
      <c r="C139" s="175">
        <f>H29</f>
        <v>380.40630000000004</v>
      </c>
      <c r="D139" s="175">
        <f>I29</f>
        <v>372.96299999999997</v>
      </c>
      <c r="E139" s="175">
        <f>J29</f>
        <v>199.57399999999998</v>
      </c>
      <c r="F139" s="175">
        <f>K29</f>
        <v>31.83</v>
      </c>
      <c r="G139" s="175">
        <f>L29</f>
        <v>984.77330000000006</v>
      </c>
    </row>
    <row r="140" spans="1:7" x14ac:dyDescent="0.25">
      <c r="A140" s="28" t="s">
        <v>164</v>
      </c>
      <c r="B140">
        <v>167.16</v>
      </c>
      <c r="C140" s="174">
        <f>W29</f>
        <v>0</v>
      </c>
      <c r="D140" s="174">
        <f>X29</f>
        <v>0</v>
      </c>
      <c r="E140" s="174" t="e">
        <f>#REF!</f>
        <v>#REF!</v>
      </c>
      <c r="F140" s="174" t="e">
        <f>#REF!</f>
        <v>#REF!</v>
      </c>
      <c r="G140" s="174">
        <f>AA29</f>
        <v>0</v>
      </c>
    </row>
    <row r="141" spans="1:7" x14ac:dyDescent="0.25">
      <c r="A141" s="28" t="s">
        <v>163</v>
      </c>
      <c r="B141">
        <v>197.83</v>
      </c>
      <c r="C141" s="175" t="e">
        <f>#REF!</f>
        <v>#REF!</v>
      </c>
      <c r="D141" s="175" t="e">
        <f>#REF!</f>
        <v>#REF!</v>
      </c>
      <c r="E141" s="175" t="e">
        <f>#REF!</f>
        <v>#REF!</v>
      </c>
      <c r="F141" s="175" t="e">
        <f>#REF!</f>
        <v>#REF!</v>
      </c>
      <c r="G141" s="175" t="e">
        <f>#REF!</f>
        <v>#REF!</v>
      </c>
    </row>
    <row r="142" spans="1:7" x14ac:dyDescent="0.25">
      <c r="A142" s="28" t="s">
        <v>154</v>
      </c>
      <c r="B142">
        <v>306.8</v>
      </c>
      <c r="C142" s="175">
        <f>M71</f>
        <v>5.7636774603936583E-2</v>
      </c>
      <c r="D142" s="175">
        <f>N71</f>
        <v>0</v>
      </c>
      <c r="E142" s="175">
        <f>O71</f>
        <v>0</v>
      </c>
      <c r="F142" s="175">
        <f>P71</f>
        <v>0</v>
      </c>
      <c r="G142" s="110"/>
    </row>
    <row r="143" spans="1:7" x14ac:dyDescent="0.25">
      <c r="A143" s="28" t="s">
        <v>103</v>
      </c>
      <c r="B143">
        <v>124.3706</v>
      </c>
      <c r="C143" s="175">
        <f>AB29</f>
        <v>0</v>
      </c>
      <c r="D143" s="175">
        <f>AC29</f>
        <v>0</v>
      </c>
      <c r="E143" s="175">
        <f>AD29</f>
        <v>0</v>
      </c>
      <c r="F143" s="175">
        <f>AE29</f>
        <v>0</v>
      </c>
      <c r="G143" s="175">
        <f>AF29</f>
        <v>0</v>
      </c>
    </row>
    <row r="144" spans="1:7" ht="15.75" thickBot="1" x14ac:dyDescent="0.3">
      <c r="A144" s="83" t="s">
        <v>120</v>
      </c>
      <c r="B144">
        <v>2419.6415999999999</v>
      </c>
      <c r="C144" s="176">
        <f>C70</f>
        <v>1688.75225</v>
      </c>
      <c r="D144" s="176">
        <f>D70</f>
        <v>1474.5638049999998</v>
      </c>
      <c r="E144" s="176">
        <f>E70</f>
        <v>1557.9196349999997</v>
      </c>
      <c r="F144" s="176">
        <f>F70</f>
        <v>793.73071500000003</v>
      </c>
      <c r="G144" s="176">
        <f>G70</f>
        <v>5514.9664050000001</v>
      </c>
    </row>
    <row r="145" spans="1:7" x14ac:dyDescent="0.25">
      <c r="C145" s="44"/>
      <c r="D145" s="44"/>
      <c r="E145" s="1"/>
      <c r="F145" s="44"/>
      <c r="G145" s="44"/>
    </row>
    <row r="146" spans="1:7" x14ac:dyDescent="0.25">
      <c r="C146" s="1"/>
      <c r="D146" s="1"/>
      <c r="E146" s="1"/>
      <c r="F146" s="1"/>
      <c r="G146" s="1"/>
    </row>
    <row r="147" spans="1:7" x14ac:dyDescent="0.25">
      <c r="A147" s="1"/>
      <c r="B147" s="1"/>
      <c r="C147" s="1"/>
      <c r="D147" s="1"/>
      <c r="E147" s="1"/>
      <c r="F147" s="1"/>
      <c r="G147" s="1"/>
    </row>
    <row r="148" spans="1:7" x14ac:dyDescent="0.25">
      <c r="A148" s="1"/>
      <c r="B148" s="1"/>
      <c r="C148" s="1"/>
      <c r="D148" s="1"/>
      <c r="E148" s="1"/>
      <c r="F148" s="1"/>
      <c r="G148" s="1"/>
    </row>
    <row r="149" spans="1:7" x14ac:dyDescent="0.25">
      <c r="A149" s="1"/>
      <c r="B149" s="1"/>
      <c r="C149" s="1"/>
      <c r="D149" s="1"/>
      <c r="E149" s="1"/>
      <c r="F149" s="1"/>
      <c r="G149" s="1"/>
    </row>
    <row r="150" spans="1:7" x14ac:dyDescent="0.25">
      <c r="A150" s="1"/>
      <c r="B150" s="104"/>
      <c r="C150" s="104"/>
      <c r="D150" s="1"/>
      <c r="E150" s="104"/>
      <c r="F150" s="104"/>
      <c r="G150" s="1"/>
    </row>
    <row r="151" spans="1:7" x14ac:dyDescent="0.25">
      <c r="A151" s="1"/>
      <c r="B151" s="1"/>
      <c r="C151" s="829"/>
      <c r="D151" s="1"/>
      <c r="E151" s="31"/>
      <c r="F151" s="1"/>
      <c r="G151" s="1"/>
    </row>
    <row r="152" spans="1:7" x14ac:dyDescent="0.25">
      <c r="A152" s="1"/>
      <c r="B152" s="1"/>
      <c r="C152" s="829"/>
      <c r="D152" s="1"/>
      <c r="E152" s="44"/>
      <c r="F152" s="161"/>
      <c r="G152" s="1"/>
    </row>
    <row r="153" spans="1:7" x14ac:dyDescent="0.25">
      <c r="A153" s="1"/>
      <c r="B153" s="1"/>
      <c r="C153" s="829"/>
      <c r="D153" s="1"/>
      <c r="E153" s="44"/>
      <c r="F153" s="1"/>
      <c r="G153" s="1"/>
    </row>
    <row r="154" spans="1:7" x14ac:dyDescent="0.25">
      <c r="A154" s="1"/>
      <c r="B154" s="1"/>
      <c r="C154" s="829"/>
      <c r="D154" s="1"/>
      <c r="E154" s="44"/>
      <c r="F154" s="1"/>
      <c r="G154" s="1"/>
    </row>
    <row r="155" spans="1:7" x14ac:dyDescent="0.25">
      <c r="A155" s="1"/>
      <c r="B155" s="39"/>
      <c r="C155" s="829"/>
      <c r="D155" s="1"/>
      <c r="E155" s="44"/>
      <c r="F155" s="1"/>
      <c r="G155" s="1"/>
    </row>
    <row r="156" spans="1:7" x14ac:dyDescent="0.25">
      <c r="A156" s="1"/>
      <c r="B156" s="1"/>
      <c r="C156" s="829"/>
      <c r="D156" s="1"/>
      <c r="E156" s="44"/>
      <c r="F156" s="161"/>
      <c r="G156" s="1"/>
    </row>
    <row r="157" spans="1:7" x14ac:dyDescent="0.25">
      <c r="A157" s="1"/>
      <c r="B157" s="1"/>
      <c r="C157" s="829"/>
      <c r="D157" s="1"/>
      <c r="E157" s="1"/>
      <c r="F157" s="1"/>
      <c r="G157" s="1"/>
    </row>
    <row r="158" spans="1:7" x14ac:dyDescent="0.25">
      <c r="A158" s="1"/>
      <c r="B158" s="177"/>
      <c r="C158" s="1"/>
      <c r="D158" s="1"/>
      <c r="E158" s="1"/>
      <c r="F158" s="1"/>
      <c r="G158" s="1"/>
    </row>
    <row r="159" spans="1:7" x14ac:dyDescent="0.25">
      <c r="A159" s="1"/>
      <c r="B159" s="1"/>
      <c r="C159" s="1"/>
      <c r="D159" s="1"/>
      <c r="E159" s="1"/>
      <c r="F159" s="1"/>
      <c r="G159" s="1"/>
    </row>
    <row r="160" spans="1:7" x14ac:dyDescent="0.25">
      <c r="A160" s="1"/>
      <c r="B160" s="1"/>
      <c r="C160" s="1"/>
      <c r="D160" s="1"/>
      <c r="E160" s="1"/>
      <c r="F160" s="1"/>
      <c r="G160" s="1"/>
    </row>
    <row r="165" spans="2:12" x14ac:dyDescent="0.25">
      <c r="B165" t="s">
        <v>127</v>
      </c>
    </row>
    <row r="166" spans="2:12" x14ac:dyDescent="0.25">
      <c r="B166" s="1"/>
      <c r="C166" s="1"/>
      <c r="D166" s="1"/>
      <c r="E166" s="1"/>
      <c r="F166" s="1"/>
      <c r="G166" s="1"/>
      <c r="H166" s="1"/>
      <c r="I166" s="1"/>
      <c r="J166" s="1"/>
      <c r="K166" s="1"/>
      <c r="L166" s="1"/>
    </row>
    <row r="167" spans="2:12" x14ac:dyDescent="0.25">
      <c r="B167" s="1"/>
      <c r="C167" s="1"/>
      <c r="D167" s="1"/>
      <c r="E167" s="1"/>
      <c r="F167" s="1"/>
      <c r="G167" s="1"/>
      <c r="H167" s="1"/>
      <c r="I167" s="1"/>
      <c r="J167" s="1"/>
      <c r="K167" s="1"/>
      <c r="L167" s="1"/>
    </row>
    <row r="168" spans="2:12" x14ac:dyDescent="0.25">
      <c r="B168" s="1"/>
      <c r="C168" s="1"/>
      <c r="D168" s="1"/>
      <c r="E168" s="1"/>
      <c r="F168" s="1"/>
      <c r="G168" s="1"/>
      <c r="H168" s="1"/>
      <c r="I168" s="1"/>
      <c r="J168" s="1"/>
      <c r="K168" s="1"/>
      <c r="L168" s="1"/>
    </row>
    <row r="169" spans="2:12" x14ac:dyDescent="0.25">
      <c r="B169" s="1"/>
      <c r="C169" s="1"/>
      <c r="D169" s="1"/>
      <c r="E169" s="1"/>
      <c r="F169" s="1"/>
      <c r="G169" s="1"/>
      <c r="H169" s="1"/>
      <c r="I169" s="1"/>
      <c r="J169" s="1"/>
      <c r="K169" s="1"/>
      <c r="L169" s="1"/>
    </row>
    <row r="170" spans="2:12" x14ac:dyDescent="0.25">
      <c r="B170" s="1"/>
      <c r="C170" s="1"/>
      <c r="D170" s="1"/>
      <c r="E170" s="1"/>
      <c r="F170" s="1"/>
      <c r="G170" s="1"/>
      <c r="H170" s="1"/>
      <c r="I170" s="1"/>
      <c r="J170" s="1"/>
      <c r="K170" s="1"/>
      <c r="L170" s="1"/>
    </row>
    <row r="171" spans="2:12" x14ac:dyDescent="0.25">
      <c r="B171" s="1"/>
      <c r="C171" s="1"/>
      <c r="D171" s="1"/>
      <c r="E171" s="1"/>
      <c r="F171" s="1"/>
      <c r="G171" s="1"/>
      <c r="H171" s="1"/>
      <c r="I171" s="1"/>
      <c r="J171" s="1"/>
      <c r="K171" s="1"/>
      <c r="L171" s="1"/>
    </row>
    <row r="172" spans="2:12" x14ac:dyDescent="0.25">
      <c r="B172" s="1"/>
      <c r="C172" s="1"/>
      <c r="D172" s="1"/>
      <c r="E172" s="1"/>
      <c r="F172" s="1"/>
      <c r="G172" s="1"/>
      <c r="H172" s="1"/>
      <c r="I172" s="1"/>
      <c r="J172" s="1"/>
      <c r="K172" s="1"/>
      <c r="L172" s="1"/>
    </row>
    <row r="173" spans="2:12" x14ac:dyDescent="0.25">
      <c r="B173" s="1"/>
      <c r="C173" s="1"/>
      <c r="D173" s="1"/>
      <c r="E173" s="1"/>
      <c r="F173" s="1"/>
      <c r="G173" s="1"/>
      <c r="H173" s="1"/>
      <c r="I173" s="1"/>
      <c r="J173" s="1"/>
      <c r="K173" s="1"/>
      <c r="L173" s="1"/>
    </row>
    <row r="174" spans="2:12" x14ac:dyDescent="0.25">
      <c r="B174" s="1"/>
      <c r="C174" s="1"/>
      <c r="D174" s="1"/>
      <c r="E174" s="1"/>
      <c r="F174" s="1"/>
      <c r="G174" s="1"/>
      <c r="H174" s="1"/>
      <c r="I174" s="1"/>
      <c r="J174" s="1"/>
      <c r="K174" s="1"/>
      <c r="L174" s="1"/>
    </row>
  </sheetData>
  <sortState ref="A10:B19">
    <sortCondition ref="A10"/>
  </sortState>
  <mergeCells count="20">
    <mergeCell ref="C108:D108"/>
    <mergeCell ref="C136:G136"/>
    <mergeCell ref="C127:D127"/>
    <mergeCell ref="I46:M46"/>
    <mergeCell ref="N46:R46"/>
    <mergeCell ref="I53:M53"/>
    <mergeCell ref="N53:R53"/>
    <mergeCell ref="I66:M66"/>
    <mergeCell ref="N66:R66"/>
    <mergeCell ref="I72:M72"/>
    <mergeCell ref="N72:R72"/>
    <mergeCell ref="AB3:AF3"/>
    <mergeCell ref="C44:G44"/>
    <mergeCell ref="C3:G3"/>
    <mergeCell ref="H3:L3"/>
    <mergeCell ref="W3:AA3"/>
    <mergeCell ref="M3:Q3"/>
    <mergeCell ref="R3:V3"/>
    <mergeCell ref="I44:M44"/>
    <mergeCell ref="N44:R44"/>
  </mergeCells>
  <pageMargins left="0.7" right="0.7" top="0.75" bottom="0.75"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rgb="FF97F961"/>
  </sheetPr>
  <dimension ref="A1:AF73"/>
  <sheetViews>
    <sheetView workbookViewId="0">
      <selection activeCell="T10" sqref="T10"/>
    </sheetView>
  </sheetViews>
  <sheetFormatPr defaultRowHeight="15" x14ac:dyDescent="0.25"/>
  <cols>
    <col min="1" max="1" width="23" customWidth="1"/>
    <col min="3" max="3" width="13.5703125" bestFit="1" customWidth="1"/>
    <col min="4" max="6" width="10.85546875" bestFit="1" customWidth="1"/>
    <col min="7" max="7" width="15.140625" customWidth="1"/>
    <col min="8" max="11" width="10.140625" bestFit="1" customWidth="1"/>
    <col min="12" max="12" width="10.28515625" bestFit="1" customWidth="1"/>
    <col min="13" max="22" width="10.85546875" style="9" customWidth="1"/>
    <col min="23" max="23" width="10.85546875" bestFit="1" customWidth="1"/>
    <col min="24" max="24" width="12" bestFit="1" customWidth="1"/>
    <col min="25" max="26" width="10.85546875" bestFit="1" customWidth="1"/>
    <col min="27" max="27" width="11.85546875" customWidth="1"/>
    <col min="28" max="30" width="13" bestFit="1" customWidth="1"/>
    <col min="31" max="31" width="10.85546875" bestFit="1" customWidth="1"/>
    <col min="32" max="32" width="14.85546875" bestFit="1" customWidth="1"/>
  </cols>
  <sheetData>
    <row r="1" spans="1:32" x14ac:dyDescent="0.25">
      <c r="A1" s="7" t="s">
        <v>63</v>
      </c>
    </row>
    <row r="2" spans="1:32" ht="15.75" thickBot="1" x14ac:dyDescent="0.3">
      <c r="W2" s="39"/>
      <c r="X2" s="39"/>
      <c r="Y2" s="39"/>
      <c r="Z2" s="39"/>
      <c r="AA2" s="39"/>
      <c r="AB2" s="39"/>
      <c r="AC2" s="39"/>
      <c r="AD2" s="39"/>
      <c r="AE2" s="39"/>
      <c r="AF2" s="39"/>
    </row>
    <row r="3" spans="1:32" ht="15.75" thickBot="1" x14ac:dyDescent="0.3">
      <c r="C3" s="5064" t="s">
        <v>2</v>
      </c>
      <c r="D3" s="5065"/>
      <c r="E3" s="5065"/>
      <c r="F3" s="5065"/>
      <c r="G3" s="5066"/>
      <c r="H3" s="5056" t="s">
        <v>8</v>
      </c>
      <c r="I3" s="5067"/>
      <c r="J3" s="5067"/>
      <c r="K3" s="5067"/>
      <c r="L3" s="5068"/>
      <c r="M3" s="5056" t="s">
        <v>9</v>
      </c>
      <c r="N3" s="5067"/>
      <c r="O3" s="5067"/>
      <c r="P3" s="5067"/>
      <c r="Q3" s="5068"/>
      <c r="R3" s="5056" t="s">
        <v>223</v>
      </c>
      <c r="S3" s="5022"/>
      <c r="T3" s="5022"/>
      <c r="U3" s="5022"/>
      <c r="V3" s="5023"/>
      <c r="W3" s="225"/>
      <c r="X3" s="225"/>
      <c r="Y3" s="225"/>
      <c r="Z3" s="225"/>
      <c r="AA3" s="225"/>
      <c r="AB3" s="225"/>
      <c r="AC3" s="225"/>
      <c r="AD3" s="225"/>
      <c r="AE3" s="225"/>
      <c r="AF3" s="225"/>
    </row>
    <row r="4" spans="1:32" ht="15.75" thickBot="1" x14ac:dyDescent="0.3">
      <c r="A4" s="10" t="s">
        <v>0</v>
      </c>
      <c r="B4" s="11" t="s">
        <v>1</v>
      </c>
      <c r="C4" s="10" t="s">
        <v>3</v>
      </c>
      <c r="D4" s="15" t="s">
        <v>4</v>
      </c>
      <c r="E4" s="15" t="s">
        <v>5</v>
      </c>
      <c r="F4" s="15" t="s">
        <v>6</v>
      </c>
      <c r="G4" s="11" t="s">
        <v>7</v>
      </c>
      <c r="H4" s="10" t="s">
        <v>3</v>
      </c>
      <c r="I4" s="15" t="s">
        <v>4</v>
      </c>
      <c r="J4" s="15" t="s">
        <v>5</v>
      </c>
      <c r="K4" s="15" t="s">
        <v>6</v>
      </c>
      <c r="L4" s="11" t="s">
        <v>7</v>
      </c>
      <c r="M4" s="10" t="s">
        <v>3</v>
      </c>
      <c r="N4" s="15" t="s">
        <v>4</v>
      </c>
      <c r="O4" s="15" t="s">
        <v>5</v>
      </c>
      <c r="P4" s="15" t="s">
        <v>6</v>
      </c>
      <c r="Q4" s="11" t="s">
        <v>7</v>
      </c>
      <c r="R4" s="10" t="s">
        <v>3</v>
      </c>
      <c r="S4" s="15" t="s">
        <v>4</v>
      </c>
      <c r="T4" s="15" t="s">
        <v>5</v>
      </c>
      <c r="U4" s="15" t="s">
        <v>6</v>
      </c>
      <c r="V4" s="11" t="s">
        <v>7</v>
      </c>
      <c r="W4" s="39"/>
      <c r="X4" s="39"/>
      <c r="Y4" s="39"/>
      <c r="Z4" s="39"/>
      <c r="AA4" s="39"/>
      <c r="AB4" s="39"/>
      <c r="AC4" s="39"/>
      <c r="AD4" s="39"/>
      <c r="AE4" s="39"/>
      <c r="AF4" s="39"/>
    </row>
    <row r="5" spans="1:32" s="9" customFormat="1" ht="22.5" customHeight="1" thickBot="1" x14ac:dyDescent="0.3">
      <c r="A5" s="2825" t="s">
        <v>238</v>
      </c>
      <c r="B5" s="297"/>
      <c r="C5" s="296"/>
      <c r="D5" s="295"/>
      <c r="E5" s="295"/>
      <c r="F5" s="295"/>
      <c r="G5" s="297"/>
      <c r="H5" s="296"/>
      <c r="I5" s="295"/>
      <c r="J5" s="295"/>
      <c r="K5" s="295"/>
      <c r="L5" s="297"/>
      <c r="M5" s="296"/>
      <c r="N5" s="295"/>
      <c r="O5" s="295"/>
      <c r="P5" s="295"/>
      <c r="Q5" s="297"/>
      <c r="R5" s="296"/>
      <c r="S5" s="295"/>
      <c r="T5" s="295"/>
      <c r="U5" s="295"/>
      <c r="V5" s="297"/>
      <c r="W5" s="39"/>
      <c r="X5" s="39"/>
      <c r="Y5" s="39"/>
      <c r="Z5" s="39"/>
      <c r="AA5" s="39"/>
      <c r="AB5" s="39"/>
      <c r="AC5" s="39"/>
      <c r="AD5" s="39"/>
      <c r="AE5" s="39"/>
      <c r="AF5" s="39"/>
    </row>
    <row r="6" spans="1:32" x14ac:dyDescent="0.25">
      <c r="A6" s="300" t="s">
        <v>64</v>
      </c>
      <c r="B6" s="310" t="s">
        <v>68</v>
      </c>
      <c r="C6" s="12">
        <v>0</v>
      </c>
      <c r="D6" s="1">
        <v>0</v>
      </c>
      <c r="E6" s="1">
        <v>0</v>
      </c>
      <c r="F6" s="39">
        <v>0</v>
      </c>
      <c r="G6" s="22">
        <f>SUM(C6:F6)</f>
        <v>0</v>
      </c>
      <c r="H6" s="70">
        <v>0</v>
      </c>
      <c r="I6" s="143">
        <v>0</v>
      </c>
      <c r="J6" s="143">
        <v>0</v>
      </c>
      <c r="K6" s="143">
        <v>0</v>
      </c>
      <c r="L6" s="137">
        <f>SUM(H6:K6)</f>
        <v>0</v>
      </c>
      <c r="M6" s="70">
        <v>0</v>
      </c>
      <c r="N6" s="143">
        <v>0</v>
      </c>
      <c r="O6" s="143">
        <v>0</v>
      </c>
      <c r="P6" s="143">
        <v>0</v>
      </c>
      <c r="Q6" s="137">
        <f>SUM(M6:P6)</f>
        <v>0</v>
      </c>
      <c r="R6" s="70">
        <v>0</v>
      </c>
      <c r="S6" s="143">
        <v>0</v>
      </c>
      <c r="T6" s="143">
        <v>0</v>
      </c>
      <c r="U6" s="143">
        <v>0</v>
      </c>
      <c r="V6" s="137">
        <f>SUM(R6:U6)</f>
        <v>0</v>
      </c>
      <c r="W6" s="34"/>
      <c r="X6" s="34"/>
      <c r="Y6" s="39"/>
      <c r="Z6" s="39"/>
      <c r="AA6" s="138"/>
      <c r="AB6" s="138"/>
      <c r="AC6" s="138"/>
      <c r="AD6" s="302"/>
      <c r="AE6" s="138"/>
      <c r="AF6" s="138"/>
    </row>
    <row r="7" spans="1:32" x14ac:dyDescent="0.25">
      <c r="A7" s="300" t="s">
        <v>105</v>
      </c>
      <c r="B7" s="310" t="s">
        <v>68</v>
      </c>
      <c r="C7" s="12">
        <v>0</v>
      </c>
      <c r="D7" s="1">
        <v>0</v>
      </c>
      <c r="E7" s="1">
        <v>0</v>
      </c>
      <c r="F7" s="39">
        <v>0</v>
      </c>
      <c r="G7" s="22">
        <f>SUM(C7:F7)</f>
        <v>0</v>
      </c>
      <c r="H7" s="21">
        <v>0</v>
      </c>
      <c r="I7" s="39">
        <v>0</v>
      </c>
      <c r="J7" s="39">
        <v>0</v>
      </c>
      <c r="K7" s="39">
        <v>0</v>
      </c>
      <c r="L7" s="22">
        <f>SUM(H7:K7)</f>
        <v>0</v>
      </c>
      <c r="M7" s="21">
        <v>0</v>
      </c>
      <c r="N7" s="39">
        <v>0</v>
      </c>
      <c r="O7" s="39">
        <v>0</v>
      </c>
      <c r="P7" s="39">
        <v>0</v>
      </c>
      <c r="Q7" s="22">
        <f>SUM(M7:P7)</f>
        <v>0</v>
      </c>
      <c r="R7" s="21">
        <v>0</v>
      </c>
      <c r="S7" s="39">
        <v>0</v>
      </c>
      <c r="T7" s="39">
        <v>0</v>
      </c>
      <c r="U7" s="39">
        <v>0</v>
      </c>
      <c r="V7" s="22">
        <f>SUM(R7:U7)</f>
        <v>0</v>
      </c>
      <c r="W7" s="34"/>
      <c r="X7" s="34"/>
      <c r="Y7" s="39"/>
      <c r="Z7" s="39"/>
      <c r="AA7" s="39"/>
      <c r="AB7" s="52"/>
      <c r="AC7" s="52"/>
      <c r="AD7" s="39"/>
      <c r="AE7" s="39"/>
      <c r="AF7" s="39"/>
    </row>
    <row r="8" spans="1:32" x14ac:dyDescent="0.25">
      <c r="A8" s="300" t="s">
        <v>152</v>
      </c>
      <c r="B8" s="310" t="s">
        <v>68</v>
      </c>
      <c r="C8" s="12">
        <v>0</v>
      </c>
      <c r="D8" s="39">
        <v>2</v>
      </c>
      <c r="E8" s="1">
        <v>0</v>
      </c>
      <c r="F8" s="39">
        <v>0</v>
      </c>
      <c r="G8" s="22">
        <f>SUM(C8:F8)</f>
        <v>2</v>
      </c>
      <c r="H8" s="21">
        <v>0</v>
      </c>
      <c r="I8" s="39">
        <v>0</v>
      </c>
      <c r="J8" s="39">
        <v>0</v>
      </c>
      <c r="K8" s="39">
        <v>0</v>
      </c>
      <c r="L8" s="22">
        <f>SUM(H8:K8)</f>
        <v>0</v>
      </c>
      <c r="M8" s="21">
        <v>1</v>
      </c>
      <c r="N8" s="39">
        <v>0</v>
      </c>
      <c r="O8" s="39">
        <v>0</v>
      </c>
      <c r="P8" s="39">
        <v>0</v>
      </c>
      <c r="Q8" s="22">
        <f>SUM(M8:P8)</f>
        <v>1</v>
      </c>
      <c r="R8" s="21">
        <v>0</v>
      </c>
      <c r="S8" s="39">
        <v>0</v>
      </c>
      <c r="T8" s="39">
        <v>0</v>
      </c>
      <c r="U8" s="39">
        <v>0</v>
      </c>
      <c r="V8" s="22">
        <f>SUM(R8:U8)</f>
        <v>0</v>
      </c>
      <c r="W8" s="52"/>
      <c r="X8" s="52"/>
      <c r="Y8" s="39"/>
      <c r="Z8" s="39"/>
      <c r="AA8" s="39"/>
      <c r="AB8" s="52"/>
      <c r="AC8" s="52"/>
      <c r="AD8" s="39"/>
      <c r="AE8" s="39"/>
      <c r="AF8" s="39"/>
    </row>
    <row r="9" spans="1:32" x14ac:dyDescent="0.25">
      <c r="A9" s="300" t="s">
        <v>104</v>
      </c>
      <c r="B9" s="310" t="s">
        <v>68</v>
      </c>
      <c r="C9" s="122">
        <v>57</v>
      </c>
      <c r="D9" s="121">
        <v>33</v>
      </c>
      <c r="E9" s="121">
        <v>27</v>
      </c>
      <c r="F9" s="121">
        <v>24</v>
      </c>
      <c r="G9" s="146">
        <f>SUM(C9:F9)</f>
        <v>141</v>
      </c>
      <c r="H9" s="21">
        <v>2</v>
      </c>
      <c r="I9" s="39">
        <v>0</v>
      </c>
      <c r="J9" s="121">
        <v>0</v>
      </c>
      <c r="K9" s="39">
        <v>1</v>
      </c>
      <c r="L9" s="146">
        <f>SUM(H9:K9)</f>
        <v>3</v>
      </c>
      <c r="M9" s="21">
        <v>0</v>
      </c>
      <c r="N9" s="39">
        <v>5</v>
      </c>
      <c r="O9" s="39">
        <v>8</v>
      </c>
      <c r="P9" s="39">
        <v>0</v>
      </c>
      <c r="Q9" s="4618">
        <f>SUM(M9:P9)</f>
        <v>13</v>
      </c>
      <c r="R9" s="21">
        <v>70</v>
      </c>
      <c r="S9" s="39">
        <v>57</v>
      </c>
      <c r="T9" s="3394">
        <v>59</v>
      </c>
      <c r="U9" s="39">
        <v>52</v>
      </c>
      <c r="V9" s="22">
        <f>SUM(R9:U9)</f>
        <v>238</v>
      </c>
      <c r="W9" s="52"/>
      <c r="X9" s="303"/>
      <c r="Y9" s="39"/>
      <c r="Z9" s="39"/>
      <c r="AA9" s="39"/>
      <c r="AB9" s="52"/>
      <c r="AC9" s="52"/>
      <c r="AD9" s="39"/>
      <c r="AE9" s="39"/>
      <c r="AF9" s="39"/>
    </row>
    <row r="10" spans="1:32" s="9" customFormat="1" ht="15" customHeight="1" x14ac:dyDescent="0.25">
      <c r="A10" s="300" t="s">
        <v>65</v>
      </c>
      <c r="B10" s="310" t="s">
        <v>68</v>
      </c>
      <c r="C10" s="122">
        <v>114</v>
      </c>
      <c r="D10" s="121">
        <v>117</v>
      </c>
      <c r="E10" s="121">
        <v>71</v>
      </c>
      <c r="F10" s="121">
        <v>36</v>
      </c>
      <c r="G10" s="146">
        <f>SUM(C10:F10)</f>
        <v>338</v>
      </c>
      <c r="H10" s="21">
        <v>485</v>
      </c>
      <c r="I10" s="39">
        <v>425</v>
      </c>
      <c r="J10" s="121">
        <v>409</v>
      </c>
      <c r="K10" s="121">
        <v>118</v>
      </c>
      <c r="L10" s="146">
        <f>SUM(H10:K10)</f>
        <v>1437</v>
      </c>
      <c r="M10" s="21">
        <v>2</v>
      </c>
      <c r="N10" s="39">
        <v>8</v>
      </c>
      <c r="O10" s="121">
        <v>5</v>
      </c>
      <c r="P10" s="39">
        <v>0</v>
      </c>
      <c r="Q10" s="4618">
        <f>SUM(M10:P10)</f>
        <v>15</v>
      </c>
      <c r="R10" s="308">
        <v>44</v>
      </c>
      <c r="S10" s="39">
        <v>38</v>
      </c>
      <c r="T10" s="3394">
        <v>41</v>
      </c>
      <c r="U10" s="39">
        <v>34</v>
      </c>
      <c r="V10" s="22">
        <f>SUM(R10:U10)</f>
        <v>157</v>
      </c>
      <c r="W10" s="52"/>
      <c r="X10" s="303"/>
      <c r="Y10" s="39"/>
      <c r="Z10" s="39"/>
      <c r="AA10" s="39"/>
      <c r="AB10" s="52"/>
      <c r="AC10" s="52"/>
      <c r="AD10" s="39"/>
      <c r="AE10" s="39"/>
      <c r="AF10" s="39"/>
    </row>
    <row r="11" spans="1:32" s="40" customFormat="1" x14ac:dyDescent="0.25">
      <c r="A11" s="306" t="s">
        <v>67</v>
      </c>
      <c r="B11" s="309" t="s">
        <v>68</v>
      </c>
      <c r="C11" s="306">
        <f t="shared" ref="C11:V11" si="0">SUM(C6:C10)</f>
        <v>171</v>
      </c>
      <c r="D11" s="307">
        <f t="shared" si="0"/>
        <v>152</v>
      </c>
      <c r="E11" s="307">
        <f t="shared" si="0"/>
        <v>98</v>
      </c>
      <c r="F11" s="307">
        <f t="shared" si="0"/>
        <v>60</v>
      </c>
      <c r="G11" s="309">
        <f t="shared" si="0"/>
        <v>481</v>
      </c>
      <c r="H11" s="306">
        <f t="shared" si="0"/>
        <v>487</v>
      </c>
      <c r="I11" s="307">
        <f t="shared" si="0"/>
        <v>425</v>
      </c>
      <c r="J11" s="307">
        <f t="shared" si="0"/>
        <v>409</v>
      </c>
      <c r="K11" s="307">
        <f t="shared" si="0"/>
        <v>119</v>
      </c>
      <c r="L11" s="309">
        <f t="shared" si="0"/>
        <v>1440</v>
      </c>
      <c r="M11" s="306">
        <v>3</v>
      </c>
      <c r="N11" s="307">
        <f t="shared" si="0"/>
        <v>13</v>
      </c>
      <c r="O11" s="307">
        <f t="shared" si="0"/>
        <v>13</v>
      </c>
      <c r="P11" s="307">
        <f t="shared" si="0"/>
        <v>0</v>
      </c>
      <c r="Q11" s="309">
        <f t="shared" si="0"/>
        <v>29</v>
      </c>
      <c r="R11" s="306">
        <f t="shared" si="0"/>
        <v>114</v>
      </c>
      <c r="S11" s="307">
        <f t="shared" si="0"/>
        <v>95</v>
      </c>
      <c r="T11" s="307">
        <f t="shared" si="0"/>
        <v>100</v>
      </c>
      <c r="U11" s="307">
        <f t="shared" si="0"/>
        <v>86</v>
      </c>
      <c r="V11" s="309">
        <f t="shared" si="0"/>
        <v>395</v>
      </c>
      <c r="W11" s="100"/>
      <c r="X11" s="100"/>
      <c r="Y11" s="99"/>
      <c r="Z11" s="99"/>
      <c r="AA11" s="99"/>
      <c r="AB11" s="145"/>
      <c r="AC11" s="145"/>
      <c r="AD11" s="145"/>
      <c r="AE11" s="145"/>
      <c r="AF11" s="99"/>
    </row>
    <row r="12" spans="1:32" s="1768" customFormat="1" ht="14.25" customHeight="1" thickBot="1" x14ac:dyDescent="0.3">
      <c r="A12" s="2826" t="s">
        <v>237</v>
      </c>
      <c r="B12" s="2827" t="s">
        <v>68</v>
      </c>
      <c r="C12" s="2828">
        <f t="shared" ref="C12:V12" si="1">SUM(C6:C8)</f>
        <v>0</v>
      </c>
      <c r="D12" s="2829">
        <f t="shared" si="1"/>
        <v>2</v>
      </c>
      <c r="E12" s="2829">
        <f t="shared" si="1"/>
        <v>0</v>
      </c>
      <c r="F12" s="2829">
        <f t="shared" si="1"/>
        <v>0</v>
      </c>
      <c r="G12" s="2830">
        <f t="shared" si="1"/>
        <v>2</v>
      </c>
      <c r="H12" s="2828">
        <f t="shared" si="1"/>
        <v>0</v>
      </c>
      <c r="I12" s="2829">
        <f t="shared" si="1"/>
        <v>0</v>
      </c>
      <c r="J12" s="2829">
        <f t="shared" si="1"/>
        <v>0</v>
      </c>
      <c r="K12" s="2829">
        <f t="shared" si="1"/>
        <v>0</v>
      </c>
      <c r="L12" s="2830">
        <f t="shared" si="1"/>
        <v>0</v>
      </c>
      <c r="M12" s="2831">
        <f t="shared" si="1"/>
        <v>1</v>
      </c>
      <c r="N12" s="2832">
        <f t="shared" si="1"/>
        <v>0</v>
      </c>
      <c r="O12" s="2832">
        <f t="shared" si="1"/>
        <v>0</v>
      </c>
      <c r="P12" s="2832">
        <f t="shared" si="1"/>
        <v>0</v>
      </c>
      <c r="Q12" s="2830">
        <f t="shared" si="1"/>
        <v>1</v>
      </c>
      <c r="R12" s="2828">
        <f t="shared" si="1"/>
        <v>0</v>
      </c>
      <c r="S12" s="2829">
        <f t="shared" si="1"/>
        <v>0</v>
      </c>
      <c r="T12" s="2829">
        <f t="shared" si="1"/>
        <v>0</v>
      </c>
      <c r="U12" s="2829">
        <f t="shared" si="1"/>
        <v>0</v>
      </c>
      <c r="V12" s="2830">
        <f t="shared" si="1"/>
        <v>0</v>
      </c>
      <c r="W12" s="1765"/>
      <c r="X12" s="1765"/>
      <c r="Y12" s="1766"/>
      <c r="Z12" s="1766"/>
      <c r="AA12" s="1766"/>
      <c r="AB12" s="1767"/>
      <c r="AC12" s="1767"/>
      <c r="AD12" s="1767"/>
      <c r="AE12" s="1767"/>
      <c r="AF12" s="1766"/>
    </row>
    <row r="13" spans="1:32" x14ac:dyDescent="0.25">
      <c r="W13" s="39"/>
      <c r="X13" s="39"/>
      <c r="Y13" s="39"/>
      <c r="Z13" s="39"/>
      <c r="AA13" s="39"/>
      <c r="AB13" s="39"/>
      <c r="AC13" s="39"/>
      <c r="AD13" s="39"/>
      <c r="AE13" s="39"/>
      <c r="AF13" s="39"/>
    </row>
    <row r="14" spans="1:32" ht="15.75" thickBot="1" x14ac:dyDescent="0.3">
      <c r="M14" s="39"/>
      <c r="N14" s="39"/>
      <c r="O14" s="39"/>
      <c r="P14" s="39"/>
      <c r="Q14" s="39"/>
      <c r="R14" s="39"/>
      <c r="W14" s="39"/>
      <c r="X14" s="39"/>
      <c r="Y14" s="39"/>
      <c r="Z14" s="39"/>
      <c r="AA14" s="39"/>
      <c r="AB14" s="39"/>
      <c r="AC14" s="39"/>
      <c r="AD14" s="39"/>
      <c r="AE14" s="39"/>
      <c r="AF14" s="39"/>
    </row>
    <row r="15" spans="1:32" ht="15.75" thickBot="1" x14ac:dyDescent="0.3">
      <c r="A15" s="9"/>
      <c r="B15" s="9"/>
      <c r="C15" s="4978" t="s">
        <v>91</v>
      </c>
      <c r="D15" s="4979"/>
      <c r="E15" s="4979"/>
      <c r="F15" s="4979"/>
      <c r="G15" s="4980"/>
      <c r="J15" s="1"/>
      <c r="K15" s="9"/>
      <c r="M15" s="5030"/>
      <c r="N15" s="5030"/>
      <c r="O15" s="5030"/>
      <c r="P15" s="5030"/>
      <c r="Q15" s="5030"/>
      <c r="R15" s="39"/>
    </row>
    <row r="16" spans="1:32" ht="15.75" thickBot="1" x14ac:dyDescent="0.3">
      <c r="A16" s="149" t="s">
        <v>0</v>
      </c>
      <c r="B16" s="19" t="s">
        <v>1</v>
      </c>
      <c r="C16" s="41" t="s">
        <v>3</v>
      </c>
      <c r="D16" s="42" t="s">
        <v>4</v>
      </c>
      <c r="E16" s="42" t="s">
        <v>5</v>
      </c>
      <c r="F16" s="42" t="s">
        <v>6</v>
      </c>
      <c r="G16" s="43" t="s">
        <v>7</v>
      </c>
      <c r="J16" s="66"/>
      <c r="K16" s="54"/>
      <c r="M16" s="39"/>
      <c r="N16" s="39"/>
      <c r="O16" s="39"/>
      <c r="P16" s="39"/>
      <c r="Q16" s="39"/>
      <c r="R16" s="39"/>
    </row>
    <row r="17" spans="1:18" s="9" customFormat="1" ht="24" customHeight="1" thickBot="1" x14ac:dyDescent="0.3">
      <c r="A17" s="311" t="s">
        <v>238</v>
      </c>
      <c r="B17" s="295"/>
      <c r="C17" s="296"/>
      <c r="D17" s="295"/>
      <c r="E17" s="295"/>
      <c r="F17" s="295"/>
      <c r="G17" s="297"/>
      <c r="O17" s="39"/>
      <c r="P17" s="39"/>
      <c r="Q17" s="39"/>
      <c r="R17" s="39"/>
    </row>
    <row r="18" spans="1:18" x14ac:dyDescent="0.25">
      <c r="A18" s="312" t="s">
        <v>64</v>
      </c>
      <c r="B18" s="15" t="s">
        <v>68</v>
      </c>
      <c r="C18" s="2818">
        <f>C6+H6++M6+R6</f>
        <v>0</v>
      </c>
      <c r="D18" s="1769">
        <f t="shared" ref="D18:G24" si="2">D6+I6+N6+S6</f>
        <v>0</v>
      </c>
      <c r="E18" s="1769">
        <f t="shared" si="2"/>
        <v>0</v>
      </c>
      <c r="F18" s="1769">
        <f t="shared" si="2"/>
        <v>0</v>
      </c>
      <c r="G18" s="2819">
        <f t="shared" si="2"/>
        <v>0</v>
      </c>
      <c r="O18" s="39"/>
      <c r="P18" s="39"/>
      <c r="Q18" s="39"/>
      <c r="R18" s="39"/>
    </row>
    <row r="19" spans="1:18" x14ac:dyDescent="0.25">
      <c r="A19" s="313" t="s">
        <v>105</v>
      </c>
      <c r="B19" s="298" t="s">
        <v>68</v>
      </c>
      <c r="C19" s="35">
        <f t="shared" ref="C19:C24" si="3">C7+H7+M7+R7</f>
        <v>0</v>
      </c>
      <c r="D19" s="36">
        <f t="shared" si="2"/>
        <v>0</v>
      </c>
      <c r="E19" s="36">
        <f t="shared" si="2"/>
        <v>0</v>
      </c>
      <c r="F19" s="36">
        <f t="shared" si="2"/>
        <v>0</v>
      </c>
      <c r="G19" s="37">
        <f t="shared" si="2"/>
        <v>0</v>
      </c>
      <c r="O19" s="39"/>
      <c r="P19" s="39"/>
      <c r="Q19" s="39"/>
      <c r="R19" s="39"/>
    </row>
    <row r="20" spans="1:18" x14ac:dyDescent="0.25">
      <c r="A20" s="313" t="s">
        <v>152</v>
      </c>
      <c r="B20" s="298" t="s">
        <v>68</v>
      </c>
      <c r="C20" s="35">
        <f t="shared" si="3"/>
        <v>1</v>
      </c>
      <c r="D20" s="36">
        <f t="shared" si="2"/>
        <v>2</v>
      </c>
      <c r="E20" s="36">
        <f t="shared" si="2"/>
        <v>0</v>
      </c>
      <c r="F20" s="36">
        <f t="shared" si="2"/>
        <v>0</v>
      </c>
      <c r="G20" s="37">
        <f t="shared" si="2"/>
        <v>3</v>
      </c>
      <c r="J20" s="69"/>
      <c r="M20" s="39"/>
      <c r="N20" s="39"/>
      <c r="O20" s="39"/>
      <c r="P20" s="39"/>
      <c r="Q20" s="39"/>
      <c r="R20" s="39"/>
    </row>
    <row r="21" spans="1:18" x14ac:dyDescent="0.25">
      <c r="A21" s="313" t="s">
        <v>104</v>
      </c>
      <c r="B21" s="298" t="s">
        <v>68</v>
      </c>
      <c r="C21" s="35">
        <f t="shared" si="3"/>
        <v>129</v>
      </c>
      <c r="D21" s="36">
        <f t="shared" si="2"/>
        <v>95</v>
      </c>
      <c r="E21" s="36">
        <f t="shared" si="2"/>
        <v>94</v>
      </c>
      <c r="F21" s="36">
        <f t="shared" si="2"/>
        <v>77</v>
      </c>
      <c r="G21" s="37">
        <f t="shared" si="2"/>
        <v>395</v>
      </c>
      <c r="J21" s="1"/>
      <c r="M21" s="39"/>
      <c r="N21" s="39"/>
      <c r="O21" s="39"/>
      <c r="P21" s="39"/>
      <c r="Q21" s="39"/>
      <c r="R21" s="39"/>
    </row>
    <row r="22" spans="1:18" s="9" customFormat="1" x14ac:dyDescent="0.25">
      <c r="A22" s="313" t="s">
        <v>65</v>
      </c>
      <c r="B22" s="298" t="s">
        <v>68</v>
      </c>
      <c r="C22" s="35">
        <f t="shared" si="3"/>
        <v>645</v>
      </c>
      <c r="D22" s="36">
        <f t="shared" si="2"/>
        <v>588</v>
      </c>
      <c r="E22" s="36">
        <f t="shared" si="2"/>
        <v>526</v>
      </c>
      <c r="F22" s="36">
        <f t="shared" si="2"/>
        <v>188</v>
      </c>
      <c r="G22" s="37">
        <f t="shared" si="2"/>
        <v>1947</v>
      </c>
      <c r="H22" s="93"/>
      <c r="J22" s="1"/>
      <c r="M22" s="39"/>
      <c r="N22" s="39"/>
      <c r="O22" s="39"/>
      <c r="P22" s="39"/>
      <c r="Q22" s="39"/>
      <c r="R22" s="39"/>
    </row>
    <row r="23" spans="1:18" s="40" customFormat="1" x14ac:dyDescent="0.25">
      <c r="A23" s="314" t="s">
        <v>67</v>
      </c>
      <c r="B23" s="298" t="s">
        <v>68</v>
      </c>
      <c r="C23" s="35">
        <f t="shared" si="3"/>
        <v>775</v>
      </c>
      <c r="D23" s="36">
        <f t="shared" si="2"/>
        <v>685</v>
      </c>
      <c r="E23" s="36">
        <f t="shared" si="2"/>
        <v>620</v>
      </c>
      <c r="F23" s="36">
        <f t="shared" si="2"/>
        <v>265</v>
      </c>
      <c r="G23" s="37">
        <f t="shared" si="2"/>
        <v>2345</v>
      </c>
      <c r="M23" s="39"/>
      <c r="N23" s="99"/>
      <c r="O23" s="39"/>
      <c r="P23" s="39"/>
      <c r="Q23" s="39"/>
      <c r="R23" s="99"/>
    </row>
    <row r="24" spans="1:18" s="40" customFormat="1" ht="15.75" thickBot="1" x14ac:dyDescent="0.3">
      <c r="A24" s="2820" t="s">
        <v>237</v>
      </c>
      <c r="B24" s="2821" t="s">
        <v>68</v>
      </c>
      <c r="C24" s="2822">
        <f t="shared" si="3"/>
        <v>1</v>
      </c>
      <c r="D24" s="2823">
        <f t="shared" si="2"/>
        <v>2</v>
      </c>
      <c r="E24" s="2823">
        <f t="shared" si="2"/>
        <v>0</v>
      </c>
      <c r="F24" s="2823">
        <f t="shared" si="2"/>
        <v>0</v>
      </c>
      <c r="G24" s="2824">
        <f t="shared" si="2"/>
        <v>3</v>
      </c>
      <c r="M24" s="39"/>
      <c r="N24" s="99"/>
      <c r="O24" s="39"/>
      <c r="P24" s="39"/>
      <c r="Q24" s="39"/>
      <c r="R24" s="99"/>
    </row>
    <row r="25" spans="1:18" x14ac:dyDescent="0.25">
      <c r="A25" s="301"/>
      <c r="C25" s="163"/>
      <c r="D25" s="163"/>
      <c r="E25" s="163"/>
      <c r="F25" s="163"/>
      <c r="G25" s="163"/>
      <c r="M25" s="39"/>
      <c r="N25" s="39"/>
      <c r="O25" s="39"/>
      <c r="P25" s="39"/>
      <c r="Q25" s="39"/>
      <c r="R25" s="39"/>
    </row>
    <row r="26" spans="1:18" x14ac:dyDescent="0.25">
      <c r="A26" s="301"/>
      <c r="M26" s="39"/>
      <c r="N26" s="39"/>
      <c r="O26" s="39"/>
      <c r="P26" s="39"/>
      <c r="Q26" s="39"/>
      <c r="R26" s="39"/>
    </row>
    <row r="55" spans="1:7" x14ac:dyDescent="0.25">
      <c r="A55" s="1"/>
      <c r="B55" s="1"/>
      <c r="C55" s="4987"/>
      <c r="D55" s="4987"/>
      <c r="E55" s="4987"/>
      <c r="F55" s="4987"/>
      <c r="G55" s="4987"/>
    </row>
    <row r="56" spans="1:7" x14ac:dyDescent="0.25">
      <c r="A56" s="1"/>
      <c r="B56" s="1"/>
      <c r="C56" s="1"/>
      <c r="D56" s="1"/>
      <c r="E56" s="1"/>
      <c r="F56" s="1"/>
      <c r="G56" s="1"/>
    </row>
    <row r="57" spans="1:7" x14ac:dyDescent="0.25">
      <c r="A57" s="1"/>
      <c r="B57" s="1"/>
      <c r="C57" s="1"/>
      <c r="D57" s="1"/>
      <c r="E57" s="1"/>
      <c r="F57" s="1"/>
      <c r="G57" s="1"/>
    </row>
    <row r="58" spans="1:7" x14ac:dyDescent="0.25">
      <c r="A58" s="1"/>
      <c r="B58" s="1"/>
      <c r="C58" s="1"/>
      <c r="D58" s="1"/>
      <c r="E58" s="1"/>
      <c r="F58" s="1"/>
      <c r="G58" s="1"/>
    </row>
    <row r="59" spans="1:7" x14ac:dyDescent="0.25">
      <c r="A59" s="1"/>
      <c r="B59" s="1"/>
      <c r="C59" s="1"/>
      <c r="D59" s="1"/>
      <c r="E59" s="1"/>
      <c r="F59" s="1"/>
      <c r="G59" s="1"/>
    </row>
    <row r="60" spans="1:7" x14ac:dyDescent="0.25">
      <c r="A60" s="1"/>
      <c r="B60" s="1"/>
      <c r="C60" s="1"/>
      <c r="D60" s="1"/>
      <c r="E60" s="1"/>
      <c r="F60" s="1"/>
      <c r="G60" s="1"/>
    </row>
    <row r="61" spans="1:7" x14ac:dyDescent="0.25">
      <c r="A61" s="1"/>
      <c r="B61" s="1"/>
      <c r="C61" s="1"/>
      <c r="D61" s="1"/>
      <c r="E61" s="1"/>
      <c r="F61" s="1"/>
      <c r="G61" s="1"/>
    </row>
    <row r="62" spans="1:7" x14ac:dyDescent="0.25">
      <c r="A62" s="1"/>
      <c r="B62" s="1"/>
      <c r="C62" s="1"/>
      <c r="D62" s="1"/>
      <c r="E62" s="1"/>
      <c r="F62" s="1"/>
      <c r="G62" s="1"/>
    </row>
    <row r="63" spans="1:7" x14ac:dyDescent="0.25">
      <c r="A63" s="1"/>
      <c r="B63" s="1"/>
      <c r="C63" s="1"/>
      <c r="D63" s="1"/>
      <c r="E63" s="1"/>
      <c r="F63" s="1"/>
      <c r="G63" s="1"/>
    </row>
    <row r="64" spans="1:7" ht="15.75" thickBot="1" x14ac:dyDescent="0.3"/>
    <row r="65" spans="1:9" ht="29.25" customHeight="1" thickBot="1" x14ac:dyDescent="0.3">
      <c r="A65" s="79"/>
      <c r="B65" s="80"/>
      <c r="C65" s="5057" t="s">
        <v>153</v>
      </c>
      <c r="D65" s="5058"/>
      <c r="E65" s="5058"/>
      <c r="F65" s="5058"/>
      <c r="G65" s="5058"/>
      <c r="H65" s="5058"/>
      <c r="I65" s="5059"/>
    </row>
    <row r="66" spans="1:9" ht="15.75" thickBot="1" x14ac:dyDescent="0.3">
      <c r="A66" s="5060" t="s">
        <v>0</v>
      </c>
      <c r="B66" s="5061"/>
      <c r="C66" s="41" t="s">
        <v>99</v>
      </c>
      <c r="D66" s="42" t="s">
        <v>100</v>
      </c>
      <c r="E66" s="42" t="s">
        <v>101</v>
      </c>
      <c r="F66" s="42" t="s">
        <v>102</v>
      </c>
      <c r="G66" s="42" t="s">
        <v>154</v>
      </c>
      <c r="H66" s="166" t="s">
        <v>103</v>
      </c>
      <c r="I66" s="167" t="s">
        <v>120</v>
      </c>
    </row>
    <row r="67" spans="1:9" x14ac:dyDescent="0.25">
      <c r="A67" s="5062" t="s">
        <v>64</v>
      </c>
      <c r="B67" s="5063"/>
      <c r="C67" s="27">
        <v>0</v>
      </c>
      <c r="D67" s="165">
        <v>0</v>
      </c>
      <c r="E67" s="165">
        <v>0</v>
      </c>
      <c r="F67" s="165">
        <v>0</v>
      </c>
      <c r="G67" s="165">
        <v>0</v>
      </c>
      <c r="H67" s="164">
        <v>0</v>
      </c>
      <c r="I67" s="168">
        <f t="shared" ref="I67:I72" si="4">SUM(C67:H67)</f>
        <v>0</v>
      </c>
    </row>
    <row r="68" spans="1:9" x14ac:dyDescent="0.25">
      <c r="A68" s="5062" t="s">
        <v>105</v>
      </c>
      <c r="B68" s="5063"/>
      <c r="C68" s="28">
        <v>0</v>
      </c>
      <c r="D68" s="1">
        <v>0</v>
      </c>
      <c r="E68" s="76">
        <v>0</v>
      </c>
      <c r="F68" s="76">
        <v>0</v>
      </c>
      <c r="G68" s="76">
        <v>0</v>
      </c>
      <c r="H68" s="106">
        <v>0</v>
      </c>
      <c r="I68" s="169">
        <f t="shared" si="4"/>
        <v>0</v>
      </c>
    </row>
    <row r="69" spans="1:9" x14ac:dyDescent="0.25">
      <c r="A69" s="5062" t="s">
        <v>152</v>
      </c>
      <c r="B69" s="5063"/>
      <c r="C69" s="28">
        <v>0</v>
      </c>
      <c r="D69" s="76">
        <v>0</v>
      </c>
      <c r="E69" s="76">
        <v>1</v>
      </c>
      <c r="F69" s="76">
        <v>0</v>
      </c>
      <c r="G69" s="76">
        <v>0</v>
      </c>
      <c r="H69" s="106">
        <v>0</v>
      </c>
      <c r="I69" s="169">
        <f t="shared" si="4"/>
        <v>1</v>
      </c>
    </row>
    <row r="70" spans="1:9" x14ac:dyDescent="0.25">
      <c r="A70" s="5062" t="s">
        <v>104</v>
      </c>
      <c r="B70" s="5063"/>
      <c r="C70" s="28">
        <v>24</v>
      </c>
      <c r="D70" s="76">
        <v>0</v>
      </c>
      <c r="E70" s="76">
        <v>11</v>
      </c>
      <c r="F70" s="76">
        <v>26</v>
      </c>
      <c r="G70" s="76">
        <v>4</v>
      </c>
      <c r="H70" s="106">
        <v>44</v>
      </c>
      <c r="I70" s="169">
        <f t="shared" si="4"/>
        <v>109</v>
      </c>
    </row>
    <row r="71" spans="1:9" x14ac:dyDescent="0.25">
      <c r="A71" s="5062" t="s">
        <v>65</v>
      </c>
      <c r="B71" s="5063"/>
      <c r="C71" s="28">
        <v>154</v>
      </c>
      <c r="D71" s="76">
        <v>146</v>
      </c>
      <c r="E71" s="76">
        <v>19</v>
      </c>
      <c r="F71" s="76">
        <v>27</v>
      </c>
      <c r="G71" s="76">
        <v>42</v>
      </c>
      <c r="H71" s="106">
        <v>68</v>
      </c>
      <c r="I71" s="169">
        <f t="shared" si="4"/>
        <v>456</v>
      </c>
    </row>
    <row r="72" spans="1:9" ht="15.75" thickBot="1" x14ac:dyDescent="0.3">
      <c r="A72" s="5069" t="s">
        <v>67</v>
      </c>
      <c r="B72" s="5070"/>
      <c r="C72" s="83">
        <f>SUM(C67:C71)</f>
        <v>178</v>
      </c>
      <c r="D72" s="85">
        <v>146</v>
      </c>
      <c r="E72" s="85">
        <v>31</v>
      </c>
      <c r="F72" s="85">
        <v>53</v>
      </c>
      <c r="G72" s="85">
        <v>46</v>
      </c>
      <c r="H72" s="134">
        <v>112</v>
      </c>
      <c r="I72" s="170">
        <f t="shared" si="4"/>
        <v>566</v>
      </c>
    </row>
    <row r="73" spans="1:9" x14ac:dyDescent="0.25">
      <c r="G73">
        <v>0</v>
      </c>
    </row>
  </sheetData>
  <mergeCells count="15">
    <mergeCell ref="A68:B68"/>
    <mergeCell ref="A69:B69"/>
    <mergeCell ref="A70:B70"/>
    <mergeCell ref="A71:B71"/>
    <mergeCell ref="A72:B72"/>
    <mergeCell ref="R3:V3"/>
    <mergeCell ref="C65:I65"/>
    <mergeCell ref="A66:B66"/>
    <mergeCell ref="A67:B67"/>
    <mergeCell ref="C55:G55"/>
    <mergeCell ref="C15:G15"/>
    <mergeCell ref="M15:Q15"/>
    <mergeCell ref="C3:G3"/>
    <mergeCell ref="H3:L3"/>
    <mergeCell ref="M3:Q3"/>
  </mergeCell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2</vt:i4>
      </vt:variant>
    </vt:vector>
  </HeadingPairs>
  <TitlesOfParts>
    <vt:vector size="24" baseType="lpstr">
      <vt:lpstr>Sheet1</vt:lpstr>
      <vt:lpstr>Production</vt:lpstr>
      <vt:lpstr>Land Management</vt:lpstr>
      <vt:lpstr>Water Mangt</vt:lpstr>
      <vt:lpstr>Effluent</vt:lpstr>
      <vt:lpstr>Energy</vt:lpstr>
      <vt:lpstr>Materials</vt:lpstr>
      <vt:lpstr>Waste</vt:lpstr>
      <vt:lpstr>Incidents</vt:lpstr>
      <vt:lpstr>Biodiversity</vt:lpstr>
      <vt:lpstr>Ozone</vt:lpstr>
      <vt:lpstr>GHG </vt:lpstr>
      <vt:lpstr>bryanstonLondon</vt:lpstr>
      <vt:lpstr>company plane</vt:lpstr>
      <vt:lpstr>Employee commute</vt:lpstr>
      <vt:lpstr>Business travel</vt:lpstr>
      <vt:lpstr>SR 2020</vt:lpstr>
      <vt:lpstr>SR archived</vt:lpstr>
      <vt:lpstr>Graphs</vt:lpstr>
      <vt:lpstr>Carbon Tax</vt:lpstr>
      <vt:lpstr>SAGERS</vt:lpstr>
      <vt:lpstr>GHG Report</vt:lpstr>
      <vt:lpstr>Graphs!_Toc464457546</vt:lpstr>
      <vt:lpstr>Sheet1!Print_Area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Reynecke</dc:creator>
  <cp:lastModifiedBy>Magda le Roux</cp:lastModifiedBy>
  <cp:lastPrinted>2019-08-27T08:29:07Z</cp:lastPrinted>
  <dcterms:created xsi:type="dcterms:W3CDTF">2012-11-26T07:25:03Z</dcterms:created>
  <dcterms:modified xsi:type="dcterms:W3CDTF">2021-02-24T11:22:53Z</dcterms:modified>
</cp:coreProperties>
</file>