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envs\CV\Finance\Options-Pricing-Model\"/>
    </mc:Choice>
  </mc:AlternateContent>
  <xr:revisionPtr revIDLastSave="0" documentId="13_ncr:1_{F05D530B-836F-4928-AEFD-FE10ECE92AD0}" xr6:coauthVersionLast="47" xr6:coauthVersionMax="47" xr10:uidLastSave="{00000000-0000-0000-0000-000000000000}"/>
  <bookViews>
    <workbookView xWindow="2835" yWindow="450" windowWidth="18930" windowHeight="10365" xr2:uid="{3B6B797E-3984-4173-917C-9EC4A59B4430}"/>
  </bookViews>
  <sheets>
    <sheet name="Ame-Option-Div-Paying" sheetId="1" r:id="rId1"/>
    <sheet name="EUR-Option-Div-Non-Paying" sheetId="3" r:id="rId2"/>
    <sheet name="Eur-Option-Div-Paying" sheetId="4" r:id="rId3"/>
    <sheet name="Barrier Options" sheetId="2" r:id="rId4"/>
  </sheets>
  <definedNames>
    <definedName name="solver_adj" localSheetId="0" hidden="1">'Ame-Option-Div-Paying'!$C$11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'Ame-Option-Div-Paying'!$C$23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F17" i="1"/>
  <c r="F18" i="1" s="1"/>
  <c r="F16" i="3"/>
  <c r="F15" i="3"/>
  <c r="C21" i="4"/>
  <c r="F19" i="4"/>
  <c r="C19" i="4" s="1"/>
  <c r="F15" i="4"/>
  <c r="C15" i="4" s="1"/>
  <c r="C12" i="4"/>
  <c r="F10" i="4"/>
  <c r="C10" i="4" s="1"/>
  <c r="F19" i="3"/>
  <c r="F17" i="3"/>
  <c r="F10" i="3"/>
  <c r="D12" i="3"/>
  <c r="C17" i="3"/>
  <c r="C21" i="1"/>
  <c r="F19" i="1"/>
  <c r="F17" i="4" l="1"/>
  <c r="C12" i="3"/>
  <c r="D17" i="4" l="1"/>
  <c r="C17" i="4"/>
  <c r="F18" i="4"/>
  <c r="C8" i="4"/>
  <c r="I6" i="4" l="1"/>
  <c r="I8" i="4"/>
  <c r="J6" i="4"/>
  <c r="I9" i="4"/>
  <c r="I10" i="4" s="1"/>
  <c r="D18" i="4"/>
  <c r="J5" i="4" s="1"/>
  <c r="C9" i="4"/>
  <c r="C18" i="4"/>
  <c r="I5" i="4"/>
  <c r="C24" i="4" s="1"/>
  <c r="C23" i="4" s="1"/>
  <c r="K9" i="4" l="1"/>
  <c r="K10" i="4" s="1"/>
  <c r="K8" i="4"/>
  <c r="I7" i="4"/>
  <c r="J7" i="4"/>
  <c r="C19" i="1" l="1"/>
  <c r="C12" i="1"/>
  <c r="F15" i="1"/>
  <c r="F10" i="1"/>
  <c r="C10" i="1" s="1"/>
  <c r="B32" i="2"/>
  <c r="B31" i="2"/>
  <c r="B30" i="2"/>
  <c r="B28" i="2"/>
  <c r="B27" i="2"/>
  <c r="B26" i="2"/>
  <c r="B25" i="2"/>
  <c r="B24" i="2"/>
  <c r="B23" i="2"/>
  <c r="C15" i="2"/>
  <c r="C14" i="2"/>
  <c r="C13" i="2"/>
  <c r="C11" i="2"/>
  <c r="C10" i="2"/>
  <c r="C9" i="2"/>
  <c r="C10" i="3"/>
  <c r="C15" i="1"/>
  <c r="C15" i="3" l="1"/>
  <c r="C16" i="3"/>
  <c r="I10" i="3" s="1"/>
  <c r="I11" i="3" s="1"/>
  <c r="D15" i="3"/>
  <c r="C8" i="1"/>
  <c r="I9" i="1" s="1"/>
  <c r="I10" i="1" s="1"/>
  <c r="J6" i="3" l="1"/>
  <c r="I6" i="3"/>
  <c r="I5" i="3"/>
  <c r="C8" i="3"/>
  <c r="I9" i="3" s="1"/>
  <c r="K9" i="3" s="1"/>
  <c r="C18" i="1"/>
  <c r="D18" i="1"/>
  <c r="J7" i="1" s="1"/>
  <c r="I8" i="1"/>
  <c r="C17" i="1"/>
  <c r="D17" i="1"/>
  <c r="I6" i="1"/>
  <c r="J6" i="1"/>
  <c r="C9" i="1"/>
  <c r="K9" i="1" s="1"/>
  <c r="K10" i="1" s="1"/>
  <c r="I7" i="3" l="1"/>
  <c r="I8" i="3"/>
  <c r="I5" i="1"/>
  <c r="C24" i="1" s="1"/>
  <c r="C23" i="1" s="1"/>
  <c r="D16" i="3"/>
  <c r="C22" i="3"/>
  <c r="C21" i="3" s="1"/>
  <c r="C9" i="3"/>
  <c r="J5" i="1"/>
  <c r="I7" i="1"/>
  <c r="K8" i="1"/>
  <c r="J5" i="3" l="1"/>
  <c r="J10" i="3"/>
  <c r="J11" i="3" s="1"/>
  <c r="J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tc={F5135E22-AF04-4031-B350-EB979C44289A}</author>
    <author>tc={5D92E89C-2381-4971-A66B-268840F3C9DB}</author>
    <author>tc={F3B494B7-9F1A-4008-A07F-9A0B1AD37C47}</author>
    <author>tc={2CBB2857-D6D8-4295-B946-BC6054C908FA}</author>
    <author>tc={D5099C38-A70B-4844-A0C8-3CB426D69639}</author>
    <author>tc={7E1D5E41-8014-4FEF-AF9E-B718FF0F95AC}</author>
    <author>tc={02840F6F-995E-4B92-8723-9957FF02F300}</author>
  </authors>
  <commentList>
    <comment ref="F10" authorId="0" shapeId="0" xr:uid="{F5135E22-AF04-4031-B350-EB979C44289A}">
      <text>
        <t>[Threaded comment]
Your version of Excel allows you to read this threaded comment; however, any edits to it will get removed if the file is opened in a newer version of Excel. Learn more: https://go.microsoft.com/fwlink/?linkid=870924
Comment:
    cc risk free rate</t>
      </text>
    </comment>
    <comment ref="F15" authorId="1" shapeId="0" xr:uid="{5D92E89C-2381-4971-A66B-268840F3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cc dividend</t>
      </text>
    </comment>
    <comment ref="D17" authorId="2" shapeId="0" xr:uid="{F3B494B7-9F1A-4008-A07F-9A0B1AD37C47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N(-d1)</t>
      </text>
    </comment>
    <comment ref="F17" authorId="3" shapeId="0" xr:uid="{2CBB2857-D6D8-4295-B946-BC6054C908FA}">
      <text>
        <t>[Threaded comment]
Your version of Excel allows you to read this threaded comment; however, any edits to it will get removed if the file is opened in a newer version of Excel. Learn more: https://go.microsoft.com/fwlink/?linkid=870924
Comment:
    d1</t>
      </text>
    </comment>
    <comment ref="D18" authorId="4" shapeId="0" xr:uid="{D5099C38-A70B-4844-A0C8-3CB426D69639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N(-d2)</t>
      </text>
    </comment>
    <comment ref="F18" authorId="5" shapeId="0" xr:uid="{7E1D5E41-8014-4FEF-AF9E-B718FF0F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d2</t>
      </text>
    </comment>
    <comment ref="F19" authorId="6" shapeId="0" xr:uid="{02840F6F-995E-4B92-8723-9957FF02F300}">
      <text>
        <t>[Threaded comment]
Your version of Excel allows you to read this threaded comment; however, any edits to it will get removed if the file is opened in a newer version of Excel. Learn more: https://go.microsoft.com/fwlink/?linkid=870924
Comment:
    TTM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tc={67E1EB3A-4116-4ABB-A64F-560CA443D92B}</author>
    <author>tc={7BC7F406-921F-4249-B750-14B2E5A5F07C}</author>
    <author>tc={DA2D44A0-3D53-4500-AA29-BC7201136342}</author>
    <author>tc={8C8E48EC-B9DD-4A8D-AF9A-45F7F2C5CAFB}</author>
    <author>tc={1BC76991-E690-4AD5-9997-A0A294AFD436}</author>
    <author>tc={E0CF1C70-CA73-4E2E-9EEE-3108BD016DE0}</author>
    <author>tc={53AB2419-F121-4F11-8751-29A0943C34E2}</author>
  </authors>
  <commentList>
    <comment ref="F10" authorId="0" shapeId="0" xr:uid="{67E1EB3A-4116-4ABB-A64F-560CA443D92B}">
      <text>
        <t>[Threaded comment]
Your version of Excel allows you to read this threaded comment; however, any edits to it will get removed if the file is opened in a newer version of Excel. Learn more: https://go.microsoft.com/fwlink/?linkid=870924
Comment:
    cc risk free rate</t>
      </text>
    </comment>
    <comment ref="D12" authorId="1" shapeId="0" xr:uid="{7BC7F406-921F-4249-B750-14B2E5A5F07C}">
      <text>
        <t>[Threaded comment]
Your version of Excel allows you to read this threaded comment; however, any edits to it will get removed if the file is opened in a newer version of Excel. Learn more: https://go.microsoft.com/fwlink/?linkid=870924
Comment:
    T=DTE/252</t>
      </text>
    </comment>
    <comment ref="D15" authorId="2" shapeId="0" xr:uid="{DA2D44A0-3D53-4500-AA29-BC7201136342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N(-d1)</t>
      </text>
    </comment>
    <comment ref="F15" authorId="3" shapeId="0" xr:uid="{8C8E48EC-B9DD-4A8D-AF9A-45F7F2C5CAFB}">
      <text>
        <t>[Threaded comment]
Your version of Excel allows you to read this threaded comment; however, any edits to it will get removed if the file is opened in a newer version of Excel. Learn more: https://go.microsoft.com/fwlink/?linkid=870924
Comment:
    d1</t>
      </text>
    </comment>
    <comment ref="D16" authorId="4" shapeId="0" xr:uid="{1BC76991-E690-4AD5-9997-A0A294AFD436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N(-d2)</t>
      </text>
    </comment>
    <comment ref="F16" authorId="5" shapeId="0" xr:uid="{E0CF1C70-CA73-4E2E-9EEE-3108BD016DE0}">
      <text>
        <t>[Threaded comment]
Your version of Excel allows you to read this threaded comment; however, any edits to it will get removed if the file is opened in a newer version of Excel. Learn more: https://go.microsoft.com/fwlink/?linkid=870924
Comment:
    d2</t>
      </text>
    </comment>
    <comment ref="F17" authorId="6" shapeId="0" xr:uid="{53AB2419-F121-4F11-8751-29A0943C34E2}">
      <text>
        <t>[Threaded comment]
Your version of Excel allows you to read this threaded comment; however, any edits to it will get removed if the file is opened in a newer version of Excel. Learn more: https://go.microsoft.com/fwlink/?linkid=870924
Comment:
    TTM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tc={10B5D34F-8847-492E-AB2D-D20A14CE1C5E}</author>
    <author>tc={B6FF0424-DE5B-4DF7-A793-94C9B82C385B}</author>
    <author>tc={7A76CBD6-5097-4203-A0C4-ABEE158711F9}</author>
    <author>tc={99A2AC7A-8542-4F1A-ACF8-4B7010BC1999}</author>
    <author>tc={09CEDA5E-6AAF-42BF-8D9D-685DAFAF52DC}</author>
    <author>tc={54686EB7-A271-45E6-99F0-4BC81BA44FB5}</author>
    <author>tc={E6BCE3FC-8AB4-456A-9579-D826E4B6B4A3}</author>
  </authors>
  <commentList>
    <comment ref="F10" authorId="0" shapeId="0" xr:uid="{10B5D34F-8847-492E-AB2D-D20A14CE1C5E}">
      <text>
        <t>[Threaded comment]
Your version of Excel allows you to read this threaded comment; however, any edits to it will get removed if the file is opened in a newer version of Excel. Learn more: https://go.microsoft.com/fwlink/?linkid=870924
Comment:
    cc risk free rate</t>
      </text>
    </comment>
    <comment ref="F15" authorId="1" shapeId="0" xr:uid="{B6FF0424-DE5B-4DF7-A793-94C9B82C385B}">
      <text>
        <t>[Threaded comment]
Your version of Excel allows you to read this threaded comment; however, any edits to it will get removed if the file is opened in a newer version of Excel. Learn more: https://go.microsoft.com/fwlink/?linkid=870924
Comment:
    cc dividend</t>
      </text>
    </comment>
    <comment ref="D17" authorId="2" shapeId="0" xr:uid="{7A76CBD6-5097-4203-A0C4-ABEE158711F9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N(-d1)</t>
      </text>
    </comment>
    <comment ref="F17" authorId="3" shapeId="0" xr:uid="{99A2AC7A-8542-4F1A-ACF8-4B7010BC1999}">
      <text>
        <t>[Threaded comment]
Your version of Excel allows you to read this threaded comment; however, any edits to it will get removed if the file is opened in a newer version of Excel. Learn more: https://go.microsoft.com/fwlink/?linkid=870924
Comment:
    d1</t>
      </text>
    </comment>
    <comment ref="D18" authorId="4" shapeId="0" xr:uid="{09CEDA5E-6AAF-42BF-8D9D-685DAFAF52DC}">
      <text>
        <t>[Threaded comment]
Your version of Excel allows you to read this threaded comment; however, any edits to it will get removed if the file is opened in a newer version of Excel. Learn more: https://go.microsoft.com/fwlink/?linkid=870924
Comment:
    N(-d2)</t>
      </text>
    </comment>
    <comment ref="F18" authorId="5" shapeId="0" xr:uid="{54686EB7-A271-45E6-99F0-4BC81BA44FB5}">
      <text>
        <t>[Threaded comment]
Your version of Excel allows you to read this threaded comment; however, any edits to it will get removed if the file is opened in a newer version of Excel. Learn more: https://go.microsoft.com/fwlink/?linkid=870924
Comment:
    d2</t>
      </text>
    </comment>
    <comment ref="F19" authorId="6" shapeId="0" xr:uid="{E6BCE3FC-8AB4-456A-9579-D826E4B6B4A3}">
      <text>
        <t>[Threaded comment]
Your version of Excel allows you to read this threaded comment; however, any edits to it will get removed if the file is opened in a newer version of Excel. Learn more: https://go.microsoft.com/fwlink/?linkid=870924
Comment:
    TTM</t>
      </text>
    </comment>
  </commentList>
</comments>
</file>

<file path=xl/sharedStrings.xml><?xml version="1.0" encoding="utf-8"?>
<sst xmlns="http://schemas.openxmlformats.org/spreadsheetml/2006/main" count="226" uniqueCount="89">
  <si>
    <t>European Option value</t>
  </si>
  <si>
    <t>INPUT</t>
  </si>
  <si>
    <t>X</t>
  </si>
  <si>
    <t>Z</t>
  </si>
  <si>
    <t>Underlying</t>
  </si>
  <si>
    <t>d1</t>
  </si>
  <si>
    <t>d2</t>
  </si>
  <si>
    <t>r</t>
  </si>
  <si>
    <t>σ</t>
  </si>
  <si>
    <t>OUTPUT</t>
  </si>
  <si>
    <t>Intermediary Calculation</t>
  </si>
  <si>
    <t>q</t>
  </si>
  <si>
    <t>D</t>
  </si>
  <si>
    <t>Dividend</t>
  </si>
  <si>
    <t>N(d1)</t>
  </si>
  <si>
    <t>N(d2)</t>
  </si>
  <si>
    <t xml:space="preserve">Strike Price </t>
  </si>
  <si>
    <t>Risk free rate</t>
  </si>
  <si>
    <t>Volatility</t>
  </si>
  <si>
    <t>Time</t>
  </si>
  <si>
    <t>Time 30/360 European</t>
  </si>
  <si>
    <t>t</t>
  </si>
  <si>
    <t>Year</t>
  </si>
  <si>
    <t>Month</t>
  </si>
  <si>
    <t>Day</t>
  </si>
  <si>
    <t>T</t>
  </si>
  <si>
    <t>CC dividend Yield</t>
  </si>
  <si>
    <t>TTM (year)</t>
  </si>
  <si>
    <t>TTM (T)</t>
  </si>
  <si>
    <t>τ (T-t)</t>
  </si>
  <si>
    <t>ω  C</t>
  </si>
  <si>
    <t>ω  P</t>
  </si>
  <si>
    <t>Exit probability</t>
  </si>
  <si>
    <t>Barrier</t>
  </si>
  <si>
    <t>B</t>
  </si>
  <si>
    <t>μ</t>
  </si>
  <si>
    <t>d+</t>
  </si>
  <si>
    <t>d-</t>
  </si>
  <si>
    <t>Input</t>
  </si>
  <si>
    <t>Output</t>
  </si>
  <si>
    <t>Intermediate Calculation</t>
  </si>
  <si>
    <t>N(d+)</t>
  </si>
  <si>
    <t>N(d-)</t>
  </si>
  <si>
    <t>P(s,t)</t>
  </si>
  <si>
    <t>p(s,t)</t>
  </si>
  <si>
    <t>Yield</t>
  </si>
  <si>
    <t>Strike price</t>
  </si>
  <si>
    <t>Vp,do(s,0)</t>
  </si>
  <si>
    <t>Risk free</t>
  </si>
  <si>
    <t>rf</t>
  </si>
  <si>
    <t>CC rf</t>
  </si>
  <si>
    <t>α</t>
  </si>
  <si>
    <t>Y</t>
  </si>
  <si>
    <t>Delta</t>
  </si>
  <si>
    <t>Theta</t>
  </si>
  <si>
    <t>Gamma</t>
  </si>
  <si>
    <t>Vega</t>
  </si>
  <si>
    <t>Days to Expiry</t>
  </si>
  <si>
    <t>Number of steps</t>
  </si>
  <si>
    <t>(From option chain)</t>
  </si>
  <si>
    <t>Option Price Model</t>
  </si>
  <si>
    <t>(From our Model)</t>
  </si>
  <si>
    <t>Difference^2</t>
  </si>
  <si>
    <t>X (K)</t>
  </si>
  <si>
    <t>CALLS</t>
  </si>
  <si>
    <t>PUTS</t>
  </si>
  <si>
    <t>S</t>
  </si>
  <si>
    <t>Observed option price</t>
  </si>
  <si>
    <t>Implied Volatility((σ, annual)</t>
  </si>
  <si>
    <t>d2-d1</t>
  </si>
  <si>
    <t>m2-m1</t>
  </si>
  <si>
    <t>y2-y1</t>
  </si>
  <si>
    <t>CBOE</t>
  </si>
  <si>
    <t>NASDAQ OMX</t>
  </si>
  <si>
    <t>NYSE Euronext</t>
  </si>
  <si>
    <t>NASDAQ</t>
  </si>
  <si>
    <t>Options Data</t>
  </si>
  <si>
    <t>Short term treasury yield as proxy for rf</t>
  </si>
  <si>
    <t>Dividends</t>
  </si>
  <si>
    <t>NASDAQ.COM</t>
  </si>
  <si>
    <t>DIVIDEND.COM</t>
  </si>
  <si>
    <t>YAHOO FINANCE</t>
  </si>
  <si>
    <t>http://www.cboe.com/products/options-on-single-stocks-and-exchange-traded-products/options-on-exchange-traded-products#etfspec</t>
  </si>
  <si>
    <t>https://www.treasury.gov/resource-center/data-chart-center/interest-rates/Pages/TextView.aspx?data=yield</t>
  </si>
  <si>
    <t>Stock Price (Underlying)</t>
  </si>
  <si>
    <r>
      <t>V (</t>
    </r>
    <r>
      <rPr>
        <sz val="10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 xml:space="preserve">, t; </t>
    </r>
    <r>
      <rPr>
        <sz val="10"/>
        <color theme="4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>,</t>
    </r>
    <r>
      <rPr>
        <sz val="10"/>
        <color rgb="FFFF0000"/>
        <rFont val="Calibri"/>
        <family val="2"/>
        <scheme val="minor"/>
      </rPr>
      <t>Z</t>
    </r>
    <r>
      <rPr>
        <sz val="10"/>
        <color theme="1"/>
        <rFont val="Calibri"/>
        <family val="2"/>
        <scheme val="minor"/>
      </rPr>
      <t>, ω)</t>
    </r>
  </si>
  <si>
    <t>VC,p (s,0)</t>
  </si>
  <si>
    <t>rho</t>
  </si>
  <si>
    <t>s (S0)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</si>
</sst>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%"/>
    <numFmt numFmtId="165" formatCode="&quot;$&quot;#,##0.0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1"/>
      <name val="SimSun"/>
    </font>
    <font>
      <u/>
      <sz val="10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SimSun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0" xfId="0" applyFill="1"/>
    <xf numFmtId="0" fontId="3" fillId="0" borderId="0" xfId="0" applyFont="1"/>
    <xf numFmtId="0" fontId="7" fillId="2" borderId="0" xfId="0" applyFont="1" applyFill="1"/>
    <xf numFmtId="0" fontId="3" fillId="2" borderId="0" xfId="0" applyFont="1" applyFill="1"/>
    <xf numFmtId="0" fontId="8" fillId="9" borderId="0" xfId="0" applyFont="1" applyFill="1"/>
    <xf numFmtId="0" fontId="7" fillId="3" borderId="0" xfId="0" applyFont="1" applyFill="1"/>
    <xf numFmtId="0" fontId="7" fillId="0" borderId="0" xfId="0" applyFont="1"/>
    <xf numFmtId="2" fontId="3" fillId="10" borderId="0" xfId="0" applyNumberFormat="1" applyFont="1" applyFill="1"/>
    <xf numFmtId="0" fontId="4" fillId="9" borderId="0" xfId="0" applyFont="1" applyFill="1"/>
    <xf numFmtId="0" fontId="3" fillId="3" borderId="0" xfId="0" applyFont="1" applyFill="1"/>
    <xf numFmtId="165" fontId="3" fillId="5" borderId="1" xfId="1" applyNumberFormat="1" applyFont="1" applyFill="1" applyBorder="1"/>
    <xf numFmtId="165" fontId="3" fillId="5" borderId="1" xfId="0" applyNumberFormat="1" applyFont="1" applyFill="1" applyBorder="1"/>
    <xf numFmtId="0" fontId="3" fillId="0" borderId="2" xfId="0" applyFont="1" applyBorder="1" applyAlignment="1"/>
    <xf numFmtId="0" fontId="9" fillId="2" borderId="0" xfId="0" applyFont="1" applyFill="1"/>
    <xf numFmtId="0" fontId="3" fillId="4" borderId="1" xfId="0" applyNumberFormat="1" applyFont="1" applyFill="1" applyBorder="1"/>
    <xf numFmtId="0" fontId="6" fillId="2" borderId="0" xfId="0" applyFont="1" applyFill="1"/>
    <xf numFmtId="2" fontId="3" fillId="0" borderId="1" xfId="0" applyNumberFormat="1" applyFont="1" applyBorder="1"/>
    <xf numFmtId="0" fontId="3" fillId="0" borderId="1" xfId="0" applyFont="1" applyBorder="1"/>
    <xf numFmtId="166" fontId="3" fillId="2" borderId="0" xfId="0" applyNumberFormat="1" applyFont="1" applyFill="1"/>
    <xf numFmtId="166" fontId="4" fillId="9" borderId="0" xfId="0" applyNumberFormat="1" applyFont="1" applyFill="1"/>
    <xf numFmtId="166" fontId="3" fillId="0" borderId="0" xfId="0" applyNumberFormat="1" applyFont="1" applyBorder="1" applyAlignment="1"/>
    <xf numFmtId="0" fontId="3" fillId="0" borderId="0" xfId="0" applyFont="1" applyBorder="1" applyAlignment="1"/>
    <xf numFmtId="10" fontId="3" fillId="10" borderId="0" xfId="0" applyNumberFormat="1" applyFont="1" applyFill="1"/>
    <xf numFmtId="0" fontId="3" fillId="4" borderId="0" xfId="0" applyFont="1" applyFill="1"/>
    <xf numFmtId="0" fontId="3" fillId="0" borderId="0" xfId="0" applyFont="1" applyBorder="1"/>
    <xf numFmtId="0" fontId="10" fillId="2" borderId="0" xfId="0" applyFont="1" applyFill="1"/>
    <xf numFmtId="10" fontId="3" fillId="8" borderId="0" xfId="2" applyNumberFormat="1" applyFont="1" applyFill="1"/>
    <xf numFmtId="10" fontId="3" fillId="4" borderId="0" xfId="2" applyNumberFormat="1" applyFont="1" applyFill="1"/>
    <xf numFmtId="0" fontId="3" fillId="10" borderId="0" xfId="0" applyFont="1" applyFill="1"/>
    <xf numFmtId="166" fontId="3" fillId="4" borderId="0" xfId="0" applyNumberFormat="1" applyFont="1" applyFill="1"/>
    <xf numFmtId="0" fontId="3" fillId="9" borderId="0" xfId="0" applyFont="1" applyFill="1"/>
    <xf numFmtId="0" fontId="7" fillId="5" borderId="0" xfId="0" applyFont="1" applyFill="1"/>
    <xf numFmtId="2" fontId="3" fillId="2" borderId="0" xfId="0" applyNumberFormat="1" applyFont="1" applyFill="1"/>
    <xf numFmtId="0" fontId="7" fillId="4" borderId="0" xfId="0" applyFont="1" applyFill="1"/>
    <xf numFmtId="14" fontId="3" fillId="10" borderId="0" xfId="0" applyNumberFormat="1" applyFont="1" applyFill="1"/>
    <xf numFmtId="0" fontId="11" fillId="0" borderId="0" xfId="3" applyFont="1"/>
    <xf numFmtId="0" fontId="3" fillId="4" borderId="0" xfId="0" applyFont="1" applyFill="1" applyAlignment="1"/>
    <xf numFmtId="166" fontId="3" fillId="0" borderId="0" xfId="0" applyNumberFormat="1" applyFont="1"/>
    <xf numFmtId="0" fontId="12" fillId="4" borderId="0" xfId="0" applyFont="1" applyFill="1"/>
    <xf numFmtId="166" fontId="3" fillId="0" borderId="0" xfId="0" applyNumberFormat="1" applyFont="1" applyBorder="1"/>
    <xf numFmtId="14" fontId="3" fillId="10" borderId="0" xfId="0" quotePrefix="1" applyNumberFormat="1" applyFont="1" applyFill="1"/>
    <xf numFmtId="0" fontId="3" fillId="0" borderId="3" xfId="0" applyFont="1" applyBorder="1" applyAlignment="1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7" borderId="0" xfId="0" applyFont="1" applyFill="1"/>
    <xf numFmtId="10" fontId="3" fillId="6" borderId="0" xfId="2" applyNumberFormat="1" applyFont="1" applyFill="1"/>
    <xf numFmtId="0" fontId="3" fillId="6" borderId="0" xfId="0" applyFont="1" applyFill="1"/>
    <xf numFmtId="0" fontId="13" fillId="7" borderId="0" xfId="0" applyFont="1" applyFill="1"/>
    <xf numFmtId="10" fontId="3" fillId="7" borderId="0" xfId="2" applyNumberFormat="1" applyFont="1" applyFill="1"/>
    <xf numFmtId="164" fontId="3" fillId="7" borderId="0" xfId="2" applyNumberFormat="1" applyFont="1" applyFill="1"/>
    <xf numFmtId="10" fontId="3" fillId="7" borderId="0" xfId="0" applyNumberFormat="1" applyFont="1" applyFill="1"/>
    <xf numFmtId="2" fontId="3" fillId="7" borderId="0" xfId="0" applyNumberFormat="1" applyFont="1" applyFill="1"/>
    <xf numFmtId="0" fontId="14" fillId="7" borderId="0" xfId="0" applyFont="1" applyFill="1"/>
    <xf numFmtId="14" fontId="3" fillId="4" borderId="0" xfId="0" applyNumberFormat="1" applyFont="1" applyFill="1"/>
    <xf numFmtId="14" fontId="3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4" fontId="15" fillId="0" borderId="0" xfId="2" applyNumberFormat="1" applyFont="1"/>
    <xf numFmtId="0" fontId="16" fillId="0" borderId="0" xfId="0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161924</xdr:rowOff>
    </xdr:from>
    <xdr:to>
      <xdr:col>13</xdr:col>
      <xdr:colOff>247650</xdr:colOff>
      <xdr:row>15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534359-D5D0-45B2-944C-A8988766F1CB}"/>
            </a:ext>
          </a:extLst>
        </xdr:cNvPr>
        <xdr:cNvSpPr txBox="1"/>
      </xdr:nvSpPr>
      <xdr:spPr>
        <a:xfrm>
          <a:off x="6296025" y="1943099"/>
          <a:ext cx="42291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This worksheet calculates the</a:t>
          </a:r>
          <a:r>
            <a:rPr lang="en-US" sz="900" baseline="0"/>
            <a:t> value of an American call and put option of a dividend paying stock. see cell I5 for call value  and cell J5 for put value.</a:t>
          </a:r>
        </a:p>
        <a:p>
          <a:r>
            <a:rPr lang="en-US" sz="900" baseline="0"/>
            <a:t>The greeks Delta, Theta, Gamma and Vega are computed as well. see cells I6:K10.</a:t>
          </a:r>
          <a:endParaRPr lang="en-US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13</xdr:col>
      <xdr:colOff>247650</xdr:colOff>
      <xdr:row>17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3DEC8F-0D93-471C-A28E-A9B869072D39}"/>
            </a:ext>
          </a:extLst>
        </xdr:cNvPr>
        <xdr:cNvSpPr txBox="1"/>
      </xdr:nvSpPr>
      <xdr:spPr>
        <a:xfrm>
          <a:off x="6572250" y="2266950"/>
          <a:ext cx="42291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This worksheet calculates the</a:t>
          </a:r>
          <a:r>
            <a:rPr lang="en-US" sz="900" baseline="0"/>
            <a:t> value of an European call and put option of a non dividend paying stock. see cell I5 for call value  and cell J5 for put value.</a:t>
          </a:r>
        </a:p>
        <a:p>
          <a:r>
            <a:rPr lang="en-US" sz="900" baseline="0"/>
            <a:t>The greeks Delta, Theta, Gamma and Vega are computed as well. see cells I6:J10.</a:t>
          </a:r>
          <a:endParaRPr lang="en-US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11</xdr:row>
      <xdr:rowOff>9525</xdr:rowOff>
    </xdr:from>
    <xdr:to>
      <xdr:col>13</xdr:col>
      <xdr:colOff>295275</xdr:colOff>
      <xdr:row>14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FCADA0-CF99-4FDB-9835-1A936090E3DF}"/>
            </a:ext>
          </a:extLst>
        </xdr:cNvPr>
        <xdr:cNvSpPr txBox="1"/>
      </xdr:nvSpPr>
      <xdr:spPr>
        <a:xfrm>
          <a:off x="6343650" y="1790700"/>
          <a:ext cx="42291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This worksheet calculates the</a:t>
          </a:r>
          <a:r>
            <a:rPr lang="en-US" sz="900" baseline="0"/>
            <a:t> value of an European call and put option of a dividend paying stock. see cell I5 for call value  and cell J5 for put value.</a:t>
          </a:r>
        </a:p>
        <a:p>
          <a:r>
            <a:rPr lang="en-US" sz="900" baseline="0"/>
            <a:t>The greeks Delta, Theta, Gamma and Vega are computed as well. see cells I6:J10.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</xdr:rowOff>
    </xdr:from>
    <xdr:to>
      <xdr:col>11</xdr:col>
      <xdr:colOff>304800</xdr:colOff>
      <xdr:row>6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6F59B-B760-4A05-B3EE-B359AE9B3FCF}"/>
            </a:ext>
          </a:extLst>
        </xdr:cNvPr>
        <xdr:cNvSpPr txBox="1"/>
      </xdr:nvSpPr>
      <xdr:spPr>
        <a:xfrm>
          <a:off x="5191125" y="952501"/>
          <a:ext cx="3352800" cy="352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900"/>
            <a:t>This worksheet calculates the</a:t>
          </a:r>
          <a:r>
            <a:rPr lang="en-US" sz="900" baseline="0"/>
            <a:t> exit probability of of Barrier option.</a:t>
          </a:r>
        </a:p>
        <a:p>
          <a:r>
            <a:rPr lang="en-US" sz="900" baseline="0"/>
            <a:t>see cell E4.</a:t>
          </a:r>
          <a:endParaRPr lang="en-US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rmann Joel" id="{2C4D9C08-2ABA-4038-ACE1-786153D5C0C3}" userId="8cd99e826e52b22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1-12-13T15:33:54.24" personId="{2C4D9C08-2ABA-4038-ACE1-786153D5C0C3}" id="{F5135E22-AF04-4031-B350-EB979C44289A}">
    <text>cc risk free rate</text>
  </threadedComment>
  <threadedComment ref="F15" dT="2021-12-13T15:32:22.26" personId="{2C4D9C08-2ABA-4038-ACE1-786153D5C0C3}" id="{5D92E89C-2381-4971-A66B-268840F3C9DB}">
    <text>cc dividend</text>
  </threadedComment>
  <threadedComment ref="D17" dT="2021-12-13T15:40:31.53" personId="{2C4D9C08-2ABA-4038-ACE1-786153D5C0C3}" id="{F3B494B7-9F1A-4008-A07F-9A0B1AD37C47}">
    <text>N(-d1)</text>
  </threadedComment>
  <threadedComment ref="F17" dT="2021-12-13T15:30:12.31" personId="{2C4D9C08-2ABA-4038-ACE1-786153D5C0C3}" id="{2CBB2857-D6D8-4295-B946-BC6054C908FA}">
    <text>d1</text>
  </threadedComment>
  <threadedComment ref="D18" dT="2021-12-13T15:40:45.38" personId="{2C4D9C08-2ABA-4038-ACE1-786153D5C0C3}" id="{D5099C38-A70B-4844-A0C8-3CB426D69639}">
    <text>N(-d2)</text>
  </threadedComment>
  <threadedComment ref="F18" dT="2021-12-13T15:30:59.56" personId="{2C4D9C08-2ABA-4038-ACE1-786153D5C0C3}" id="{7E1D5E41-8014-4FEF-AF9E-B718FF0F95AC}">
    <text>d2</text>
  </threadedComment>
  <threadedComment ref="F19" dT="2021-12-13T12:21:58.81" personId="{2C4D9C08-2ABA-4038-ACE1-786153D5C0C3}" id="{02840F6F-995E-4B92-8723-9957FF02F300}">
    <text>TTM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12-13T15:33:54.24" personId="{2C4D9C08-2ABA-4038-ACE1-786153D5C0C3}" id="{67E1EB3A-4116-4ABB-A64F-560CA443D92B}">
    <text>cc risk free rate</text>
  </threadedComment>
  <threadedComment ref="D12" dT="2021-12-13T19:17:07.88" personId="{2C4D9C08-2ABA-4038-ACE1-786153D5C0C3}" id="{7BC7F406-921F-4249-B750-14B2E5A5F07C}">
    <text>T=DTE/252</text>
  </threadedComment>
  <threadedComment ref="D15" dT="2021-12-13T15:40:31.53" personId="{2C4D9C08-2ABA-4038-ACE1-786153D5C0C3}" id="{DA2D44A0-3D53-4500-AA29-BC7201136342}">
    <text>N(-d1)</text>
  </threadedComment>
  <threadedComment ref="F15" dT="2021-12-13T15:30:12.31" personId="{2C4D9C08-2ABA-4038-ACE1-786153D5C0C3}" id="{8C8E48EC-B9DD-4A8D-AF9A-45F7F2C5CAFB}">
    <text>d1</text>
  </threadedComment>
  <threadedComment ref="D16" dT="2021-12-13T15:40:45.38" personId="{2C4D9C08-2ABA-4038-ACE1-786153D5C0C3}" id="{1BC76991-E690-4AD5-9997-A0A294AFD436}">
    <text>N(-d2)</text>
  </threadedComment>
  <threadedComment ref="F16" dT="2021-12-13T15:30:59.56" personId="{2C4D9C08-2ABA-4038-ACE1-786153D5C0C3}" id="{E0CF1C70-CA73-4E2E-9EEE-3108BD016DE0}">
    <text>d2</text>
  </threadedComment>
  <threadedComment ref="F17" dT="2021-12-13T12:21:58.81" personId="{2C4D9C08-2ABA-4038-ACE1-786153D5C0C3}" id="{53AB2419-F121-4F11-8751-29A0943C34E2}">
    <text>TTM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0" dT="2021-12-13T15:33:54.24" personId="{2C4D9C08-2ABA-4038-ACE1-786153D5C0C3}" id="{10B5D34F-8847-492E-AB2D-D20A14CE1C5E}">
    <text>cc risk free rate</text>
  </threadedComment>
  <threadedComment ref="F15" dT="2021-12-13T15:32:22.26" personId="{2C4D9C08-2ABA-4038-ACE1-786153D5C0C3}" id="{B6FF0424-DE5B-4DF7-A793-94C9B82C385B}">
    <text>cc dividend</text>
  </threadedComment>
  <threadedComment ref="D17" dT="2021-12-13T15:40:31.53" personId="{2C4D9C08-2ABA-4038-ACE1-786153D5C0C3}" id="{7A76CBD6-5097-4203-A0C4-ABEE158711F9}">
    <text>N(-d1)</text>
  </threadedComment>
  <threadedComment ref="F17" dT="2021-12-13T15:30:12.31" personId="{2C4D9C08-2ABA-4038-ACE1-786153D5C0C3}" id="{99A2AC7A-8542-4F1A-ACF8-4B7010BC1999}">
    <text>d1</text>
  </threadedComment>
  <threadedComment ref="D18" dT="2021-12-13T15:40:45.38" personId="{2C4D9C08-2ABA-4038-ACE1-786153D5C0C3}" id="{09CEDA5E-6AAF-42BF-8D9D-685DAFAF52DC}">
    <text>N(-d2)</text>
  </threadedComment>
  <threadedComment ref="F18" dT="2021-12-13T15:30:59.56" personId="{2C4D9C08-2ABA-4038-ACE1-786153D5C0C3}" id="{54686EB7-A271-45E6-99F0-4BC81BA44FB5}">
    <text>d2</text>
  </threadedComment>
  <threadedComment ref="F19" dT="2021-12-13T12:21:58.81" personId="{2C4D9C08-2ABA-4038-ACE1-786153D5C0C3}" id="{E6BCE3FC-8AB4-456A-9579-D826E4B6B4A3}">
    <text>TTM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treasury.gov/resource-center/data-chart-center/interest-rates/Pages/TextView.aspx?data=yield" TargetMode="External"/><Relationship Id="rId1" Type="http://schemas.openxmlformats.org/officeDocument/2006/relationships/hyperlink" Target="http://www.cboe.com/products/options-on-single-stocks-and-exchange-traded-products/options-on-exchange-traded-product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treasury.gov/resource-center/data-chart-center/interest-rates/Pages/TextView.aspx?data=yield" TargetMode="External"/><Relationship Id="rId1" Type="http://schemas.openxmlformats.org/officeDocument/2006/relationships/hyperlink" Target="http://www.cboe.com/products/options-on-single-stocks-and-exchange-traded-products/options-on-exchange-traded-products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treasury.gov/resource-center/data-chart-center/interest-rates/Pages/TextView.aspx?data=yield" TargetMode="External"/><Relationship Id="rId1" Type="http://schemas.openxmlformats.org/officeDocument/2006/relationships/hyperlink" Target="http://www.cboe.com/products/options-on-single-stocks-and-exchange-traded-products/options-on-exchange-traded-products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9895-EC8F-42C8-886F-CB9F708B76E2}">
  <sheetPr codeName="Sheet1"/>
  <dimension ref="A1:K45"/>
  <sheetViews>
    <sheetView showGridLines="0" tabSelected="1" workbookViewId="0">
      <selection activeCell="K10" sqref="K10"/>
    </sheetView>
  </sheetViews>
  <sheetFormatPr defaultRowHeight="12.75" x14ac:dyDescent="0.2"/>
  <cols>
    <col min="1" max="1" width="17.42578125" style="2" customWidth="1"/>
    <col min="2" max="2" width="14.5703125" style="2" customWidth="1"/>
    <col min="3" max="3" width="12" style="2" bestFit="1" customWidth="1"/>
    <col min="4" max="5" width="9.140625" style="2"/>
    <col min="6" max="6" width="23" style="2" customWidth="1"/>
    <col min="7" max="7" width="9.140625" style="2"/>
    <col min="8" max="8" width="14" style="2" customWidth="1"/>
    <col min="9" max="16384" width="9.140625" style="2"/>
  </cols>
  <sheetData>
    <row r="1" spans="1:11" x14ac:dyDescent="0.2">
      <c r="B1" s="2" t="s">
        <v>85</v>
      </c>
    </row>
    <row r="3" spans="1:11" x14ac:dyDescent="0.2">
      <c r="A3" s="2" t="s">
        <v>0</v>
      </c>
    </row>
    <row r="4" spans="1:11" x14ac:dyDescent="0.2">
      <c r="B4" s="3" t="s">
        <v>1</v>
      </c>
      <c r="C4" s="4"/>
      <c r="F4" s="5" t="s">
        <v>10</v>
      </c>
      <c r="H4" s="6" t="s">
        <v>9</v>
      </c>
      <c r="I4" s="7" t="s">
        <v>64</v>
      </c>
      <c r="J4" s="7" t="s">
        <v>65</v>
      </c>
    </row>
    <row r="5" spans="1:11" x14ac:dyDescent="0.2">
      <c r="A5" s="2" t="s">
        <v>84</v>
      </c>
      <c r="B5" s="4" t="s">
        <v>66</v>
      </c>
      <c r="C5" s="8">
        <v>108.2015</v>
      </c>
      <c r="F5" s="9"/>
      <c r="H5" s="10" t="s">
        <v>86</v>
      </c>
      <c r="I5" s="11">
        <f>(C5*EXP(-C15*C12)*C17)-C6*(EXP(-C10*C12)*C18)</f>
        <v>4.2537216893876604</v>
      </c>
      <c r="J5" s="12">
        <f>EXP(-C10*C12)*C6*(D18) - (C5*EXP(-C15*C12)*(D17))</f>
        <v>5.2651361167502202</v>
      </c>
      <c r="K5" s="13"/>
    </row>
    <row r="6" spans="1:11" x14ac:dyDescent="0.2">
      <c r="A6" s="2" t="s">
        <v>16</v>
      </c>
      <c r="B6" s="14" t="s">
        <v>63</v>
      </c>
      <c r="C6" s="8">
        <v>110</v>
      </c>
      <c r="F6" s="9"/>
      <c r="H6" s="10" t="s">
        <v>53</v>
      </c>
      <c r="I6" s="15">
        <f>(EXP(-C15*C12))*NORMSDIST(C8)</f>
        <v>0.74132719112216472</v>
      </c>
      <c r="J6" s="15">
        <f>(-EXP(-C15*C12))*NORMSDIST(-C8)</f>
        <v>-0.25866772228606227</v>
      </c>
      <c r="K6" s="13"/>
    </row>
    <row r="7" spans="1:11" x14ac:dyDescent="0.2">
      <c r="B7" s="16" t="s">
        <v>3</v>
      </c>
      <c r="C7" s="4"/>
      <c r="F7" s="9"/>
      <c r="H7" s="10" t="s">
        <v>54</v>
      </c>
      <c r="I7" s="17">
        <f>(-EXP(-C15*C12)*(C5*(EXP(-POWER(C8,2)/2)/SQRT(2*PI()))*C11)/(2*SQRT(C12)))-(C10*C6*EXP(-C10*C12)*NORMSDIST(C9))+(C15*C5*EXP(-C15*C12)*NORMSDIST(C8))</f>
        <v>-38.782022239556156</v>
      </c>
      <c r="J7" s="18">
        <f>-EXP(-C15*C12)*((C5*(EXP(-POWER(C8,2)/2)/SQRT(2*PI()))*C11)/(2*SQRT(C12)))+(C10*C6*EXP(-C10*C12)*D18)-(C15*C5*EXP(-C15*C12)*D17)</f>
        <v>-28.380271901674014</v>
      </c>
      <c r="K7" s="13"/>
    </row>
    <row r="8" spans="1:11" x14ac:dyDescent="0.2">
      <c r="B8" s="4" t="s">
        <v>5</v>
      </c>
      <c r="C8" s="19">
        <f>F17</f>
        <v>0.64745412454671625</v>
      </c>
      <c r="F8" s="20"/>
      <c r="H8" s="10" t="s">
        <v>55</v>
      </c>
      <c r="I8" s="45">
        <f>EXP(-C15*C12)*(EXP(-1*POWER(C8,2)/2)/SQRT(2*PI())/(C5*C11*SQRT(C12)))</f>
        <v>2.1999313878090194E-2</v>
      </c>
      <c r="J8" s="45"/>
      <c r="K8" s="21">
        <f>C6*EXP(-C10*C12)*EXP(-1*POWER(C9,2)/2)/SQRT(2*PI())/(POWER(C5,2)*C11*SQRT(C12))</f>
        <v>2.4024472119813373E-2</v>
      </c>
    </row>
    <row r="9" spans="1:11" x14ac:dyDescent="0.2">
      <c r="B9" s="4" t="s">
        <v>6</v>
      </c>
      <c r="C9" s="19">
        <f>F18</f>
        <v>0.51154832145795948</v>
      </c>
      <c r="F9" s="20"/>
      <c r="H9" s="10" t="s">
        <v>56</v>
      </c>
      <c r="I9" s="46">
        <f>C5*EXP(-C15*C12)*EXP(-1*POWER(C8,2)/2)/SQRT(2*PI())*SQRT(C12)</f>
        <v>9.6114791973137432</v>
      </c>
      <c r="J9" s="46"/>
      <c r="K9" s="22">
        <f>C6*EXP(-C10*C12)*EXP(-1*POWER(C9,2)/2)/SQRT(2*PI())*SQRT(C12)</f>
        <v>10.496268896640519</v>
      </c>
    </row>
    <row r="10" spans="1:11" x14ac:dyDescent="0.2">
      <c r="A10" s="2" t="s">
        <v>17</v>
      </c>
      <c r="B10" s="4" t="s">
        <v>49</v>
      </c>
      <c r="C10" s="23">
        <f>F10</f>
        <v>9.5310179804324935E-2</v>
      </c>
      <c r="D10" s="23">
        <v>0.1</v>
      </c>
      <c r="F10" s="20">
        <f>LN(1+D10)</f>
        <v>9.5310179804324935E-2</v>
      </c>
      <c r="H10" s="24"/>
      <c r="I10" s="25">
        <f>I9*1%</f>
        <v>9.6114791973137437E-2</v>
      </c>
      <c r="K10" s="2">
        <f>K9*1%</f>
        <v>0.10496268896640519</v>
      </c>
    </row>
    <row r="11" spans="1:11" x14ac:dyDescent="0.2">
      <c r="A11" s="2" t="s">
        <v>68</v>
      </c>
      <c r="B11" s="26" t="s">
        <v>8</v>
      </c>
      <c r="C11" s="27">
        <v>0.49495016245252993</v>
      </c>
      <c r="D11" s="28"/>
      <c r="F11" s="9"/>
    </row>
    <row r="12" spans="1:11" x14ac:dyDescent="0.2">
      <c r="A12" s="2" t="s">
        <v>27</v>
      </c>
      <c r="B12" s="4" t="s">
        <v>29</v>
      </c>
      <c r="C12" s="4">
        <f>F19</f>
        <v>7.5396825396865097E-2</v>
      </c>
      <c r="F12" s="9"/>
      <c r="K12" s="44"/>
    </row>
    <row r="13" spans="1:11" x14ac:dyDescent="0.2">
      <c r="B13" s="4" t="s">
        <v>31</v>
      </c>
      <c r="C13" s="4">
        <v>-1</v>
      </c>
      <c r="F13" s="9"/>
      <c r="K13" s="44"/>
    </row>
    <row r="14" spans="1:11" x14ac:dyDescent="0.2">
      <c r="B14" s="4" t="s">
        <v>30</v>
      </c>
      <c r="C14" s="4">
        <v>1</v>
      </c>
      <c r="F14" s="9"/>
      <c r="K14" s="44"/>
    </row>
    <row r="15" spans="1:11" x14ac:dyDescent="0.2">
      <c r="A15" s="2" t="s">
        <v>26</v>
      </c>
      <c r="B15" s="4" t="s">
        <v>11</v>
      </c>
      <c r="C15" s="29">
        <f>F15</f>
        <v>6.7464441412996219E-5</v>
      </c>
      <c r="F15" s="9">
        <f>LN(1+(C16/C5))</f>
        <v>6.7464441412996219E-5</v>
      </c>
      <c r="H15" s="37"/>
      <c r="I15" s="37"/>
      <c r="J15" s="37"/>
    </row>
    <row r="16" spans="1:11" x14ac:dyDescent="0.2">
      <c r="A16" s="2" t="s">
        <v>13</v>
      </c>
      <c r="B16" s="4" t="s">
        <v>12</v>
      </c>
      <c r="C16" s="23">
        <v>7.3000000000000001E-3</v>
      </c>
      <c r="F16" s="9"/>
    </row>
    <row r="17" spans="1:6" x14ac:dyDescent="0.2">
      <c r="B17" s="4" t="s">
        <v>14</v>
      </c>
      <c r="C17" s="4">
        <f>NORMSDIST(F17)</f>
        <v>0.74133096197013693</v>
      </c>
      <c r="D17" s="30">
        <f>NORMSDIST(C13*F17)</f>
        <v>0.25866903802986307</v>
      </c>
      <c r="F17" s="9">
        <f>(LN(C5/C6)+(C10-C15+(C11^2/2)*C19))/(C11*SQRT(C19))</f>
        <v>0.64745412454671625</v>
      </c>
    </row>
    <row r="18" spans="1:6" x14ac:dyDescent="0.2">
      <c r="B18" s="4" t="s">
        <v>15</v>
      </c>
      <c r="C18" s="4">
        <f>NORMSDIST(F18)</f>
        <v>0.69551641923703522</v>
      </c>
      <c r="D18" s="30">
        <f>NORMSDIST(C13*F18)</f>
        <v>0.30448358076296478</v>
      </c>
      <c r="F18" s="31">
        <f>F17-(C11*SQRT(C19))</f>
        <v>0.51154832145795948</v>
      </c>
    </row>
    <row r="19" spans="1:6" x14ac:dyDescent="0.2">
      <c r="A19" s="2" t="s">
        <v>20</v>
      </c>
      <c r="B19" s="4" t="s">
        <v>25</v>
      </c>
      <c r="C19" s="29">
        <f>F19</f>
        <v>7.5396825396865097E-2</v>
      </c>
      <c r="F19" s="31">
        <f>(((B29-20)-(C29-20))/252)+((B28-C28)/12)+B27-C27</f>
        <v>7.5396825396865097E-2</v>
      </c>
    </row>
    <row r="20" spans="1:6" x14ac:dyDescent="0.2">
      <c r="A20" s="32" t="s">
        <v>67</v>
      </c>
      <c r="B20" s="4" t="s">
        <v>59</v>
      </c>
      <c r="C20" s="8">
        <v>5.15</v>
      </c>
      <c r="F20" s="31"/>
    </row>
    <row r="21" spans="1:6" x14ac:dyDescent="0.2">
      <c r="A21" s="2" t="s">
        <v>57</v>
      </c>
      <c r="B21" s="4"/>
      <c r="C21" s="3">
        <f>NETWORKDAYS(B26,C26)</f>
        <v>-21</v>
      </c>
      <c r="F21" s="31"/>
    </row>
    <row r="22" spans="1:6" x14ac:dyDescent="0.2">
      <c r="A22" s="2" t="s">
        <v>58</v>
      </c>
      <c r="B22" s="4"/>
      <c r="C22" s="4"/>
      <c r="F22" s="31"/>
    </row>
    <row r="23" spans="1:6" x14ac:dyDescent="0.2">
      <c r="A23" s="2" t="s">
        <v>62</v>
      </c>
      <c r="B23" s="4"/>
      <c r="C23" s="33">
        <f>(C20-C24)^2</f>
        <v>0.80331481007411021</v>
      </c>
      <c r="F23" s="31"/>
    </row>
    <row r="24" spans="1:6" x14ac:dyDescent="0.2">
      <c r="A24" s="32" t="s">
        <v>60</v>
      </c>
      <c r="B24" s="4" t="s">
        <v>61</v>
      </c>
      <c r="C24" s="33">
        <f>I5</f>
        <v>4.2537216893876604</v>
      </c>
      <c r="F24" s="31"/>
    </row>
    <row r="25" spans="1:6" x14ac:dyDescent="0.2">
      <c r="B25" s="34" t="s">
        <v>28</v>
      </c>
      <c r="C25" s="7" t="s">
        <v>21</v>
      </c>
    </row>
    <row r="26" spans="1:6" x14ac:dyDescent="0.2">
      <c r="B26" s="35">
        <v>44127</v>
      </c>
      <c r="C26" s="35">
        <v>44099</v>
      </c>
    </row>
    <row r="27" spans="1:6" x14ac:dyDescent="0.2">
      <c r="A27" s="2" t="s">
        <v>22</v>
      </c>
      <c r="B27" s="29">
        <v>2020</v>
      </c>
      <c r="C27" s="29">
        <v>2020</v>
      </c>
      <c r="D27" s="2" t="s">
        <v>71</v>
      </c>
    </row>
    <row r="28" spans="1:6" x14ac:dyDescent="0.2">
      <c r="A28" s="2" t="s">
        <v>23</v>
      </c>
      <c r="B28" s="29">
        <v>10</v>
      </c>
      <c r="C28" s="29">
        <v>9</v>
      </c>
      <c r="D28" s="2" t="s">
        <v>70</v>
      </c>
    </row>
    <row r="29" spans="1:6" x14ac:dyDescent="0.2">
      <c r="A29" s="2" t="s">
        <v>24</v>
      </c>
      <c r="B29" s="29">
        <v>23</v>
      </c>
      <c r="C29" s="29">
        <v>25</v>
      </c>
      <c r="D29" s="2" t="s">
        <v>69</v>
      </c>
    </row>
    <row r="33" spans="1:2" x14ac:dyDescent="0.2">
      <c r="A33" s="2" t="s">
        <v>76</v>
      </c>
    </row>
    <row r="34" spans="1:2" x14ac:dyDescent="0.2">
      <c r="A34" s="2" t="s">
        <v>72</v>
      </c>
      <c r="B34" s="36" t="s">
        <v>82</v>
      </c>
    </row>
    <row r="35" spans="1:2" x14ac:dyDescent="0.2">
      <c r="A35" s="2" t="s">
        <v>73</v>
      </c>
    </row>
    <row r="36" spans="1:2" x14ac:dyDescent="0.2">
      <c r="A36" s="2" t="s">
        <v>74</v>
      </c>
    </row>
    <row r="37" spans="1:2" x14ac:dyDescent="0.2">
      <c r="A37" s="2" t="s">
        <v>75</v>
      </c>
    </row>
    <row r="39" spans="1:2" x14ac:dyDescent="0.2">
      <c r="A39" s="2" t="s">
        <v>48</v>
      </c>
      <c r="B39" s="2" t="s">
        <v>77</v>
      </c>
    </row>
    <row r="40" spans="1:2" x14ac:dyDescent="0.2">
      <c r="A40" s="36" t="s">
        <v>83</v>
      </c>
    </row>
    <row r="42" spans="1:2" x14ac:dyDescent="0.2">
      <c r="A42" s="2" t="s">
        <v>78</v>
      </c>
    </row>
    <row r="43" spans="1:2" x14ac:dyDescent="0.2">
      <c r="A43" s="2" t="s">
        <v>79</v>
      </c>
    </row>
    <row r="44" spans="1:2" x14ac:dyDescent="0.2">
      <c r="A44" s="2" t="s">
        <v>80</v>
      </c>
    </row>
    <row r="45" spans="1:2" x14ac:dyDescent="0.2">
      <c r="A45" s="2" t="s">
        <v>81</v>
      </c>
    </row>
  </sheetData>
  <scenarios current="0">
    <scenario name="Options IV" count="1" user="Hermann Joel" comment="Created by Hermann Joel on 9/25/2020">
      <inputCells r="C11" val="0.357427148677753" numFmtId="10"/>
    </scenario>
  </scenarios>
  <mergeCells count="3">
    <mergeCell ref="K12:K14"/>
    <mergeCell ref="I8:J8"/>
    <mergeCell ref="I9:J9"/>
  </mergeCells>
  <hyperlinks>
    <hyperlink ref="B34" r:id="rId1" location="etfspec" xr:uid="{6A752267-F7F4-4BC2-83E7-7DFFA532A23A}"/>
    <hyperlink ref="A40" r:id="rId2" xr:uid="{569D5888-6EC6-404E-85A2-16F1E8F1E98C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0915-236F-4CC9-A6A9-76FAF41819F0}">
  <dimension ref="A1:K43"/>
  <sheetViews>
    <sheetView showGridLines="0" topLeftCell="B1" workbookViewId="0">
      <selection activeCell="N5" sqref="N5"/>
    </sheetView>
  </sheetViews>
  <sheetFormatPr defaultRowHeight="12.75" x14ac:dyDescent="0.2"/>
  <cols>
    <col min="1" max="1" width="21.5703125" style="2" customWidth="1"/>
    <col min="2" max="2" width="14.5703125" style="2" customWidth="1"/>
    <col min="3" max="3" width="12" style="2" bestFit="1" customWidth="1"/>
    <col min="4" max="5" width="9.140625" style="2"/>
    <col min="6" max="6" width="23" style="2" customWidth="1"/>
    <col min="7" max="7" width="9.140625" style="2"/>
    <col min="8" max="8" width="14" style="2" customWidth="1"/>
    <col min="9" max="16384" width="9.140625" style="2"/>
  </cols>
  <sheetData>
    <row r="1" spans="1:11" x14ac:dyDescent="0.2">
      <c r="B1" s="2" t="s">
        <v>85</v>
      </c>
    </row>
    <row r="3" spans="1:11" x14ac:dyDescent="0.2">
      <c r="A3" s="2" t="s">
        <v>0</v>
      </c>
    </row>
    <row r="4" spans="1:11" x14ac:dyDescent="0.2">
      <c r="B4" s="3" t="s">
        <v>1</v>
      </c>
      <c r="C4" s="4"/>
      <c r="F4" s="5" t="s">
        <v>10</v>
      </c>
      <c r="H4" s="6" t="s">
        <v>9</v>
      </c>
      <c r="I4" s="7" t="s">
        <v>64</v>
      </c>
      <c r="J4" s="7" t="s">
        <v>65</v>
      </c>
    </row>
    <row r="5" spans="1:11" x14ac:dyDescent="0.2">
      <c r="A5" s="2" t="s">
        <v>84</v>
      </c>
      <c r="B5" s="4" t="s">
        <v>66</v>
      </c>
      <c r="C5" s="8">
        <v>49</v>
      </c>
      <c r="F5" s="9"/>
      <c r="H5" s="10" t="s">
        <v>86</v>
      </c>
      <c r="I5" s="11">
        <f>(C5*C15)-C6*EXP(-C10*D12)*C16</f>
        <v>2.4079990806949709</v>
      </c>
      <c r="J5" s="12">
        <f>(C6*EXP(-C10*D12)*D16) - (C5*D15)</f>
        <v>2.4682450615405891</v>
      </c>
      <c r="K5" s="13"/>
    </row>
    <row r="6" spans="1:11" x14ac:dyDescent="0.2">
      <c r="A6" s="2" t="s">
        <v>16</v>
      </c>
      <c r="B6" s="14" t="s">
        <v>63</v>
      </c>
      <c r="C6" s="8">
        <v>50</v>
      </c>
      <c r="F6" s="9"/>
      <c r="H6" s="10" t="s">
        <v>53</v>
      </c>
      <c r="I6" s="15">
        <f>C15</f>
        <v>0.52093843872521661</v>
      </c>
      <c r="J6" s="15">
        <f>C15-1</f>
        <v>-0.47906156127478339</v>
      </c>
      <c r="K6" s="13"/>
    </row>
    <row r="7" spans="1:11" x14ac:dyDescent="0.2">
      <c r="B7" s="16" t="s">
        <v>3</v>
      </c>
      <c r="C7" s="4"/>
      <c r="F7" s="9"/>
      <c r="H7" s="10" t="s">
        <v>54</v>
      </c>
      <c r="I7" s="17">
        <f>-(C5*EXP(-1*POWER(C8,2)/2)/SQRT(2*PI())*C11/(2*SQRT(D12)))-(C10*C6*EXP(-C10*D12)*C16)</f>
        <v>-4.2582929619941474</v>
      </c>
      <c r="J7" s="18">
        <f>-(C5*EXP(-1*POWER(C8,2)/2)/SQRT(2*PI())*C11/(2*SQRT(D12)))+(C10*C6*EXP(-C10*D12)*D16)</f>
        <v>-1.864635506395971</v>
      </c>
      <c r="K7" s="13"/>
    </row>
    <row r="8" spans="1:11" x14ac:dyDescent="0.2">
      <c r="B8" s="4" t="s">
        <v>5</v>
      </c>
      <c r="C8" s="19">
        <f>F15</f>
        <v>5.2509002154752023E-2</v>
      </c>
      <c r="F8" s="20"/>
      <c r="H8" s="10" t="s">
        <v>55</v>
      </c>
      <c r="I8" s="45">
        <f>(EXP(-1*POWER(C8,2)/2)/SQRT(2*PI()))/(C5*C11*SQRT(D12))</f>
        <v>6.5188727759894233E-2</v>
      </c>
      <c r="J8" s="45"/>
      <c r="K8" s="40"/>
    </row>
    <row r="9" spans="1:11" x14ac:dyDescent="0.2">
      <c r="B9" s="4" t="s">
        <v>6</v>
      </c>
      <c r="C9" s="19">
        <f>F16</f>
        <v>-7.2212910737712688E-2</v>
      </c>
      <c r="F9" s="20"/>
      <c r="H9" s="10" t="s">
        <v>56</v>
      </c>
      <c r="I9" s="46">
        <f>C5*SQRT(D12)*EXP(-1*POWER(C8,2)/2)/SQRT(2*PI())</f>
        <v>12.173632749561579</v>
      </c>
      <c r="J9" s="46"/>
      <c r="K9" s="25">
        <f>I9*1%</f>
        <v>0.12173632749561579</v>
      </c>
    </row>
    <row r="10" spans="1:11" x14ac:dyDescent="0.2">
      <c r="A10" s="2" t="s">
        <v>17</v>
      </c>
      <c r="B10" s="4" t="s">
        <v>49</v>
      </c>
      <c r="C10" s="23">
        <f>F10</f>
        <v>4.8790164169432049E-2</v>
      </c>
      <c r="D10" s="23">
        <v>0.05</v>
      </c>
      <c r="F10" s="20">
        <f>LN(1+D10)</f>
        <v>4.8790164169432049E-2</v>
      </c>
      <c r="H10" s="10" t="s">
        <v>87</v>
      </c>
      <c r="I10" s="42">
        <f>C6*D12*EXP(-C10*D12)*C16</f>
        <v>8.9903272732158062</v>
      </c>
      <c r="J10" s="43">
        <f>-C6*D12*EXP(-C10*D12)*D16</f>
        <v>-10.088657274890826</v>
      </c>
    </row>
    <row r="11" spans="1:11" x14ac:dyDescent="0.2">
      <c r="A11" s="2" t="s">
        <v>68</v>
      </c>
      <c r="B11" s="26" t="s">
        <v>8</v>
      </c>
      <c r="C11" s="27">
        <v>0.2</v>
      </c>
      <c r="D11" s="28"/>
      <c r="F11" s="9"/>
      <c r="H11" s="24"/>
      <c r="I11" s="38">
        <f>I10*1%</f>
        <v>8.9903272732158063E-2</v>
      </c>
      <c r="J11" s="2">
        <f>J10*1%</f>
        <v>-0.10088657274890826</v>
      </c>
    </row>
    <row r="12" spans="1:11" x14ac:dyDescent="0.2">
      <c r="A12" s="2" t="s">
        <v>27</v>
      </c>
      <c r="B12" s="4" t="s">
        <v>29</v>
      </c>
      <c r="C12" s="4">
        <f>F17</f>
        <v>0.33333333333325754</v>
      </c>
      <c r="D12" s="2">
        <f>F19/252</f>
        <v>0.3888888888888889</v>
      </c>
      <c r="F12" s="9"/>
      <c r="H12" s="44"/>
    </row>
    <row r="13" spans="1:11" x14ac:dyDescent="0.2">
      <c r="B13" s="4" t="s">
        <v>31</v>
      </c>
      <c r="C13" s="4">
        <v>-1</v>
      </c>
      <c r="F13" s="9"/>
      <c r="H13" s="44"/>
    </row>
    <row r="14" spans="1:11" x14ac:dyDescent="0.2">
      <c r="B14" s="4" t="s">
        <v>30</v>
      </c>
      <c r="C14" s="4">
        <v>1</v>
      </c>
      <c r="F14" s="9"/>
      <c r="H14" s="44"/>
    </row>
    <row r="15" spans="1:11" x14ac:dyDescent="0.2">
      <c r="B15" s="4" t="s">
        <v>14</v>
      </c>
      <c r="C15" s="4">
        <f>NORMSDIST(F15)</f>
        <v>0.52093843872521661</v>
      </c>
      <c r="D15" s="30">
        <f>NORMSDIST(C13*F15)</f>
        <v>0.47906156127478339</v>
      </c>
      <c r="F15" s="9">
        <f>(LN(C5/C6)+(C10+(POWER(C11, 2)/2))*D12)/(C11*SQRT(D12))</f>
        <v>5.2509002154752023E-2</v>
      </c>
      <c r="H15" s="39"/>
    </row>
    <row r="16" spans="1:11" x14ac:dyDescent="0.2">
      <c r="B16" s="4" t="s">
        <v>15</v>
      </c>
      <c r="C16" s="4">
        <f>NORMSDIST(F16)</f>
        <v>0.47121623535818585</v>
      </c>
      <c r="D16" s="30">
        <f>NORMSDIST(C13*F16)</f>
        <v>0.52878376464181409</v>
      </c>
      <c r="F16" s="31">
        <f>F15-(C11*SQRT(D12))</f>
        <v>-7.2212910737712688E-2</v>
      </c>
    </row>
    <row r="17" spans="1:6" x14ac:dyDescent="0.2">
      <c r="A17" s="2" t="s">
        <v>20</v>
      </c>
      <c r="B17" s="4" t="s">
        <v>25</v>
      </c>
      <c r="C17" s="29">
        <f>F17</f>
        <v>0.33333333333325754</v>
      </c>
      <c r="F17" s="31">
        <f>(((B27-20)-(C27-20))/252)+((B26-C26)/12)+B25-C25</f>
        <v>0.33333333333325754</v>
      </c>
    </row>
    <row r="18" spans="1:6" x14ac:dyDescent="0.2">
      <c r="A18" s="32" t="s">
        <v>67</v>
      </c>
      <c r="B18" s="4" t="s">
        <v>59</v>
      </c>
      <c r="C18" s="8">
        <v>5.15</v>
      </c>
      <c r="F18" s="31"/>
    </row>
    <row r="19" spans="1:6" x14ac:dyDescent="0.2">
      <c r="A19" s="2" t="s">
        <v>57</v>
      </c>
      <c r="B19" s="4"/>
      <c r="C19" s="3"/>
      <c r="F19" s="31">
        <f>NETWORKDAYS(C24,B24)</f>
        <v>98</v>
      </c>
    </row>
    <row r="20" spans="1:6" x14ac:dyDescent="0.2">
      <c r="A20" s="2" t="s">
        <v>58</v>
      </c>
      <c r="B20" s="4"/>
      <c r="C20" s="4"/>
      <c r="F20" s="31"/>
    </row>
    <row r="21" spans="1:6" x14ac:dyDescent="0.2">
      <c r="A21" s="2" t="s">
        <v>62</v>
      </c>
      <c r="B21" s="4"/>
      <c r="C21" s="33">
        <f>(C18-C22)^2</f>
        <v>7.5185690414696262</v>
      </c>
      <c r="F21" s="31"/>
    </row>
    <row r="22" spans="1:6" x14ac:dyDescent="0.2">
      <c r="A22" s="32" t="s">
        <v>60</v>
      </c>
      <c r="B22" s="4" t="s">
        <v>61</v>
      </c>
      <c r="C22" s="33">
        <f>I5</f>
        <v>2.4079990806949709</v>
      </c>
      <c r="F22" s="31"/>
    </row>
    <row r="23" spans="1:6" x14ac:dyDescent="0.2">
      <c r="B23" s="34" t="s">
        <v>28</v>
      </c>
      <c r="C23" s="7" t="s">
        <v>21</v>
      </c>
    </row>
    <row r="24" spans="1:6" x14ac:dyDescent="0.2">
      <c r="B24" s="41">
        <v>44667</v>
      </c>
      <c r="C24" s="35">
        <v>44531</v>
      </c>
    </row>
    <row r="25" spans="1:6" x14ac:dyDescent="0.2">
      <c r="A25" s="2" t="s">
        <v>22</v>
      </c>
      <c r="B25" s="29">
        <v>2022</v>
      </c>
      <c r="C25" s="29">
        <v>2021</v>
      </c>
      <c r="D25" s="2" t="s">
        <v>71</v>
      </c>
    </row>
    <row r="26" spans="1:6" x14ac:dyDescent="0.2">
      <c r="A26" s="2" t="s">
        <v>23</v>
      </c>
      <c r="B26" s="29">
        <v>4</v>
      </c>
      <c r="C26" s="29">
        <v>12</v>
      </c>
      <c r="D26" s="2" t="s">
        <v>70</v>
      </c>
    </row>
    <row r="27" spans="1:6" x14ac:dyDescent="0.2">
      <c r="A27" s="2" t="s">
        <v>24</v>
      </c>
      <c r="B27" s="29">
        <v>13</v>
      </c>
      <c r="C27" s="29">
        <v>13</v>
      </c>
      <c r="D27" s="2" t="s">
        <v>69</v>
      </c>
    </row>
    <row r="31" spans="1:6" x14ac:dyDescent="0.2">
      <c r="A31" s="2" t="s">
        <v>76</v>
      </c>
    </row>
    <row r="32" spans="1:6" x14ac:dyDescent="0.2">
      <c r="A32" s="2" t="s">
        <v>72</v>
      </c>
      <c r="B32" s="36" t="s">
        <v>82</v>
      </c>
    </row>
    <row r="33" spans="1:2" x14ac:dyDescent="0.2">
      <c r="A33" s="2" t="s">
        <v>73</v>
      </c>
    </row>
    <row r="34" spans="1:2" x14ac:dyDescent="0.2">
      <c r="A34" s="2" t="s">
        <v>74</v>
      </c>
    </row>
    <row r="35" spans="1:2" x14ac:dyDescent="0.2">
      <c r="A35" s="2" t="s">
        <v>75</v>
      </c>
    </row>
    <row r="37" spans="1:2" x14ac:dyDescent="0.2">
      <c r="A37" s="2" t="s">
        <v>48</v>
      </c>
      <c r="B37" s="2" t="s">
        <v>77</v>
      </c>
    </row>
    <row r="38" spans="1:2" x14ac:dyDescent="0.2">
      <c r="A38" s="36" t="s">
        <v>83</v>
      </c>
    </row>
    <row r="40" spans="1:2" x14ac:dyDescent="0.2">
      <c r="A40" s="2" t="s">
        <v>78</v>
      </c>
    </row>
    <row r="41" spans="1:2" x14ac:dyDescent="0.2">
      <c r="A41" s="2" t="s">
        <v>79</v>
      </c>
    </row>
    <row r="42" spans="1:2" x14ac:dyDescent="0.2">
      <c r="A42" s="2" t="s">
        <v>80</v>
      </c>
    </row>
    <row r="43" spans="1:2" x14ac:dyDescent="0.2">
      <c r="A43" s="2" t="s">
        <v>81</v>
      </c>
    </row>
  </sheetData>
  <mergeCells count="3">
    <mergeCell ref="I8:J8"/>
    <mergeCell ref="I9:J9"/>
    <mergeCell ref="H12:H14"/>
  </mergeCells>
  <hyperlinks>
    <hyperlink ref="B32" r:id="rId1" location="etfspec" xr:uid="{528712A2-4755-4008-BABD-5DD9309E871D}"/>
    <hyperlink ref="A38" r:id="rId2" xr:uid="{61FD5017-5BD8-4BD2-ACE6-9A3EE53B3D36}"/>
  </hyperlinks>
  <pageMargins left="0.7" right="0.7" top="0.75" bottom="0.75" header="0.3" footer="0.3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872-9D35-41A0-975B-B610ED014602}">
  <dimension ref="A1:K45"/>
  <sheetViews>
    <sheetView workbookViewId="0">
      <selection activeCell="I9" sqref="I9:J9"/>
    </sheetView>
  </sheetViews>
  <sheetFormatPr defaultRowHeight="12.75" x14ac:dyDescent="0.2"/>
  <cols>
    <col min="1" max="1" width="17.42578125" style="2" customWidth="1"/>
    <col min="2" max="2" width="14.5703125" style="2" customWidth="1"/>
    <col min="3" max="3" width="12" style="2" bestFit="1" customWidth="1"/>
    <col min="4" max="5" width="9.140625" style="2"/>
    <col min="6" max="6" width="23" style="2" customWidth="1"/>
    <col min="7" max="7" width="9.140625" style="2"/>
    <col min="8" max="8" width="14" style="2" customWidth="1"/>
    <col min="9" max="16384" width="9.140625" style="2"/>
  </cols>
  <sheetData>
    <row r="1" spans="1:11" x14ac:dyDescent="0.2">
      <c r="B1" s="2" t="s">
        <v>85</v>
      </c>
    </row>
    <row r="3" spans="1:11" x14ac:dyDescent="0.2">
      <c r="A3" s="2" t="s">
        <v>0</v>
      </c>
    </row>
    <row r="4" spans="1:11" x14ac:dyDescent="0.2">
      <c r="B4" s="3" t="s">
        <v>1</v>
      </c>
      <c r="C4" s="4"/>
      <c r="F4" s="5" t="s">
        <v>10</v>
      </c>
      <c r="H4" s="6" t="s">
        <v>9</v>
      </c>
      <c r="I4" s="7" t="s">
        <v>64</v>
      </c>
      <c r="J4" s="7" t="s">
        <v>65</v>
      </c>
    </row>
    <row r="5" spans="1:11" x14ac:dyDescent="0.2">
      <c r="A5" s="2" t="s">
        <v>84</v>
      </c>
      <c r="B5" s="4" t="s">
        <v>66</v>
      </c>
      <c r="C5" s="8">
        <v>108.2015</v>
      </c>
      <c r="F5" s="9"/>
      <c r="H5" s="10" t="s">
        <v>86</v>
      </c>
      <c r="I5" s="11">
        <f>(C5*EXP(-C15*C12)*C17)-C6*(EXP(-C10*C12)*C18)</f>
        <v>3.9004436321639844</v>
      </c>
      <c r="J5" s="12">
        <f>EXP(-C10*C12)*C6*(D18) - (C5*EXP(-C15*C12)*(D17))</f>
        <v>4.9118580595265477</v>
      </c>
      <c r="K5" s="13"/>
    </row>
    <row r="6" spans="1:11" x14ac:dyDescent="0.2">
      <c r="A6" s="2" t="s">
        <v>16</v>
      </c>
      <c r="B6" s="14" t="s">
        <v>63</v>
      </c>
      <c r="C6" s="8">
        <v>110</v>
      </c>
      <c r="F6" s="9"/>
      <c r="H6" s="10" t="s">
        <v>53</v>
      </c>
      <c r="I6" s="15">
        <f>(EXP(-C15*C12))*NORMSDIST(C8)</f>
        <v>0.7740508802975683</v>
      </c>
      <c r="J6" s="15">
        <f>(-EXP(-C15*C12))*NORMSDIST(-C8)</f>
        <v>-0.22594403311065872</v>
      </c>
      <c r="K6" s="13"/>
    </row>
    <row r="7" spans="1:11" x14ac:dyDescent="0.2">
      <c r="B7" s="16" t="s">
        <v>3</v>
      </c>
      <c r="C7" s="4"/>
      <c r="F7" s="9"/>
      <c r="H7" s="10" t="s">
        <v>54</v>
      </c>
      <c r="I7" s="17">
        <f>(-EXP(-C15*C12)*(C5*(EXP(-POWER(C8,2)/2)/SQRT(2*PI()))*C11)/(2*SQRT(C12)))-(C10*C6*EXP(-C10*C12)*NORMSDIST(C9))+(C15*C5*EXP(-C15*C12)*NORMSDIST(C8))</f>
        <v>-36.921590563277974</v>
      </c>
      <c r="J7" s="18">
        <f>-EXP(-C15*C12)*((C5*(EXP(-POWER(C8,2)/2)/SQRT(2*PI()))*C11)/(2*SQRT(C12)))+(C10*C6*EXP(-C10*C12)*D18)-(C15*C5*EXP(-C15*C12)*D17)</f>
        <v>-26.519840225395839</v>
      </c>
      <c r="K7" s="13"/>
    </row>
    <row r="8" spans="1:11" x14ac:dyDescent="0.2">
      <c r="B8" s="4" t="s">
        <v>5</v>
      </c>
      <c r="C8" s="19">
        <f>F17</f>
        <v>0.75226723961388842</v>
      </c>
      <c r="F8" s="20"/>
      <c r="H8" s="10" t="s">
        <v>55</v>
      </c>
      <c r="I8" s="45">
        <f>EXP(-C15*C12)*(EXP(-1*POWER(C8,2)/2)/SQRT(2*PI())/(C5*C11*SQRT(C12)))</f>
        <v>2.0443330396460398E-2</v>
      </c>
      <c r="J8" s="45"/>
      <c r="K8" s="21">
        <f>C6*EXP(-C10*C12)*EXP(-1*POWER(C9,2)/2)/SQRT(2*PI())/(POWER(C5,2)*C11*SQRT(C12))</f>
        <v>2.2645544343932001E-2</v>
      </c>
    </row>
    <row r="9" spans="1:11" x14ac:dyDescent="0.2">
      <c r="B9" s="4" t="s">
        <v>6</v>
      </c>
      <c r="C9" s="19">
        <f>F18</f>
        <v>0.61636143652513165</v>
      </c>
      <c r="F9" s="20"/>
      <c r="H9" s="10" t="s">
        <v>56</v>
      </c>
      <c r="I9" s="46">
        <f>C5*EXP(-C15*C12)*EXP(-1*POWER(C8,2)/2)/SQRT(2*PI())*SQRT(C12)</f>
        <v>8.9316715020408886</v>
      </c>
      <c r="J9" s="46"/>
      <c r="K9" s="22">
        <f>C6*EXP(-C10*C12)*EXP(-1*POWER(C9,2)/2)/SQRT(2*PI())*SQRT(C12)</f>
        <v>9.8938166699062329</v>
      </c>
    </row>
    <row r="10" spans="1:11" x14ac:dyDescent="0.2">
      <c r="A10" s="2" t="s">
        <v>17</v>
      </c>
      <c r="B10" s="4" t="s">
        <v>49</v>
      </c>
      <c r="C10" s="23">
        <f>F10</f>
        <v>9.5310179804324935E-2</v>
      </c>
      <c r="D10" s="23">
        <v>0.1</v>
      </c>
      <c r="F10" s="20">
        <f>LN(1+D10)</f>
        <v>9.5310179804324935E-2</v>
      </c>
      <c r="H10" s="24"/>
      <c r="I10" s="25">
        <f>I9*1%</f>
        <v>8.9316715020408888E-2</v>
      </c>
      <c r="K10" s="2">
        <f>K9*1%</f>
        <v>9.893816669906233E-2</v>
      </c>
    </row>
    <row r="11" spans="1:11" x14ac:dyDescent="0.2">
      <c r="A11" s="2" t="s">
        <v>68</v>
      </c>
      <c r="B11" s="26" t="s">
        <v>8</v>
      </c>
      <c r="C11" s="27">
        <v>0.49495016245252993</v>
      </c>
      <c r="D11" s="28"/>
      <c r="F11" s="9"/>
    </row>
    <row r="12" spans="1:11" x14ac:dyDescent="0.2">
      <c r="A12" s="2" t="s">
        <v>27</v>
      </c>
      <c r="B12" s="4" t="s">
        <v>29</v>
      </c>
      <c r="C12" s="4">
        <f>F19</f>
        <v>7.5396825396865097E-2</v>
      </c>
      <c r="F12" s="9"/>
      <c r="K12" s="44"/>
    </row>
    <row r="13" spans="1:11" x14ac:dyDescent="0.2">
      <c r="B13" s="4" t="s">
        <v>31</v>
      </c>
      <c r="C13" s="4">
        <v>-1</v>
      </c>
      <c r="F13" s="9"/>
      <c r="K13" s="44"/>
    </row>
    <row r="14" spans="1:11" x14ac:dyDescent="0.2">
      <c r="B14" s="4" t="s">
        <v>30</v>
      </c>
      <c r="C14" s="4">
        <v>1</v>
      </c>
      <c r="F14" s="9"/>
      <c r="K14" s="44"/>
    </row>
    <row r="15" spans="1:11" x14ac:dyDescent="0.2">
      <c r="A15" s="2" t="s">
        <v>26</v>
      </c>
      <c r="B15" s="4" t="s">
        <v>11</v>
      </c>
      <c r="C15" s="29">
        <f>F15</f>
        <v>6.7464441412996219E-5</v>
      </c>
      <c r="F15" s="9">
        <f>LN(1+(C16/C5))</f>
        <v>6.7464441412996219E-5</v>
      </c>
      <c r="H15" s="37"/>
      <c r="I15" s="37"/>
      <c r="J15" s="37"/>
    </row>
    <row r="16" spans="1:11" x14ac:dyDescent="0.2">
      <c r="A16" s="2" t="s">
        <v>13</v>
      </c>
      <c r="B16" s="4" t="s">
        <v>12</v>
      </c>
      <c r="C16" s="23">
        <v>7.3000000000000001E-3</v>
      </c>
      <c r="F16" s="9"/>
    </row>
    <row r="17" spans="1:6" x14ac:dyDescent="0.2">
      <c r="B17" s="4" t="s">
        <v>14</v>
      </c>
      <c r="C17" s="4">
        <f>NORMSDIST(F17)</f>
        <v>0.77405481759843531</v>
      </c>
      <c r="D17" s="30">
        <f>NORMSDIST(C13*F17)</f>
        <v>0.22594518240156466</v>
      </c>
      <c r="F17" s="9">
        <f>LN(C5/C6)+(C10-C15+(C11^2/2)*C19)/(C11*SQRT(C19))</f>
        <v>0.75226723961388842</v>
      </c>
    </row>
    <row r="18" spans="1:6" x14ac:dyDescent="0.2">
      <c r="B18" s="4" t="s">
        <v>15</v>
      </c>
      <c r="C18" s="4">
        <f>NORMSDIST(F18)</f>
        <v>0.73117200041038477</v>
      </c>
      <c r="D18" s="30">
        <f>NORMSDIST(C13*F18)</f>
        <v>0.26882799958961523</v>
      </c>
      <c r="F18" s="31">
        <f>F17-(C11*SQRT(C19))</f>
        <v>0.61636143652513165</v>
      </c>
    </row>
    <row r="19" spans="1:6" x14ac:dyDescent="0.2">
      <c r="A19" s="2" t="s">
        <v>20</v>
      </c>
      <c r="B19" s="4" t="s">
        <v>25</v>
      </c>
      <c r="C19" s="29">
        <f>F19</f>
        <v>7.5396825396865097E-2</v>
      </c>
      <c r="F19" s="31">
        <f>(((B29-20)-(C29-20))/252)+((B28-C28)/12)+B27-C27</f>
        <v>7.5396825396865097E-2</v>
      </c>
    </row>
    <row r="20" spans="1:6" x14ac:dyDescent="0.2">
      <c r="A20" s="32" t="s">
        <v>67</v>
      </c>
      <c r="B20" s="4" t="s">
        <v>59</v>
      </c>
      <c r="C20" s="8">
        <v>5.15</v>
      </c>
      <c r="F20" s="31"/>
    </row>
    <row r="21" spans="1:6" x14ac:dyDescent="0.2">
      <c r="A21" s="2" t="s">
        <v>57</v>
      </c>
      <c r="B21" s="4"/>
      <c r="C21" s="3">
        <f>NETWORKDAYS(B26,C26)</f>
        <v>-21</v>
      </c>
      <c r="F21" s="31"/>
    </row>
    <row r="22" spans="1:6" x14ac:dyDescent="0.2">
      <c r="A22" s="2" t="s">
        <v>58</v>
      </c>
      <c r="B22" s="4"/>
      <c r="C22" s="4"/>
      <c r="F22" s="31"/>
    </row>
    <row r="23" spans="1:6" x14ac:dyDescent="0.2">
      <c r="A23" s="2" t="s">
        <v>62</v>
      </c>
      <c r="B23" s="4"/>
      <c r="C23" s="33">
        <f>(C20-C24)^2</f>
        <v>1.5613911163995369</v>
      </c>
      <c r="F23" s="31"/>
    </row>
    <row r="24" spans="1:6" x14ac:dyDescent="0.2">
      <c r="A24" s="32" t="s">
        <v>60</v>
      </c>
      <c r="B24" s="4" t="s">
        <v>61</v>
      </c>
      <c r="C24" s="33">
        <f>I5</f>
        <v>3.9004436321639844</v>
      </c>
      <c r="F24" s="31"/>
    </row>
    <row r="25" spans="1:6" x14ac:dyDescent="0.2">
      <c r="B25" s="34" t="s">
        <v>28</v>
      </c>
      <c r="C25" s="7" t="s">
        <v>21</v>
      </c>
    </row>
    <row r="26" spans="1:6" x14ac:dyDescent="0.2">
      <c r="B26" s="35">
        <v>44127</v>
      </c>
      <c r="C26" s="35">
        <v>44099</v>
      </c>
    </row>
    <row r="27" spans="1:6" x14ac:dyDescent="0.2">
      <c r="A27" s="2" t="s">
        <v>22</v>
      </c>
      <c r="B27" s="29">
        <v>2020</v>
      </c>
      <c r="C27" s="29">
        <v>2020</v>
      </c>
      <c r="D27" s="2" t="s">
        <v>71</v>
      </c>
    </row>
    <row r="28" spans="1:6" x14ac:dyDescent="0.2">
      <c r="A28" s="2" t="s">
        <v>23</v>
      </c>
      <c r="B28" s="29">
        <v>10</v>
      </c>
      <c r="C28" s="29">
        <v>9</v>
      </c>
      <c r="D28" s="2" t="s">
        <v>70</v>
      </c>
    </row>
    <row r="29" spans="1:6" x14ac:dyDescent="0.2">
      <c r="A29" s="2" t="s">
        <v>24</v>
      </c>
      <c r="B29" s="29">
        <v>23</v>
      </c>
      <c r="C29" s="29">
        <v>25</v>
      </c>
      <c r="D29" s="2" t="s">
        <v>69</v>
      </c>
    </row>
    <row r="33" spans="1:2" x14ac:dyDescent="0.2">
      <c r="A33" s="2" t="s">
        <v>76</v>
      </c>
    </row>
    <row r="34" spans="1:2" x14ac:dyDescent="0.2">
      <c r="A34" s="2" t="s">
        <v>72</v>
      </c>
      <c r="B34" s="36" t="s">
        <v>82</v>
      </c>
    </row>
    <row r="35" spans="1:2" x14ac:dyDescent="0.2">
      <c r="A35" s="2" t="s">
        <v>73</v>
      </c>
    </row>
    <row r="36" spans="1:2" x14ac:dyDescent="0.2">
      <c r="A36" s="2" t="s">
        <v>74</v>
      </c>
    </row>
    <row r="37" spans="1:2" x14ac:dyDescent="0.2">
      <c r="A37" s="2" t="s">
        <v>75</v>
      </c>
    </row>
    <row r="39" spans="1:2" x14ac:dyDescent="0.2">
      <c r="A39" s="2" t="s">
        <v>48</v>
      </c>
      <c r="B39" s="2" t="s">
        <v>77</v>
      </c>
    </row>
    <row r="40" spans="1:2" x14ac:dyDescent="0.2">
      <c r="A40" s="36" t="s">
        <v>83</v>
      </c>
    </row>
    <row r="42" spans="1:2" x14ac:dyDescent="0.2">
      <c r="A42" s="2" t="s">
        <v>78</v>
      </c>
    </row>
    <row r="43" spans="1:2" x14ac:dyDescent="0.2">
      <c r="A43" s="2" t="s">
        <v>79</v>
      </c>
    </row>
    <row r="44" spans="1:2" x14ac:dyDescent="0.2">
      <c r="A44" s="2" t="s">
        <v>80</v>
      </c>
    </row>
    <row r="45" spans="1:2" x14ac:dyDescent="0.2">
      <c r="A45" s="2" t="s">
        <v>81</v>
      </c>
    </row>
  </sheetData>
  <mergeCells count="3">
    <mergeCell ref="I8:J8"/>
    <mergeCell ref="I9:J9"/>
    <mergeCell ref="K12:K14"/>
  </mergeCells>
  <hyperlinks>
    <hyperlink ref="B34" r:id="rId1" location="etfspec" xr:uid="{4D5A1AED-8AB5-41EA-A28E-165BD116D067}"/>
    <hyperlink ref="A40" r:id="rId2" xr:uid="{11396BBD-7598-4775-AC21-01BE1984AE62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D91F-0A89-433A-8341-E4361F4CF6E3}">
  <sheetPr codeName="Sheet2"/>
  <dimension ref="A1:F32"/>
  <sheetViews>
    <sheetView showGridLines="0" workbookViewId="0">
      <selection activeCell="E4" sqref="E4"/>
    </sheetView>
  </sheetViews>
  <sheetFormatPr defaultRowHeight="15" x14ac:dyDescent="0.25"/>
  <cols>
    <col min="1" max="1" width="24.28515625" customWidth="1"/>
    <col min="2" max="2" width="10.7109375" bestFit="1" customWidth="1"/>
    <col min="3" max="3" width="9.7109375" bestFit="1" customWidth="1"/>
    <col min="4" max="4" width="14.85546875" customWidth="1"/>
  </cols>
  <sheetData>
    <row r="1" spans="1:6" x14ac:dyDescent="0.25">
      <c r="A1" s="61" t="s">
        <v>32</v>
      </c>
      <c r="B1" s="2"/>
      <c r="C1" s="2"/>
      <c r="D1" s="2"/>
      <c r="E1" s="2"/>
    </row>
    <row r="2" spans="1:6" x14ac:dyDescent="0.25">
      <c r="A2" s="2"/>
      <c r="B2" s="2"/>
      <c r="C2" s="2"/>
      <c r="D2" s="2"/>
      <c r="E2" s="2"/>
    </row>
    <row r="3" spans="1:6" x14ac:dyDescent="0.25">
      <c r="A3" s="2"/>
      <c r="B3" s="2" t="s">
        <v>38</v>
      </c>
      <c r="C3" s="2"/>
      <c r="D3" s="2"/>
      <c r="E3" s="2" t="s">
        <v>39</v>
      </c>
    </row>
    <row r="4" spans="1:6" x14ac:dyDescent="0.25">
      <c r="A4" s="2" t="s">
        <v>33</v>
      </c>
      <c r="B4" s="47" t="s">
        <v>34</v>
      </c>
      <c r="C4" s="47">
        <v>55.752000000000002</v>
      </c>
      <c r="D4" s="24" t="s">
        <v>43</v>
      </c>
      <c r="E4" s="48">
        <f>B27</f>
        <v>6.7119258168673882E-2</v>
      </c>
      <c r="F4" s="1"/>
    </row>
    <row r="5" spans="1:6" x14ac:dyDescent="0.25">
      <c r="A5" s="2" t="s">
        <v>4</v>
      </c>
      <c r="B5" s="47" t="s">
        <v>88</v>
      </c>
      <c r="C5" s="47">
        <v>80.8</v>
      </c>
      <c r="D5" s="24" t="s">
        <v>47</v>
      </c>
      <c r="E5" s="49"/>
      <c r="F5" s="1"/>
    </row>
    <row r="6" spans="1:6" x14ac:dyDescent="0.25">
      <c r="A6" s="2" t="s">
        <v>46</v>
      </c>
      <c r="B6" s="47" t="s">
        <v>2</v>
      </c>
      <c r="C6" s="47">
        <v>84.84</v>
      </c>
      <c r="D6" s="24"/>
      <c r="E6" s="49"/>
      <c r="F6" s="1"/>
    </row>
    <row r="7" spans="1:6" x14ac:dyDescent="0.25">
      <c r="A7" s="2" t="s">
        <v>18</v>
      </c>
      <c r="B7" s="50" t="s">
        <v>8</v>
      </c>
      <c r="C7" s="51">
        <v>0.14799999999999999</v>
      </c>
      <c r="D7" s="24"/>
      <c r="E7" s="49"/>
      <c r="F7" s="1"/>
    </row>
    <row r="8" spans="1:6" x14ac:dyDescent="0.25">
      <c r="A8" s="2" t="s">
        <v>45</v>
      </c>
      <c r="B8" s="47" t="s">
        <v>35</v>
      </c>
      <c r="C8" s="51">
        <v>5.2999999999999999E-2</v>
      </c>
      <c r="D8" s="24"/>
      <c r="E8" s="49"/>
      <c r="F8" s="1"/>
    </row>
    <row r="9" spans="1:6" x14ac:dyDescent="0.25">
      <c r="A9" s="2" t="s">
        <v>48</v>
      </c>
      <c r="B9" s="47" t="s">
        <v>7</v>
      </c>
      <c r="C9" s="52">
        <f>B30</f>
        <v>-3.2954239497972712E-3</v>
      </c>
      <c r="D9" s="24"/>
      <c r="E9" s="49"/>
      <c r="F9" s="1"/>
    </row>
    <row r="10" spans="1:6" x14ac:dyDescent="0.25">
      <c r="A10" s="2"/>
      <c r="B10" s="47" t="s">
        <v>36</v>
      </c>
      <c r="C10" s="47">
        <f>B23</f>
        <v>-0.95453798022851621</v>
      </c>
      <c r="D10" s="24"/>
      <c r="E10" s="49"/>
      <c r="F10" s="1"/>
    </row>
    <row r="11" spans="1:6" x14ac:dyDescent="0.25">
      <c r="A11" s="2"/>
      <c r="B11" s="47" t="s">
        <v>37</v>
      </c>
      <c r="C11" s="47">
        <f>B24</f>
        <v>-1.9391728695672639</v>
      </c>
      <c r="D11" s="24"/>
      <c r="E11" s="49"/>
      <c r="F11" s="1"/>
    </row>
    <row r="12" spans="1:6" x14ac:dyDescent="0.25">
      <c r="A12" s="2"/>
      <c r="B12" s="47" t="s">
        <v>11</v>
      </c>
      <c r="C12" s="53">
        <v>3.3000000000000002E-2</v>
      </c>
      <c r="D12" s="24"/>
      <c r="E12" s="49"/>
      <c r="F12" s="1"/>
    </row>
    <row r="13" spans="1:6" x14ac:dyDescent="0.25">
      <c r="A13" s="2"/>
      <c r="B13" s="47" t="s">
        <v>52</v>
      </c>
      <c r="C13" s="54">
        <f>B32</f>
        <v>2.1003990758244058</v>
      </c>
      <c r="D13" s="24"/>
      <c r="E13" s="49"/>
      <c r="F13" s="1"/>
    </row>
    <row r="14" spans="1:6" x14ac:dyDescent="0.25">
      <c r="A14" s="2"/>
      <c r="B14" s="55" t="s">
        <v>51</v>
      </c>
      <c r="C14" s="47">
        <f>B31</f>
        <v>2.3140452839478893</v>
      </c>
      <c r="D14" s="24"/>
      <c r="E14" s="49"/>
      <c r="F14" s="1"/>
    </row>
    <row r="15" spans="1:6" x14ac:dyDescent="0.25">
      <c r="A15" s="2" t="s">
        <v>19</v>
      </c>
      <c r="B15" s="47" t="s">
        <v>21</v>
      </c>
      <c r="C15" s="47">
        <f>B28</f>
        <v>3.0027777777777374</v>
      </c>
      <c r="D15" s="24"/>
      <c r="E15" s="49"/>
      <c r="F15" s="1"/>
    </row>
    <row r="16" spans="1:6" x14ac:dyDescent="0.25">
      <c r="A16" s="2"/>
      <c r="B16" s="24" t="s">
        <v>25</v>
      </c>
      <c r="C16" s="2" t="s">
        <v>21</v>
      </c>
      <c r="D16" s="2"/>
      <c r="E16" s="2"/>
    </row>
    <row r="17" spans="1:5" x14ac:dyDescent="0.25">
      <c r="A17" s="2"/>
      <c r="B17" s="56">
        <v>44466</v>
      </c>
      <c r="C17" s="57">
        <v>43369</v>
      </c>
      <c r="D17" s="2"/>
      <c r="E17" s="2"/>
    </row>
    <row r="18" spans="1:5" x14ac:dyDescent="0.25">
      <c r="A18" s="2" t="s">
        <v>22</v>
      </c>
      <c r="B18" s="2">
        <v>2021</v>
      </c>
      <c r="C18" s="2">
        <v>2018</v>
      </c>
      <c r="D18" s="2"/>
      <c r="E18" s="2"/>
    </row>
    <row r="19" spans="1:5" x14ac:dyDescent="0.25">
      <c r="A19" s="2" t="s">
        <v>23</v>
      </c>
      <c r="B19" s="2">
        <v>9</v>
      </c>
      <c r="C19" s="2">
        <v>9</v>
      </c>
      <c r="D19" s="2"/>
      <c r="E19" s="2"/>
    </row>
    <row r="20" spans="1:5" x14ac:dyDescent="0.25">
      <c r="A20" s="2" t="s">
        <v>24</v>
      </c>
      <c r="B20" s="2">
        <v>27</v>
      </c>
      <c r="C20" s="2">
        <v>26</v>
      </c>
      <c r="D20" s="2"/>
      <c r="E20" s="2"/>
    </row>
    <row r="22" spans="1:5" x14ac:dyDescent="0.25">
      <c r="A22" s="58" t="s">
        <v>40</v>
      </c>
      <c r="B22" s="58"/>
    </row>
    <row r="23" spans="1:5" x14ac:dyDescent="0.25">
      <c r="A23" s="58" t="s">
        <v>36</v>
      </c>
      <c r="B23" s="58">
        <f>(1/(C7*(C15)^0.5))*(LN(C4/C5)+(C8-(C7^2)/2)*C15)</f>
        <v>-0.95453798022851621</v>
      </c>
    </row>
    <row r="24" spans="1:5" x14ac:dyDescent="0.25">
      <c r="A24" s="58" t="s">
        <v>37</v>
      </c>
      <c r="B24" s="58">
        <f>(1/(C7*(C15)^0.5))*(LN(C4/C5)-(C8-(C7^2)/2)*C15)</f>
        <v>-1.9391728695672639</v>
      </c>
    </row>
    <row r="25" spans="1:5" x14ac:dyDescent="0.25">
      <c r="A25" s="58" t="s">
        <v>41</v>
      </c>
      <c r="B25" s="58">
        <f>NORMSDIST(B23)</f>
        <v>0.16990569686526949</v>
      </c>
    </row>
    <row r="26" spans="1:5" x14ac:dyDescent="0.25">
      <c r="A26" s="58" t="s">
        <v>42</v>
      </c>
      <c r="B26" s="58">
        <f>NORMSDIST(B24)</f>
        <v>2.6240146001791476E-2</v>
      </c>
    </row>
    <row r="27" spans="1:5" x14ac:dyDescent="0.25">
      <c r="A27" s="58" t="s">
        <v>44</v>
      </c>
      <c r="B27" s="58">
        <f>(C4/C5)^(((2*C8)/(C7^2))-1)*B25+B26</f>
        <v>6.7119258168673882E-2</v>
      </c>
    </row>
    <row r="28" spans="1:5" x14ac:dyDescent="0.25">
      <c r="A28" s="58" t="s">
        <v>21</v>
      </c>
      <c r="B28" s="58">
        <f>(((B20-30)-(C20-30))/360)+((B19-C19)/12)+B18-C18</f>
        <v>3.0027777777777374</v>
      </c>
    </row>
    <row r="29" spans="1:5" x14ac:dyDescent="0.25">
      <c r="A29" s="58" t="s">
        <v>49</v>
      </c>
      <c r="B29" s="59">
        <v>-3.29E-3</v>
      </c>
    </row>
    <row r="30" spans="1:5" x14ac:dyDescent="0.25">
      <c r="A30" s="58" t="s">
        <v>50</v>
      </c>
      <c r="B30" s="60">
        <f>LN(1+B29)</f>
        <v>-3.2954239497972712E-3</v>
      </c>
    </row>
    <row r="31" spans="1:5" x14ac:dyDescent="0.25">
      <c r="A31" s="58" t="s">
        <v>51</v>
      </c>
      <c r="B31" s="58">
        <f>-1-(2*(C9-C12)/(C7^2))</f>
        <v>2.3140452839478893</v>
      </c>
    </row>
    <row r="32" spans="1:5" x14ac:dyDescent="0.25">
      <c r="A32" s="58" t="s">
        <v>52</v>
      </c>
      <c r="B32" s="58">
        <f>(C5/C4)^2</f>
        <v>2.1003990758244058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Ame-Option-Div-Paying</vt:lpstr>
      <vt:lpstr>EUR-Option-Div-Non-Paying</vt:lpstr>
      <vt:lpstr>Eur-Option-Div-Paying</vt:lpstr>
      <vt:lpstr>Barrier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Joel</dc:creator>
  <cp:lastModifiedBy>Hermann Joel</cp:lastModifiedBy>
  <dcterms:created xsi:type="dcterms:W3CDTF">2020-09-14T19:38:45Z</dcterms:created>
  <dcterms:modified xsi:type="dcterms:W3CDTF">2021-12-27T20:40:13Z</dcterms:modified>
</cp:coreProperties>
</file>